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49.0802792321117"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REESTR_IP!$A$2:$D$51</definedName>
    <definedName name="VD_LIST">REESTR_VED!$A$2:$B$8</definedName>
    <definedName name="VD_ID_LIST">REESTR_VED!$A$2:$A$8</definedName>
    <definedName name="VD_NAME_LIST">REESTR_VED!$B$2:$B$8</definedName>
    <definedName name="et_B_FHD20_1">et_union_hor!$103:$111</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<sst xmlns="http://schemas.openxmlformats.org/spreadsheetml/2006/main" count="12802" uniqueCount="3327">
  <si>
    <t xml:space="preserve"> (требуется обновление)</t>
  </si>
  <si>
    <t>Код отчёта: PP108.OPEN.INFO.BALANCE.COLDVSNA.EIAS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</si>
  <si>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</si>
  <si>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</si>
  <si>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</si>
  <si>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</si>
  <si>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</si>
  <si>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</si>
  <si>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</si>
  <si>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</si>
  <si>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</si>
  <si>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</si>
  <si>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</si>
  <si>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</si>
  <si>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Коми</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</si>
  <si>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</si>
  <si>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</si>
  <si>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</si>
  <si>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</si>
  <si>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</si>
  <si>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</si>
  <si>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</si>
  <si>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</si>
  <si>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</si>
  <si>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</si>
  <si>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</si>
  <si>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</si>
  <si>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</si>
  <si>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</si>
  <si>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</si>
  <si>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</si>
  <si>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</si>
  <si>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</si>
  <si>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</si>
  <si>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</si>
  <si>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</si>
  <si>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</si>
  <si>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</si>
  <si>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</si>
  <si>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</si>
  <si>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</si>
  <si>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</si>
  <si>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</si>
  <si>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</si>
  <si>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</si>
  <si>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</si>
  <si>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</si>
  <si>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</si>
  <si>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</si>
  <si>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</si>
  <si>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</si>
  <si>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</si>
  <si>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</si>
  <si>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</si>
  <si>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</si>
  <si>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</si>
  <si>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</si>
  <si>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</si>
  <si>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</si>
  <si>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</si>
  <si>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</si>
  <si>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</si>
  <si>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</si>
  <si>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</si>
  <si>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</si>
  <si>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</si>
  <si>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</si>
  <si>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</si>
  <si>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</si>
  <si>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</si>
  <si>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</si>
  <si>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</si>
  <si>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</si>
  <si>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</si>
  <si>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</si>
  <si>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</si>
  <si>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</si>
  <si>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</si>
  <si>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</si>
  <si>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</si>
  <si>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</si>
  <si>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</si>
  <si>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</si>
  <si>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</si>
  <si>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</si>
  <si>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</si>
  <si>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</si>
  <si>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</si>
  <si>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</si>
  <si>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</si>
  <si>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</si>
  <si>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</si>
  <si>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</si>
  <si>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</si>
  <si>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</si>
  <si>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</si>
  <si>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</si>
  <si>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</si>
  <si>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</si>
  <si>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</si>
  <si>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</si>
  <si>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</si>
  <si>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</si>
  <si>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</si>
  <si>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</si>
  <si>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</si>
  <si>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</si>
  <si>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</si>
  <si>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</si>
  <si>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</si>
  <si>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</si>
  <si>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</si>
  <si>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</si>
  <si>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</si>
  <si>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</si>
  <si>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</si>
  <si>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</si>
  <si>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</si>
  <si>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</si>
  <si>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</si>
  <si>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</si>
  <si>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</si>
  <si>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</si>
  <si>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</si>
  <si>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</si>
  <si>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</si>
  <si>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</si>
  <si>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</si>
  <si>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</si>
  <si>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</si>
  <si>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</si>
  <si>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</si>
  <si>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</si>
  <si>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</si>
  <si>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</si>
  <si>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</si>
  <si>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</si>
  <si>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</si>
  <si>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</si>
  <si>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</si>
  <si>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</si>
  <si>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</si>
  <si>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</si>
  <si>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</si>
  <si>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</si>
  <si>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</si>
  <si>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</si>
  <si>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</si>
  <si>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</si>
  <si>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</si>
  <si>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</si>
  <si>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</si>
  <si>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</si>
  <si>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</si>
  <si>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</si>
  <si>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</si>
  <si>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</si>
  <si>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</si>
  <si>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</si>
  <si>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</si>
  <si>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</si>
  <si>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</si>
  <si>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</si>
  <si>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</si>
  <si>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</si>
  <si>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</si>
  <si>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</si>
  <si>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</si>
  <si>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</si>
  <si>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</si>
  <si>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</si>
  <si>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</si>
  <si>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</si>
  <si>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</si>
  <si>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</si>
  <si>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</si>
  <si>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</si>
  <si>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</si>
  <si>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</si>
  <si>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</si>
  <si>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</si>
  <si>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</si>
  <si>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</si>
  <si>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</si>
  <si>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</si>
  <si>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</si>
  <si>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</si>
  <si>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</si>
  <si>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</si>
  <si>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</si>
  <si>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</si>
  <si>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</si>
  <si>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</si>
  <si>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</si>
  <si>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</si>
  <si>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</si>
  <si>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</si>
  <si>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</si>
  <si>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</si>
  <si>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</si>
  <si>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</si>
  <si>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</si>
  <si>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</si>
  <si>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</si>
  <si>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</si>
  <si>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</si>
  <si>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</si>
  <si>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</si>
  <si>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</si>
  <si>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</si>
  <si>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</si>
  <si>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</si>
  <si>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</si>
  <si>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</si>
  <si>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</si>
  <si>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</si>
  <si>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</si>
  <si>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</si>
  <si>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</si>
  <si>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</si>
  <si>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</si>
  <si>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</si>
  <si>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</si>
  <si>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</si>
  <si>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</si>
  <si>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</si>
  <si>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</si>
  <si>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</si>
  <si>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</si>
  <si>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</si>
  <si>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</si>
  <si>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</si>
  <si>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</si>
  <si>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</si>
  <si>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</si>
  <si>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</si>
  <si>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</si>
  <si>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</si>
  <si>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</si>
  <si>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</si>
  <si>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</si>
  <si>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</si>
  <si>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</si>
  <si>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</si>
  <si>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</si>
  <si>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</si>
  <si>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</si>
  <si>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</si>
  <si>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</si>
  <si>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</si>
  <si>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</si>
  <si>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</si>
  <si>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</si>
  <si>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</si>
  <si>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</si>
  <si>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</si>
  <si>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</si>
  <si>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</si>
  <si>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</si>
  <si>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</si>
  <si>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</si>
  <si>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</si>
  <si>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</si>
  <si>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</si>
  <si>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</si>
  <si>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</si>
  <si>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</si>
  <si>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</si>
  <si>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</si>
  <si>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</si>
  <si>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</si>
  <si>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</si>
  <si>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</si>
  <si>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</si>
  <si>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</si>
  <si>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</si>
  <si>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</si>
  <si>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</si>
  <si>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</si>
  <si>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</si>
  <si>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</si>
  <si>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</si>
  <si>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</si>
  <si>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</si>
  <si>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</si>
  <si>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</si>
  <si>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</si>
  <si>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</si>
  <si>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</si>
  <si>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</si>
  <si>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</si>
  <si>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</si>
  <si>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</si>
  <si>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</si>
  <si>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</si>
  <si>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</si>
  <si>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</si>
  <si>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</si>
  <si>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</si>
  <si>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</si>
  <si>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</si>
  <si>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</si>
  <si>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</si>
  <si>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</si>
  <si>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</si>
  <si>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</si>
  <si>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</si>
  <si>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</si>
  <si>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</si>
  <si>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</si>
  <si>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</si>
  <si>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</si>
  <si>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</si>
  <si>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</si>
  <si>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</si>
  <si>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</si>
  <si>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</si>
  <si>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</si>
  <si>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</si>
  <si>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</si>
  <si>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</si>
  <si>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</si>
  <si>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</si>
  <si>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</si>
  <si>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</si>
  <si>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</si>
  <si>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</si>
  <si>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</si>
  <si>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</si>
  <si>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</si>
  <si>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</si>
  <si>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</si>
  <si>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</si>
  <si>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</si>
  <si>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</si>
  <si>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</si>
  <si>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</si>
  <si>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</si>
  <si>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</si>
  <si>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</si>
  <si>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</si>
  <si>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</si>
  <si>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</si>
  <si>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</si>
  <si>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</si>
  <si>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</si>
  <si>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</si>
  <si>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</si>
  <si>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</si>
  <si>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</si>
  <si>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</si>
  <si>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</si>
  <si>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</si>
  <si>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</si>
  <si>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</si>
  <si>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</si>
  <si>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</si>
  <si>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</si>
  <si>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</si>
  <si>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</si>
  <si>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</si>
  <si>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</si>
  <si>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</si>
  <si>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</si>
  <si>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</si>
  <si>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</si>
  <si>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</si>
  <si>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</si>
  <si>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</si>
  <si>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</si>
  <si>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</si>
  <si>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</si>
  <si>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</si>
  <si>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</si>
  <si>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</si>
  <si>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</si>
  <si>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</si>
  <si>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</si>
  <si>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</si>
  <si>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</si>
  <si>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</si>
  <si>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</si>
  <si>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</si>
  <si>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</si>
  <si>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</si>
  <si>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</si>
  <si>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</si>
  <si>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</si>
  <si>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</si>
  <si>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</si>
  <si>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</si>
  <si>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</si>
  <si>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</si>
  <si>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</si>
  <si>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</si>
  <si>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</si>
  <si>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</si>
  <si>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</si>
  <si>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</si>
  <si>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</si>
  <si>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</si>
  <si>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</si>
  <si>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</si>
  <si>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</si>
  <si>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</si>
  <si>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</si>
  <si>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</si>
  <si>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</si>
  <si>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</si>
  <si>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</si>
  <si>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</si>
  <si>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</si>
  <si>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</si>
  <si>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</si>
  <si>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</si>
  <si>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</si>
  <si>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</si>
  <si>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</si>
  <si>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</si>
  <si>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</si>
  <si>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</si>
  <si>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</si>
  <si>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</si>
  <si>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</si>
  <si>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</si>
  <si>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</si>
  <si>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</si>
  <si>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</si>
  <si>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</si>
  <si>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</si>
  <si>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</si>
  <si>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</si>
  <si>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</si>
  <si>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</si>
  <si>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</si>
  <si>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</si>
  <si>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</si>
  <si>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</si>
  <si>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</si>
  <si>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</si>
  <si>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</si>
  <si>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</si>
  <si>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</si>
  <si>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</si>
  <si>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</si>
  <si>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</si>
  <si>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</si>
  <si>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</si>
  <si>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</si>
  <si>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</si>
  <si>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</si>
  <si>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</si>
  <si>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</si>
  <si>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</si>
  <si>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</si>
  <si>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</si>
  <si>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</si>
  <si>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</si>
  <si>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</si>
  <si>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</si>
  <si>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</si>
  <si>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</si>
  <si>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</si>
  <si>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</si>
  <si>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</si>
  <si>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</si>
  <si>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</si>
  <si>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</si>
  <si>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</si>
  <si>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</si>
  <si>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</si>
  <si>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</si>
  <si>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</si>
  <si>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</si>
  <si>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</si>
  <si>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</si>
  <si>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</si>
  <si>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</si>
  <si>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</si>
  <si>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</si>
  <si>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</si>
  <si>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</si>
  <si>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</si>
  <si>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</si>
  <si>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</si>
  <si>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</si>
  <si>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</si>
  <si>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</si>
  <si>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</si>
  <si>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</si>
  <si>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</si>
  <si>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</si>
  <si>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</si>
  <si>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</si>
  <si>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</si>
  <si>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</si>
  <si>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</si>
  <si>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</si>
  <si>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</si>
  <si>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</si>
  <si>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</si>
  <si>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</si>
  <si>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</si>
  <si>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</si>
  <si>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</si>
  <si>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</si>
  <si>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</si>
  <si>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</si>
  <si>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</si>
  <si>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</si>
  <si>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</si>
  <si>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</si>
  <si>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</si>
  <si>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</si>
  <si>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</si>
  <si>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</si>
  <si>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</si>
  <si>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</si>
  <si>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</si>
  <si>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</si>
  <si>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</si>
  <si>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</si>
  <si>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</si>
  <si>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</si>
  <si>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</si>
  <si>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</si>
  <si>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</si>
  <si>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</si>
  <si>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</si>
  <si>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</si>
  <si>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</si>
  <si>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</si>
  <si>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</si>
  <si>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</si>
  <si>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</si>
  <si>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</si>
  <si>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</si>
  <si>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</si>
  <si>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</si>
  <si>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</si>
  <si>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</si>
  <si>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</si>
  <si>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</si>
  <si>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</si>
  <si>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</si>
  <si>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</si>
  <si>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</si>
  <si>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</si>
  <si>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</si>
  <si>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</si>
  <si>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</si>
  <si>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</si>
  <si>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</si>
  <si>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</si>
  <si>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</si>
  <si>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</si>
  <si>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</si>
  <si>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</si>
  <si>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</si>
  <si>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</si>
  <si>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</si>
  <si>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</si>
  <si>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</si>
  <si>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</si>
  <si>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</si>
  <si>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</si>
  <si>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</si>
  <si>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</si>
  <si>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</si>
  <si>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</si>
  <si>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</si>
  <si>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</si>
  <si>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</si>
  <si>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</si>
  <si>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</si>
  <si>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</si>
  <si>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</si>
  <si>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</si>
  <si>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</si>
  <si>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</si>
  <si>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</si>
  <si>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</si>
  <si>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</si>
  <si>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</si>
  <si>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</si>
  <si>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</si>
  <si>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</si>
  <si>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</si>
  <si>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</si>
  <si>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</si>
  <si>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</si>
  <si>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</si>
  <si>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</si>
  <si>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</si>
  <si>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</si>
  <si>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</si>
  <si>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</si>
  <si>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</si>
  <si>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</si>
  <si>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</si>
  <si>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</si>
  <si>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</si>
  <si>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</si>
  <si>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</si>
  <si>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</si>
  <si>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</si>
  <si>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</si>
  <si>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</si>
  <si>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</si>
  <si>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</si>
  <si>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</si>
  <si>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</si>
  <si>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</si>
  <si>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</si>
  <si>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</si>
  <si>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</si>
  <si>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</si>
  <si>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</si>
  <si>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</si>
  <si>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</si>
  <si>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</si>
  <si>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</si>
  <si>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</si>
  <si>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</si>
  <si>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</si>
  <si>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</si>
  <si>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</si>
  <si>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</si>
  <si>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</si>
  <si>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</si>
  <si>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</si>
  <si>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</si>
  <si>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</si>
  <si>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</si>
  <si>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</si>
  <si>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</si>
  <si>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</si>
  <si>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</si>
  <si>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</si>
  <si>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</si>
  <si>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</si>
  <si>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</si>
  <si>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</si>
  <si>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</si>
  <si>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</si>
  <si>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</si>
  <si>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</si>
  <si>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</si>
  <si>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</si>
  <si>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</si>
  <si>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</si>
  <si>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</si>
  <si>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</si>
  <si>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</si>
  <si>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</si>
  <si>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</si>
  <si>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</si>
  <si>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</si>
  <si>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</si>
  <si>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</si>
  <si>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</si>
  <si>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</si>
  <si>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</si>
  <si>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</si>
  <si>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</si>
  <si>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</si>
  <si>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</si>
  <si>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</si>
  <si>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</si>
  <si>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</si>
  <si>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</si>
  <si>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</si>
  <si>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</si>
  <si>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</si>
  <si>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</si>
  <si>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</si>
  <si>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</si>
  <si>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</si>
  <si>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</si>
  <si>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</si>
  <si>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</si>
  <si>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</si>
  <si>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</si>
  <si>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</si>
  <si>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</si>
  <si>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</si>
  <si>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</si>
  <si>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</si>
  <si>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</si>
  <si>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</si>
  <si>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</si>
  <si>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</si>
  <si>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</si>
  <si>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</si>
  <si>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</si>
  <si>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</si>
  <si>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</si>
  <si>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</si>
  <si>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</si>
  <si>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</si>
  <si>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</si>
  <si>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</si>
  <si>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</si>
  <si>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</si>
  <si>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</si>
  <si>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</si>
  <si>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</si>
  <si>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</si>
  <si>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</si>
  <si>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</si>
  <si>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</si>
  <si>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</si>
  <si>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</si>
  <si>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</si>
  <si>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</si>
  <si>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</si>
  <si>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</si>
  <si>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</si>
  <si>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</si>
  <si>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</si>
  <si>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</si>
  <si>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</si>
  <si>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</si>
  <si>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</si>
  <si>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</si>
  <si>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</si>
  <si>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</si>
  <si>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</si>
  <si>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</si>
  <si>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</si>
  <si>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</si>
  <si>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</si>
  <si>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</si>
  <si>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</si>
  <si>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</si>
  <si>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</si>
  <si>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</si>
  <si>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</si>
  <si>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</si>
  <si>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</si>
  <si>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</si>
  <si>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</si>
  <si>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</si>
  <si>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</si>
  <si>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</si>
  <si>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</si>
  <si>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</si>
  <si>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</si>
  <si>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</si>
  <si>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</si>
  <si>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</si>
  <si>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</si>
  <si>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</si>
  <si>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</si>
  <si>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</si>
  <si>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</si>
  <si>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</si>
  <si>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</si>
  <si>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</si>
  <si>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</si>
  <si>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</si>
  <si>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</si>
  <si>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</si>
  <si>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</si>
  <si>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</si>
  <si>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</si>
  <si>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</si>
  <si>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</si>
  <si>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</si>
  <si>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</si>
  <si>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</si>
  <si>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</si>
  <si>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</si>
  <si>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</si>
  <si>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</si>
  <si>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</si>
  <si>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</si>
  <si>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</si>
  <si>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</si>
  <si>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</si>
  <si>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</si>
  <si>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</si>
  <si>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</si>
  <si>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</si>
  <si>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</si>
  <si>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</si>
  <si>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</si>
  <si>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</si>
  <si>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</si>
  <si>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</si>
  <si>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</si>
  <si>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</si>
  <si>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</si>
  <si>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</si>
  <si>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</si>
  <si>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</si>
  <si>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</si>
  <si>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</si>
  <si>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</si>
  <si>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</si>
  <si>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</si>
  <si>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</si>
  <si>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</si>
  <si>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</si>
  <si>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</si>
  <si>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</si>
  <si>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</si>
  <si>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</si>
  <si>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</si>
  <si>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</si>
  <si>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</si>
  <si>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</si>
  <si>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</si>
  <si>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</si>
  <si>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</si>
  <si>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</si>
  <si>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</si>
  <si>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</si>
  <si>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</si>
  <si>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</si>
  <si>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</si>
  <si>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</si>
  <si>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</si>
  <si>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</si>
  <si>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</si>
  <si>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</si>
  <si>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</si>
  <si>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</si>
  <si>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</si>
  <si>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</si>
  <si>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</si>
  <si>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</si>
  <si>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</si>
  <si>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</si>
  <si>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</si>
  <si>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</si>
  <si>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</si>
  <si>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</si>
  <si>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</si>
  <si>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</si>
  <si>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</si>
  <si>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</si>
  <si>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</si>
  <si>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</si>
  <si>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</si>
  <si>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</si>
  <si>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</si>
  <si>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</si>
  <si>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</si>
  <si>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</si>
  <si>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</si>
  <si>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</si>
  <si>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</si>
  <si>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</si>
  <si>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</si>
  <si>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</si>
  <si>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</si>
  <si>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</si>
  <si>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</si>
  <si>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</si>
  <si>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</si>
  <si>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</si>
  <si>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</si>
  <si>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</si>
  <si>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</si>
  <si>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</si>
  <si>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</si>
  <si>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</si>
  <si>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</si>
  <si>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</si>
  <si>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</si>
  <si>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</si>
  <si>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</si>
  <si>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</si>
  <si>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</si>
  <si>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</si>
  <si>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</si>
  <si>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</si>
  <si>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</si>
  <si>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</si>
  <si>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</si>
  <si>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</si>
  <si>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</si>
  <si>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</si>
  <si>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</si>
  <si>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</si>
  <si>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</si>
  <si>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</si>
  <si>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</si>
  <si>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</si>
  <si>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</si>
  <si>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</si>
  <si>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</si>
  <si>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</si>
  <si>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</si>
  <si>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</si>
  <si>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</si>
  <si>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</si>
  <si>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</si>
  <si>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</si>
  <si>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</si>
  <si>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</si>
  <si>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</si>
  <si>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</si>
  <si>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</si>
  <si>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</si>
  <si>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</si>
  <si>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</si>
  <si>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</si>
  <si>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</si>
  <si>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</si>
  <si>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</si>
  <si>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</si>
  <si>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</si>
  <si>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</si>
  <si>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</si>
  <si>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</si>
  <si>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</si>
  <si>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</si>
  <si>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</si>
  <si>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</si>
  <si>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</si>
  <si>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</si>
  <si>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</si>
  <si>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</si>
  <si>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</si>
  <si>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</si>
  <si>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</si>
  <si>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</si>
  <si>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</si>
  <si>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</si>
  <si>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</si>
  <si>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</si>
  <si>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</si>
  <si>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</si>
  <si>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</si>
  <si>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</si>
  <si>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</si>
  <si>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</si>
  <si>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</si>
  <si>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</si>
  <si>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</si>
  <si>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</si>
  <si>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</si>
  <si>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</si>
  <si>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</si>
  <si>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</si>
  <si>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</si>
  <si>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</si>
  <si>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</si>
  <si>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</si>
  <si>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</si>
  <si>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</si>
  <si>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</si>
  <si>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</si>
  <si>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</si>
  <si>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</si>
  <si>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</si>
  <si>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</si>
  <si>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</si>
  <si>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</si>
  <si>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</si>
  <si>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</si>
  <si>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</si>
  <si>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</si>
  <si>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</si>
  <si>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</si>
  <si>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</si>
  <si>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</si>
  <si>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</si>
  <si>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</si>
  <si>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</si>
  <si>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</si>
  <si>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</si>
  <si>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</si>
  <si>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</si>
  <si>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</si>
  <si>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</si>
  <si>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</si>
  <si>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</si>
  <si>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</si>
  <si>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</si>
  <si>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</si>
  <si>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</si>
  <si>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</si>
  <si>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</si>
  <si>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</si>
  <si>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</si>
  <si>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</si>
  <si>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</si>
  <si>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</si>
  <si>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</si>
  <si>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</si>
  <si>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</si>
  <si>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</si>
  <si>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</si>
  <si>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</si>
  <si>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</si>
  <si>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</si>
  <si>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</si>
  <si>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</si>
  <si>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</si>
  <si>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</si>
  <si>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</si>
  <si>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</si>
  <si>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</si>
  <si>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</si>
  <si>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</si>
  <si>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</si>
  <si>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</si>
  <si>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</si>
  <si>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</si>
  <si>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</si>
  <si>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</si>
  <si>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</si>
  <si>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</si>
  <si>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</si>
  <si>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</si>
  <si>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</si>
  <si>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</si>
  <si>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</si>
  <si>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</si>
  <si>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</si>
  <si>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</si>
  <si>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</si>
  <si>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</si>
  <si>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</si>
  <si>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</si>
  <si>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</si>
  <si>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</si>
  <si>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</si>
  <si>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</si>
  <si>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</si>
  <si>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</si>
  <si>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</si>
  <si>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</si>
  <si>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</si>
  <si>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</si>
  <si>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</si>
  <si>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</si>
  <si>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</si>
  <si>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</si>
  <si>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</si>
  <si>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</si>
  <si>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</si>
  <si>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</si>
  <si>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</si>
  <si>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</si>
  <si>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</si>
  <si>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</si>
  <si>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</si>
  <si>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</si>
  <si>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</si>
  <si>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</si>
  <si>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</si>
  <si>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</si>
  <si>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</si>
  <si>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</si>
  <si>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</si>
  <si>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</si>
  <si>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</si>
  <si>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</si>
  <si>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</si>
  <si>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</si>
  <si>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</si>
  <si>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</si>
  <si>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</si>
  <si>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</si>
  <si>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</si>
  <si>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</si>
  <si>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</si>
  <si>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</si>
  <si>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</si>
  <si>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</si>
  <si>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</si>
  <si>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</si>
  <si>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</si>
  <si>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</si>
  <si>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</si>
  <si>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</si>
  <si>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</si>
  <si>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</si>
  <si>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</si>
  <si>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</si>
  <si>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</si>
  <si>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</si>
  <si>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</si>
  <si>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</si>
  <si>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</si>
  <si>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</si>
  <si>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</si>
  <si>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</si>
  <si>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</si>
  <si>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</si>
  <si>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</si>
  <si>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</si>
  <si>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</si>
  <si>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</si>
  <si>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</si>
  <si>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</si>
  <si>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</si>
  <si>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</si>
  <si>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</si>
  <si>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</si>
  <si>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</si>
  <si>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</si>
  <si>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</si>
  <si>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</si>
  <si>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</si>
  <si>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</si>
  <si>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</si>
  <si>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</si>
  <si>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</si>
  <si>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</si>
  <si>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</si>
  <si>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</si>
  <si>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</si>
  <si>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</si>
  <si>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</si>
  <si>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</si>
  <si>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</si>
  <si>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</si>
  <si>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</si>
  <si>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</si>
  <si>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</si>
  <si>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</si>
  <si>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</si>
  <si>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</si>
  <si>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</si>
  <si>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</si>
  <si>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</si>
  <si>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</si>
  <si>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</si>
  <si>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</si>
  <si>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</si>
  <si>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</si>
  <si>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</si>
  <si>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</si>
  <si>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</si>
  <si>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</si>
  <si>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</si>
  <si>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</si>
  <si>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</si>
  <si>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</si>
  <si>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</si>
  <si>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</si>
  <si>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</si>
  <si>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</si>
  <si>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</si>
  <si>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</si>
  <si>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</si>
  <si>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</si>
  <si>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</si>
  <si>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</si>
  <si>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</si>
  <si>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</si>
  <si>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</si>
  <si>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</si>
  <si>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</si>
  <si>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</si>
  <si>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</si>
  <si>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</si>
  <si>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</si>
  <si>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</si>
  <si>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</si>
  <si>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</si>
  <si>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</si>
  <si>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</si>
  <si>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</si>
  <si>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</si>
  <si>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</si>
  <si>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</si>
  <si>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</si>
  <si>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</si>
  <si>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</si>
  <si>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</si>
  <si>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</si>
  <si>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</si>
  <si>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</si>
  <si>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</si>
  <si>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</si>
  <si>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</si>
  <si>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</si>
  <si>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</si>
  <si>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</si>
  <si>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</si>
  <si>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</si>
  <si>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</si>
  <si>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</si>
  <si>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</si>
  <si>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</si>
  <si>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</si>
  <si>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</si>
  <si>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</si>
  <si>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</si>
  <si>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</si>
  <si>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</si>
  <si>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</si>
  <si>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</si>
  <si>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</si>
  <si>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</si>
  <si>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</si>
  <si>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</si>
  <si>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</si>
  <si>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</si>
  <si>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</si>
  <si>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</si>
  <si>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</si>
  <si>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</si>
  <si>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</si>
  <si>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</si>
  <si>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</si>
  <si>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</si>
  <si>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</si>
  <si>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</si>
  <si>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</si>
  <si>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</si>
  <si>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</si>
  <si>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</si>
  <si>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</si>
  <si>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</si>
  <si>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</si>
  <si>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</si>
  <si>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</si>
  <si>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</si>
  <si>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</si>
  <si>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</si>
  <si>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</si>
  <si>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</si>
  <si>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</si>
  <si>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</si>
  <si>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</si>
  <si>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</si>
  <si>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</si>
  <si>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</si>
  <si>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</si>
  <si>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</si>
  <si>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</si>
  <si>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</si>
  <si>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</si>
  <si>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</si>
  <si>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</si>
  <si>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</si>
  <si>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</si>
  <si>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</si>
  <si>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</si>
  <si>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</si>
  <si>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</si>
  <si>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</si>
  <si>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</si>
  <si>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</si>
  <si>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</si>
  <si>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</si>
  <si>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</si>
  <si>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</si>
  <si>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</si>
  <si>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</si>
  <si>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</si>
  <si>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</si>
  <si>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</si>
  <si>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</si>
  <si>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</si>
  <si>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</si>
  <si>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</si>
  <si>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</si>
  <si>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</si>
  <si>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</si>
  <si>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</si>
  <si>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</si>
  <si>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</si>
  <si>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</si>
  <si>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</si>
  <si>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</si>
  <si>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</si>
  <si>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</si>
  <si>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</si>
  <si>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</si>
  <si>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</si>
  <si>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</si>
  <si>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</si>
  <si>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</si>
  <si>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</si>
  <si>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</si>
  <si>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</si>
  <si>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</si>
  <si>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</si>
  <si>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</si>
  <si>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</si>
  <si>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</si>
  <si>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</si>
  <si>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</si>
  <si>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</si>
  <si>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</si>
  <si>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</si>
  <si>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</si>
  <si>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</si>
  <si>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</si>
  <si>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</si>
  <si>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</si>
  <si>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</si>
  <si>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</si>
  <si>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</si>
  <si>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</si>
  <si>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</si>
  <si>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</si>
  <si>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</si>
  <si>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</si>
  <si>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</si>
  <si>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</si>
  <si>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</si>
  <si>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</si>
  <si>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</si>
  <si>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</si>
  <si>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</si>
  <si>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</si>
  <si>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</si>
  <si>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</si>
  <si>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</si>
  <si>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</si>
  <si>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</si>
  <si>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</si>
  <si>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</si>
  <si>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</si>
  <si>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</si>
  <si>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</si>
  <si>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</si>
  <si>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</si>
  <si>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</si>
  <si>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</si>
  <si>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</si>
  <si>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</si>
  <si>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</si>
  <si>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</si>
  <si>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</si>
  <si>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</si>
  <si>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</si>
  <si>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</si>
  <si>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</si>
  <si>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</si>
  <si>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</si>
  <si>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</si>
  <si>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</si>
  <si>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</si>
  <si>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</si>
  <si>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</si>
  <si>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</si>
  <si>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</si>
  <si>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</si>
  <si>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</si>
  <si>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</si>
  <si>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</si>
  <si>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</si>
  <si>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</si>
  <si>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</si>
  <si>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</si>
  <si>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</si>
  <si>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</si>
  <si>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</si>
  <si>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</si>
  <si>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</si>
  <si>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</si>
  <si>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</si>
  <si>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</si>
  <si>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</si>
  <si>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</si>
  <si>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</si>
  <si>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</si>
  <si>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</si>
  <si>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</si>
  <si>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</si>
  <si>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</si>
  <si>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</si>
  <si>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</si>
  <si>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</si>
  <si>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</si>
  <si>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</si>
  <si>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</si>
  <si>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</si>
  <si>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</si>
  <si>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</si>
  <si>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</si>
  <si>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</si>
  <si>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</si>
  <si>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</si>
  <si>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</si>
  <si>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</si>
  <si>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</si>
  <si>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</si>
  <si>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</si>
  <si>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</si>
  <si>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</si>
  <si>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</si>
  <si>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</si>
  <si>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</si>
  <si>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</si>
  <si>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</si>
  <si>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</si>
  <si>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</si>
  <si>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</si>
  <si>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</si>
  <si>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</si>
  <si>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</si>
  <si>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</si>
  <si>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</si>
  <si>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</si>
  <si>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</si>
  <si>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</si>
  <si>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</si>
  <si>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</si>
  <si>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</si>
  <si>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</si>
  <si>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</si>
  <si>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</si>
  <si>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</si>
  <si>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</si>
  <si>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</si>
  <si>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</si>
  <si>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</si>
  <si>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</si>
  <si>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</si>
  <si>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</si>
  <si>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</si>
  <si>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</si>
  <si>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</si>
  <si>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</si>
  <si>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</si>
  <si>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</si>
  <si>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</si>
  <si>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</si>
  <si>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</si>
  <si>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</si>
  <si>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</si>
  <si>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</si>
  <si>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</si>
  <si>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</si>
  <si>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</si>
  <si>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</si>
  <si>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</si>
  <si>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</si>
  <si>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</si>
  <si>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</si>
  <si>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</si>
  <si>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</si>
  <si>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</si>
  <si>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</si>
  <si>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</si>
  <si>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</si>
  <si>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</si>
  <si>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</si>
  <si>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</si>
  <si>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</si>
  <si>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</si>
  <si>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</si>
  <si>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</si>
  <si>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</si>
  <si>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</si>
  <si>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</si>
  <si>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</si>
  <si>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</si>
  <si>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</si>
  <si>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</si>
  <si>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</si>
  <si>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</si>
  <si>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</si>
  <si>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</si>
  <si>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</si>
  <si>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</si>
  <si>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</si>
  <si>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</si>
  <si>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</si>
  <si>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</si>
  <si>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</si>
  <si>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</si>
  <si>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</si>
  <si>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</si>
  <si>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</si>
  <si>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</si>
  <si>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</si>
  <si>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</si>
  <si>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</si>
  <si>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</si>
  <si>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</si>
  <si>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</si>
  <si>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</si>
  <si>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</si>
  <si>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</si>
  <si>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</si>
  <si>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</si>
  <si>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</si>
  <si>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</si>
  <si>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</si>
  <si>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</si>
  <si>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</si>
  <si>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</si>
  <si>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</si>
  <si>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</si>
  <si>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</si>
  <si>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</si>
  <si>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</si>
  <si>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</si>
  <si>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</si>
  <si>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</si>
  <si>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</si>
  <si>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</si>
  <si>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</si>
  <si>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</si>
  <si>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</si>
  <si>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</si>
  <si>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</si>
  <si>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</si>
  <si>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</si>
  <si>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</si>
  <si>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</si>
  <si>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</si>
  <si>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</si>
  <si>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</si>
  <si>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</si>
  <si>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</si>
  <si>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</si>
  <si>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</si>
  <si>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</si>
  <si>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</si>
  <si>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</si>
  <si>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</si>
  <si>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</si>
  <si>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</si>
  <si>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</si>
  <si>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</si>
  <si>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</si>
  <si>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</si>
  <si>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</si>
  <si>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</si>
  <si>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</si>
  <si>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</si>
  <si>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</si>
  <si>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</si>
  <si>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</si>
  <si>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</si>
  <si>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</si>
  <si>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</si>
  <si>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</si>
  <si>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</si>
  <si>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</si>
  <si>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</si>
  <si>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</si>
  <si>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</si>
  <si>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</si>
  <si>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</si>
  <si>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</si>
  <si>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</si>
  <si>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</si>
  <si>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</si>
  <si>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</si>
  <si>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</si>
  <si>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</si>
  <si>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</si>
  <si>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</si>
  <si>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</si>
  <si>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</si>
  <si>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</si>
  <si>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</si>
  <si>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</si>
  <si>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</si>
  <si>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</si>
  <si>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</si>
  <si>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</si>
  <si>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</si>
  <si>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</si>
  <si>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</si>
  <si>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</si>
  <si>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</si>
  <si>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</si>
  <si>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</si>
  <si>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</si>
  <si>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</si>
  <si>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</si>
  <si>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</si>
  <si>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</si>
  <si>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</si>
  <si>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</si>
  <si>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</si>
  <si>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</si>
  <si>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</si>
  <si>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</si>
  <si>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</si>
  <si>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</si>
  <si>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</si>
  <si>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</si>
  <si>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</si>
  <si>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</si>
  <si>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</si>
  <si>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</si>
  <si>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</si>
  <si>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</si>
  <si>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</si>
  <si>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</si>
  <si>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</si>
  <si>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</si>
  <si>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</si>
  <si>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</si>
  <si>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</si>
  <si>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</si>
  <si>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</si>
  <si>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</si>
  <si>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</si>
  <si>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</si>
  <si>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</si>
  <si>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</si>
  <si>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</si>
  <si>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</si>
  <si>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</si>
  <si>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</si>
  <si>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</si>
  <si>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</si>
  <si>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</si>
  <si>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</si>
  <si>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</si>
  <si>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</si>
  <si>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</si>
  <si>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</si>
  <si>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</si>
  <si>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</si>
  <si>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</si>
  <si>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</si>
  <si>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</si>
  <si>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</si>
  <si>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</si>
  <si>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</si>
  <si>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</si>
  <si>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</si>
  <si>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</si>
  <si>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</si>
  <si>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</si>
  <si>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</si>
  <si>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</si>
  <si>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</si>
  <si>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</si>
  <si>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</si>
  <si>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</si>
  <si>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</si>
  <si>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</si>
  <si>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</si>
  <si>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</si>
  <si>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</si>
  <si>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</si>
  <si>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</si>
  <si>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</si>
  <si>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</si>
  <si>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</si>
  <si>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</si>
  <si>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</si>
  <si>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</si>
  <si>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</si>
  <si>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</si>
  <si>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</si>
  <si>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</si>
  <si>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</si>
  <si>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</si>
  <si>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</si>
  <si>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</si>
  <si>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</si>
  <si>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</si>
  <si>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</si>
  <si>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</si>
  <si>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</si>
  <si>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</si>
  <si>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</si>
  <si>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</si>
  <si>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</si>
  <si>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</si>
  <si>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</si>
  <si>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</si>
  <si>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</si>
  <si>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</si>
  <si>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</si>
  <si>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</si>
  <si>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</si>
  <si>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</si>
  <si>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</si>
  <si>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</si>
  <si>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</si>
  <si>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</si>
  <si>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</si>
  <si>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</si>
  <si>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</si>
  <si>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</si>
  <si>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</si>
  <si>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</si>
  <si>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</si>
  <si>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</si>
  <si>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</si>
  <si>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</si>
  <si>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</si>
  <si>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</si>
  <si>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</si>
  <si>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</si>
  <si>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</si>
  <si>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</si>
  <si>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</si>
  <si>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</si>
  <si>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</si>
  <si>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</si>
  <si>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</si>
  <si>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</si>
  <si>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</si>
  <si>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</si>
  <si>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</si>
  <si>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</si>
  <si>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</si>
  <si>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</si>
  <si>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</si>
  <si>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</si>
  <si>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</si>
  <si>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</si>
  <si>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</si>
  <si>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</si>
  <si>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</si>
  <si>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</si>
  <si>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</si>
  <si>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</si>
  <si>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</si>
  <si>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</si>
  <si>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</si>
  <si>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</si>
  <si>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</si>
  <si>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</si>
  <si>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</si>
  <si>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</si>
  <si>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</si>
  <si>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</si>
  <si>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</si>
  <si>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</si>
  <si>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</si>
  <si>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</si>
  <si>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Услуги охраны</t>
  </si>
  <si>
    <t>Прочие расходы</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</si>
  <si>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</si>
  <si>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</si>
  <si>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</si>
  <si>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</si>
  <si>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</si>
  <si>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</si>
  <si>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</si>
  <si>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</si>
  <si>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</si>
  <si>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</si>
  <si>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</si>
  <si>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</si>
  <si>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</si>
  <si>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</si>
  <si>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</si>
  <si>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</si>
  <si>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</si>
  <si>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</si>
  <si>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</si>
  <si>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</si>
  <si>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</si>
  <si>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</si>
  <si>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</si>
  <si>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</si>
  <si>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</si>
  <si>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</si>
  <si>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</si>
  <si>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</si>
  <si>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</si>
  <si>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</si>
  <si>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</si>
  <si>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</si>
  <si>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</si>
  <si>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</si>
  <si>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</si>
  <si>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</si>
  <si>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</si>
  <si>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</si>
  <si>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</si>
  <si>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</si>
  <si>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</si>
  <si>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</si>
  <si>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</si>
  <si>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</si>
  <si>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</si>
  <si>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</si>
  <si>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</si>
  <si>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</si>
  <si>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</si>
  <si>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</si>
  <si>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</si>
  <si>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</si>
  <si>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</si>
  <si>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</si>
  <si>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</si>
  <si>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</si>
  <si>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</si>
  <si>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</si>
  <si>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</si>
  <si>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</si>
  <si>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</si>
  <si>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</si>
  <si>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</si>
  <si>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</si>
  <si>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</si>
  <si>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</si>
  <si>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</si>
  <si>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</si>
  <si>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</si>
  <si>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</si>
  <si>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</si>
  <si>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</si>
  <si>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</si>
  <si>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</si>
  <si>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</si>
  <si>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</si>
  <si>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</si>
  <si>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</si>
  <si>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</si>
  <si>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</si>
  <si>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</si>
  <si>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</si>
  <si>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</si>
  <si>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</si>
  <si>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</si>
  <si>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</si>
  <si>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</si>
  <si>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</si>
  <si>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</si>
  <si>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</si>
  <si>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</si>
  <si>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</si>
  <si>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</si>
  <si>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</si>
  <si>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</si>
  <si>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</si>
  <si>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</si>
  <si>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</si>
  <si>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</si>
  <si>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</si>
  <si>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</si>
  <si>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</si>
  <si>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</si>
  <si>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</si>
  <si>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</si>
  <si>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</si>
  <si>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</si>
  <si>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</si>
  <si>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</si>
  <si>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</si>
  <si>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</si>
  <si>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</si>
  <si>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</si>
  <si>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</si>
  <si>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</si>
  <si>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</si>
  <si>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</si>
  <si>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</si>
  <si>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</si>
  <si>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</si>
  <si>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</si>
  <si>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</si>
  <si>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</si>
  <si>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</si>
  <si>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</si>
  <si>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</si>
  <si>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</si>
  <si>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</si>
  <si>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</si>
  <si>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</si>
  <si>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</si>
  <si>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</si>
  <si>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</si>
  <si>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</si>
  <si>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</si>
  <si>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</si>
  <si>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</si>
  <si>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</si>
  <si>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</si>
  <si>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</si>
  <si>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</si>
  <si>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</si>
  <si>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</si>
  <si>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</si>
  <si>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</si>
  <si>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</si>
  <si>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</si>
  <si>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</si>
  <si>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</si>
  <si>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</si>
  <si>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</si>
  <si>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</si>
  <si>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</si>
  <si>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</si>
  <si>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</si>
  <si>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</si>
  <si>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</si>
  <si>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</si>
  <si>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</si>
  <si>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</si>
  <si>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</si>
  <si>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</si>
  <si>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</si>
  <si>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</si>
  <si>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</si>
  <si>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</si>
  <si>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</si>
  <si>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</si>
  <si>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</si>
  <si>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</si>
  <si>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</si>
  <si>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</si>
  <si>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</si>
  <si>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</si>
  <si>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</si>
  <si>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</si>
  <si>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</si>
  <si>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https://portal.eias.ru/Portal/DownloadPage.aspx?type=12&amp;guid=2e765b70-0d61-4384-a062-71ee73149724</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</si>
  <si>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</si>
  <si>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</si>
  <si>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</si>
  <si>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</si>
  <si>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</si>
  <si>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</si>
  <si>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</si>
  <si>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</si>
  <si>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</si>
  <si>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</si>
  <si>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</si>
  <si>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</si>
  <si>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</si>
  <si>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</si>
  <si>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</si>
  <si>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</si>
  <si>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</si>
  <si>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</si>
  <si>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</si>
  <si>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</si>
  <si>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</si>
  <si>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</si>
  <si>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</si>
  <si>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</si>
  <si>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</si>
  <si>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</si>
  <si>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</si>
  <si>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</si>
  <si>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</si>
  <si>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</si>
  <si>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</si>
  <si>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</si>
  <si>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</si>
  <si>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</si>
  <si>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</si>
  <si>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</si>
  <si>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</si>
  <si>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</si>
  <si>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</si>
  <si>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</si>
  <si>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</si>
  <si>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</si>
  <si>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</si>
  <si>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</si>
  <si>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</si>
  <si>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</si>
  <si>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</si>
  <si>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</si>
  <si>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</si>
  <si>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</si>
  <si>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</si>
  <si>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</si>
  <si>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</si>
  <si>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</si>
  <si>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</si>
  <si>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</si>
  <si>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</si>
  <si>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</si>
  <si>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</si>
  <si>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</si>
  <si>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</si>
  <si>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</si>
  <si>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</si>
  <si>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</si>
  <si>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</si>
  <si>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</si>
  <si>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</si>
  <si>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</si>
  <si>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</si>
  <si>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</si>
  <si>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</si>
  <si>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</si>
  <si>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</si>
  <si>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</si>
  <si>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</si>
  <si>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</si>
  <si>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</si>
  <si>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</si>
  <si>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</si>
  <si>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</si>
  <si>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</si>
  <si>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</si>
  <si>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</si>
  <si>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</si>
  <si>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</si>
  <si>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</si>
  <si>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</si>
  <si>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</si>
  <si>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</si>
  <si>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</si>
  <si>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</si>
  <si>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</si>
  <si>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</si>
  <si>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</si>
  <si>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</si>
  <si>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</si>
  <si>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</si>
  <si>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</si>
  <si>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</si>
  <si>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</si>
  <si>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</si>
  <si>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</si>
  <si>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</si>
  <si>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</si>
  <si>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</si>
  <si>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</si>
  <si>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</si>
  <si>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</si>
  <si>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</si>
  <si>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</si>
  <si>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</si>
  <si>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</si>
  <si>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</si>
  <si>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</si>
  <si>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</si>
  <si>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</si>
  <si>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</si>
  <si>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</si>
  <si>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</si>
  <si>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</si>
  <si>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</si>
  <si>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</si>
  <si>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</si>
  <si>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</si>
  <si>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</si>
  <si>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</si>
  <si>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</si>
  <si>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</si>
  <si>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</si>
  <si>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</si>
  <si>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</si>
  <si>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</si>
  <si>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</si>
  <si>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</si>
  <si>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</si>
  <si>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</si>
  <si>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</si>
  <si>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</si>
  <si>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</si>
  <si>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</si>
  <si>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</si>
  <si>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</si>
  <si>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</si>
  <si>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</si>
  <si>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</si>
  <si>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</si>
  <si>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</si>
  <si>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</si>
  <si>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</si>
  <si>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</si>
  <si>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</si>
  <si>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</si>
  <si>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</si>
  <si>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</si>
  <si>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</si>
  <si>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</si>
  <si>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</si>
  <si>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</si>
  <si>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</si>
  <si>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</si>
  <si>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</si>
  <si>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</si>
  <si>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</si>
  <si>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</si>
  <si>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</si>
  <si>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</si>
  <si>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</si>
  <si>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</si>
  <si>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</si>
  <si>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</si>
  <si>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</si>
  <si>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</si>
  <si>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</si>
  <si>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</si>
  <si>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</si>
  <si>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</si>
  <si>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</si>
  <si>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</si>
  <si>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</si>
  <si>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</si>
  <si>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</si>
  <si>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</si>
  <si>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</si>
  <si>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</si>
  <si>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</si>
  <si>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</si>
  <si>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</si>
  <si>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</si>
  <si>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</si>
  <si>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</si>
  <si>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</si>
  <si>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</si>
  <si>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</si>
  <si>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</si>
  <si>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</si>
  <si>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</si>
  <si>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</si>
  <si>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</si>
  <si>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</si>
  <si>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</si>
  <si>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</si>
  <si>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</si>
  <si>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</si>
  <si>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</si>
  <si>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</si>
  <si>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</si>
  <si>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</si>
  <si>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</si>
  <si>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</si>
  <si>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</si>
  <si>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</si>
  <si>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</si>
  <si>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</si>
  <si>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</si>
  <si>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</si>
  <si>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</si>
  <si>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</si>
  <si>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</si>
  <si>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</si>
  <si>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</si>
  <si>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</si>
  <si>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</si>
  <si>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</si>
  <si>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</si>
  <si>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</si>
  <si>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</si>
  <si>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</si>
  <si>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</si>
  <si>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</si>
  <si>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</si>
  <si>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</si>
  <si>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</si>
  <si>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</si>
  <si>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</si>
  <si>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</si>
  <si>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</si>
  <si>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</si>
  <si>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</si>
  <si>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</si>
  <si>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</si>
  <si>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</si>
  <si>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</si>
  <si>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</si>
  <si>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</si>
  <si>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</si>
  <si>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</si>
  <si>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</si>
  <si>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</si>
  <si>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</si>
  <si>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</si>
  <si>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</si>
  <si>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</si>
  <si>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</si>
  <si>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</si>
  <si>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</si>
  <si>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</si>
  <si>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</si>
  <si>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</si>
  <si>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</si>
  <si>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</si>
  <si>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</si>
  <si>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</si>
  <si>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</si>
  <si>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</si>
  <si>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</si>
  <si>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</si>
  <si>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</si>
  <si>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</si>
  <si>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</si>
  <si>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</si>
  <si>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</si>
  <si>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</si>
  <si>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</si>
  <si>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</si>
  <si>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</si>
  <si>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</si>
  <si>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</si>
  <si>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</si>
  <si>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</si>
  <si>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</si>
  <si>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</si>
  <si>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</si>
  <si>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</si>
  <si>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</si>
  <si>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</si>
  <si>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</si>
  <si>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</si>
  <si>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</si>
  <si>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</si>
  <si>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</si>
  <si>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</si>
  <si>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</si>
  <si>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</si>
  <si>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</si>
  <si>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</si>
  <si>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</si>
  <si>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</si>
  <si>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</si>
  <si>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</si>
  <si>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</si>
  <si>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</si>
  <si>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</si>
  <si>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</si>
  <si>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</si>
  <si>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</si>
  <si>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</si>
  <si>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</si>
  <si>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</si>
  <si>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</si>
  <si>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</si>
  <si>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</si>
  <si>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</si>
  <si>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</si>
  <si>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</si>
  <si>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</si>
  <si>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</si>
  <si>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</si>
  <si>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</si>
  <si>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</si>
  <si>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</si>
  <si>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</si>
  <si>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</si>
  <si>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</si>
  <si>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</si>
  <si>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</si>
  <si>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</si>
  <si>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</si>
  <si>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</si>
  <si>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</si>
  <si>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</si>
  <si>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</si>
  <si>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</si>
  <si>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</si>
  <si>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</si>
  <si>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</si>
  <si>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</si>
  <si>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</si>
  <si>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</si>
  <si>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</si>
  <si>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</si>
  <si>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</si>
  <si>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</si>
  <si>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</si>
  <si>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</si>
  <si>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</si>
  <si>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</si>
  <si>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</si>
  <si>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</si>
  <si>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</si>
  <si>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</si>
  <si>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</si>
  <si>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</si>
  <si>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</si>
  <si>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</si>
  <si>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</si>
  <si>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</si>
  <si>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</si>
  <si>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</si>
  <si>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</si>
  <si>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</si>
  <si>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</si>
  <si>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</si>
  <si>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</si>
  <si>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</si>
  <si>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</si>
  <si>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</si>
  <si>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</si>
  <si>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</si>
  <si>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</si>
  <si>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</si>
  <si>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</si>
  <si>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</si>
  <si>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</si>
  <si>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</si>
  <si>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</si>
  <si>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</si>
  <si>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</si>
  <si>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</si>
  <si>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</si>
  <si>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</si>
  <si>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</si>
  <si>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</si>
  <si>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</si>
  <si>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</si>
  <si>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</si>
  <si>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</si>
  <si>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</si>
  <si>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</si>
  <si>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</si>
  <si>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</si>
  <si>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</si>
  <si>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</si>
  <si>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</si>
  <si>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</si>
  <si>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</si>
  <si>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</si>
  <si>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</si>
  <si>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</si>
  <si>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</si>
  <si>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</si>
  <si>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</si>
  <si>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</si>
  <si>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</si>
  <si>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</si>
  <si>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</si>
  <si>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</si>
  <si>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</si>
  <si>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</si>
  <si>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</si>
  <si>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</si>
  <si>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</si>
  <si>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</si>
  <si>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</si>
  <si>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</si>
  <si>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</si>
  <si>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</si>
  <si>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</si>
  <si>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</si>
  <si>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</si>
  <si>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</si>
  <si>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</si>
  <si>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</si>
  <si>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</si>
  <si>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</si>
  <si>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</si>
  <si>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</si>
  <si>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</si>
  <si>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</si>
  <si>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</si>
  <si>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</si>
  <si>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</si>
  <si>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</si>
  <si>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</si>
  <si>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</si>
  <si>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</si>
  <si>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</si>
  <si>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</si>
  <si>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</si>
  <si>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</si>
  <si>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</si>
  <si>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</si>
  <si>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</si>
  <si>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</si>
  <si>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</si>
  <si>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</si>
  <si>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</si>
  <si>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</si>
  <si>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</si>
  <si>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</si>
  <si>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</si>
  <si>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</si>
  <si>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</si>
  <si>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</si>
  <si>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</si>
  <si>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</si>
  <si>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</si>
  <si>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</si>
  <si>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</si>
  <si>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</si>
  <si>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</si>
  <si>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</si>
  <si>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</si>
  <si>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</si>
  <si>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</si>
  <si>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</si>
  <si>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</si>
  <si>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</si>
  <si>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</si>
  <si>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</si>
  <si>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</si>
  <si>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</si>
  <si>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</si>
  <si>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</si>
  <si>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</si>
  <si>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</si>
  <si>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</si>
  <si>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</si>
  <si>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</si>
  <si>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</si>
  <si>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</si>
  <si>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</si>
  <si>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</si>
  <si>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</si>
  <si>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</si>
  <si>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</si>
  <si>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</si>
  <si>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</si>
  <si>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</si>
  <si>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</si>
  <si>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</si>
  <si>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</si>
  <si>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</si>
  <si>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</si>
  <si>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</si>
  <si>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</si>
  <si>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</si>
  <si>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</si>
  <si>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</si>
  <si>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</si>
  <si>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</si>
  <si>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</si>
  <si>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</si>
  <si>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</si>
  <si>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</si>
  <si>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</si>
  <si>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</si>
  <si>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</si>
  <si>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</si>
  <si>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</si>
  <si>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</si>
  <si>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</si>
  <si>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</si>
  <si>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</si>
  <si>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</si>
  <si>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</si>
  <si>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</si>
  <si>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</si>
  <si>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</si>
  <si>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</si>
  <si>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</si>
  <si>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</si>
  <si>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</si>
  <si>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</si>
  <si>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</si>
  <si>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</si>
  <si>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</si>
  <si>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</si>
  <si>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26353810</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</si>
  <si>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</si>
  <si>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</si>
  <si>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</si>
  <si>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</si>
  <si>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</si>
  <si>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</si>
  <si>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</si>
  <si>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</si>
  <si>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</si>
  <si>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</si>
  <si>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</si>
  <si>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</si>
  <si>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</si>
  <si>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</si>
  <si>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</si>
  <si>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</si>
  <si>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</si>
  <si>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</si>
  <si>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</si>
  <si>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</si>
  <si>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</si>
  <si>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</si>
  <si>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</si>
  <si>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</si>
  <si>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</si>
  <si>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</si>
  <si>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</si>
  <si>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</si>
  <si>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</si>
  <si>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</si>
  <si>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</si>
  <si>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</si>
  <si>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</si>
  <si>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</si>
  <si>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</si>
  <si>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</si>
  <si>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</si>
  <si>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</si>
  <si>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</si>
  <si>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</si>
  <si>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</si>
  <si>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</si>
  <si>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</si>
  <si>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</si>
  <si>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</si>
  <si>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</si>
  <si>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</si>
  <si>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</si>
  <si>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</si>
  <si>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</si>
  <si>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</si>
  <si>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</si>
  <si>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</si>
  <si>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</si>
  <si>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</si>
  <si>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</si>
  <si>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</si>
  <si>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</si>
  <si>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</si>
  <si>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</si>
  <si>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</si>
  <si>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</si>
  <si>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</si>
  <si>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</si>
  <si>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</si>
  <si>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</si>
  <si>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</si>
  <si>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</si>
  <si>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</si>
  <si>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</si>
  <si>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</si>
  <si>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</si>
  <si>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</si>
  <si>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</si>
  <si>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</si>
  <si>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</si>
  <si>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</si>
  <si>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</si>
  <si>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</si>
  <si>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</si>
  <si>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</si>
  <si>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</si>
  <si>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</si>
  <si>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</si>
  <si>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</si>
  <si>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</si>
  <si>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</si>
  <si>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</si>
  <si>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</si>
  <si>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</si>
  <si>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</si>
  <si>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</si>
  <si>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</si>
  <si>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</si>
  <si>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</si>
  <si>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</si>
  <si>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</si>
  <si>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</si>
  <si>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</si>
  <si>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</si>
  <si>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</si>
  <si>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</si>
  <si>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</si>
  <si>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</si>
  <si>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</si>
  <si>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</si>
  <si>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</si>
  <si>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</si>
  <si>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</si>
  <si>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</si>
  <si>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</si>
  <si>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</si>
  <si>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</si>
  <si>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</si>
  <si>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</si>
  <si>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</si>
  <si>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</si>
  <si>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</si>
  <si>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</si>
  <si>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</si>
  <si>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</si>
  <si>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</si>
  <si>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</si>
  <si>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</si>
  <si>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</si>
  <si>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</si>
  <si>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</si>
  <si>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</si>
  <si>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</si>
  <si>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</si>
  <si>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</si>
  <si>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</si>
  <si>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</si>
  <si>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</si>
  <si>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</si>
  <si>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</si>
  <si>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</si>
  <si>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</si>
  <si>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</si>
  <si>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</si>
  <si>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</si>
  <si>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</si>
  <si>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</si>
  <si>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</si>
  <si>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</si>
  <si>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</si>
  <si>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</si>
  <si>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</si>
  <si>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</si>
  <si>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</si>
  <si>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</si>
  <si>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</si>
  <si>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</si>
  <si>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</si>
  <si>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</si>
  <si>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</si>
  <si>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</si>
  <si>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</si>
  <si>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</si>
  <si>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</si>
  <si>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</si>
  <si>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</si>
  <si>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</si>
  <si>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</si>
  <si>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</si>
  <si>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</si>
  <si>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</si>
  <si>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</si>
  <si>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</si>
  <si>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</si>
  <si>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</si>
  <si>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</si>
  <si>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</si>
  <si>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</si>
  <si>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</si>
  <si>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</si>
  <si>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</si>
  <si>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</si>
  <si>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</si>
  <si>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</si>
  <si>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</si>
  <si>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</si>
  <si>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</si>
  <si>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</si>
  <si>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</si>
  <si>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</si>
  <si>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</si>
  <si>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</si>
  <si>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</si>
  <si>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</si>
  <si>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</si>
  <si>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</si>
  <si>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</si>
  <si>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</si>
  <si>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</si>
  <si>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</si>
  <si>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</si>
  <si>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</si>
  <si>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</si>
  <si>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</si>
  <si>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</si>
  <si>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</si>
  <si>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</si>
  <si>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</si>
  <si>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</si>
  <si>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</si>
  <si>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</si>
  <si>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</si>
  <si>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</si>
  <si>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</si>
  <si>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</si>
  <si>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</si>
  <si>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</si>
  <si>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</si>
  <si>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</si>
  <si>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</si>
  <si>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</si>
  <si>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</si>
  <si>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</si>
  <si>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</si>
  <si>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</si>
  <si>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</si>
  <si>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</si>
  <si>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</si>
  <si>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</si>
  <si>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</si>
  <si>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</si>
  <si>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</si>
  <si>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</si>
  <si>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</si>
  <si>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</si>
  <si>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</si>
  <si>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</si>
  <si>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</si>
  <si>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</si>
  <si>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</si>
  <si>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</si>
  <si>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</si>
  <si>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</si>
  <si>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</si>
  <si>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</si>
  <si>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</si>
  <si>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</si>
  <si>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</si>
  <si>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</si>
  <si>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</si>
  <si>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</si>
  <si>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</si>
  <si>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</si>
  <si>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</si>
  <si>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</si>
  <si>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</si>
  <si>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</si>
  <si>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</si>
  <si>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</si>
  <si>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</si>
  <si>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</si>
  <si>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</si>
  <si>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</si>
  <si>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</si>
  <si>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</si>
  <si>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</si>
  <si>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</si>
  <si>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</si>
  <si>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</si>
  <si>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</si>
  <si>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</si>
  <si>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</si>
  <si>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</si>
  <si>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</si>
  <si>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</si>
  <si>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</si>
  <si>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</si>
  <si>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</si>
  <si>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</si>
  <si>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</si>
  <si>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</si>
  <si>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</si>
  <si>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</si>
  <si>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</si>
  <si>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</si>
  <si>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</si>
  <si>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</si>
  <si>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</si>
  <si>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</si>
  <si>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</si>
  <si>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</si>
  <si>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</si>
  <si>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</si>
  <si>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</si>
  <si>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</si>
  <si>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</si>
  <si>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</si>
  <si>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</si>
  <si>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</si>
  <si>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</si>
  <si>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</si>
  <si>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</si>
  <si>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</si>
  <si>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</si>
  <si>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</si>
  <si>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</si>
  <si>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</si>
  <si>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</si>
  <si>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</si>
  <si>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</si>
  <si>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</si>
  <si>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</si>
  <si>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</si>
  <si>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</si>
  <si>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</si>
  <si>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</si>
  <si>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</si>
  <si>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</si>
  <si>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</si>
  <si>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</si>
  <si>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</si>
  <si>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</si>
  <si>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</si>
  <si>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</si>
  <si>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</si>
  <si>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</si>
  <si>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</si>
  <si>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</si>
  <si>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</si>
  <si>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</si>
  <si>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</si>
  <si>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</si>
  <si>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</si>
  <si>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</si>
  <si>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</si>
  <si>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</si>
  <si>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</si>
  <si>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</si>
  <si>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</si>
  <si>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</si>
  <si>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</si>
  <si>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</si>
  <si>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</si>
  <si>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</si>
  <si>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</si>
  <si>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</si>
  <si>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</si>
  <si>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</si>
  <si>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</si>
  <si>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</si>
  <si>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</si>
  <si>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</si>
  <si>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</si>
  <si>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</si>
  <si>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</si>
  <si>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</si>
  <si>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</si>
  <si>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</si>
  <si>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</si>
  <si>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</si>
  <si>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</si>
  <si>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</si>
  <si>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</si>
  <si>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</si>
  <si>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</si>
  <si>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</si>
  <si>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</si>
  <si>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</si>
  <si>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</si>
  <si>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</si>
  <si>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</si>
  <si>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</si>
  <si>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</si>
  <si>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</si>
  <si>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</si>
  <si>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</si>
  <si>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</si>
  <si>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</si>
  <si>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</si>
  <si>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</si>
  <si>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</si>
  <si>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</si>
  <si>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</si>
  <si>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</si>
  <si>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</si>
  <si>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</si>
  <si>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</si>
  <si>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</si>
  <si>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</si>
  <si>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</si>
  <si>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</si>
  <si>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</si>
  <si>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</si>
  <si>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</si>
  <si>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</si>
  <si>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</si>
  <si>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</si>
  <si>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</si>
  <si>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</si>
  <si>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</si>
  <si>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</si>
  <si>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</si>
  <si>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</si>
  <si>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</si>
  <si>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</si>
  <si>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</si>
  <si>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</si>
  <si>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</si>
  <si>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</si>
  <si>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</si>
  <si>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</si>
  <si>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</si>
  <si>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</si>
  <si>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</si>
  <si>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</si>
  <si>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</si>
  <si>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</si>
  <si>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</si>
  <si>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</si>
  <si>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</si>
  <si>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</si>
  <si>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</si>
  <si>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</si>
  <si>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</si>
  <si>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</si>
  <si>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</si>
  <si>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</si>
  <si>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</si>
  <si>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</si>
  <si>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</si>
  <si>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</si>
  <si>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</si>
  <si>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</si>
  <si>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</si>
  <si>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</si>
  <si>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</si>
  <si>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</si>
  <si>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</si>
  <si>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</si>
  <si>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</si>
  <si>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</si>
  <si>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</si>
  <si>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</si>
  <si>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</si>
  <si>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</si>
  <si>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</si>
  <si>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</si>
  <si>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</si>
  <si>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</si>
  <si>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</si>
  <si>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</si>
  <si>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</si>
  <si>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</si>
  <si>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</si>
  <si>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</si>
  <si>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</si>
  <si>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</si>
  <si>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</si>
  <si>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</si>
  <si>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</si>
  <si>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</si>
  <si>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</si>
  <si>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</si>
  <si>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</si>
  <si>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</si>
  <si>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</si>
  <si>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</si>
  <si>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</si>
  <si>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</si>
  <si>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</si>
  <si>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</si>
  <si>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</si>
  <si>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</si>
  <si>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</si>
  <si>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</si>
  <si>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</si>
  <si>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</si>
  <si>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</si>
  <si>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</si>
  <si>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</si>
  <si>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</si>
  <si>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</si>
  <si>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</si>
  <si>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</si>
  <si>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</si>
  <si>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</si>
  <si>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</si>
  <si>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</si>
  <si>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</si>
  <si>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</si>
  <si>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</si>
  <si>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</si>
  <si>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</si>
  <si>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</si>
  <si>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</si>
  <si>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</si>
  <si>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</si>
  <si>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</si>
  <si>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</si>
  <si>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</si>
  <si>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</si>
  <si>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</si>
  <si>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</si>
  <si>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</si>
  <si>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</si>
  <si>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</si>
  <si>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</si>
  <si>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</si>
  <si>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</si>
  <si>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</si>
  <si>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</si>
  <si>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</si>
  <si>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</si>
  <si>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</si>
  <si>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</si>
  <si>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</si>
  <si>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</si>
  <si>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</si>
  <si>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</si>
  <si>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</si>
  <si>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</si>
  <si>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</si>
  <si>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</si>
  <si>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</si>
  <si>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</si>
  <si>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</si>
  <si>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</si>
  <si>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</si>
  <si>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</si>
  <si>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</si>
  <si>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</si>
  <si>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</si>
  <si>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</si>
  <si>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</si>
  <si>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</si>
  <si>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</si>
  <si>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</si>
  <si>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</si>
  <si>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</si>
  <si>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</si>
  <si>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</si>
  <si>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</si>
  <si>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</si>
  <si>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</si>
  <si>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</si>
  <si>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</si>
  <si>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</si>
  <si>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</si>
  <si>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</si>
  <si>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</si>
  <si>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</si>
  <si>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</si>
  <si>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</si>
  <si>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</si>
  <si>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</si>
  <si>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</si>
  <si>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</si>
  <si>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</si>
  <si>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</si>
  <si>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</si>
  <si>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</si>
  <si>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</si>
  <si>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</si>
  <si>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</si>
  <si>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</si>
  <si>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</si>
  <si>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</si>
  <si>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</si>
  <si>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</si>
  <si>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</si>
  <si>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</si>
  <si>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</si>
  <si>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</si>
  <si>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</si>
  <si>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</si>
  <si>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</si>
  <si>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</si>
  <si>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</si>
  <si>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</si>
  <si>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</si>
  <si>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</si>
  <si>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</si>
  <si>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</si>
  <si>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</si>
  <si>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</si>
  <si>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</si>
  <si>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</si>
  <si>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</si>
  <si>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</si>
  <si>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</si>
  <si>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</si>
  <si>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</si>
  <si>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</si>
  <si>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</si>
  <si>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</si>
  <si>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</si>
  <si>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</si>
  <si>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</si>
  <si>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</si>
  <si>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</si>
  <si>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</si>
  <si>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</si>
  <si>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</si>
  <si>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</si>
  <si>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</si>
  <si>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</si>
  <si>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</si>
  <si>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</si>
  <si>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</si>
  <si>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</si>
  <si>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</si>
  <si>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</si>
  <si>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</si>
  <si>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</si>
  <si>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</si>
  <si>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</si>
  <si>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</si>
  <si>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</si>
  <si>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</si>
  <si>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</si>
  <si>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</si>
  <si>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</si>
  <si>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</si>
  <si>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</si>
  <si>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L_NAME</t>
  </si>
  <si>
    <t>L_START_DATE</t>
  </si>
  <si>
    <t>L_END_DATE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</si>
  <si>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</si>
  <si>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</si>
  <si>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</si>
  <si>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</si>
  <si>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</si>
  <si>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</si>
  <si>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</si>
  <si>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</si>
  <si>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</si>
  <si>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</si>
  <si>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</si>
  <si>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</si>
  <si>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</si>
  <si>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</si>
  <si>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</si>
  <si>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</si>
  <si>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</si>
  <si>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</si>
  <si>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</si>
  <si>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46/1-Т от 30.10.2018 АО "КТК" в сфере холодного водоснабжения по строительству систем водоснабжения, на территории муниципального района Удорский на 2019-2024 годы</t>
  </si>
  <si>
    <t>01.01.2019</t>
  </si>
  <si>
    <t>Инвестиционная программа № 46/1-Т от 30.10.2018 АО "Коми тепловая компания" в сфере холодного водоснабжения по строительству систем водоснабжения, на территории муниципального района Удорский на 2019-2023 годы</t>
  </si>
  <si>
    <t>Инвестиционная программа № 46/2-Т от 30.10.2018 АО "КТК" в сфере холодного водоснабжения по строительству объектов, на территории муниципального района Сысольский на 2019-2026 годы</t>
  </si>
  <si>
    <t>Инвестиционная программа № 46/2-Т от 30.10.2018 АО "Коми тепловая компания" в сфере холодного водоснабжения по строительству систем водоснабжения, на территории муниципального района Сысольский на 2019-2023 годы</t>
  </si>
  <si>
    <t>Инвестиционная программа № 46/3-Т от 30.10.2018 АО "КТК" в сфере холодного водоснабжения по строительству систем водоснабжения, на территории муниципального района Усть-Куломский на 2019-2022 годы</t>
  </si>
  <si>
    <t>31.12.2022</t>
  </si>
  <si>
    <t>Инвестиционная программа № 46/3-Т от 30.10.2018 АО "КТК" в сфере холодного водоснабжения по строительству систем водоснабжения, на территории муниципального района Усть-Куломский на 2019-2025 годы</t>
  </si>
  <si>
    <t>Инвестиционная программа № 46/3-Т от 30.10.2018 АО "Коми тепловая компания" в сфере холодного водоснабжения по строительству систем водоснабжения, на территории муниципального района Усть-Куломский на 2019-2021 годы</t>
  </si>
  <si>
    <t>31.12.2021</t>
  </si>
  <si>
    <t>Инвестиционная программа № 46/4-Т от 30.10.2018 АО "КТК" в сфере холодного водоснабжения по строительству объектов, на территории муниципального района Корткеросский на 2019-2024 годы</t>
  </si>
  <si>
    <t>Инвестиционная программа № 46/4-Т от 30.10.2018 АО "КТК" в сфере холодного водоснабжения по строительству систем водоснабжения, на территории муниципального района Корткеросский на 2019-2022 годы</t>
  </si>
  <si>
    <t>Инвестиционная программа № 46/4-Т от 30.10.2018 АО "Коми тепловая компания" в сфере холодного водоснабжения по строительству систем водоснабжения, на территории муниципального района Корткеросский на 2019-2021 годы</t>
  </si>
  <si>
    <t>Инвестиционная программа № 46/5-Т от 30.10.2018 АО "КТК" в сфере холодного водоснабжения по строительству объектов, на территории муниципального района Троицко-Печорский на 2019-2024 годы</t>
  </si>
  <si>
    <t>Инвестиционная программа № 46/5-Т от 30.10.2018 АО "КТК" в сфере холодного водоснабжения по строительству систем водоснабжения, на территории муниципального района Троицко-Печорский на 2019-2023 годы</t>
  </si>
  <si>
    <t>Инвестиционная программа № 46/5-Т от 30.10.2018 АО "Коми тепловая компания" в сфере холодного водоснабжения по строительству систем водоснабжения, на территории муниципального района Троицко-Печорский на 2019-2021 годы</t>
  </si>
  <si>
    <t>Инвестиционная программа № 51/1-Т от 30.10.2019 АО "КТК" в сфере холодного водоснабжения по строительству, реконструкции и модернизации объектов, на территории муниципального района Койгородский на 2020-2023 годы</t>
  </si>
  <si>
    <t>01.01.2020</t>
  </si>
  <si>
    <t>Инвестиционная программа № 51/3-Т от 30.10.2019 АО "Коммунальник" в сфере холодного водоснабжения по строительству объектов, на территории сельского поселения Летка, Прилузский муниципальный район на 2020-2023 годы</t>
  </si>
  <si>
    <t>Инвестиционная программа № 51/3-Т от 30.10.2019 АО "Коммунальник" в сфере холодного водоснабжения по строительству объектов, на территории сельского поселения Объячево, Прилузский муниципальный район на 2020-2023 годы</t>
  </si>
  <si>
    <t>Инвестиционная программа № 51/3-Т от 30.10.2019 АО "Коммунальник" в сфере холодного водоснабжения по строительству, реконструкции и модернизации объектов, на территории муниципального района Прилузский на 2020-2023 годы</t>
  </si>
  <si>
    <t>Инвестиционная программа № 51/3-Т от 30.10.2019 АО "Коммунальник" в сфере холодного водоснабжения по строительству, реконструкции и модернизации объектов, на территории муниципального района Прилузский на 2020-2024 годы</t>
  </si>
  <si>
    <t>Инвестиционная программа № 51/4-Т от 30.10.2019 ОАО "Усть-Вымская тепловая компания" в сфере холодного водоснабжения по строительству и модернизации объектов, на территории муниципального района Усть-Вымский на 2020-2022 годы</t>
  </si>
  <si>
    <t>Инвестиционная программа № 51/4-Т от 30.10.2019 ОАО "Усть-Вымская тепловая компания" в сфере холодного водоснабжения по строительству и модернизации объектов, на территории муниципального района Усть-Вымский на 2020-2023 годы</t>
  </si>
  <si>
    <t>Инвестиционная программа № 51/4-Т от 30.10.2019 ОАО "Усть-Вымская тепловая компания" в сфере холодного водоснабжения по строительству, реконструкции и модернизации объектов, на территории муниципального района Усть-Вымский на 2020-2024 годы</t>
  </si>
  <si>
    <t>Инвестиционная программа № 51/5-Т от 30.10.2019 ООО "Сыктывдинская тепловая компания" в сфере холодного водоснабжения по модернизации и строительству объектов, на территории сельского поселения Пажга, Сыктывдинский муниципальный район на 2020-2025 годы</t>
  </si>
  <si>
    <t>Инвестиционная программа № 51/5-Т от 30.10.2019 ООО "Сыктывдинская тепловая компания" в сфере холодного водоснабжения по модернизации и строительству объектов, на территории сельского поселения Пажга, Сыктывдинский муниципальный район на 2020-2026 годы</t>
  </si>
  <si>
    <t>Инвестиционная программа № 51/5-Т от 30.10.2019 ООО "Сыктывдинская тепловая компания" в сфере холодного водоснабжения по строительству и модернизации объектов, на территории сельского поселения Палевицы, Сыктывдинский муниципальный район на 2020-2025 годы</t>
  </si>
  <si>
    <t>Инвестиционная программа № 51/5-Т от 30.10.2019 ООО "Сыктывдинская тепловая компания" в сфере холодного водоснабжения по строительству и модернизации объектов, на территории сельского поселения Палевицы, Сыктывдинский муниципальный район на 2020-2026 годы</t>
  </si>
  <si>
    <t>Инвестиционная программа № 51/5-Т от 30.10.2019 ООО "Сыктывдинская тепловая компания" в сфере холодного водоснабжения по строительству объектов, на территории муниципального района Сыктывдинский на 2020-2025 годы</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</si>
  <si>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</si>
  <si>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</si>
  <si>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</si>
  <si>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</si>
  <si>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</si>
  <si>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</si>
  <si>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</si>
  <si>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Инвестиционная программа № 66/1-Т от 01.12.2017 Эжвинское МУП "Жилкомхоз" в сфере холодного водоснабжения по строительству, реконструкции и модернизации объектов, на территории городского округа ГО Сыктывкар на 2018-2024 годы</t>
  </si>
  <si>
    <t>01.01.2018</t>
  </si>
  <si>
    <t>Инвестиционная программа № 66/1-Т от 01.12.2017 Эжвинское МУП "Жилкомхоз" в сфере холодного водоснабжения по строительству, реконструкции и модернизации объектов, на территории городского округа ГО Сыктывкар на 2018-2025 годы</t>
  </si>
  <si>
    <t>Инвестиционная программа № 98/5 от 11.12.2013 МУП "Ухтаводоканал" в сфере водоснабжения и водоотведения по строительству систем водоснабжения и водоотведения, на территории городского округа ГО Ухта на 2014-2024 годы</t>
  </si>
  <si>
    <t>01.01.2014</t>
  </si>
  <si>
    <t>Инвестиционная программа ЭМУП "Жилкомхоз" по развитию централизованных систем водоснабжения и водоотведения на 2018-2022 годы</t>
  </si>
  <si>
    <t>Инвестиционная программа от 30.10.2018 АО "КТК" в сфере холодного водоснабжения по строительству систем водоснабжения, на территории муниципального района Удорский на 2019-2024 годы</t>
  </si>
  <si>
    <t>Инвестиционная программа от 30.10.2018 АО "Коми тепловая компания" в сфере холодного водоснабжения в отношении системы водоснабжения, на территории муниципального района Сысольский на 2019-2023 годы</t>
  </si>
  <si>
    <t>Инвестиционная программа от 30.10.2018 АО "Коми тепловая компания" в сфере холодного водоснабжения в отношении системы водоснабжения, на территории муниципального района Троицко-Печорский на 2019-2021 годы</t>
  </si>
  <si>
    <t>Инвестиционная программа от 30.10.2018 АО "Коми тепловая компания" в сфере холодного водоснабжения в отношении системы водоснабжения, на территории муниципального района Удорский на 2019-2023 годы</t>
  </si>
  <si>
    <t>Инвестиционная программа от 30.10.2018 АО "Коми тепловая компания" в сфере холодного водоснабжения в отношении системы водоснабжения, на территории муниципального района Усть-Куломский на 2019-2021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</si>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</sst>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2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93" fillId="0" borderId="0" xfId="0" applyFont="1" applyNumberFormat="1">
      <alignment vertical="center" wrapText="1"/>
    </xf>
    <xf numFmtId="0" fontId="93" fillId="0" borderId="0" xfId="0" applyFont="1" applyNumberFormat="1">
      <alignment vertical="center"/>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38" xfId="0" applyFont="1" applyBorder="1" applyNumberFormat="1">
      <alignment vertical="center" wrapText="1"/>
    </xf>
    <xf numFmtId="0" fontId="111" fillId="0" borderId="0" xfId="0" applyFont="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19" fillId="0" borderId="17" xfId="0" applyFont="1" applyBorder="1" applyNumberFormat="1">
      <alignment horizontal="center" vertical="center" wrapText="1"/>
    </xf>
    <xf numFmtId="0" fontId="35" fillId="0" borderId="28" xfId="0" applyFont="1" applyBorder="1" applyNumberFormat="1">
      <alignment horizontal="left" vertical="center" wrapText="1" indent="1"/>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2" xfId="0" applyFont="1" applyBorder="1" applyNumberFormat="1">
      <alignment horizontal="left" vertical="center" wrapText="1"/>
    </xf>
    <xf numFmtId="0" fontId="19" fillId="0" borderId="37" xfId="0" applyFont="1" applyBorder="1" applyNumberFormat="1">
      <alignment horizontal="left"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49" fontId="19" fillId="0" borderId="12" xfId="0" applyFont="1" applyBorder="1" applyNumberFormat="1">
      <alignment horizontal="center" vertical="center"/>
    </xf>
    <xf numFmtId="0" fontId="19" fillId="0" borderId="14"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35" fillId="0" borderId="19"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0" fillId="0" borderId="36" xfId="0" applyFont="1" applyBorder="1" applyNumberFormat="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19" fillId="33" borderId="12" xfId="0" applyFont="1" applyFill="1" applyBorder="1" applyNumberFormat="1">
      <alignment horizontal="left" vertical="center" wrapText="1" indent="1"/>
    </xf>
    <xf numFmtId="0" fontId="25" fillId="0" borderId="28"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36" fillId="0" borderId="12" xfId="0" applyFont="1" applyBorder="1" applyNumberFormat="1">
      <alignment horizontal="center" vertical="center" wrapText="1"/>
    </xf>
    <xf numFmtId="0" fontId="37" fillId="0" borderId="0" xfId="0" applyFont="1" applyNumberFormat="1">
      <alignment horizontal="center" vertical="center"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0" xfId="0" applyFont="1" applyNumberFormat="1">
      <alignment horizontal="left" vertical="top" wrapText="1"/>
    </xf>
    <xf numFmtId="0" fontId="36" fillId="0" borderId="14" xfId="0" applyFont="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pplyNumberFormat="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19" fillId="0" borderId="0" xfId="0" applyFont="1" applyNumberFormat="1">
      <alignment horizontal="right" vertical="center"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pplyNumberFormat="1">
      <alignment horizontal="left" vertical="center"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0" fillId="0" borderId="17" xfId="0" applyFont="1" applyBorder="1" applyNumberFormat="1">
      <alignment horizontal="lef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pplyNumberFormat="1">
      <alignment horizontal="left" vertical="top"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0" fillId="0" borderId="12" xfId="0" applyFont="1" applyBorder="1" applyNumberFormat="1">
      <alignment horizontal="center"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38" borderId="11" xfId="0" applyFont="1" applyFill="1" applyBorder="1" applyNumberFormat="1">
      <alignment horizontal="left" vertical="center" wrapText="1" indent="1"/>
      <protection locked="0"/>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0" fontId="19" fillId="34" borderId="17" xfId="0" applyFont="1" applyFill="1" applyBorder="1" applyNumberFormat="1">
      <alignment horizontal="left" vertical="center" wrapText="1" indent="1"/>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4" borderId="23" xfId="0" applyFont="1" applyFill="1" applyBorder="1" applyNumberFormat="1">
      <alignment horizontal="left" vertical="center" wrapText="1" indent="1"/>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20" fillId="0" borderId="0" xfId="0" applyFont="1" applyNumberFormat="1">
      <alignment vertical="center" wrapText="1"/>
    </xf>
    <xf numFmtId="49" fontId="82" fillId="0" borderId="0" xfId="0" applyFont="1" applyNumberFormat="1">
      <alignment horizontal="center" vertical="center" wrapText="1"/>
    </xf>
    <xf numFmtId="0" fontId="36" fillId="0" borderId="0" xfId="0" applyFont="1" applyNumberFormat="1">
      <alignment vertical="center" wrapText="1"/>
    </xf>
    <xf numFmtId="0" fontId="37" fillId="0" borderId="0" xfId="0" applyFont="1" applyNumberFormat="1">
      <alignment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A808A-ABCB-A715-0CE9-17AA986E79B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16" t="s">
        <v>1</v>
      </c>
      <c r="C2" s="1916"/>
      <c r="D2" s="1916"/>
      <c r="E2" s="1916"/>
      <c r="F2" s="1916"/>
      <c r="G2" s="1916"/>
      <c r="H2" s="1916"/>
      <c r="I2" s="1916"/>
      <c r="J2" s="1916"/>
      <c r="K2" s="1916"/>
      <c r="L2" s="1916"/>
      <c r="M2" s="1916"/>
      <c r="N2" s="1916"/>
      <c r="O2" s="1916"/>
      <c r="P2" s="1916"/>
      <c r="Q2" s="1751"/>
      <c r="R2" s="1751"/>
      <c r="S2" s="1751"/>
      <c r="T2" s="1751"/>
      <c r="U2" s="1751"/>
      <c r="V2" s="1752"/>
      <c r="W2" s="1751"/>
      <c r="X2" s="1751"/>
      <c r="Y2" s="1748"/>
      <c r="Z2" s="1747"/>
      <c r="AA2" s="1749"/>
      <c r="AB2" s="1747"/>
    </row>
    <row customHeight="1" ht="15.75">
      <c r="A3" s="1747"/>
      <c r="B3" s="1917" t="s">
        <v>2</v>
      </c>
      <c r="C3" s="1917"/>
      <c r="D3" s="1917"/>
      <c r="E3" s="1917"/>
      <c r="F3" s="1917"/>
      <c r="G3" s="1917"/>
      <c r="H3" s="1917"/>
      <c r="I3" s="1917"/>
      <c r="J3" s="1917"/>
      <c r="K3" s="1917"/>
      <c r="L3" s="1917"/>
      <c r="M3" s="1917"/>
      <c r="N3" s="1917"/>
      <c r="O3" s="1917"/>
      <c r="P3" s="191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1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19"/>
      <c r="D5" s="1919"/>
      <c r="E5" s="1919"/>
      <c r="F5" s="1919"/>
      <c r="G5" s="1919"/>
      <c r="H5" s="1919"/>
      <c r="I5" s="1919"/>
      <c r="J5" s="1919"/>
      <c r="K5" s="1919"/>
      <c r="L5" s="1919"/>
      <c r="M5" s="1919"/>
      <c r="N5" s="1919"/>
      <c r="O5" s="1919"/>
      <c r="P5" s="1919"/>
      <c r="Q5" s="1919"/>
      <c r="R5" s="1919"/>
      <c r="S5" s="1919"/>
      <c r="T5" s="1919"/>
      <c r="U5" s="1919"/>
      <c r="V5" s="1919"/>
      <c r="W5" s="1919"/>
      <c r="X5" s="1919"/>
      <c r="Y5" s="1920"/>
      <c r="Z5" s="1754"/>
      <c r="AA5" s="1749"/>
      <c r="AB5" s="1754"/>
    </row>
    <row customHeight="1" ht="15">
      <c r="A6" s="1755"/>
      <c r="B6" s="1921" t="s">
        <v>3</v>
      </c>
      <c r="C6" s="1922"/>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21"/>
      <c r="C7" s="1922"/>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21"/>
      <c r="C8" s="1922"/>
      <c r="D8" s="1761"/>
      <c r="E8" s="1762" t="s">
        <v>4</v>
      </c>
      <c r="F8" s="1924" t="s">
        <v>5</v>
      </c>
      <c r="G8" s="1925"/>
      <c r="H8" s="1925"/>
      <c r="I8" s="1925"/>
      <c r="J8" s="1925"/>
      <c r="K8" s="1925"/>
      <c r="L8" s="1925"/>
      <c r="M8" s="1925"/>
      <c r="N8" s="1761"/>
      <c r="O8" s="1763" t="s">
        <v>4</v>
      </c>
      <c r="P8" s="1926" t="s">
        <v>6</v>
      </c>
      <c r="Q8" s="1927"/>
      <c r="R8" s="1927"/>
      <c r="S8" s="1927"/>
      <c r="T8" s="1927"/>
      <c r="U8" s="1927"/>
      <c r="V8" s="1927"/>
      <c r="W8" s="1927"/>
      <c r="X8" s="1927"/>
      <c r="Y8" s="1757"/>
      <c r="Z8" s="1758"/>
      <c r="AA8" s="1759"/>
      <c r="AB8" s="1759"/>
    </row>
    <row customHeight="1" ht="15">
      <c r="A9" s="1755"/>
      <c r="B9" s="1921"/>
      <c r="C9" s="1922"/>
      <c r="D9" s="1761"/>
      <c r="E9" s="1764" t="s">
        <v>4</v>
      </c>
      <c r="F9" s="1924" t="s">
        <v>7</v>
      </c>
      <c r="G9" s="1925"/>
      <c r="H9" s="1925"/>
      <c r="I9" s="1925"/>
      <c r="J9" s="1925"/>
      <c r="K9" s="1925"/>
      <c r="L9" s="1925"/>
      <c r="M9" s="1925"/>
      <c r="N9" s="1761"/>
      <c r="O9" s="1765" t="s">
        <v>4</v>
      </c>
      <c r="P9" s="1926" t="s">
        <v>8</v>
      </c>
      <c r="Q9" s="1927"/>
      <c r="R9" s="1927"/>
      <c r="S9" s="1927"/>
      <c r="T9" s="1927"/>
      <c r="U9" s="1927"/>
      <c r="V9" s="1927"/>
      <c r="W9" s="1927"/>
      <c r="X9" s="1927"/>
      <c r="Y9" s="1757"/>
      <c r="Z9" s="1758"/>
      <c r="AA9" s="1759"/>
      <c r="AB9" s="1759"/>
    </row>
    <row customHeight="1" ht="30">
      <c r="A10" s="1755"/>
      <c r="B10" s="1921"/>
      <c r="C10" s="1923"/>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28" t="s">
        <v>9</v>
      </c>
      <c r="C11" s="1929"/>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21"/>
      <c r="C12" s="1923"/>
      <c r="D12" s="1769"/>
      <c r="E12" s="1925" t="s">
        <v>10</v>
      </c>
      <c r="F12" s="1925"/>
      <c r="G12" s="1925"/>
      <c r="H12" s="1925"/>
      <c r="I12" s="1925"/>
      <c r="J12" s="1925"/>
      <c r="K12" s="1925"/>
      <c r="L12" s="1925"/>
      <c r="M12" s="1925"/>
      <c r="N12" s="1925"/>
      <c r="O12" s="1925"/>
      <c r="P12" s="1925"/>
      <c r="Q12" s="1925"/>
      <c r="R12" s="1925"/>
      <c r="S12" s="1925"/>
      <c r="T12" s="1925"/>
      <c r="U12" s="1925"/>
      <c r="V12" s="1925"/>
      <c r="W12" s="1925"/>
      <c r="X12" s="1925"/>
      <c r="Y12" s="1757"/>
      <c r="Z12" s="1758"/>
      <c r="AA12" s="1759"/>
      <c r="AB12" s="1759"/>
    </row>
    <row customHeight="1" ht="15">
      <c r="A13" s="1755"/>
      <c r="B13" s="1928" t="s">
        <v>11</v>
      </c>
      <c r="C13" s="1929"/>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21"/>
      <c r="C14" s="1922"/>
      <c r="D14" s="1761"/>
      <c r="E14" s="1932" t="s">
        <v>12</v>
      </c>
      <c r="F14" s="1932"/>
      <c r="G14" s="1932"/>
      <c r="H14" s="1932"/>
      <c r="I14" s="1932"/>
      <c r="J14" s="1932"/>
      <c r="K14" s="1932"/>
      <c r="L14" s="1932"/>
      <c r="M14" s="1932"/>
      <c r="N14" s="1932"/>
      <c r="O14" s="1932"/>
      <c r="P14" s="1932"/>
      <c r="Q14" s="1932"/>
      <c r="R14" s="1932"/>
      <c r="S14" s="1932"/>
      <c r="T14" s="1932"/>
      <c r="U14" s="1932"/>
      <c r="V14" s="1932"/>
      <c r="W14" s="1932"/>
      <c r="X14" s="1932"/>
      <c r="Y14" s="1757"/>
      <c r="Z14" s="1758"/>
      <c r="AA14" s="1759"/>
      <c r="AB14" s="1759"/>
    </row>
    <row customHeight="1" ht="16.5">
      <c r="A15" s="1755"/>
      <c r="B15" s="1930"/>
      <c r="C15" s="1931"/>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32"/>
      <c r="C16" s="1933"/>
      <c r="D16" s="1933"/>
      <c r="E16" s="1933"/>
      <c r="F16" s="1933"/>
      <c r="G16" s="1933"/>
      <c r="H16" s="1933"/>
      <c r="I16" s="1933"/>
      <c r="J16" s="1933"/>
      <c r="K16" s="1933"/>
      <c r="L16" s="1933"/>
      <c r="M16" s="1933"/>
      <c r="N16" s="1933"/>
      <c r="O16" s="1933"/>
      <c r="P16" s="1933"/>
      <c r="Q16" s="1933"/>
      <c r="R16" s="1933"/>
      <c r="S16" s="1933"/>
      <c r="T16" s="1933"/>
      <c r="U16" s="1933"/>
      <c r="V16" s="1933"/>
      <c r="W16" s="1933"/>
      <c r="X16" s="1933"/>
      <c r="Y16" s="1933"/>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AC556-2BB6-E176-3EAA-638959B7C2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74" width="9.140625" hidden="1" customWidth="1"/>
    <col min="2" max="2" style="3053" width="9.140625" hidden="1" customWidth="1"/>
    <col min="3" max="3" style="2599" width="9.140625" hidden="1" customWidth="1"/>
    <col min="4" max="4" style="3075" width="3.7109375" customWidth="1"/>
    <col min="5" max="5" style="3053" width="6.28125" customWidth="1"/>
    <col min="6" max="6" style="2599" width="1.7109375" hidden="1" customWidth="1"/>
    <col min="7" max="8" style="3053" width="30.7109375" customWidth="1"/>
    <col min="9" max="9" style="3053" width="9.00390625" customWidth="1"/>
    <col min="10" max="10" style="3053" width="12.140625" customWidth="1"/>
    <col min="11" max="11" style="3053" width="46.7109375" customWidth="1"/>
    <col min="12" max="12" style="3053" width="100.28125" customWidth="1"/>
    <col min="13" max="13" style="3077" width="7.57421875" customWidth="1"/>
    <col min="14" max="22" style="3053" width="10.57421875"/>
  </cols>
  <sheetData>
    <row s="3030" customFormat="1" customHeight="1" ht="5.25" hidden="1">
      <c r="C1" s="519"/>
      <c r="D1" s="502"/>
      <c r="F1" s="519"/>
      <c r="G1" s="497" t="s">
        <v>82</v>
      </c>
      <c r="H1" s="497" t="s">
        <v>83</v>
      </c>
      <c r="I1" s="497" t="s">
        <v>84</v>
      </c>
      <c r="P1" s="497" t="s">
        <v>82</v>
      </c>
      <c r="Q1" s="497" t="s">
        <v>83</v>
      </c>
      <c r="R1" s="497" t="s">
        <v>84</v>
      </c>
    </row>
    <row s="3030" customFormat="1" customHeight="1" ht="5.25" hidden="1">
      <c r="C2" s="519"/>
      <c r="D2" s="502"/>
      <c r="F2" s="519"/>
    </row>
    <row s="3025" customFormat="1" customHeight="1" ht="6">
      <c r="A3" s="487"/>
      <c r="D3" s="494"/>
      <c r="E3" s="489"/>
      <c r="F3" s="489"/>
      <c r="G3" s="489"/>
      <c r="H3" s="489"/>
      <c r="I3" s="490"/>
      <c r="J3" s="491"/>
      <c r="K3" s="491"/>
      <c r="L3" s="491"/>
    </row>
    <row customHeight="1" ht="22.5">
      <c r="D4" s="458"/>
      <c r="E4" s="1996" t="s">
        <v>377</v>
      </c>
      <c r="F4" s="1996"/>
      <c r="G4" s="1997"/>
      <c r="H4" s="1997"/>
      <c r="I4" s="1998"/>
      <c r="J4" s="499"/>
      <c r="K4" s="461"/>
      <c r="L4" s="461"/>
    </row>
    <row s="2599" customFormat="1" customHeight="1" ht="17.25">
      <c r="A5" s="769"/>
      <c r="D5" s="832"/>
      <c r="E5" s="2053" t="str">
        <f>IF(org=0,"Не определено",org)</f>
        <v>Филиал "Печорская ГРЭС" АО "Интер РАО-Электрогенерация"</v>
      </c>
      <c r="F5" s="2053"/>
      <c r="G5" s="2054"/>
      <c r="H5" s="2054"/>
      <c r="I5" s="2055"/>
      <c r="J5" s="499"/>
      <c r="K5" s="461"/>
      <c r="L5" s="461"/>
      <c r="M5" s="515"/>
    </row>
    <row s="3025" customFormat="1" customHeight="1" ht="11.25">
      <c r="A6" s="487"/>
      <c r="D6" s="494"/>
      <c r="E6" s="489"/>
      <c r="F6" s="489"/>
      <c r="G6" s="492"/>
      <c r="H6" s="492"/>
      <c r="I6" s="493"/>
      <c r="J6" s="493"/>
      <c r="K6" s="762"/>
      <c r="L6" s="493"/>
    </row>
    <row customHeight="1" ht="14.25">
      <c r="D7" s="458"/>
      <c r="E7" s="2046" t="s">
        <v>287</v>
      </c>
      <c r="F7" s="2046"/>
      <c r="G7" s="2047"/>
      <c r="H7" s="2047"/>
      <c r="I7" s="2047"/>
      <c r="J7" s="2047"/>
      <c r="K7" s="2047"/>
      <c r="L7" s="2062" t="s">
        <v>288</v>
      </c>
    </row>
    <row customHeight="1" ht="45">
      <c r="D8" s="458"/>
      <c r="E8" s="481" t="s">
        <v>87</v>
      </c>
      <c r="F8" s="833"/>
      <c r="G8" s="473" t="s">
        <v>85</v>
      </c>
      <c r="H8" s="473" t="s">
        <v>86</v>
      </c>
      <c r="I8" s="421" t="s">
        <v>84</v>
      </c>
      <c r="J8" s="421" t="s">
        <v>378</v>
      </c>
      <c r="K8" s="421" t="s">
        <v>379</v>
      </c>
      <c r="L8" s="2062"/>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0" t="s">
        <v>380</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25" customFormat="1" customHeight="1" ht="14.25">
      <c r="A12" s="1938"/>
      <c r="B12" s="512"/>
      <c r="C12" s="512"/>
      <c r="D12" s="876"/>
      <c r="E12" s="833">
        <v>1</v>
      </c>
      <c r="F12" s="874">
        <v>23</v>
      </c>
      <c r="G12" s="873"/>
      <c r="H12" s="803"/>
      <c r="I12" s="801"/>
      <c r="J12" s="528" t="s">
        <v>58</v>
      </c>
      <c r="K12" s="1178" t="s">
        <v>18</v>
      </c>
      <c r="L12" s="2076"/>
      <c r="M12" s="519"/>
      <c r="N12" s="519"/>
      <c r="O12" s="519"/>
      <c r="P12" s="524" t="s">
        <v>381</v>
      </c>
      <c r="Q12" s="524" t="s">
        <v>382</v>
      </c>
      <c r="R12" s="525" t="s">
        <v>383</v>
      </c>
      <c r="S12" s="519" t="s">
        <v>384</v>
      </c>
      <c r="T12" s="519"/>
      <c r="U12" s="519"/>
      <c r="V12" s="519"/>
    </row>
    <row customHeight="1" ht="15">
      <c r="A13" s="1938"/>
      <c r="B13" s="513"/>
      <c r="D13" s="514"/>
      <c r="E13" s="412"/>
      <c r="F13" s="537"/>
      <c r="G13" s="423" t="s">
        <v>102</v>
      </c>
      <c r="H13" s="411"/>
      <c r="I13" s="411"/>
      <c r="J13" s="411"/>
      <c r="K13" s="410"/>
      <c r="L13" s="2061"/>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D14C5-1CC6-31E3-EB7D-33705AE71603}"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174" width="26.57421875" customWidth="1"/>
    <col min="2" max="2" style="3174" width="10.00390625" customWidth="1"/>
    <col min="3" max="3" style="3174" width="9.140625"/>
    <col min="4" max="4" style="3174" width="11.140625" customWidth="1"/>
    <col min="5" max="5" style="3174" width="16.57421875" customWidth="1"/>
    <col min="6" max="6" style="3174" width="16.28125" customWidth="1"/>
    <col min="7" max="7" style="3174" width="19.140625" customWidth="1"/>
    <col min="8" max="11" style="3174" width="10.00390625" customWidth="1"/>
    <col min="12" max="12" style="3174" width="12.7109375" customWidth="1"/>
    <col min="13" max="13" style="3174" width="61.28125" customWidth="1"/>
    <col min="14" max="14" style="3174" width="10.00390625" customWidth="1"/>
    <col min="15" max="17" style="3174" width="23.7109375" customWidth="1"/>
    <col min="18" max="18" style="3174" width="11.7109375" customWidth="1"/>
    <col min="19" max="19" style="3174" width="8.57421875" customWidth="1"/>
    <col min="20" max="20" style="3174" width="11.7109375" customWidth="1"/>
    <col min="21" max="21" style="3174" width="8.57421875" customWidth="1"/>
    <col min="22" max="22" style="3174" width="4.7109375" customWidth="1"/>
    <col min="23" max="23" style="3174" width="115.7109375" customWidth="1"/>
    <col min="24" max="24" style="3174" width="115.28125" customWidth="1"/>
    <col min="25" max="27" style="3174" width="9.140625"/>
    <col min="28" max="28" style="3174" width="115.7109375" customWidth="1"/>
    <col min="29" max="29" style="3174" width="9.140625"/>
    <col min="30" max="90" style="3174" width="115.7109375" customWidth="1"/>
    <col min="91" max="184" style="3174" width="9.140625"/>
  </cols>
  <sheetData>
    <row r="2" s="3137" customFormat="1" customHeight="1" ht="17.25">
      <c r="A2" s="1866" t="s">
        <v>385</v>
      </c>
    </row>
    <row r="4" s="3138" customFormat="1" customHeight="1" ht="15">
      <c r="C4" s="1867"/>
      <c r="D4" s="99"/>
      <c r="E4" s="380"/>
    </row>
    <row r="6" s="3137" customFormat="1" customHeight="1" ht="17.25">
      <c r="A6" s="1866" t="s">
        <v>386</v>
      </c>
    </row>
    <row r="8" s="3138" customFormat="1" customHeight="1" ht="17.25">
      <c r="C8" s="1868"/>
      <c r="D8" s="99"/>
      <c r="E8" s="100"/>
    </row>
    <row r="11" s="3137" customFormat="1" customHeight="1" ht="17.25">
      <c r="A11" s="1866" t="s">
        <v>387</v>
      </c>
    </row>
    <row r="13" s="3144" customFormat="1" customHeight="1" ht="15">
      <c r="A13" s="2056">
        <v>1</v>
      </c>
      <c r="B13" s="1174"/>
      <c r="C13" s="811" t="s">
        <v>388</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1" customFormat="1" customHeight="1" ht="15">
      <c r="A14" s="2056"/>
      <c r="B14" s="1174">
        <v>1</v>
      </c>
      <c r="C14" s="1174"/>
      <c r="D14" s="810" t="s">
        <v>388</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1" customFormat="1" customHeight="1" ht="15">
      <c r="A15" s="2056"/>
      <c r="B15" s="1174"/>
      <c r="C15" s="419"/>
      <c r="D15" s="811"/>
      <c r="E15" s="428"/>
      <c r="F15" s="163"/>
      <c r="G15" s="422" t="s">
        <v>102</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1" customFormat="1" customHeight="1" ht="15">
      <c r="A17" s="1866" t="s">
        <v>389</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1" customFormat="1" customHeight="1" ht="15">
      <c r="U18" s="171"/>
    </row>
    <row s="3154" customFormat="1" customHeight="1" ht="15">
      <c r="A19" s="430"/>
      <c r="B19" s="430"/>
      <c r="C19" s="1774" t="s">
        <v>388</v>
      </c>
      <c r="D19" s="1947" t="s">
        <v>109</v>
      </c>
      <c r="E19" s="2128"/>
      <c r="F19" s="1946" t="s">
        <v>56</v>
      </c>
      <c r="G19" s="2129"/>
      <c r="H19" s="1966">
        <v>1</v>
      </c>
      <c r="I19" s="2131" t="str">
        <f>IF(U19="","",INDEX(TERRITORY_MR_LIST,MATCH(U19,TERRITORY_LIST_ID,0)))</f>
        <v/>
      </c>
      <c r="J19" s="1946" t="s">
        <v>56</v>
      </c>
      <c r="K19" s="842"/>
      <c r="L19" s="1832" t="s">
        <v>109</v>
      </c>
      <c r="M19" s="611"/>
      <c r="N19" s="612"/>
      <c r="O19" s="612"/>
      <c r="P19" s="612"/>
      <c r="Q19" s="612"/>
      <c r="R19" s="612"/>
      <c r="S19" s="612"/>
      <c r="T19" s="612"/>
      <c r="U19" s="613"/>
      <c r="V19" s="612"/>
      <c r="W19" s="612"/>
      <c r="X19" s="603"/>
      <c r="Y19" s="603" t="s">
        <v>119</v>
      </c>
      <c r="Z19" s="603">
        <v>1705000</v>
      </c>
      <c r="AA19" s="603"/>
      <c r="AB19" s="603"/>
      <c r="AC19" s="603"/>
      <c r="AD19" s="603"/>
      <c r="AE19" s="603"/>
      <c r="AF19" s="603"/>
      <c r="AG19" s="603"/>
      <c r="AH19" s="603"/>
      <c r="AI19" s="603"/>
      <c r="AJ19" s="603"/>
      <c r="AK19" s="603"/>
      <c r="AL19" s="603"/>
    </row>
    <row s="3154" customFormat="1" customHeight="1" ht="15">
      <c r="A20" s="430"/>
      <c r="B20" s="430"/>
      <c r="C20" s="162"/>
      <c r="D20" s="1947"/>
      <c r="E20" s="2128"/>
      <c r="F20" s="1946"/>
      <c r="G20" s="2130"/>
      <c r="H20" s="1966"/>
      <c r="I20" s="2132"/>
      <c r="J20" s="1946"/>
      <c r="K20" s="428"/>
      <c r="L20" s="163"/>
      <c r="M20" s="615" t="s">
        <v>120</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154" customFormat="1" customHeight="1" ht="15">
      <c r="A21" s="430"/>
      <c r="B21" s="430"/>
      <c r="C21" s="162"/>
      <c r="D21" s="1947"/>
      <c r="E21" s="2128"/>
      <c r="F21" s="1946"/>
      <c r="G21" s="428"/>
      <c r="H21" s="163"/>
      <c r="I21" s="588" t="s">
        <v>121</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1" customFormat="1" customHeight="1" ht="15">
      <c r="U22" s="171"/>
    </row>
    <row s="2641" customFormat="1" customHeight="1" ht="15">
      <c r="A23" s="1866" t="s">
        <v>390</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1" customFormat="1" customHeight="1" ht="15">
      <c r="U24" s="171"/>
    </row>
    <row s="3154" customFormat="1" customHeight="1" ht="15">
      <c r="A25" s="430"/>
      <c r="B25" s="430"/>
      <c r="C25" s="162"/>
      <c r="D25" s="1872"/>
      <c r="E25" s="1872"/>
      <c r="F25" s="1872"/>
      <c r="G25" s="2133" t="s">
        <v>388</v>
      </c>
      <c r="H25" s="1942">
        <v>1</v>
      </c>
      <c r="I25" s="2134" t="str">
        <f>IF(U25="","",INDEX(TERRITORY_MR_LIST,MATCH(U25,TERRITORY_LIST_ID,0)))</f>
        <v/>
      </c>
      <c r="J25" s="1946" t="s">
        <v>56</v>
      </c>
      <c r="K25" s="842"/>
      <c r="L25" s="1832" t="s">
        <v>109</v>
      </c>
      <c r="M25" s="611"/>
      <c r="N25" s="612"/>
      <c r="O25" s="612"/>
      <c r="P25" s="612"/>
      <c r="Q25" s="612"/>
      <c r="R25" s="612"/>
      <c r="S25" s="612"/>
      <c r="T25" s="612"/>
      <c r="U25" s="613"/>
      <c r="V25" s="612"/>
      <c r="W25" s="612"/>
      <c r="X25" s="603"/>
      <c r="Y25" s="603" t="s">
        <v>119</v>
      </c>
      <c r="Z25" s="603">
        <v>1705000</v>
      </c>
      <c r="AA25" s="603"/>
      <c r="AB25" s="603"/>
      <c r="AC25" s="603"/>
      <c r="AD25" s="603"/>
      <c r="AE25" s="603"/>
      <c r="AF25" s="603"/>
      <c r="AG25" s="603"/>
      <c r="AH25" s="603"/>
      <c r="AI25" s="603"/>
      <c r="AJ25" s="603"/>
      <c r="AK25" s="603"/>
      <c r="AL25" s="603"/>
    </row>
    <row s="3154" customFormat="1" customHeight="1" ht="15">
      <c r="A26" s="430"/>
      <c r="B26" s="430"/>
      <c r="C26" s="162"/>
      <c r="D26" s="1872"/>
      <c r="E26" s="1872"/>
      <c r="F26" s="1872"/>
      <c r="G26" s="2133"/>
      <c r="H26" s="1942"/>
      <c r="I26" s="2134"/>
      <c r="J26" s="1946"/>
      <c r="K26" s="428"/>
      <c r="L26" s="163"/>
      <c r="M26" s="615" t="s">
        <v>120</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1" customFormat="1" customHeight="1" ht="15">
      <c r="U27" s="171"/>
    </row>
    <row s="2641" customFormat="1" customHeight="1" ht="15">
      <c r="A28" s="1866" t="s">
        <v>391</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1" customFormat="1" customHeight="1" ht="15">
      <c r="U29" s="171"/>
    </row>
    <row s="3154" customFormat="1" customHeight="1" ht="15">
      <c r="A30" s="430"/>
      <c r="B30" s="430"/>
      <c r="C30" s="162"/>
      <c r="D30" s="1872"/>
      <c r="E30" s="1872"/>
      <c r="F30" s="1872"/>
      <c r="G30" s="1872"/>
      <c r="H30" s="1872"/>
      <c r="I30" s="1872"/>
      <c r="J30" s="1872"/>
      <c r="K30" s="1850" t="s">
        <v>388</v>
      </c>
      <c r="L30" s="1775" t="s">
        <v>109</v>
      </c>
      <c r="M30" s="821"/>
      <c r="N30" s="822"/>
      <c r="O30" s="612"/>
      <c r="P30" s="612"/>
      <c r="Q30" s="612"/>
      <c r="R30" s="612"/>
      <c r="S30" s="612"/>
      <c r="T30" s="612"/>
      <c r="U30" s="613"/>
      <c r="V30" s="612"/>
      <c r="W30" s="612"/>
      <c r="X30" s="603"/>
      <c r="Y30" s="603" t="s">
        <v>119</v>
      </c>
      <c r="Z30" s="603">
        <v>1705000</v>
      </c>
      <c r="AA30" s="603"/>
      <c r="AB30" s="603"/>
      <c r="AC30" s="603"/>
      <c r="AD30" s="603"/>
      <c r="AE30" s="603"/>
      <c r="AF30" s="603"/>
      <c r="AG30" s="603"/>
      <c r="AH30" s="603"/>
      <c r="AI30" s="603"/>
      <c r="AJ30" s="603"/>
      <c r="AK30" s="603"/>
      <c r="AL30" s="603"/>
    </row>
    <row s="2641" customFormat="1" customHeight="1" ht="15">
      <c r="U31" s="171"/>
    </row>
    <row s="2641" customFormat="1" customHeight="1" ht="15">
      <c r="U32" s="171"/>
    </row>
    <row s="3137" customFormat="1" customHeight="1" ht="11.25">
      <c r="A33" s="1866" t="s">
        <v>392</v>
      </c>
    </row>
    <row customHeight="1" ht="11.25"/>
    <row s="3010" customFormat="1" customHeight="1" ht="22.5">
      <c r="A35" s="1841"/>
      <c r="B35" s="465"/>
      <c r="C35" s="869"/>
      <c r="D35" s="448"/>
      <c r="E35" s="870"/>
      <c r="F35" s="1863"/>
      <c r="G35" s="1873"/>
      <c r="H35" s="483"/>
    </row>
    <row customHeight="1" ht="11.25"/>
    <row s="3137" customFormat="1" customHeight="1" ht="11.25">
      <c r="A37" s="1866" t="s">
        <v>393</v>
      </c>
    </row>
    <row customHeight="1" ht="11.25"/>
    <row s="3010" customFormat="1" customHeight="1" ht="22.5">
      <c r="A39" s="465"/>
      <c r="B39" s="465"/>
      <c r="C39" s="465"/>
      <c r="D39" s="448"/>
      <c r="E39" s="870"/>
      <c r="F39" s="871"/>
      <c r="G39" s="1873"/>
      <c r="H39" s="483"/>
    </row>
    <row r="42" s="3137" customFormat="1" customHeight="1" ht="17.25">
      <c r="A42" s="1866" t="s">
        <v>394</v>
      </c>
    </row>
    <row r="44" s="3094" customFormat="1" customHeight="1" ht="18.75">
      <c r="A44" s="74"/>
      <c r="B44" s="1874"/>
      <c r="C44" s="1874"/>
      <c r="D44" s="1875"/>
      <c r="E44" s="1860"/>
      <c r="F44" s="878">
        <v>13</v>
      </c>
      <c r="G44" s="877"/>
      <c r="H44" s="803"/>
      <c r="I44" s="801"/>
      <c r="J44" s="528" t="s">
        <v>58</v>
      </c>
      <c r="K44" s="1876" t="s">
        <v>18</v>
      </c>
      <c r="L44" s="74"/>
      <c r="M44" s="1682"/>
      <c r="N44" s="1682"/>
      <c r="O44" s="1682"/>
      <c r="P44" s="524" t="s">
        <v>381</v>
      </c>
      <c r="Q44" s="524" t="s">
        <v>382</v>
      </c>
      <c r="R44" s="525" t="s">
        <v>383</v>
      </c>
      <c r="S44" s="1682" t="s">
        <v>384</v>
      </c>
      <c r="T44" s="1682"/>
      <c r="U44" s="1682"/>
      <c r="V44" s="1682"/>
    </row>
    <row r="46" s="3137" customFormat="1" customHeight="1" ht="11.25">
      <c r="A46" s="1866" t="s">
        <v>395</v>
      </c>
    </row>
    <row r="48" s="2871"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370</v>
      </c>
      <c r="AQ48" s="1670" t="s">
        <v>370</v>
      </c>
      <c r="AR48" s="1682"/>
      <c r="AS48" s="1682"/>
    </row>
    <row r="50" s="3137" customFormat="1" customHeight="1" ht="11.25">
      <c r="A50" s="1866" t="s">
        <v>396</v>
      </c>
    </row>
    <row r="52" s="3185" customFormat="1" customHeight="1" ht="15">
      <c r="A52" s="131" t="s">
        <v>89</v>
      </c>
      <c r="B52" s="111" t="s">
        <v>18</v>
      </c>
      <c r="C52" s="1878"/>
      <c r="D52" s="114"/>
      <c r="E52" s="387"/>
      <c r="F52" s="387"/>
      <c r="G52" s="1854"/>
      <c r="H52" s="1876"/>
      <c r="I52" s="1855"/>
      <c r="K52" s="258"/>
      <c r="L52" s="259"/>
    </row>
    <row r="54" s="3137" customFormat="1" customHeight="1" ht="11.25">
      <c r="A54" s="1866" t="s">
        <v>397</v>
      </c>
    </row>
    <row r="56" s="2871" customFormat="1" customHeight="1" ht="14.25">
      <c r="A56" s="339"/>
      <c r="B56" s="1174"/>
      <c r="C56" s="377"/>
      <c r="D56" s="1861"/>
      <c r="E56" s="897"/>
      <c r="F56" s="1876"/>
      <c r="G56" s="74"/>
      <c r="I56" s="1670"/>
      <c r="J56" s="1670"/>
    </row>
    <row r="58" s="3137" customFormat="1" customHeight="1" ht="11.25">
      <c r="A58" s="1866" t="s">
        <v>398</v>
      </c>
    </row>
    <row r="60" s="2871" customFormat="1" customHeight="1" ht="27">
      <c r="A60" s="1180"/>
      <c r="B60" s="1180"/>
      <c r="C60" s="1180"/>
      <c r="D60" s="1174"/>
      <c r="E60" s="1879"/>
      <c r="F60" s="2161"/>
      <c r="G60" s="2162"/>
      <c r="H60" s="2163" t="s">
        <v>58</v>
      </c>
      <c r="I60" s="2165"/>
      <c r="J60" s="2119"/>
      <c r="K60" s="2167"/>
      <c r="L60" s="2121"/>
      <c r="M60" s="2121"/>
      <c r="N60" s="2122"/>
      <c r="O60" s="2122"/>
      <c r="P60" s="2123">
        <f>DATEDIF(DATEVALUE(N60),DATEVALUE(O60),"y")&amp;"г. "&amp;DATEDIF(DATEVALUE(N60),DATEVALUE(O60),"ym")&amp;"мес. "&amp;DATEVALUE(O60)-DATE(YEAR(DATEVALUE(O60)),MONTH(DATEVALUE(O60)),1)&amp;"дн. "</f>
      </c>
      <c r="Q60" s="2118"/>
      <c r="R60" s="2118"/>
      <c r="S60" s="2118"/>
      <c r="T60" s="2119"/>
      <c r="U60" s="2118"/>
      <c r="V60" s="2118"/>
      <c r="W60" s="2118"/>
      <c r="X60" s="2119"/>
      <c r="Y60" s="2116" t="s">
        <v>58</v>
      </c>
      <c r="Z60" s="1859"/>
      <c r="AA60" s="1843">
        <v>1</v>
      </c>
      <c r="AB60" s="1266"/>
      <c r="AD60" s="1682" t="s">
        <v>399</v>
      </c>
    </row>
    <row s="2871" customFormat="1" customHeight="1" ht="10.5">
      <c r="A61" s="1180"/>
      <c r="B61" s="1180"/>
      <c r="C61" s="1180"/>
      <c r="D61" s="1174"/>
      <c r="E61" s="960"/>
      <c r="F61" s="2161"/>
      <c r="G61" s="2162"/>
      <c r="H61" s="2164"/>
      <c r="I61" s="2166"/>
      <c r="J61" s="2120"/>
      <c r="K61" s="2167"/>
      <c r="L61" s="2121"/>
      <c r="M61" s="2121"/>
      <c r="N61" s="2122"/>
      <c r="O61" s="2122"/>
      <c r="P61" s="2123"/>
      <c r="Q61" s="2118"/>
      <c r="R61" s="2118"/>
      <c r="S61" s="2118"/>
      <c r="T61" s="2120"/>
      <c r="U61" s="2118"/>
      <c r="V61" s="2118"/>
      <c r="W61" s="2118"/>
      <c r="X61" s="2120"/>
      <c r="Y61" s="2117"/>
      <c r="Z61" s="343"/>
      <c r="AA61" s="580"/>
      <c r="AB61" s="660" t="s">
        <v>400</v>
      </c>
    </row>
    <row r="63" s="3137" customFormat="1" customHeight="1" ht="11.25">
      <c r="A63" s="1866" t="s">
        <v>401</v>
      </c>
    </row>
    <row r="65" s="2871"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399</v>
      </c>
    </row>
    <row r="67" s="3137" customFormat="1" customHeight="1" ht="11.25">
      <c r="A67" s="1866" t="s">
        <v>402</v>
      </c>
    </row>
    <row customHeight="1" ht="17.25"/>
    <row s="2871"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871" customFormat="1" customHeight="1" ht="11.25">
      <c r="A70" s="1180"/>
      <c r="B70" s="1180"/>
      <c r="C70" s="1180"/>
      <c r="D70" s="1174"/>
      <c r="E70" s="1184"/>
      <c r="F70" s="2114"/>
      <c r="G70" s="2094"/>
      <c r="H70" s="2094" t="s">
        <v>109</v>
      </c>
      <c r="I70" s="2095"/>
      <c r="J70" s="2096"/>
      <c r="K70" s="2097"/>
      <c r="L70" s="2086" t="s">
        <v>56</v>
      </c>
      <c r="M70" s="1947"/>
      <c r="N70" s="1193"/>
      <c r="O70" s="1192" t="s">
        <v>365</v>
      </c>
      <c r="P70" s="1193"/>
      <c r="Q70" s="1193"/>
      <c r="R70" s="1193"/>
      <c r="S70" s="1193"/>
      <c r="T70" s="1193"/>
      <c r="U70" s="1193"/>
      <c r="V70" s="1193"/>
      <c r="W70" s="1193"/>
      <c r="X70" s="1193"/>
      <c r="Y70" s="1193"/>
      <c r="Z70" s="1193"/>
      <c r="AA70" s="1193"/>
      <c r="AB70" s="1193"/>
      <c r="AC70" s="1193"/>
      <c r="AD70" s="1193"/>
      <c r="AE70" s="1193"/>
      <c r="AF70" s="2085"/>
      <c r="AG70" s="2086"/>
      <c r="AH70" s="2086"/>
      <c r="AI70" s="2085"/>
      <c r="AJ70" s="2086"/>
      <c r="AK70" s="2086"/>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871" customFormat="1" customHeight="1" ht="11.25">
      <c r="A71" s="1180"/>
      <c r="B71" s="1180"/>
      <c r="C71" s="1180"/>
      <c r="D71" s="1174"/>
      <c r="E71" s="1184"/>
      <c r="F71" s="2114"/>
      <c r="G71" s="2094"/>
      <c r="H71" s="2094"/>
      <c r="I71" s="2095"/>
      <c r="J71" s="2096"/>
      <c r="K71" s="2097"/>
      <c r="L71" s="2086"/>
      <c r="M71" s="1947"/>
      <c r="N71" s="2087"/>
      <c r="O71" s="2088">
        <v>1</v>
      </c>
      <c r="P71" s="2089" t="s">
        <v>56</v>
      </c>
      <c r="Q71" s="2092" t="s">
        <v>18</v>
      </c>
      <c r="R71" s="2092" t="s">
        <v>18</v>
      </c>
      <c r="S71" s="2092" t="s">
        <v>18</v>
      </c>
      <c r="T71" s="2092" t="s">
        <v>18</v>
      </c>
      <c r="U71" s="2092" t="s">
        <v>18</v>
      </c>
      <c r="V71" s="2092" t="s">
        <v>18</v>
      </c>
      <c r="W71" s="2092" t="s">
        <v>18</v>
      </c>
      <c r="X71" s="2092" t="s">
        <v>18</v>
      </c>
      <c r="Y71" s="2092"/>
      <c r="Z71" s="1190"/>
      <c r="AA71" s="1191"/>
      <c r="AB71" s="1191"/>
      <c r="AC71" s="1195"/>
      <c r="AD71" s="1195"/>
      <c r="AE71" s="1196"/>
      <c r="AF71" s="2085"/>
      <c r="AG71" s="2086"/>
      <c r="AH71" s="2086"/>
      <c r="AI71" s="2085"/>
      <c r="AJ71" s="2086"/>
      <c r="AK71" s="2086"/>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871" customFormat="1" customHeight="1" ht="11.25">
      <c r="A72" s="1180"/>
      <c r="B72" s="1180"/>
      <c r="C72" s="1180"/>
      <c r="D72" s="1174"/>
      <c r="E72" s="1184"/>
      <c r="F72" s="2114"/>
      <c r="G72" s="2094"/>
      <c r="H72" s="2094"/>
      <c r="I72" s="2095"/>
      <c r="J72" s="2096"/>
      <c r="K72" s="2097"/>
      <c r="L72" s="2086"/>
      <c r="M72" s="1947"/>
      <c r="N72" s="2087"/>
      <c r="O72" s="2088"/>
      <c r="P72" s="2090"/>
      <c r="Q72" s="2092"/>
      <c r="R72" s="2092"/>
      <c r="S72" s="2093"/>
      <c r="T72" s="2092"/>
      <c r="U72" s="2092"/>
      <c r="V72" s="2092"/>
      <c r="W72" s="2092"/>
      <c r="X72" s="2092"/>
      <c r="Y72" s="2092"/>
      <c r="Z72" s="1880"/>
      <c r="AA72" s="1845">
        <v>1</v>
      </c>
      <c r="AB72" s="1194"/>
      <c r="AC72" s="1183"/>
      <c r="AD72" s="1194">
        <f>AB72</f>
        <v>0</v>
      </c>
      <c r="AE72" s="1183"/>
      <c r="AF72" s="2085"/>
      <c r="AG72" s="2086"/>
      <c r="AH72" s="2086"/>
      <c r="AI72" s="2085"/>
      <c r="AJ72" s="2086"/>
      <c r="AK72" s="2086"/>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871" customFormat="1" customHeight="1" ht="11.25">
      <c r="A73" s="1180"/>
      <c r="B73" s="1180"/>
      <c r="C73" s="1180"/>
      <c r="D73" s="1174"/>
      <c r="E73" s="1184"/>
      <c r="F73" s="2114"/>
      <c r="G73" s="2094"/>
      <c r="H73" s="2094"/>
      <c r="I73" s="2095"/>
      <c r="J73" s="2096"/>
      <c r="K73" s="2097"/>
      <c r="L73" s="2086"/>
      <c r="M73" s="1947"/>
      <c r="N73" s="2087"/>
      <c r="O73" s="2088"/>
      <c r="P73" s="2091"/>
      <c r="Q73" s="2092"/>
      <c r="R73" s="2092"/>
      <c r="S73" s="2093"/>
      <c r="T73" s="2092"/>
      <c r="U73" s="2092"/>
      <c r="V73" s="2092"/>
      <c r="W73" s="2092"/>
      <c r="X73" s="2092"/>
      <c r="Y73" s="2092"/>
      <c r="Z73" s="1190"/>
      <c r="AA73" s="1191"/>
      <c r="AB73" s="1265" t="s">
        <v>403</v>
      </c>
      <c r="AC73" s="1195"/>
      <c r="AD73" s="1195"/>
      <c r="AE73" s="1197"/>
      <c r="AF73" s="2085"/>
      <c r="AG73" s="2086"/>
      <c r="AH73" s="2086"/>
      <c r="AI73" s="2085"/>
      <c r="AJ73" s="2086"/>
      <c r="AK73" s="2086"/>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871" customFormat="1" customHeight="1" ht="11.25">
      <c r="A74" s="1180"/>
      <c r="B74" s="1180"/>
      <c r="C74" s="1180"/>
      <c r="D74" s="1174"/>
      <c r="E74" s="1184"/>
      <c r="F74" s="2114"/>
      <c r="G74" s="2094"/>
      <c r="H74" s="2094"/>
      <c r="I74" s="2095"/>
      <c r="J74" s="2096"/>
      <c r="K74" s="2097"/>
      <c r="L74" s="2086"/>
      <c r="M74" s="1947"/>
      <c r="N74" s="1191"/>
      <c r="O74" s="1191"/>
      <c r="P74" s="1182" t="s">
        <v>404</v>
      </c>
      <c r="Q74" s="1191"/>
      <c r="R74" s="1191"/>
      <c r="S74" s="1191"/>
      <c r="T74" s="1191"/>
      <c r="U74" s="1191"/>
      <c r="V74" s="1191"/>
      <c r="W74" s="1191"/>
      <c r="X74" s="1191"/>
      <c r="Y74" s="1191"/>
      <c r="Z74" s="1191"/>
      <c r="AA74" s="1191"/>
      <c r="AB74" s="1191"/>
      <c r="AC74" s="1191"/>
      <c r="AD74" s="1191"/>
      <c r="AE74" s="1198"/>
      <c r="AF74" s="2085"/>
      <c r="AG74" s="2086"/>
      <c r="AH74" s="2086"/>
      <c r="AI74" s="2085"/>
      <c r="AJ74" s="2086"/>
      <c r="AK74" s="2086"/>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871" customFormat="1" customHeight="1" ht="12">
      <c r="A75" s="1180"/>
      <c r="B75" s="1180"/>
      <c r="C75" s="1180"/>
      <c r="D75" s="1174"/>
      <c r="E75" s="1184"/>
      <c r="F75" s="2115"/>
      <c r="G75" s="1206"/>
      <c r="H75" s="1206"/>
      <c r="I75" s="2113" t="s">
        <v>405</v>
      </c>
      <c r="J75" s="2113"/>
      <c r="K75" s="2113"/>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37" customFormat="1" customHeight="1" ht="11.25">
      <c r="A77" s="1866" t="s">
        <v>406</v>
      </c>
    </row>
    <row r="79" s="2871" customFormat="1" customHeight="1" ht="11.25">
      <c r="A79" s="1180"/>
      <c r="B79" s="1180"/>
      <c r="C79" s="1180"/>
      <c r="D79" s="1174"/>
      <c r="E79" s="1184"/>
      <c r="F79" s="1881"/>
      <c r="G79" s="1882"/>
      <c r="H79" s="1882"/>
      <c r="I79" s="1810"/>
      <c r="J79" s="1810"/>
      <c r="K79" s="1883"/>
      <c r="L79" s="1810"/>
      <c r="M79" s="1882"/>
      <c r="N79" s="2160"/>
      <c r="O79" s="2088">
        <v>1</v>
      </c>
      <c r="P79" s="2089" t="s">
        <v>56</v>
      </c>
      <c r="Q79" s="2092" t="s">
        <v>18</v>
      </c>
      <c r="R79" s="2092" t="s">
        <v>18</v>
      </c>
      <c r="S79" s="2092" t="s">
        <v>18</v>
      </c>
      <c r="T79" s="2092" t="s">
        <v>18</v>
      </c>
      <c r="U79" s="2092" t="s">
        <v>18</v>
      </c>
      <c r="V79" s="2092" t="s">
        <v>18</v>
      </c>
      <c r="W79" s="2092" t="s">
        <v>18</v>
      </c>
      <c r="X79" s="2092" t="s">
        <v>18</v>
      </c>
      <c r="Y79" s="2092"/>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871" customFormat="1" customHeight="1" ht="11.25">
      <c r="A80" s="1180"/>
      <c r="B80" s="1180"/>
      <c r="C80" s="1180"/>
      <c r="D80" s="1174"/>
      <c r="E80" s="1184"/>
      <c r="F80" s="1881"/>
      <c r="G80" s="1882"/>
      <c r="H80" s="1882"/>
      <c r="I80" s="1811"/>
      <c r="J80" s="1811"/>
      <c r="K80" s="1883"/>
      <c r="L80" s="1811"/>
      <c r="M80" s="1882"/>
      <c r="N80" s="2160"/>
      <c r="O80" s="2088"/>
      <c r="P80" s="2090"/>
      <c r="Q80" s="2092"/>
      <c r="R80" s="2092"/>
      <c r="S80" s="2093"/>
      <c r="T80" s="2092"/>
      <c r="U80" s="2092"/>
      <c r="V80" s="2092"/>
      <c r="W80" s="2092"/>
      <c r="X80" s="2092"/>
      <c r="Y80" s="2092"/>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871" customFormat="1" customHeight="1" ht="11.25">
      <c r="A81" s="1180"/>
      <c r="B81" s="1180"/>
      <c r="C81" s="1180"/>
      <c r="D81" s="1174"/>
      <c r="E81" s="1184"/>
      <c r="F81" s="1881"/>
      <c r="G81" s="1882"/>
      <c r="H81" s="1882"/>
      <c r="I81" s="1812"/>
      <c r="J81" s="1812"/>
      <c r="K81" s="1883"/>
      <c r="L81" s="1812"/>
      <c r="M81" s="1882"/>
      <c r="N81" s="2160"/>
      <c r="O81" s="2088"/>
      <c r="P81" s="2091"/>
      <c r="Q81" s="2092"/>
      <c r="R81" s="2092"/>
      <c r="S81" s="2093"/>
      <c r="T81" s="2092"/>
      <c r="U81" s="2092"/>
      <c r="V81" s="2092"/>
      <c r="W81" s="2092"/>
      <c r="X81" s="2092"/>
      <c r="Y81" s="2092"/>
      <c r="Z81" s="1190"/>
      <c r="AA81" s="1191"/>
      <c r="AB81" s="1265" t="s">
        <v>403</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37" customFormat="1" customHeight="1" ht="11.25">
      <c r="A83" s="1866" t="s">
        <v>407</v>
      </c>
    </row>
    <row r="85" s="2871"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37" customFormat="1" customHeight="1" ht="11.25">
      <c r="A87" s="1866" t="s">
        <v>408</v>
      </c>
    </row>
    <row r="89" s="2871" customFormat="1" customHeight="1" ht="11.25">
      <c r="A89" s="1180"/>
      <c r="B89" s="1180"/>
      <c r="C89" s="1180"/>
      <c r="D89" s="1174"/>
      <c r="E89" s="1184"/>
      <c r="F89" s="1881"/>
      <c r="G89" s="1882"/>
      <c r="H89" s="2094" t="s">
        <v>109</v>
      </c>
      <c r="I89" s="2095"/>
      <c r="J89" s="2096"/>
      <c r="K89" s="2097"/>
      <c r="L89" s="2086" t="s">
        <v>56</v>
      </c>
      <c r="M89" s="1947"/>
      <c r="N89" s="1193"/>
      <c r="O89" s="1192" t="s">
        <v>365</v>
      </c>
      <c r="P89" s="1193"/>
      <c r="Q89" s="1193"/>
      <c r="R89" s="1193"/>
      <c r="S89" s="1193"/>
      <c r="T89" s="1193"/>
      <c r="U89" s="1193"/>
      <c r="V89" s="1193"/>
      <c r="W89" s="1193"/>
      <c r="X89" s="1193"/>
      <c r="Y89" s="1193"/>
      <c r="Z89" s="1193"/>
      <c r="AA89" s="1193"/>
      <c r="AB89" s="1193"/>
      <c r="AC89" s="1193"/>
      <c r="AD89" s="1193"/>
      <c r="AE89" s="1193"/>
      <c r="AF89" s="2085"/>
      <c r="AG89" s="2086"/>
      <c r="AH89" s="2086"/>
      <c r="AI89" s="2085"/>
      <c r="AJ89" s="2086"/>
      <c r="AK89" s="2086"/>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871" customFormat="1" customHeight="1" ht="11.25">
      <c r="A90" s="1180"/>
      <c r="B90" s="1180"/>
      <c r="C90" s="1180"/>
      <c r="D90" s="1174"/>
      <c r="E90" s="1184"/>
      <c r="F90" s="1881"/>
      <c r="G90" s="1882"/>
      <c r="H90" s="2094"/>
      <c r="I90" s="2095"/>
      <c r="J90" s="2096"/>
      <c r="K90" s="2097"/>
      <c r="L90" s="2086"/>
      <c r="M90" s="1947"/>
      <c r="N90" s="2087"/>
      <c r="O90" s="2088">
        <v>1</v>
      </c>
      <c r="P90" s="2089" t="s">
        <v>56</v>
      </c>
      <c r="Q90" s="2092" t="s">
        <v>18</v>
      </c>
      <c r="R90" s="2092" t="s">
        <v>18</v>
      </c>
      <c r="S90" s="2092" t="s">
        <v>18</v>
      </c>
      <c r="T90" s="2092" t="s">
        <v>18</v>
      </c>
      <c r="U90" s="2092" t="s">
        <v>18</v>
      </c>
      <c r="V90" s="2092" t="s">
        <v>18</v>
      </c>
      <c r="W90" s="2092" t="s">
        <v>18</v>
      </c>
      <c r="X90" s="2092" t="s">
        <v>18</v>
      </c>
      <c r="Y90" s="2092"/>
      <c r="Z90" s="1190"/>
      <c r="AA90" s="1191"/>
      <c r="AB90" s="1191"/>
      <c r="AC90" s="1195"/>
      <c r="AD90" s="1195"/>
      <c r="AE90" s="1196"/>
      <c r="AF90" s="2085"/>
      <c r="AG90" s="2086"/>
      <c r="AH90" s="2086"/>
      <c r="AI90" s="2085"/>
      <c r="AJ90" s="2086"/>
      <c r="AK90" s="2086"/>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871" customFormat="1" customHeight="1" ht="11.25">
      <c r="A91" s="1180"/>
      <c r="B91" s="1180"/>
      <c r="C91" s="1180"/>
      <c r="D91" s="1174"/>
      <c r="E91" s="1184"/>
      <c r="F91" s="1881"/>
      <c r="G91" s="1882"/>
      <c r="H91" s="2094"/>
      <c r="I91" s="2095"/>
      <c r="J91" s="2096"/>
      <c r="K91" s="2097"/>
      <c r="L91" s="2086"/>
      <c r="M91" s="1947"/>
      <c r="N91" s="2087"/>
      <c r="O91" s="2088"/>
      <c r="P91" s="2090"/>
      <c r="Q91" s="2092"/>
      <c r="R91" s="2092"/>
      <c r="S91" s="2093"/>
      <c r="T91" s="2092"/>
      <c r="U91" s="2092"/>
      <c r="V91" s="2092"/>
      <c r="W91" s="2092"/>
      <c r="X91" s="2092"/>
      <c r="Y91" s="2092"/>
      <c r="Z91" s="1880"/>
      <c r="AA91" s="1845">
        <v>1</v>
      </c>
      <c r="AB91" s="1194"/>
      <c r="AC91" s="1183"/>
      <c r="AD91" s="1194">
        <f>AB91</f>
        <v>0</v>
      </c>
      <c r="AE91" s="1183"/>
      <c r="AF91" s="2085"/>
      <c r="AG91" s="2086"/>
      <c r="AH91" s="2086"/>
      <c r="AI91" s="2085"/>
      <c r="AJ91" s="2086"/>
      <c r="AK91" s="2086"/>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871" customFormat="1" customHeight="1" ht="11.25">
      <c r="A92" s="1180"/>
      <c r="B92" s="1180"/>
      <c r="C92" s="1180"/>
      <c r="D92" s="1174"/>
      <c r="E92" s="1184"/>
      <c r="F92" s="1881"/>
      <c r="G92" s="1882"/>
      <c r="H92" s="2094"/>
      <c r="I92" s="2095"/>
      <c r="J92" s="2096"/>
      <c r="K92" s="2097"/>
      <c r="L92" s="2086"/>
      <c r="M92" s="1947"/>
      <c r="N92" s="2087"/>
      <c r="O92" s="2088"/>
      <c r="P92" s="2091"/>
      <c r="Q92" s="2092"/>
      <c r="R92" s="2092"/>
      <c r="S92" s="2093"/>
      <c r="T92" s="2092"/>
      <c r="U92" s="2092"/>
      <c r="V92" s="2092"/>
      <c r="W92" s="2092"/>
      <c r="X92" s="2092"/>
      <c r="Y92" s="2092"/>
      <c r="Z92" s="1190"/>
      <c r="AA92" s="1191"/>
      <c r="AB92" s="1265" t="s">
        <v>403</v>
      </c>
      <c r="AC92" s="1195"/>
      <c r="AD92" s="1195"/>
      <c r="AE92" s="1197"/>
      <c r="AF92" s="2085"/>
      <c r="AG92" s="2086"/>
      <c r="AH92" s="2086"/>
      <c r="AI92" s="2085"/>
      <c r="AJ92" s="2086"/>
      <c r="AK92" s="2086"/>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871" customFormat="1" customHeight="1" ht="11.25">
      <c r="A93" s="1180"/>
      <c r="B93" s="1180"/>
      <c r="C93" s="1180"/>
      <c r="D93" s="1174"/>
      <c r="E93" s="1184"/>
      <c r="F93" s="1881"/>
      <c r="G93" s="1882"/>
      <c r="H93" s="2094"/>
      <c r="I93" s="2095"/>
      <c r="J93" s="2096"/>
      <c r="K93" s="2097"/>
      <c r="L93" s="2086"/>
      <c r="M93" s="1947"/>
      <c r="N93" s="1191"/>
      <c r="O93" s="1191"/>
      <c r="P93" s="1182" t="s">
        <v>404</v>
      </c>
      <c r="Q93" s="1191"/>
      <c r="R93" s="1191"/>
      <c r="S93" s="1191"/>
      <c r="T93" s="1191"/>
      <c r="U93" s="1191"/>
      <c r="V93" s="1191"/>
      <c r="W93" s="1191"/>
      <c r="X93" s="1191"/>
      <c r="Y93" s="1191"/>
      <c r="Z93" s="1191"/>
      <c r="AA93" s="1191"/>
      <c r="AB93" s="1191"/>
      <c r="AC93" s="1191"/>
      <c r="AD93" s="1191"/>
      <c r="AE93" s="1198"/>
      <c r="AF93" s="2085"/>
      <c r="AG93" s="2086"/>
      <c r="AH93" s="2086"/>
      <c r="AI93" s="2085"/>
      <c r="AJ93" s="2086"/>
      <c r="AK93" s="2086"/>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37" customFormat="1" customHeight="1" ht="11.25">
      <c r="A95" s="1866" t="s">
        <v>409</v>
      </c>
    </row>
    <row customHeight="1" ht="17.25"/>
    <row s="3289" customFormat="1" customHeight="1" ht="21">
      <c r="A97" s="1181"/>
      <c r="B97" s="952"/>
      <c r="D97" s="936"/>
      <c r="E97" s="951" t="s">
        <v>18</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289"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289" customFormat="1" customHeight="1" ht="12">
      <c r="A99" s="936"/>
      <c r="B99" s="935"/>
      <c r="C99" s="936"/>
      <c r="D99" s="936"/>
      <c r="E99" s="936"/>
      <c r="F99" s="1230"/>
      <c r="G99" s="1851" t="s">
        <v>410</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37" customFormat="1" customHeight="1" ht="11.25">
      <c r="A101" s="1866" t="s">
        <v>411</v>
      </c>
    </row>
    <row r="103" s="2641" customFormat="1" customHeight="1" ht="15">
      <c r="A103" s="631"/>
      <c r="B103" s="632"/>
      <c r="C103" s="632"/>
      <c r="D103" s="2157" t="s">
        <v>109</v>
      </c>
      <c r="E103" s="2142" t="s">
        <v>105</v>
      </c>
      <c r="F103" s="2143"/>
      <c r="G103" s="2144"/>
      <c r="H103" s="2145" t="str">
        <f>IF(A103="","",INDEX(DIFFERENTIATION_UNMERGE_VD,MATCH(A103,DIFFERENTIATION_ID_DIFF,0)))</f>
        <v/>
      </c>
      <c r="I103" s="2145"/>
      <c r="J103" s="2145"/>
      <c r="K103" s="2145"/>
      <c r="L103" s="2145"/>
      <c r="M103" s="2145"/>
      <c r="N103" s="2145"/>
      <c r="O103" s="2145"/>
      <c r="P103" s="2145"/>
      <c r="Q103" s="2145"/>
      <c r="R103" s="2145"/>
      <c r="S103" s="727"/>
      <c r="T103" s="724"/>
      <c r="U103" s="633"/>
      <c r="V103" s="633"/>
      <c r="W103" s="634"/>
      <c r="X103" s="634"/>
      <c r="Y103" s="634"/>
      <c r="Z103" s="634"/>
      <c r="AA103" s="635"/>
      <c r="AB103" s="636"/>
      <c r="AC103" s="2141"/>
      <c r="AD103" s="637"/>
      <c r="AE103" s="638" t="s">
        <v>18</v>
      </c>
      <c r="AF103" s="638"/>
      <c r="AG103" s="639" t="s">
        <v>412</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1" customFormat="1" customHeight="1" ht="15">
      <c r="A104" s="631"/>
      <c r="B104" s="632"/>
      <c r="C104" s="632"/>
      <c r="D104" s="2158"/>
      <c r="E104" s="2142" t="s">
        <v>413</v>
      </c>
      <c r="F104" s="2143"/>
      <c r="G104" s="2144"/>
      <c r="H104" s="2145" t="str">
        <f>IF(A103="","",INDEX(DIFFERENTIATION_UNMERGE_AREA,MATCH(A103,DIFFERENTIATION_ID_DIFF,0)))</f>
        <v/>
      </c>
      <c r="I104" s="2145"/>
      <c r="J104" s="2145"/>
      <c r="K104" s="2145"/>
      <c r="L104" s="2145"/>
      <c r="M104" s="2145"/>
      <c r="N104" s="2145"/>
      <c r="O104" s="2145"/>
      <c r="P104" s="2145"/>
      <c r="Q104" s="2145"/>
      <c r="R104" s="2145"/>
      <c r="S104" s="727"/>
      <c r="T104" s="724"/>
      <c r="U104" s="633"/>
      <c r="V104" s="633"/>
      <c r="W104" s="634"/>
      <c r="X104" s="634"/>
      <c r="Y104" s="634"/>
      <c r="Z104" s="634"/>
      <c r="AA104" s="635"/>
      <c r="AB104" s="636"/>
      <c r="AC104" s="214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1" customFormat="1" customHeight="1" ht="15">
      <c r="A105" s="631"/>
      <c r="B105" s="632"/>
      <c r="C105" s="632"/>
      <c r="D105" s="2158"/>
      <c r="E105" s="2142" t="s">
        <v>414</v>
      </c>
      <c r="F105" s="2143"/>
      <c r="G105" s="2144"/>
      <c r="H105" s="2145" t="str">
        <f>IF(A103="","",INDEX(DIFFERENTIATION_UNMERGE_SYSTEM,MATCH(A103,DIFFERENTIATION_ID_DIFF,0)))</f>
        <v/>
      </c>
      <c r="I105" s="2145"/>
      <c r="J105" s="2145"/>
      <c r="K105" s="2145"/>
      <c r="L105" s="2145"/>
      <c r="M105" s="2145"/>
      <c r="N105" s="2145"/>
      <c r="O105" s="2145"/>
      <c r="P105" s="2145"/>
      <c r="Q105" s="2145"/>
      <c r="R105" s="2145"/>
      <c r="S105" s="727"/>
      <c r="T105" s="724"/>
      <c r="U105" s="633"/>
      <c r="V105" s="633"/>
      <c r="W105" s="634"/>
      <c r="X105" s="634"/>
      <c r="Y105" s="634"/>
      <c r="Z105" s="634"/>
      <c r="AA105" s="635"/>
      <c r="AB105" s="636"/>
      <c r="AC105" s="214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1" customFormat="1" customHeight="1" ht="24.75">
      <c r="A106" s="1857"/>
      <c r="B106" s="1174"/>
      <c r="C106" s="419"/>
      <c r="D106" s="2158"/>
      <c r="E106" s="2155" t="s">
        <v>415</v>
      </c>
      <c r="F106" s="2155"/>
      <c r="G106" s="2155"/>
      <c r="H106" s="2155"/>
      <c r="I106" s="2155"/>
      <c r="J106" s="2155"/>
      <c r="K106" s="2155"/>
      <c r="L106" s="2155"/>
      <c r="M106" s="2155"/>
      <c r="N106" s="2155"/>
      <c r="O106" s="2155"/>
      <c r="P106" s="2155"/>
      <c r="Q106" s="566">
        <f>SUMIF(T107:T108,"i",Q107:Q108)</f>
        <v>0</v>
      </c>
      <c r="R106" s="1030"/>
      <c r="S106" s="1849" t="s">
        <v>416</v>
      </c>
      <c r="T106" s="725" t="s">
        <v>417</v>
      </c>
      <c r="U106" s="2156">
        <v>1</v>
      </c>
      <c r="V106" s="2156" t="s">
        <v>418</v>
      </c>
      <c r="W106" s="1174"/>
      <c r="X106" s="1174"/>
      <c r="Y106" s="1174"/>
      <c r="Z106" s="1174"/>
      <c r="AA106" s="1682"/>
      <c r="AB106" s="1174"/>
      <c r="AC106" s="214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1" customFormat="1" customHeight="1" ht="11.25" hidden="1">
      <c r="A107" s="1844"/>
      <c r="B107" s="1682"/>
      <c r="C107" s="1682"/>
      <c r="D107" s="2158"/>
      <c r="E107" s="643"/>
      <c r="F107" s="643">
        <v>0</v>
      </c>
      <c r="G107" s="643"/>
      <c r="H107" s="643"/>
      <c r="I107" s="643"/>
      <c r="J107" s="643"/>
      <c r="K107" s="643"/>
      <c r="L107" s="643"/>
      <c r="M107" s="643"/>
      <c r="N107" s="643"/>
      <c r="O107" s="643"/>
      <c r="P107" s="643"/>
      <c r="Q107" s="643"/>
      <c r="R107" s="643"/>
      <c r="S107" s="644"/>
      <c r="T107" s="726"/>
      <c r="U107" s="2156"/>
      <c r="V107" s="2156"/>
      <c r="W107" s="1682"/>
      <c r="X107" s="1682"/>
      <c r="Y107" s="1682"/>
      <c r="Z107" s="1682"/>
      <c r="AA107" s="1682"/>
      <c r="AB107" s="1174"/>
      <c r="AC107" s="214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1" customFormat="1" customHeight="1" ht="11.25">
      <c r="A108" s="1857"/>
      <c r="B108" s="1174"/>
      <c r="C108" s="419"/>
      <c r="D108" s="2158"/>
      <c r="E108" s="657" t="s">
        <v>18</v>
      </c>
      <c r="F108" s="1182" t="s">
        <v>18</v>
      </c>
      <c r="G108" s="1182" t="s">
        <v>419</v>
      </c>
      <c r="H108" s="659" t="s">
        <v>18</v>
      </c>
      <c r="I108" s="659"/>
      <c r="J108" s="659"/>
      <c r="K108" s="659"/>
      <c r="L108" s="659"/>
      <c r="M108" s="659"/>
      <c r="N108" s="659"/>
      <c r="O108" s="659"/>
      <c r="P108" s="659"/>
      <c r="Q108" s="659"/>
      <c r="R108" s="660"/>
      <c r="S108" s="661"/>
      <c r="T108" s="726"/>
      <c r="U108" s="2156"/>
      <c r="V108" s="2156"/>
      <c r="W108" s="1174"/>
      <c r="X108" s="1174"/>
      <c r="Y108" s="1174"/>
      <c r="Z108" s="1174"/>
      <c r="AA108" s="1682"/>
      <c r="AB108" s="1174"/>
      <c r="AC108" s="214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1" customFormat="1" customHeight="1" ht="24.75">
      <c r="A109" s="1857"/>
      <c r="B109" s="1174"/>
      <c r="C109" s="419"/>
      <c r="D109" s="2158"/>
      <c r="E109" s="2155" t="s">
        <v>420</v>
      </c>
      <c r="F109" s="2155"/>
      <c r="G109" s="2155"/>
      <c r="H109" s="2155"/>
      <c r="I109" s="2155"/>
      <c r="J109" s="2155"/>
      <c r="K109" s="2155"/>
      <c r="L109" s="2155"/>
      <c r="M109" s="2155"/>
      <c r="N109" s="2155"/>
      <c r="O109" s="2155"/>
      <c r="P109" s="2155"/>
      <c r="Q109" s="566">
        <f>SUMIF(T110:T111,"i",Q110:Q111)</f>
        <v>0</v>
      </c>
      <c r="R109" s="1030"/>
      <c r="S109" s="1849" t="s">
        <v>421</v>
      </c>
      <c r="T109" s="725" t="s">
        <v>417</v>
      </c>
      <c r="U109" s="2156">
        <v>1</v>
      </c>
      <c r="V109" s="2156" t="s">
        <v>418</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1" customFormat="1" customHeight="1" ht="11.25" hidden="1">
      <c r="A110" s="1844"/>
      <c r="B110" s="1682"/>
      <c r="C110" s="1682"/>
      <c r="D110" s="2158"/>
      <c r="E110" s="643"/>
      <c r="F110" s="643">
        <v>0</v>
      </c>
      <c r="G110" s="643"/>
      <c r="H110" s="643"/>
      <c r="I110" s="643"/>
      <c r="J110" s="643"/>
      <c r="K110" s="643"/>
      <c r="L110" s="643"/>
      <c r="M110" s="643"/>
      <c r="N110" s="643"/>
      <c r="O110" s="643"/>
      <c r="P110" s="643"/>
      <c r="Q110" s="643"/>
      <c r="R110" s="643"/>
      <c r="S110" s="644"/>
      <c r="T110" s="726"/>
      <c r="U110" s="2156"/>
      <c r="V110" s="215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1" customFormat="1" customHeight="1" ht="11.25">
      <c r="A111" s="1857"/>
      <c r="B111" s="1174"/>
      <c r="C111" s="419"/>
      <c r="D111" s="2159"/>
      <c r="E111" s="657" t="s">
        <v>18</v>
      </c>
      <c r="F111" s="1182" t="s">
        <v>18</v>
      </c>
      <c r="G111" s="1182" t="s">
        <v>419</v>
      </c>
      <c r="H111" s="659" t="s">
        <v>18</v>
      </c>
      <c r="I111" s="659"/>
      <c r="J111" s="659"/>
      <c r="K111" s="659"/>
      <c r="L111" s="659"/>
      <c r="M111" s="659"/>
      <c r="N111" s="659"/>
      <c r="O111" s="659"/>
      <c r="P111" s="659"/>
      <c r="Q111" s="659"/>
      <c r="R111" s="660"/>
      <c r="S111" s="661"/>
      <c r="T111" s="726"/>
      <c r="U111" s="2156"/>
      <c r="V111" s="215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37" customFormat="1" customHeight="1" ht="11.25">
      <c r="A113" s="1866" t="s">
        <v>422</v>
      </c>
    </row>
    <row r="115" s="2641" customFormat="1" customHeight="1" ht="15">
      <c r="A115" s="631"/>
      <c r="B115" s="632"/>
      <c r="C115" s="632"/>
      <c r="D115" s="2157" t="s">
        <v>109</v>
      </c>
      <c r="E115" s="2142" t="s">
        <v>105</v>
      </c>
      <c r="F115" s="2143"/>
      <c r="G115" s="2144"/>
      <c r="H115" s="2145" t="str">
        <f>IF(A115="","",INDEX(DIFFERENTIATION_UNMERGE_VD,MATCH(A115,DIFFERENTIATION_ID_DIFF,0)))</f>
        <v/>
      </c>
      <c r="I115" s="2145"/>
      <c r="J115" s="2145"/>
      <c r="K115" s="2145"/>
      <c r="L115" s="2145"/>
      <c r="M115" s="2145"/>
      <c r="N115" s="2145"/>
      <c r="O115" s="2145"/>
      <c r="P115" s="2145"/>
      <c r="Q115" s="2145"/>
      <c r="R115" s="2145"/>
      <c r="S115" s="727"/>
      <c r="T115" s="724"/>
      <c r="U115" s="633"/>
      <c r="V115" s="633"/>
      <c r="W115" s="634"/>
      <c r="X115" s="634"/>
      <c r="Y115" s="634"/>
      <c r="Z115" s="634"/>
      <c r="AA115" s="635"/>
      <c r="AB115" s="636"/>
      <c r="AC115" s="2141"/>
      <c r="AD115" s="637"/>
      <c r="AE115" s="638" t="s">
        <v>18</v>
      </c>
      <c r="AF115" s="638"/>
      <c r="AG115" s="639" t="s">
        <v>412</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1" customFormat="1" customHeight="1" ht="15">
      <c r="A116" s="631"/>
      <c r="B116" s="632"/>
      <c r="C116" s="632"/>
      <c r="D116" s="2158"/>
      <c r="E116" s="2142" t="s">
        <v>413</v>
      </c>
      <c r="F116" s="2143"/>
      <c r="G116" s="2144"/>
      <c r="H116" s="2145" t="str">
        <f>IF(A115="","",INDEX(DIFFERENTIATION_UNMERGE_AREA,MATCH(A115,DIFFERENTIATION_ID_DIFF,0)))</f>
        <v/>
      </c>
      <c r="I116" s="2145"/>
      <c r="J116" s="2145"/>
      <c r="K116" s="2145"/>
      <c r="L116" s="2145"/>
      <c r="M116" s="2145"/>
      <c r="N116" s="2145"/>
      <c r="O116" s="2145"/>
      <c r="P116" s="2145"/>
      <c r="Q116" s="2145"/>
      <c r="R116" s="2145"/>
      <c r="S116" s="727"/>
      <c r="T116" s="724"/>
      <c r="U116" s="633"/>
      <c r="V116" s="633"/>
      <c r="W116" s="634"/>
      <c r="X116" s="634"/>
      <c r="Y116" s="634"/>
      <c r="Z116" s="634"/>
      <c r="AA116" s="635"/>
      <c r="AB116" s="636"/>
      <c r="AC116" s="214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1" customFormat="1" customHeight="1" ht="15">
      <c r="A117" s="631"/>
      <c r="B117" s="632"/>
      <c r="C117" s="632"/>
      <c r="D117" s="2158"/>
      <c r="E117" s="2142" t="s">
        <v>414</v>
      </c>
      <c r="F117" s="2143"/>
      <c r="G117" s="2144"/>
      <c r="H117" s="2145" t="str">
        <f>IF(A115="","",INDEX(DIFFERENTIATION_UNMERGE_SYSTEM,MATCH(A115,DIFFERENTIATION_ID_DIFF,0)))</f>
        <v/>
      </c>
      <c r="I117" s="2145"/>
      <c r="J117" s="2145"/>
      <c r="K117" s="2145"/>
      <c r="L117" s="2145"/>
      <c r="M117" s="2145"/>
      <c r="N117" s="2145"/>
      <c r="O117" s="2145"/>
      <c r="P117" s="2145"/>
      <c r="Q117" s="2145"/>
      <c r="R117" s="2145"/>
      <c r="S117" s="727"/>
      <c r="T117" s="724"/>
      <c r="U117" s="633"/>
      <c r="V117" s="633"/>
      <c r="W117" s="634"/>
      <c r="X117" s="634"/>
      <c r="Y117" s="634"/>
      <c r="Z117" s="634"/>
      <c r="AA117" s="635"/>
      <c r="AB117" s="636"/>
      <c r="AC117" s="214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1" customFormat="1" customHeight="1" ht="24.75">
      <c r="A118" s="1857"/>
      <c r="B118" s="1174"/>
      <c r="C118" s="419"/>
      <c r="D118" s="2158"/>
      <c r="E118" s="2155" t="s">
        <v>415</v>
      </c>
      <c r="F118" s="2155"/>
      <c r="G118" s="2155"/>
      <c r="H118" s="2155"/>
      <c r="I118" s="2155"/>
      <c r="J118" s="2155"/>
      <c r="K118" s="2155"/>
      <c r="L118" s="2155"/>
      <c r="M118" s="2155"/>
      <c r="N118" s="2155"/>
      <c r="O118" s="2155"/>
      <c r="P118" s="2155"/>
      <c r="Q118" s="566">
        <f>SUMIF(T119:T120,"i",Q119:Q120)</f>
        <v>0</v>
      </c>
      <c r="R118" s="1030"/>
      <c r="S118" s="1849" t="s">
        <v>416</v>
      </c>
      <c r="T118" s="725" t="s">
        <v>417</v>
      </c>
      <c r="U118" s="2156">
        <v>1</v>
      </c>
      <c r="V118" s="2156" t="s">
        <v>418</v>
      </c>
      <c r="W118" s="1174"/>
      <c r="X118" s="1174"/>
      <c r="Y118" s="1174"/>
      <c r="Z118" s="1174"/>
      <c r="AA118" s="1682"/>
      <c r="AB118" s="1174"/>
      <c r="AC118" s="214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1" customFormat="1" customHeight="1" ht="11.25" hidden="1">
      <c r="A119" s="1844"/>
      <c r="B119" s="1682"/>
      <c r="C119" s="1682"/>
      <c r="D119" s="2158"/>
      <c r="E119" s="643"/>
      <c r="F119" s="643">
        <v>0</v>
      </c>
      <c r="G119" s="643"/>
      <c r="H119" s="643"/>
      <c r="I119" s="643"/>
      <c r="J119" s="643"/>
      <c r="K119" s="643"/>
      <c r="L119" s="643"/>
      <c r="M119" s="643"/>
      <c r="N119" s="643"/>
      <c r="O119" s="643"/>
      <c r="P119" s="643"/>
      <c r="Q119" s="643"/>
      <c r="R119" s="643"/>
      <c r="S119" s="644"/>
      <c r="T119" s="726"/>
      <c r="U119" s="2156"/>
      <c r="V119" s="2156"/>
      <c r="W119" s="1682"/>
      <c r="X119" s="1682"/>
      <c r="Y119" s="1682"/>
      <c r="Z119" s="1682"/>
      <c r="AA119" s="1682"/>
      <c r="AB119" s="1174"/>
      <c r="AC119" s="214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1" customFormat="1" customHeight="1" ht="11.25">
      <c r="A120" s="1857"/>
      <c r="B120" s="1174"/>
      <c r="C120" s="419"/>
      <c r="D120" s="2158"/>
      <c r="E120" s="657" t="s">
        <v>18</v>
      </c>
      <c r="F120" s="1182" t="s">
        <v>18</v>
      </c>
      <c r="G120" s="1182" t="s">
        <v>419</v>
      </c>
      <c r="H120" s="659" t="s">
        <v>18</v>
      </c>
      <c r="I120" s="659"/>
      <c r="J120" s="659"/>
      <c r="K120" s="659"/>
      <c r="L120" s="659"/>
      <c r="M120" s="659"/>
      <c r="N120" s="659"/>
      <c r="O120" s="659"/>
      <c r="P120" s="659"/>
      <c r="Q120" s="659"/>
      <c r="R120" s="660"/>
      <c r="S120" s="661"/>
      <c r="T120" s="726"/>
      <c r="U120" s="2156"/>
      <c r="V120" s="2156"/>
      <c r="W120" s="1174"/>
      <c r="X120" s="1174"/>
      <c r="Y120" s="1174"/>
      <c r="Z120" s="1174"/>
      <c r="AA120" s="1682"/>
      <c r="AB120" s="1174"/>
      <c r="AC120" s="214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49" customFormat="1" customHeight="1" ht="5.25" hidden="1">
      <c r="A121" s="1844"/>
      <c r="B121" s="1682"/>
      <c r="C121" s="1682"/>
      <c r="D121" s="2158"/>
      <c r="E121" s="1052"/>
      <c r="F121" s="1052"/>
      <c r="G121" s="1052"/>
      <c r="H121" s="1052"/>
      <c r="I121" s="1052"/>
      <c r="J121" s="1052"/>
      <c r="K121" s="1052"/>
      <c r="L121" s="1052"/>
      <c r="M121" s="1052"/>
      <c r="N121" s="1052"/>
      <c r="O121" s="1052"/>
      <c r="P121" s="1052"/>
      <c r="Q121" s="1053"/>
      <c r="R121" s="1054"/>
      <c r="S121" s="1055"/>
      <c r="T121" s="725" t="s">
        <v>417</v>
      </c>
      <c r="U121" s="2156">
        <v>1</v>
      </c>
      <c r="V121" s="2156" t="s">
        <v>418</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49" customFormat="1" customHeight="1" ht="5.25" hidden="1">
      <c r="A122" s="1844"/>
      <c r="B122" s="1682"/>
      <c r="C122" s="1682"/>
      <c r="D122" s="2158"/>
      <c r="E122" s="643"/>
      <c r="F122" s="643"/>
      <c r="G122" s="643"/>
      <c r="H122" s="643"/>
      <c r="I122" s="643"/>
      <c r="J122" s="643"/>
      <c r="K122" s="643"/>
      <c r="L122" s="643"/>
      <c r="M122" s="643"/>
      <c r="N122" s="643"/>
      <c r="O122" s="643"/>
      <c r="P122" s="643"/>
      <c r="Q122" s="643"/>
      <c r="R122" s="643"/>
      <c r="S122" s="644"/>
      <c r="T122" s="726"/>
      <c r="U122" s="2156"/>
      <c r="V122" s="215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49" customFormat="1" customHeight="1" ht="5.25" hidden="1">
      <c r="A123" s="1844"/>
      <c r="B123" s="1682"/>
      <c r="C123" s="1682"/>
      <c r="D123" s="2159"/>
      <c r="E123" s="1056"/>
      <c r="F123" s="1057"/>
      <c r="G123" s="1057"/>
      <c r="H123" s="1058"/>
      <c r="I123" s="1058"/>
      <c r="J123" s="1058"/>
      <c r="K123" s="1058"/>
      <c r="L123" s="1058"/>
      <c r="M123" s="1058"/>
      <c r="N123" s="1058"/>
      <c r="O123" s="1058"/>
      <c r="P123" s="1058"/>
      <c r="Q123" s="1058"/>
      <c r="R123" s="959"/>
      <c r="S123" s="1059"/>
      <c r="T123" s="726"/>
      <c r="U123" s="2156"/>
      <c r="V123" s="215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37" customFormat="1" customHeight="1" ht="11.25">
      <c r="A125" s="1866" t="s">
        <v>423</v>
      </c>
    </row>
    <row r="127" s="2641" customFormat="1" customHeight="1" ht="45">
      <c r="A127" s="1857"/>
      <c r="B127" s="1174"/>
      <c r="C127" s="419"/>
      <c r="D127" s="74"/>
      <c r="E127" s="2146"/>
      <c r="F127" s="1947" t="s">
        <v>109</v>
      </c>
      <c r="G127" s="2149" t="s">
        <v>18</v>
      </c>
      <c r="H127" s="277"/>
      <c r="I127" s="645" t="s">
        <v>109</v>
      </c>
      <c r="J127" s="1858" t="s">
        <v>424</v>
      </c>
      <c r="K127" s="646" t="s">
        <v>425</v>
      </c>
      <c r="L127" s="2063" t="s">
        <v>425</v>
      </c>
      <c r="M127" s="2151"/>
      <c r="N127" s="646" t="s">
        <v>425</v>
      </c>
      <c r="O127" s="646" t="s">
        <v>425</v>
      </c>
      <c r="P127" s="646" t="s">
        <v>425</v>
      </c>
      <c r="Q127" s="647">
        <f>SUM(Q128:Q130)</f>
        <v>0</v>
      </c>
      <c r="R127" s="647">
        <f>IF(R124=0,0,(Q124/R124)*100)</f>
        <v>0</v>
      </c>
      <c r="S127" s="2016"/>
      <c r="T127" s="725" t="s">
        <v>417</v>
      </c>
      <c r="U127" s="74"/>
      <c r="V127" s="74"/>
      <c r="AC127" s="74"/>
    </row>
    <row s="2641" customFormat="1" customHeight="1" ht="11.25">
      <c r="A128" s="1857"/>
      <c r="B128" s="1174"/>
      <c r="C128" s="419"/>
      <c r="D128" s="74"/>
      <c r="E128" s="2147"/>
      <c r="F128" s="1947"/>
      <c r="G128" s="2149"/>
      <c r="H128" s="1966"/>
      <c r="I128" s="2094" t="s">
        <v>426</v>
      </c>
      <c r="J128" s="2152"/>
      <c r="K128" s="2153"/>
      <c r="L128" s="648"/>
      <c r="M128" s="649" t="s">
        <v>109</v>
      </c>
      <c r="N128" s="1846"/>
      <c r="O128" s="650"/>
      <c r="P128" s="651"/>
      <c r="Q128" s="650"/>
      <c r="R128" s="652">
        <v>0</v>
      </c>
      <c r="S128" s="2016"/>
      <c r="T128" s="725"/>
      <c r="U128" s="74"/>
      <c r="V128" s="74"/>
      <c r="AC128" s="74"/>
    </row>
    <row s="2641" customFormat="1" customHeight="1" ht="11.25">
      <c r="A129" s="1857"/>
      <c r="B129" s="1174"/>
      <c r="C129" s="419"/>
      <c r="D129" s="74"/>
      <c r="E129" s="2147"/>
      <c r="F129" s="1947"/>
      <c r="G129" s="2149"/>
      <c r="H129" s="1966"/>
      <c r="I129" s="2094"/>
      <c r="J129" s="2152"/>
      <c r="K129" s="2154"/>
      <c r="L129" s="653"/>
      <c r="M129" s="654"/>
      <c r="N129" s="655" t="s">
        <v>427</v>
      </c>
      <c r="O129" s="655"/>
      <c r="P129" s="655"/>
      <c r="Q129" s="655"/>
      <c r="R129" s="656"/>
      <c r="S129" s="2016"/>
      <c r="T129" s="725"/>
      <c r="U129" s="74"/>
      <c r="V129" s="74"/>
      <c r="AC129" s="74"/>
    </row>
    <row s="2641" customFormat="1" customHeight="1" ht="11.25">
      <c r="A130" s="1857"/>
      <c r="B130" s="1174"/>
      <c r="C130" s="419"/>
      <c r="D130" s="74"/>
      <c r="E130" s="2148"/>
      <c r="F130" s="1947"/>
      <c r="G130" s="2150"/>
      <c r="H130" s="653" t="s">
        <v>18</v>
      </c>
      <c r="I130" s="654"/>
      <c r="J130" s="655" t="s">
        <v>428</v>
      </c>
      <c r="K130" s="655"/>
      <c r="L130" s="655"/>
      <c r="M130" s="655"/>
      <c r="N130" s="655"/>
      <c r="O130" s="655"/>
      <c r="P130" s="655"/>
      <c r="Q130" s="655"/>
      <c r="R130" s="656"/>
      <c r="S130" s="2016"/>
      <c r="T130" s="725"/>
      <c r="U130" s="74"/>
      <c r="V130" s="74"/>
      <c r="AC130" s="74"/>
    </row>
    <row r="135" s="2641" customFormat="1" customHeight="1" ht="11.25">
      <c r="A135" s="1857"/>
      <c r="B135" s="1174"/>
      <c r="C135" s="419"/>
      <c r="D135" s="74"/>
      <c r="E135" s="1882"/>
      <c r="F135" s="1882"/>
      <c r="G135" s="1882"/>
      <c r="H135" s="1966"/>
      <c r="I135" s="2094" t="s">
        <v>426</v>
      </c>
      <c r="J135" s="2152"/>
      <c r="K135" s="2153"/>
      <c r="L135" s="648"/>
      <c r="M135" s="649" t="s">
        <v>109</v>
      </c>
      <c r="N135" s="1846"/>
      <c r="O135" s="650"/>
      <c r="P135" s="651"/>
      <c r="Q135" s="650"/>
      <c r="R135" s="652">
        <v>0</v>
      </c>
      <c r="S135" s="74"/>
      <c r="T135" s="725"/>
      <c r="U135" s="74"/>
      <c r="V135" s="74"/>
      <c r="AC135" s="74"/>
    </row>
    <row s="2641" customFormat="1" customHeight="1" ht="11.25">
      <c r="A136" s="1857"/>
      <c r="B136" s="1174"/>
      <c r="C136" s="419"/>
      <c r="D136" s="74"/>
      <c r="E136" s="1882"/>
      <c r="F136" s="1882"/>
      <c r="G136" s="1882"/>
      <c r="H136" s="1966"/>
      <c r="I136" s="2094"/>
      <c r="J136" s="2152"/>
      <c r="K136" s="2154"/>
      <c r="L136" s="653"/>
      <c r="M136" s="654"/>
      <c r="N136" s="655" t="s">
        <v>427</v>
      </c>
      <c r="O136" s="655"/>
      <c r="P136" s="655"/>
      <c r="Q136" s="655"/>
      <c r="R136" s="656"/>
      <c r="S136" s="74"/>
      <c r="T136" s="725"/>
      <c r="U136" s="74"/>
      <c r="V136" s="74"/>
      <c r="AC136" s="74"/>
    </row>
    <row r="138" s="2641" customFormat="1" customHeight="1" ht="11.25">
      <c r="A138" s="1857"/>
      <c r="B138" s="1174"/>
      <c r="C138" s="419"/>
      <c r="D138" s="74"/>
      <c r="E138" s="1889"/>
      <c r="F138" s="1887"/>
      <c r="G138" s="1887"/>
      <c r="H138" s="1890"/>
      <c r="I138" s="1882"/>
      <c r="J138" s="1883"/>
      <c r="K138" s="1883"/>
      <c r="L138" s="648"/>
      <c r="M138" s="649" t="s">
        <v>109</v>
      </c>
      <c r="N138" s="1846"/>
      <c r="O138" s="650"/>
      <c r="P138" s="651"/>
      <c r="Q138" s="650"/>
      <c r="R138" s="652">
        <v>0</v>
      </c>
      <c r="S138" s="74"/>
      <c r="T138" s="725"/>
      <c r="U138" s="74"/>
      <c r="V138" s="74"/>
      <c r="AC138" s="74"/>
    </row>
    <row r="140" s="3137" customFormat="1" customHeight="1" ht="17.25">
      <c r="A140" s="1866" t="s">
        <v>429</v>
      </c>
    </row>
    <row customHeight="1" ht="17.25">
      <c r="G141" s="1891"/>
      <c r="H141" s="1891"/>
      <c r="I141" s="1891"/>
      <c r="M141" s="1887"/>
    </row>
    <row s="3390" customFormat="1" customHeight="1" ht="17.25">
      <c r="A142" s="1892"/>
      <c r="C142" s="1894"/>
      <c r="D142" s="2083"/>
      <c r="E142" s="1982"/>
      <c r="F142" s="1984"/>
      <c r="G142" s="2111"/>
      <c r="H142" s="2083"/>
      <c r="I142" s="2083">
        <v>1</v>
      </c>
      <c r="J142" s="2079"/>
      <c r="K142" s="2022" t="s">
        <v>58</v>
      </c>
      <c r="L142" s="1947"/>
      <c r="M142" s="1947" t="s">
        <v>109</v>
      </c>
      <c r="N142" s="2081" t="str">
        <f>IF(Z142="","",INDEX(TERRITORY_MR_LIST,MATCH(Z142,TERRITORY_LIST_ID,0)))</f>
        <v/>
      </c>
      <c r="O142" s="2022" t="s">
        <v>58</v>
      </c>
      <c r="P142" s="1947"/>
      <c r="Q142" s="1947" t="s">
        <v>109</v>
      </c>
      <c r="R142" s="2077" t="s">
        <v>18</v>
      </c>
      <c r="S142" s="1946" t="s">
        <v>58</v>
      </c>
      <c r="T142" s="1862"/>
      <c r="U142" s="1862" t="s">
        <v>109</v>
      </c>
      <c r="V142" s="1895" t="s">
        <v>18</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390" customFormat="1" customHeight="1" ht="17.25">
      <c r="A143" s="1892"/>
      <c r="C143" s="1897"/>
      <c r="D143" s="2083"/>
      <c r="E143" s="1982"/>
      <c r="F143" s="1985"/>
      <c r="G143" s="2111"/>
      <c r="H143" s="2083"/>
      <c r="I143" s="2083"/>
      <c r="J143" s="2079"/>
      <c r="K143" s="2023"/>
      <c r="L143" s="1947"/>
      <c r="M143" s="1947"/>
      <c r="N143" s="2081"/>
      <c r="O143" s="2023"/>
      <c r="P143" s="1947"/>
      <c r="Q143" s="1947"/>
      <c r="R143" s="2077"/>
      <c r="S143" s="1946"/>
      <c r="T143" s="310"/>
      <c r="U143" s="311"/>
      <c r="V143" s="311" t="s">
        <v>430</v>
      </c>
      <c r="W143" s="312"/>
      <c r="Y143" s="1294"/>
      <c r="Z143" s="1294"/>
      <c r="AA143" s="1294"/>
      <c r="AB143" s="1294"/>
      <c r="AC143" s="1294"/>
      <c r="AD143" s="1294"/>
      <c r="AE143" s="1294"/>
      <c r="AF143" s="1294"/>
      <c r="AG143" s="1294"/>
      <c r="AH143" s="1294"/>
      <c r="AI143" s="1294"/>
      <c r="AJ143" s="1294"/>
      <c r="AK143" s="1294"/>
    </row>
    <row s="3390" customFormat="1" customHeight="1" ht="17.25">
      <c r="A144" s="1892"/>
      <c r="C144" s="1897"/>
      <c r="D144" s="2080"/>
      <c r="E144" s="2110"/>
      <c r="F144" s="1985"/>
      <c r="G144" s="2112"/>
      <c r="H144" s="2080"/>
      <c r="I144" s="2080"/>
      <c r="J144" s="2084"/>
      <c r="K144" s="2023"/>
      <c r="L144" s="2080"/>
      <c r="M144" s="2080"/>
      <c r="N144" s="2082"/>
      <c r="O144" s="1951"/>
      <c r="P144" s="310"/>
      <c r="Q144" s="311"/>
      <c r="R144" s="311" t="s">
        <v>431</v>
      </c>
      <c r="S144" s="1898"/>
      <c r="T144" s="1898"/>
      <c r="U144" s="1898"/>
      <c r="V144" s="1898"/>
      <c r="W144" s="312"/>
      <c r="Y144" s="1294"/>
      <c r="Z144" s="1294"/>
      <c r="AA144" s="1294"/>
      <c r="AB144" s="1294"/>
      <c r="AC144" s="1294"/>
      <c r="AD144" s="1294"/>
      <c r="AE144" s="1294"/>
      <c r="AF144" s="1294"/>
      <c r="AG144" s="1294"/>
      <c r="AH144" s="1294"/>
      <c r="AI144" s="1294"/>
      <c r="AJ144" s="1294"/>
      <c r="AK144" s="1294"/>
    </row>
    <row s="3390" customFormat="1" customHeight="1" ht="17.25">
      <c r="A145" s="1892"/>
      <c r="C145" s="1897"/>
      <c r="D145" s="2080"/>
      <c r="E145" s="2110"/>
      <c r="F145" s="1985"/>
      <c r="G145" s="2112"/>
      <c r="H145" s="2080"/>
      <c r="I145" s="2080"/>
      <c r="J145" s="2084"/>
      <c r="K145" s="1951"/>
      <c r="L145" s="310"/>
      <c r="M145" s="311"/>
      <c r="N145" s="311" t="s">
        <v>432</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390" customFormat="1" customHeight="1" ht="17.25">
      <c r="A146" s="1892"/>
      <c r="C146" s="1897"/>
      <c r="D146" s="2080"/>
      <c r="E146" s="2110"/>
      <c r="F146" s="1986"/>
      <c r="G146" s="2112"/>
      <c r="H146" s="310"/>
      <c r="I146" s="311"/>
      <c r="J146" s="311" t="s">
        <v>433</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390" customFormat="1" customHeight="1" ht="17.25">
      <c r="A148" s="1892"/>
      <c r="C148" s="1894"/>
      <c r="D148" s="1882"/>
      <c r="E148" s="1899"/>
      <c r="F148" s="1834"/>
      <c r="G148" s="1900"/>
      <c r="H148" s="2083"/>
      <c r="I148" s="2083">
        <v>1</v>
      </c>
      <c r="J148" s="2079"/>
      <c r="K148" s="2022" t="s">
        <v>58</v>
      </c>
      <c r="L148" s="1947"/>
      <c r="M148" s="1947" t="s">
        <v>109</v>
      </c>
      <c r="N148" s="2081" t="str">
        <f>IF(Z148="","",INDEX(TERRITORY_MR_LIST,MATCH(Z148,TERRITORY_LIST_ID,0)))</f>
        <v/>
      </c>
      <c r="O148" s="2022" t="s">
        <v>58</v>
      </c>
      <c r="P148" s="1947"/>
      <c r="Q148" s="1947" t="s">
        <v>109</v>
      </c>
      <c r="R148" s="2077" t="s">
        <v>18</v>
      </c>
      <c r="S148" s="1946" t="s">
        <v>58</v>
      </c>
      <c r="T148" s="1862"/>
      <c r="U148" s="1862" t="s">
        <v>109</v>
      </c>
      <c r="V148" s="1895" t="s">
        <v>18</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390" customFormat="1" customHeight="1" ht="17.25">
      <c r="A149" s="1892"/>
      <c r="C149" s="1897"/>
      <c r="D149" s="1882"/>
      <c r="E149" s="1899"/>
      <c r="F149" s="1834"/>
      <c r="G149" s="1900"/>
      <c r="H149" s="2083"/>
      <c r="I149" s="2083"/>
      <c r="J149" s="2079"/>
      <c r="K149" s="2023"/>
      <c r="L149" s="1947"/>
      <c r="M149" s="1947"/>
      <c r="N149" s="2081"/>
      <c r="O149" s="2023"/>
      <c r="P149" s="1947"/>
      <c r="Q149" s="1947"/>
      <c r="R149" s="2077"/>
      <c r="S149" s="1946"/>
      <c r="T149" s="310"/>
      <c r="U149" s="311"/>
      <c r="V149" s="311" t="s">
        <v>430</v>
      </c>
      <c r="W149" s="312"/>
      <c r="Y149" s="1294"/>
      <c r="Z149" s="1294"/>
      <c r="AA149" s="1294"/>
      <c r="AB149" s="1294"/>
      <c r="AC149" s="1294"/>
      <c r="AD149" s="1294"/>
      <c r="AE149" s="1294"/>
      <c r="AF149" s="1294"/>
      <c r="AG149" s="1294"/>
      <c r="AH149" s="1294"/>
      <c r="AI149" s="1294"/>
      <c r="AJ149" s="1294"/>
      <c r="AK149" s="1294"/>
    </row>
    <row s="3390" customFormat="1" customHeight="1" ht="17.25">
      <c r="A150" s="1892"/>
      <c r="C150" s="1897"/>
      <c r="D150" s="1882"/>
      <c r="E150" s="1899"/>
      <c r="F150" s="1834"/>
      <c r="G150" s="1900"/>
      <c r="H150" s="2080"/>
      <c r="I150" s="2080"/>
      <c r="J150" s="2084"/>
      <c r="K150" s="2023"/>
      <c r="L150" s="2080"/>
      <c r="M150" s="2080"/>
      <c r="N150" s="2082"/>
      <c r="O150" s="1951"/>
      <c r="P150" s="310"/>
      <c r="Q150" s="311"/>
      <c r="R150" s="311" t="s">
        <v>431</v>
      </c>
      <c r="S150" s="1898"/>
      <c r="T150" s="1898"/>
      <c r="U150" s="1898"/>
      <c r="V150" s="1898"/>
      <c r="W150" s="312"/>
      <c r="Y150" s="1294"/>
      <c r="Z150" s="1294"/>
      <c r="AA150" s="1294"/>
      <c r="AB150" s="1294"/>
      <c r="AC150" s="1294"/>
      <c r="AD150" s="1294"/>
      <c r="AE150" s="1294"/>
      <c r="AF150" s="1294"/>
      <c r="AG150" s="1294"/>
      <c r="AH150" s="1294"/>
      <c r="AI150" s="1294"/>
      <c r="AJ150" s="1294"/>
      <c r="AK150" s="1294"/>
    </row>
    <row s="3390" customFormat="1" customHeight="1" ht="17.25">
      <c r="A151" s="1892"/>
      <c r="C151" s="1897"/>
      <c r="D151" s="1882"/>
      <c r="E151" s="1899"/>
      <c r="F151" s="1834"/>
      <c r="G151" s="1900"/>
      <c r="H151" s="2080"/>
      <c r="I151" s="2080"/>
      <c r="J151" s="2084"/>
      <c r="K151" s="1951"/>
      <c r="L151" s="310"/>
      <c r="M151" s="311"/>
      <c r="N151" s="311" t="s">
        <v>432</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390" customFormat="1" customHeight="1" ht="17.25">
      <c r="A153" s="1892"/>
      <c r="C153" s="1894"/>
      <c r="D153" s="1882"/>
      <c r="E153" s="1899"/>
      <c r="F153" s="1834"/>
      <c r="G153" s="1900"/>
      <c r="H153" s="1882"/>
      <c r="I153" s="1882"/>
      <c r="J153" s="1901"/>
      <c r="K153" s="1806"/>
      <c r="L153" s="1947"/>
      <c r="M153" s="1947" t="s">
        <v>109</v>
      </c>
      <c r="N153" s="2081" t="str">
        <f>IF(Z153="","",INDEX(TERRITORY_MR_LIST,MATCH(Z153,TERRITORY_LIST_ID,0)))</f>
        <v/>
      </c>
      <c r="O153" s="2022" t="s">
        <v>58</v>
      </c>
      <c r="P153" s="1947"/>
      <c r="Q153" s="1947" t="s">
        <v>109</v>
      </c>
      <c r="R153" s="2077" t="s">
        <v>18</v>
      </c>
      <c r="S153" s="1946" t="s">
        <v>58</v>
      </c>
      <c r="T153" s="1862"/>
      <c r="U153" s="1862" t="s">
        <v>109</v>
      </c>
      <c r="V153" s="1895" t="s">
        <v>18</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390" customFormat="1" customHeight="1" ht="17.25">
      <c r="A154" s="1892"/>
      <c r="C154" s="1897"/>
      <c r="D154" s="1882"/>
      <c r="E154" s="1899"/>
      <c r="F154" s="1834"/>
      <c r="G154" s="1900"/>
      <c r="H154" s="1882"/>
      <c r="I154" s="1882"/>
      <c r="J154" s="1901"/>
      <c r="K154" s="1806"/>
      <c r="L154" s="1947"/>
      <c r="M154" s="1947"/>
      <c r="N154" s="2081"/>
      <c r="O154" s="2023"/>
      <c r="P154" s="1947"/>
      <c r="Q154" s="1947"/>
      <c r="R154" s="2077"/>
      <c r="S154" s="1946"/>
      <c r="T154" s="310"/>
      <c r="U154" s="311"/>
      <c r="V154" s="311" t="s">
        <v>430</v>
      </c>
      <c r="W154" s="312"/>
      <c r="Y154" s="1294"/>
      <c r="Z154" s="1294"/>
      <c r="AA154" s="1294"/>
      <c r="AB154" s="1294"/>
      <c r="AC154" s="1294"/>
      <c r="AD154" s="1294"/>
      <c r="AE154" s="1294"/>
      <c r="AF154" s="1294"/>
      <c r="AG154" s="1294"/>
      <c r="AH154" s="1294"/>
      <c r="AI154" s="1294"/>
      <c r="AJ154" s="1294"/>
      <c r="AK154" s="1294"/>
    </row>
    <row s="3390" customFormat="1" customHeight="1" ht="17.25">
      <c r="A155" s="1892"/>
      <c r="C155" s="1897"/>
      <c r="D155" s="1882"/>
      <c r="E155" s="1899"/>
      <c r="F155" s="1834"/>
      <c r="G155" s="1900"/>
      <c r="H155" s="1882"/>
      <c r="I155" s="1882"/>
      <c r="J155" s="1901"/>
      <c r="K155" s="1806"/>
      <c r="L155" s="2080"/>
      <c r="M155" s="2080"/>
      <c r="N155" s="2082"/>
      <c r="O155" s="1951"/>
      <c r="P155" s="310"/>
      <c r="Q155" s="311"/>
      <c r="R155" s="311" t="s">
        <v>431</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390" customFormat="1" customHeight="1" ht="17.25">
      <c r="A157" s="1892"/>
      <c r="C157" s="1894"/>
      <c r="D157" s="1882"/>
      <c r="E157" s="1899"/>
      <c r="F157" s="1834"/>
      <c r="G157" s="1900"/>
      <c r="H157" s="1882"/>
      <c r="I157" s="1882"/>
      <c r="J157" s="1901"/>
      <c r="K157" s="1806"/>
      <c r="L157" s="1802"/>
      <c r="M157" s="1802"/>
      <c r="N157" s="1902"/>
      <c r="O157" s="1837"/>
      <c r="P157" s="1947"/>
      <c r="Q157" s="1947" t="s">
        <v>109</v>
      </c>
      <c r="R157" s="2077" t="s">
        <v>18</v>
      </c>
      <c r="S157" s="1946" t="s">
        <v>58</v>
      </c>
      <c r="T157" s="1862"/>
      <c r="U157" s="1862" t="s">
        <v>109</v>
      </c>
      <c r="V157" s="1895" t="s">
        <v>18</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390" customFormat="1" customHeight="1" ht="17.25">
      <c r="A158" s="1892"/>
      <c r="C158" s="1897"/>
      <c r="D158" s="1882"/>
      <c r="E158" s="1899"/>
      <c r="F158" s="1834"/>
      <c r="G158" s="1900"/>
      <c r="H158" s="1882"/>
      <c r="I158" s="1882"/>
      <c r="J158" s="1901"/>
      <c r="K158" s="1806"/>
      <c r="L158" s="1802"/>
      <c r="M158" s="1802"/>
      <c r="N158" s="1902"/>
      <c r="O158" s="1837"/>
      <c r="P158" s="1947"/>
      <c r="Q158" s="1947"/>
      <c r="R158" s="2077"/>
      <c r="S158" s="1946"/>
      <c r="T158" s="310"/>
      <c r="U158" s="311"/>
      <c r="V158" s="311" t="s">
        <v>430</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390"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109</v>
      </c>
      <c r="V160" s="1895" t="s">
        <v>18</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37" customFormat="1" customHeight="1" ht="17.25">
      <c r="A162" s="1866" t="s">
        <v>434</v>
      </c>
    </row>
    <row customHeight="1" ht="17.25">
      <c r="G163" s="1891"/>
      <c r="H163" s="1891"/>
      <c r="I163" s="1891"/>
      <c r="M163" s="1887"/>
    </row>
    <row s="3390" customFormat="1" customHeight="1" ht="17.25">
      <c r="A164" s="1892"/>
      <c r="C164" s="1894"/>
      <c r="D164" s="2083"/>
      <c r="E164" s="1982"/>
      <c r="F164" s="1984"/>
      <c r="G164" s="2111"/>
      <c r="H164" s="2083"/>
      <c r="I164" s="2083">
        <v>1</v>
      </c>
      <c r="J164" s="2079"/>
      <c r="K164" s="2022" t="s">
        <v>58</v>
      </c>
      <c r="L164" s="1947"/>
      <c r="M164" s="1947" t="s">
        <v>109</v>
      </c>
      <c r="N164" s="2081" t="str">
        <f>IF(Z164="","",INDEX(TERRITORY_MR_LIST,MATCH(Z164,TERRITORY_LIST_ID,0)))</f>
        <v/>
      </c>
      <c r="O164" s="2022" t="s">
        <v>58</v>
      </c>
      <c r="P164" s="1947"/>
      <c r="Q164" s="1947" t="s">
        <v>109</v>
      </c>
      <c r="R164" s="2077" t="s">
        <v>18</v>
      </c>
      <c r="S164" s="2078" t="s">
        <v>56</v>
      </c>
      <c r="T164" s="1853"/>
      <c r="U164" s="1853" t="s">
        <v>109</v>
      </c>
      <c r="V164" s="1470"/>
      <c r="W164" s="207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390" customFormat="1" customHeight="1" ht="17.25">
      <c r="A165" s="1892"/>
      <c r="C165" s="1897"/>
      <c r="D165" s="2083"/>
      <c r="E165" s="1982"/>
      <c r="F165" s="1985"/>
      <c r="G165" s="2111"/>
      <c r="H165" s="2083"/>
      <c r="I165" s="2083"/>
      <c r="J165" s="2079"/>
      <c r="K165" s="2023"/>
      <c r="L165" s="1947"/>
      <c r="M165" s="1947"/>
      <c r="N165" s="2081"/>
      <c r="O165" s="2023"/>
      <c r="P165" s="1947"/>
      <c r="Q165" s="1947"/>
      <c r="R165" s="2077"/>
      <c r="S165" s="2078"/>
      <c r="T165" s="1471"/>
      <c r="U165" s="1472"/>
      <c r="V165" s="1472"/>
      <c r="W165" s="2079"/>
      <c r="Y165" s="1294"/>
      <c r="Z165" s="1294"/>
      <c r="AA165" s="1294"/>
      <c r="AB165" s="1294"/>
      <c r="AC165" s="1294"/>
      <c r="AD165" s="1294"/>
      <c r="AE165" s="1294"/>
      <c r="AF165" s="1294"/>
      <c r="AG165" s="1294"/>
      <c r="AH165" s="1294"/>
      <c r="AI165" s="1294"/>
      <c r="AJ165" s="1294"/>
      <c r="AK165" s="1294"/>
    </row>
    <row s="3390" customFormat="1" customHeight="1" ht="17.25">
      <c r="A166" s="1892"/>
      <c r="C166" s="1897"/>
      <c r="D166" s="2080"/>
      <c r="E166" s="2110"/>
      <c r="F166" s="1985"/>
      <c r="G166" s="2112"/>
      <c r="H166" s="2080"/>
      <c r="I166" s="2080"/>
      <c r="J166" s="2084"/>
      <c r="K166" s="2023"/>
      <c r="L166" s="2080"/>
      <c r="M166" s="2080"/>
      <c r="N166" s="2082"/>
      <c r="O166" s="1951"/>
      <c r="P166" s="310"/>
      <c r="Q166" s="311"/>
      <c r="R166" s="311" t="s">
        <v>431</v>
      </c>
      <c r="S166" s="1898"/>
      <c r="T166" s="1898"/>
      <c r="U166" s="1898"/>
      <c r="V166" s="1898"/>
      <c r="W166" s="1469"/>
      <c r="Y166" s="1294"/>
      <c r="Z166" s="1294"/>
      <c r="AA166" s="1294"/>
      <c r="AB166" s="1294"/>
      <c r="AC166" s="1294"/>
      <c r="AD166" s="1294"/>
      <c r="AE166" s="1294"/>
      <c r="AF166" s="1294"/>
      <c r="AG166" s="1294"/>
      <c r="AH166" s="1294"/>
      <c r="AI166" s="1294"/>
      <c r="AJ166" s="1294"/>
      <c r="AK166" s="1294"/>
    </row>
    <row s="3390" customFormat="1" customHeight="1" ht="17.25">
      <c r="A167" s="1892"/>
      <c r="C167" s="1897"/>
      <c r="D167" s="2080"/>
      <c r="E167" s="2110"/>
      <c r="F167" s="1985"/>
      <c r="G167" s="2112"/>
      <c r="H167" s="2080"/>
      <c r="I167" s="2080"/>
      <c r="J167" s="2084"/>
      <c r="K167" s="1951"/>
      <c r="L167" s="310"/>
      <c r="M167" s="311"/>
      <c r="N167" s="311" t="s">
        <v>432</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390" customFormat="1" customHeight="1" ht="17.25">
      <c r="A168" s="1892"/>
      <c r="C168" s="1897"/>
      <c r="D168" s="2080"/>
      <c r="E168" s="2110"/>
      <c r="F168" s="1986"/>
      <c r="G168" s="2112"/>
      <c r="H168" s="310"/>
      <c r="I168" s="311"/>
      <c r="J168" s="311" t="s">
        <v>433</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390" customFormat="1" customHeight="1" ht="17.25">
      <c r="A170" s="1892"/>
      <c r="C170" s="1894"/>
      <c r="D170" s="1882"/>
      <c r="E170" s="1899"/>
      <c r="F170" s="1834"/>
      <c r="G170" s="1900"/>
      <c r="H170" s="2083"/>
      <c r="I170" s="2083">
        <v>1</v>
      </c>
      <c r="J170" s="2079"/>
      <c r="K170" s="2022" t="s">
        <v>58</v>
      </c>
      <c r="L170" s="1947"/>
      <c r="M170" s="1947" t="s">
        <v>109</v>
      </c>
      <c r="N170" s="2081" t="str">
        <f>IF(Z170="","",INDEX(TERRITORY_MR_LIST,MATCH(Z170,TERRITORY_LIST_ID,0)))</f>
        <v/>
      </c>
      <c r="O170" s="2022" t="s">
        <v>58</v>
      </c>
      <c r="P170" s="1947"/>
      <c r="Q170" s="1947" t="s">
        <v>109</v>
      </c>
      <c r="R170" s="2077" t="s">
        <v>18</v>
      </c>
      <c r="S170" s="2078" t="s">
        <v>56</v>
      </c>
      <c r="T170" s="1853"/>
      <c r="U170" s="1853" t="s">
        <v>109</v>
      </c>
      <c r="V170" s="1470"/>
      <c r="W170" s="207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390" customFormat="1" customHeight="1" ht="17.25">
      <c r="A171" s="1892"/>
      <c r="C171" s="1897"/>
      <c r="D171" s="1882"/>
      <c r="E171" s="1899"/>
      <c r="F171" s="1834"/>
      <c r="G171" s="1900"/>
      <c r="H171" s="2083"/>
      <c r="I171" s="2083"/>
      <c r="J171" s="2079"/>
      <c r="K171" s="2023"/>
      <c r="L171" s="1947"/>
      <c r="M171" s="1947"/>
      <c r="N171" s="2081"/>
      <c r="O171" s="2023"/>
      <c r="P171" s="1947"/>
      <c r="Q171" s="1947"/>
      <c r="R171" s="2077"/>
      <c r="S171" s="2078"/>
      <c r="T171" s="1471"/>
      <c r="U171" s="1472"/>
      <c r="V171" s="1472"/>
      <c r="W171" s="2079"/>
      <c r="Y171" s="1294"/>
      <c r="Z171" s="1294"/>
      <c r="AA171" s="1294"/>
      <c r="AB171" s="1294"/>
      <c r="AC171" s="1294"/>
      <c r="AD171" s="1294"/>
      <c r="AE171" s="1294"/>
      <c r="AF171" s="1294"/>
      <c r="AG171" s="1294"/>
      <c r="AH171" s="1294"/>
      <c r="AI171" s="1294"/>
      <c r="AJ171" s="1294"/>
      <c r="AK171" s="1294"/>
    </row>
    <row s="3390" customFormat="1" customHeight="1" ht="17.25">
      <c r="A172" s="1892"/>
      <c r="C172" s="1897"/>
      <c r="D172" s="1882"/>
      <c r="E172" s="1899"/>
      <c r="F172" s="1834"/>
      <c r="G172" s="1900"/>
      <c r="H172" s="2080"/>
      <c r="I172" s="2080"/>
      <c r="J172" s="2084"/>
      <c r="K172" s="2023"/>
      <c r="L172" s="2080"/>
      <c r="M172" s="2080"/>
      <c r="N172" s="2082"/>
      <c r="O172" s="1951"/>
      <c r="P172" s="310"/>
      <c r="Q172" s="311"/>
      <c r="R172" s="311" t="s">
        <v>431</v>
      </c>
      <c r="S172" s="1898"/>
      <c r="T172" s="1898"/>
      <c r="U172" s="1898"/>
      <c r="V172" s="1898"/>
      <c r="W172" s="1469"/>
      <c r="Y172" s="1294"/>
      <c r="Z172" s="1294"/>
      <c r="AA172" s="1294"/>
      <c r="AB172" s="1294"/>
      <c r="AC172" s="1294"/>
      <c r="AD172" s="1294"/>
      <c r="AE172" s="1294"/>
      <c r="AF172" s="1294"/>
      <c r="AG172" s="1294"/>
      <c r="AH172" s="1294"/>
      <c r="AI172" s="1294"/>
      <c r="AJ172" s="1294"/>
      <c r="AK172" s="1294"/>
    </row>
    <row s="3390" customFormat="1" customHeight="1" ht="17.25">
      <c r="A173" s="1892"/>
      <c r="C173" s="1897"/>
      <c r="D173" s="1882"/>
      <c r="E173" s="1899"/>
      <c r="F173" s="1834"/>
      <c r="G173" s="1900"/>
      <c r="H173" s="2080"/>
      <c r="I173" s="2080"/>
      <c r="J173" s="2084"/>
      <c r="K173" s="1951"/>
      <c r="L173" s="310"/>
      <c r="M173" s="311"/>
      <c r="N173" s="311" t="s">
        <v>432</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390" customFormat="1" customHeight="1" ht="17.25">
      <c r="A175" s="1892"/>
      <c r="C175" s="1894"/>
      <c r="D175" s="1882"/>
      <c r="E175" s="1899"/>
      <c r="F175" s="1834"/>
      <c r="G175" s="1900"/>
      <c r="H175" s="1882"/>
      <c r="I175" s="1882"/>
      <c r="J175" s="1904"/>
      <c r="K175" s="1900"/>
      <c r="L175" s="1947"/>
      <c r="M175" s="1947" t="s">
        <v>109</v>
      </c>
      <c r="N175" s="2081" t="str">
        <f>IF(Z175="","",INDEX(TERRITORY_MR_LIST,MATCH(Z175,TERRITORY_LIST_ID,0)))</f>
        <v/>
      </c>
      <c r="O175" s="2022" t="s">
        <v>58</v>
      </c>
      <c r="P175" s="1947"/>
      <c r="Q175" s="1947" t="s">
        <v>109</v>
      </c>
      <c r="R175" s="2077" t="s">
        <v>18</v>
      </c>
      <c r="S175" s="2078" t="s">
        <v>56</v>
      </c>
      <c r="T175" s="1853"/>
      <c r="U175" s="1853" t="s">
        <v>109</v>
      </c>
      <c r="V175" s="1470"/>
      <c r="W175" s="207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390" customFormat="1" customHeight="1" ht="17.25">
      <c r="A176" s="1892"/>
      <c r="C176" s="1897"/>
      <c r="D176" s="1882"/>
      <c r="E176" s="1899"/>
      <c r="F176" s="1834"/>
      <c r="G176" s="1900"/>
      <c r="H176" s="1882"/>
      <c r="I176" s="1882"/>
      <c r="J176" s="1904"/>
      <c r="K176" s="1900"/>
      <c r="L176" s="1947"/>
      <c r="M176" s="1947"/>
      <c r="N176" s="2081"/>
      <c r="O176" s="2023"/>
      <c r="P176" s="1947"/>
      <c r="Q176" s="1947"/>
      <c r="R176" s="2077"/>
      <c r="S176" s="2078"/>
      <c r="T176" s="1471"/>
      <c r="U176" s="1472"/>
      <c r="V176" s="1472"/>
      <c r="W176" s="2079"/>
      <c r="Y176" s="1294"/>
      <c r="Z176" s="1294"/>
      <c r="AA176" s="1294"/>
      <c r="AB176" s="1294"/>
      <c r="AC176" s="1294"/>
      <c r="AD176" s="1294"/>
      <c r="AE176" s="1294"/>
      <c r="AF176" s="1294"/>
      <c r="AG176" s="1294"/>
      <c r="AH176" s="1294"/>
      <c r="AI176" s="1294"/>
      <c r="AJ176" s="1294"/>
      <c r="AK176" s="1294"/>
    </row>
    <row s="3390" customFormat="1" customHeight="1" ht="17.25">
      <c r="A177" s="1892"/>
      <c r="C177" s="1897"/>
      <c r="D177" s="1882"/>
      <c r="E177" s="1899"/>
      <c r="F177" s="1834"/>
      <c r="G177" s="1900"/>
      <c r="H177" s="1882"/>
      <c r="I177" s="1882"/>
      <c r="J177" s="1904"/>
      <c r="K177" s="1900"/>
      <c r="L177" s="2080"/>
      <c r="M177" s="2080"/>
      <c r="N177" s="2082"/>
      <c r="O177" s="1951"/>
      <c r="P177" s="310"/>
      <c r="Q177" s="311"/>
      <c r="R177" s="311" t="s">
        <v>431</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390" customFormat="1" customHeight="1" ht="17.25">
      <c r="A179" s="1892"/>
      <c r="C179" s="1894"/>
      <c r="D179" s="1882"/>
      <c r="E179" s="1899"/>
      <c r="F179" s="1834"/>
      <c r="G179" s="1900"/>
      <c r="H179" s="1882"/>
      <c r="I179" s="1882"/>
      <c r="J179" s="1904"/>
      <c r="K179" s="1900"/>
      <c r="L179" s="1882"/>
      <c r="M179" s="1882"/>
      <c r="N179" s="1902"/>
      <c r="O179" s="1837"/>
      <c r="P179" s="1947"/>
      <c r="Q179" s="1947" t="s">
        <v>109</v>
      </c>
      <c r="R179" s="2077" t="s">
        <v>18</v>
      </c>
      <c r="S179" s="2078" t="s">
        <v>56</v>
      </c>
      <c r="T179" s="1853"/>
      <c r="U179" s="1853" t="s">
        <v>109</v>
      </c>
      <c r="V179" s="1470"/>
      <c r="W179" s="207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390" customFormat="1" customHeight="1" ht="17.25">
      <c r="A180" s="1892"/>
      <c r="C180" s="1897"/>
      <c r="D180" s="1882"/>
      <c r="E180" s="1899"/>
      <c r="F180" s="1834"/>
      <c r="G180" s="1900"/>
      <c r="H180" s="1882"/>
      <c r="I180" s="1882"/>
      <c r="J180" s="1904"/>
      <c r="K180" s="1900"/>
      <c r="L180" s="1882"/>
      <c r="M180" s="1882"/>
      <c r="N180" s="1902"/>
      <c r="O180" s="1837"/>
      <c r="P180" s="1947"/>
      <c r="Q180" s="1947"/>
      <c r="R180" s="2077"/>
      <c r="S180" s="2078"/>
      <c r="T180" s="1471"/>
      <c r="U180" s="1472"/>
      <c r="V180" s="1472"/>
      <c r="W180" s="207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35"/>
      <c r="E182" s="2016"/>
      <c r="F182" s="2016"/>
      <c r="G182" s="1966"/>
      <c r="H182" s="2136"/>
      <c r="I182" s="2126"/>
      <c r="J182" s="1991"/>
      <c r="K182" s="1974"/>
      <c r="L182" s="1974"/>
      <c r="M182" s="1974"/>
      <c r="N182" s="2139"/>
      <c r="O182" s="1974"/>
      <c r="P182" s="1974"/>
      <c r="Q182" s="1974"/>
      <c r="R182" s="2124"/>
      <c r="S182" s="1974"/>
      <c r="T182" s="1833"/>
      <c r="U182" s="1833"/>
      <c r="V182" s="1905"/>
      <c r="W182" s="1332"/>
    </row>
    <row customHeight="1" ht="16.5">
      <c r="A183" s="1892"/>
      <c r="B183" s="1893"/>
      <c r="C183" s="1897"/>
      <c r="D183" s="2135"/>
      <c r="E183" s="2016"/>
      <c r="F183" s="2016"/>
      <c r="G183" s="1966"/>
      <c r="H183" s="2137"/>
      <c r="I183" s="2127"/>
      <c r="J183" s="1992"/>
      <c r="K183" s="1975"/>
      <c r="L183" s="1975"/>
      <c r="M183" s="1975"/>
      <c r="N183" s="2140"/>
      <c r="O183" s="1975"/>
      <c r="P183" s="1975"/>
      <c r="Q183" s="1975"/>
      <c r="R183" s="2125"/>
      <c r="S183" s="1975"/>
      <c r="T183" s="1333"/>
      <c r="U183" s="1333"/>
      <c r="V183" s="1333"/>
      <c r="W183" s="1334"/>
    </row>
    <row customHeight="1" ht="17.25">
      <c r="A184" s="1892"/>
      <c r="B184" s="1893"/>
      <c r="C184" s="1897"/>
      <c r="D184" s="2135"/>
      <c r="E184" s="2016"/>
      <c r="F184" s="2016"/>
      <c r="G184" s="1966"/>
      <c r="H184" s="2137"/>
      <c r="I184" s="2127"/>
      <c r="J184" s="2138"/>
      <c r="K184" s="1975"/>
      <c r="L184" s="1975"/>
      <c r="M184" s="1975"/>
      <c r="N184" s="2125"/>
      <c r="O184" s="1975"/>
      <c r="P184" s="1836"/>
      <c r="Q184" s="1333"/>
      <c r="R184" s="1333"/>
      <c r="S184" s="1906"/>
      <c r="T184" s="1906"/>
      <c r="U184" s="1906"/>
      <c r="V184" s="1906"/>
      <c r="W184" s="1334"/>
    </row>
    <row customHeight="1" ht="17.25">
      <c r="A185" s="1892"/>
      <c r="B185" s="1893"/>
      <c r="C185" s="1897"/>
      <c r="D185" s="2135"/>
      <c r="E185" s="2016"/>
      <c r="F185" s="2016"/>
      <c r="G185" s="1966"/>
      <c r="H185" s="2137"/>
      <c r="I185" s="2127"/>
      <c r="J185" s="2138"/>
      <c r="K185" s="1975"/>
      <c r="L185" s="1333"/>
      <c r="M185" s="1333"/>
      <c r="N185" s="1333"/>
      <c r="O185" s="1333"/>
      <c r="P185" s="1333"/>
      <c r="Q185" s="1333"/>
      <c r="R185" s="1333"/>
      <c r="S185" s="1906"/>
      <c r="T185" s="1906"/>
      <c r="U185" s="1906"/>
      <c r="V185" s="1906"/>
      <c r="W185" s="1334"/>
    </row>
    <row customHeight="1" ht="17.25">
      <c r="A186" s="1892"/>
      <c r="B186" s="1893"/>
      <c r="C186" s="1897"/>
      <c r="D186" s="2135"/>
      <c r="E186" s="2016"/>
      <c r="F186" s="2016"/>
      <c r="G186" s="1966"/>
      <c r="H186" s="1335"/>
      <c r="I186" s="1336"/>
      <c r="J186" s="1336"/>
      <c r="K186" s="1336"/>
      <c r="L186" s="1336"/>
      <c r="M186" s="1336"/>
      <c r="N186" s="1336"/>
      <c r="O186" s="1336"/>
      <c r="P186" s="1336"/>
      <c r="Q186" s="1336"/>
      <c r="R186" s="1336"/>
      <c r="S186" s="1907"/>
      <c r="T186" s="1907"/>
      <c r="U186" s="1907"/>
      <c r="V186" s="1907"/>
      <c r="W186" s="1338"/>
    </row>
    <row r="188" s="3137" customFormat="1" customHeight="1" ht="17.25">
      <c r="A188" s="1866" t="s">
        <v>435</v>
      </c>
    </row>
    <row customHeight="1" ht="17.25">
      <c r="G189" s="1891"/>
      <c r="H189" s="1891"/>
      <c r="I189" s="1891"/>
      <c r="M189" s="1887"/>
    </row>
    <row s="2641" customFormat="1" customHeight="1" ht="15">
      <c r="D190" s="2103"/>
      <c r="E190" s="2036"/>
      <c r="F190" s="2036"/>
      <c r="G190" s="2022"/>
      <c r="H190" s="1610"/>
      <c r="I190" s="2108">
        <v>1</v>
      </c>
      <c r="J190" s="2079"/>
      <c r="K190" s="1625"/>
      <c r="L190" s="2022" t="s">
        <v>58</v>
      </c>
      <c r="M190" s="2022" t="s">
        <v>58</v>
      </c>
      <c r="N190" s="1610"/>
      <c r="O190" s="1947" t="s">
        <v>109</v>
      </c>
      <c r="P190" s="2097"/>
      <c r="Q190" s="1626"/>
      <c r="R190" s="2022" t="s">
        <v>58</v>
      </c>
      <c r="S190" s="2022" t="s">
        <v>58</v>
      </c>
      <c r="T190" s="1908"/>
      <c r="U190" s="1947" t="s">
        <v>109</v>
      </c>
      <c r="V190" s="2104" t="str">
        <f>IF(AK190="","",INDEX(TERRITORY_MR_LIST,MATCH(AK190,TERRITORY_LIST_ID,0)))</f>
        <v/>
      </c>
      <c r="W190" s="1627"/>
      <c r="X190" s="2022" t="s">
        <v>58</v>
      </c>
      <c r="Y190" s="2022" t="s">
        <v>56</v>
      </c>
      <c r="Z190" s="1610"/>
      <c r="AA190" s="1947" t="s">
        <v>109</v>
      </c>
      <c r="AB190" s="2106"/>
      <c r="AC190" s="1628"/>
      <c r="AD190" s="2022" t="s">
        <v>58</v>
      </c>
      <c r="AE190" s="2022" t="s">
        <v>56</v>
      </c>
      <c r="AF190" s="1608"/>
      <c r="AG190" s="1862" t="s">
        <v>109</v>
      </c>
      <c r="AH190" s="1618"/>
      <c r="AI190" s="1852"/>
    </row>
    <row s="2641" customFormat="1" customHeight="1" ht="15">
      <c r="D191" s="2103"/>
      <c r="E191" s="2036"/>
      <c r="F191" s="2036"/>
      <c r="G191" s="2023"/>
      <c r="H191" s="1610"/>
      <c r="I191" s="2108"/>
      <c r="J191" s="2079"/>
      <c r="K191" s="1609"/>
      <c r="L191" s="2023"/>
      <c r="M191" s="2023"/>
      <c r="N191" s="1610"/>
      <c r="O191" s="1947"/>
      <c r="P191" s="2097"/>
      <c r="Q191" s="1606"/>
      <c r="R191" s="2023"/>
      <c r="S191" s="2023"/>
      <c r="T191" s="1908"/>
      <c r="U191" s="1947"/>
      <c r="V191" s="2105"/>
      <c r="W191" s="1607"/>
      <c r="X191" s="2023"/>
      <c r="Y191" s="2023"/>
      <c r="Z191" s="1610"/>
      <c r="AA191" s="1947"/>
      <c r="AB191" s="2107"/>
      <c r="AC191" s="1611"/>
      <c r="AD191" s="1951"/>
      <c r="AE191" s="1951"/>
      <c r="AF191" s="1612"/>
      <c r="AG191" s="1613"/>
      <c r="AH191" s="2098" t="s">
        <v>436</v>
      </c>
      <c r="AI191" s="2099"/>
    </row>
    <row s="2641" customFormat="1" customHeight="1" ht="15">
      <c r="D192" s="2103"/>
      <c r="E192" s="2036"/>
      <c r="F192" s="2036"/>
      <c r="G192" s="2023"/>
      <c r="H192" s="1610"/>
      <c r="I192" s="2108"/>
      <c r="J192" s="2079"/>
      <c r="K192" s="1609"/>
      <c r="L192" s="2023"/>
      <c r="M192" s="2023"/>
      <c r="N192" s="1610"/>
      <c r="O192" s="1947"/>
      <c r="P192" s="2097"/>
      <c r="Q192" s="1606"/>
      <c r="R192" s="2023"/>
      <c r="S192" s="2023"/>
      <c r="T192" s="1908"/>
      <c r="U192" s="1947"/>
      <c r="V192" s="2105"/>
      <c r="W192" s="1607"/>
      <c r="X192" s="2023"/>
      <c r="Y192" s="2023"/>
      <c r="Z192" s="1649"/>
      <c r="AA192" s="1615"/>
      <c r="AB192" s="2100" t="s">
        <v>437</v>
      </c>
      <c r="AC192" s="2100"/>
      <c r="AD192" s="2100"/>
      <c r="AE192" s="2100"/>
      <c r="AF192" s="2100"/>
      <c r="AG192" s="2100"/>
      <c r="AH192" s="2100"/>
      <c r="AI192" s="2101"/>
    </row>
    <row s="2641" customFormat="1" customHeight="1" ht="15">
      <c r="D193" s="2103"/>
      <c r="E193" s="2036"/>
      <c r="F193" s="2036"/>
      <c r="G193" s="2023"/>
      <c r="H193" s="1610"/>
      <c r="I193" s="2108"/>
      <c r="J193" s="2079"/>
      <c r="K193" s="1609"/>
      <c r="L193" s="2023"/>
      <c r="M193" s="2023"/>
      <c r="N193" s="1610"/>
      <c r="O193" s="1947"/>
      <c r="P193" s="2102"/>
      <c r="Q193" s="1606"/>
      <c r="R193" s="2023"/>
      <c r="S193" s="2023"/>
      <c r="T193" s="1909"/>
      <c r="U193" s="1650"/>
      <c r="V193" s="2098" t="s">
        <v>103</v>
      </c>
      <c r="W193" s="2098"/>
      <c r="X193" s="2098"/>
      <c r="Y193" s="2098"/>
      <c r="Z193" s="2098"/>
      <c r="AA193" s="2098"/>
      <c r="AB193" s="2098"/>
      <c r="AC193" s="2098"/>
      <c r="AD193" s="2098"/>
      <c r="AE193" s="2098"/>
      <c r="AF193" s="2098"/>
      <c r="AG193" s="2098"/>
      <c r="AH193" s="2098"/>
      <c r="AI193" s="2099"/>
    </row>
    <row s="2641" customFormat="1" customHeight="1" ht="11.25">
      <c r="D194" s="2103"/>
      <c r="E194" s="2036"/>
      <c r="F194" s="2036"/>
      <c r="G194" s="2023"/>
      <c r="H194" s="1614"/>
      <c r="I194" s="2108"/>
      <c r="J194" s="2109"/>
      <c r="K194" s="1609"/>
      <c r="L194" s="2023"/>
      <c r="M194" s="2023"/>
      <c r="N194" s="1614"/>
      <c r="O194" s="1615"/>
      <c r="P194" s="2098" t="s">
        <v>438</v>
      </c>
      <c r="Q194" s="2098"/>
      <c r="R194" s="2098"/>
      <c r="S194" s="2098"/>
      <c r="T194" s="2098"/>
      <c r="U194" s="2098"/>
      <c r="V194" s="2098"/>
      <c r="W194" s="2098"/>
      <c r="X194" s="2098"/>
      <c r="Y194" s="2098"/>
      <c r="Z194" s="2098"/>
      <c r="AA194" s="2098"/>
      <c r="AB194" s="2098"/>
      <c r="AC194" s="2098"/>
      <c r="AD194" s="2098"/>
      <c r="AE194" s="2098"/>
      <c r="AF194" s="2098"/>
      <c r="AG194" s="2098"/>
      <c r="AH194" s="2098"/>
      <c r="AI194" s="2099"/>
    </row>
    <row s="2858" customFormat="1" customHeight="1" ht="11.25">
      <c r="D195" s="2103"/>
      <c r="E195" s="2036"/>
      <c r="F195" s="2036"/>
      <c r="G195" s="1951"/>
      <c r="H195" s="1616"/>
      <c r="I195" s="1617"/>
      <c r="J195" s="2098" t="s">
        <v>433</v>
      </c>
      <c r="K195" s="2098"/>
      <c r="L195" s="2098"/>
      <c r="M195" s="2098"/>
      <c r="N195" s="2098"/>
      <c r="O195" s="2098"/>
      <c r="P195" s="2098"/>
      <c r="Q195" s="2098"/>
      <c r="R195" s="2098"/>
      <c r="S195" s="2098"/>
      <c r="T195" s="2098"/>
      <c r="U195" s="2098"/>
      <c r="V195" s="2098"/>
      <c r="W195" s="2098"/>
      <c r="X195" s="2098"/>
      <c r="Y195" s="2098"/>
      <c r="Z195" s="2098"/>
      <c r="AA195" s="2098"/>
      <c r="AB195" s="2098"/>
      <c r="AC195" s="2098"/>
      <c r="AD195" s="2098"/>
      <c r="AE195" s="2098"/>
      <c r="AF195" s="2098"/>
      <c r="AG195" s="2098"/>
      <c r="AH195" s="2098"/>
      <c r="AI195" s="2099"/>
      <c r="BK195" s="1620"/>
    </row>
    <row customHeight="1" ht="17.25">
      <c r="G196" s="1891"/>
      <c r="I196" s="1891"/>
      <c r="J196" s="1891"/>
      <c r="N196" s="1887"/>
    </row>
    <row s="2641" customFormat="1" customHeight="1" ht="15">
      <c r="D197" s="2103"/>
      <c r="E197" s="2036"/>
      <c r="F197" s="2036"/>
      <c r="G197" s="2016"/>
      <c r="H197" s="1645"/>
      <c r="I197" s="2018"/>
      <c r="J197" s="1991"/>
      <c r="K197" s="1835"/>
      <c r="L197" s="1974"/>
      <c r="M197" s="1974"/>
      <c r="N197" s="1630"/>
      <c r="O197" s="1974"/>
      <c r="P197" s="1991"/>
      <c r="Q197" s="1839"/>
      <c r="R197" s="1974"/>
      <c r="S197" s="1974"/>
      <c r="T197" s="1910"/>
      <c r="U197" s="1974"/>
      <c r="V197" s="1991"/>
      <c r="W197" s="1633"/>
      <c r="X197" s="1974"/>
      <c r="Y197" s="1974"/>
      <c r="Z197" s="1630"/>
      <c r="AA197" s="1974"/>
      <c r="AB197" s="1991"/>
      <c r="AC197" s="1634"/>
      <c r="AD197" s="1974"/>
      <c r="AE197" s="1974"/>
      <c r="AF197" s="1833"/>
      <c r="AG197" s="1833"/>
      <c r="AH197" s="1635"/>
      <c r="AI197" s="1332"/>
    </row>
    <row s="2641" customFormat="1" customHeight="1" ht="15">
      <c r="D198" s="2103"/>
      <c r="E198" s="2036"/>
      <c r="F198" s="2036"/>
      <c r="G198" s="2016"/>
      <c r="H198" s="1646"/>
      <c r="I198" s="2019"/>
      <c r="J198" s="1992"/>
      <c r="K198" s="1656"/>
      <c r="L198" s="1975"/>
      <c r="M198" s="1975"/>
      <c r="N198" s="1636"/>
      <c r="O198" s="1975"/>
      <c r="P198" s="1992"/>
      <c r="Q198" s="1840"/>
      <c r="R198" s="1975"/>
      <c r="S198" s="1975"/>
      <c r="T198" s="1911"/>
      <c r="U198" s="1975"/>
      <c r="V198" s="1992"/>
      <c r="W198" s="1639"/>
      <c r="X198" s="1975"/>
      <c r="Y198" s="1975"/>
      <c r="Z198" s="1636"/>
      <c r="AA198" s="1975"/>
      <c r="AB198" s="1992"/>
      <c r="AC198" s="1640"/>
      <c r="AD198" s="1975"/>
      <c r="AE198" s="1975"/>
      <c r="AF198" s="1838"/>
      <c r="AG198" s="1838"/>
      <c r="AH198" s="2014"/>
      <c r="AI198" s="2015"/>
    </row>
    <row s="2641" customFormat="1" customHeight="1" ht="15">
      <c r="D199" s="2103"/>
      <c r="E199" s="2036"/>
      <c r="F199" s="2036"/>
      <c r="G199" s="2016"/>
      <c r="H199" s="1646"/>
      <c r="I199" s="2019"/>
      <c r="J199" s="1992"/>
      <c r="K199" s="1656"/>
      <c r="L199" s="1975"/>
      <c r="M199" s="1975"/>
      <c r="N199" s="1636"/>
      <c r="O199" s="1975"/>
      <c r="P199" s="1992"/>
      <c r="Q199" s="1840"/>
      <c r="R199" s="1975"/>
      <c r="S199" s="1975"/>
      <c r="T199" s="1911"/>
      <c r="U199" s="1975"/>
      <c r="V199" s="1992"/>
      <c r="W199" s="1639"/>
      <c r="X199" s="1975"/>
      <c r="Y199" s="1975"/>
      <c r="Z199" s="1836"/>
      <c r="AA199" s="1838"/>
      <c r="AB199" s="2014"/>
      <c r="AC199" s="2014"/>
      <c r="AD199" s="2014"/>
      <c r="AE199" s="2014"/>
      <c r="AF199" s="2014"/>
      <c r="AG199" s="2014"/>
      <c r="AH199" s="2014"/>
      <c r="AI199" s="2015"/>
    </row>
    <row s="2641" customFormat="1" customHeight="1" ht="15">
      <c r="D200" s="2103"/>
      <c r="E200" s="2036"/>
      <c r="F200" s="2036"/>
      <c r="G200" s="2016"/>
      <c r="H200" s="1646"/>
      <c r="I200" s="2019"/>
      <c r="J200" s="1992"/>
      <c r="K200" s="1656"/>
      <c r="L200" s="1975"/>
      <c r="M200" s="1975"/>
      <c r="N200" s="1636"/>
      <c r="O200" s="1975"/>
      <c r="P200" s="1992"/>
      <c r="Q200" s="1840"/>
      <c r="R200" s="1975"/>
      <c r="S200" s="1975"/>
      <c r="T200" s="1912"/>
      <c r="U200" s="1643"/>
      <c r="V200" s="2014"/>
      <c r="W200" s="2014"/>
      <c r="X200" s="2014"/>
      <c r="Y200" s="2014"/>
      <c r="Z200" s="2014"/>
      <c r="AA200" s="2014"/>
      <c r="AB200" s="2014"/>
      <c r="AC200" s="2014"/>
      <c r="AD200" s="2014"/>
      <c r="AE200" s="2014"/>
      <c r="AF200" s="2014"/>
      <c r="AG200" s="2014"/>
      <c r="AH200" s="2014"/>
      <c r="AI200" s="2015"/>
    </row>
    <row s="2641" customFormat="1" customHeight="1" ht="11.25">
      <c r="D201" s="2103"/>
      <c r="E201" s="2036"/>
      <c r="F201" s="2036"/>
      <c r="G201" s="2016"/>
      <c r="H201" s="1647"/>
      <c r="I201" s="2019"/>
      <c r="J201" s="1992"/>
      <c r="K201" s="1656"/>
      <c r="L201" s="1975"/>
      <c r="M201" s="1975"/>
      <c r="N201" s="1838"/>
      <c r="O201" s="1838"/>
      <c r="P201" s="2014"/>
      <c r="Q201" s="2014"/>
      <c r="R201" s="2014"/>
      <c r="S201" s="2014"/>
      <c r="T201" s="2014"/>
      <c r="U201" s="2014"/>
      <c r="V201" s="2014"/>
      <c r="W201" s="2014"/>
      <c r="X201" s="2014"/>
      <c r="Y201" s="2014"/>
      <c r="Z201" s="2014"/>
      <c r="AA201" s="2014"/>
      <c r="AB201" s="2014"/>
      <c r="AC201" s="2014"/>
      <c r="AD201" s="2014"/>
      <c r="AE201" s="2014"/>
      <c r="AF201" s="2014"/>
      <c r="AG201" s="2014"/>
      <c r="AH201" s="2014"/>
      <c r="AI201" s="2015"/>
    </row>
    <row s="2858" customFormat="1" customHeight="1" ht="11.25">
      <c r="D202" s="2103"/>
      <c r="E202" s="2036"/>
      <c r="F202" s="2036"/>
      <c r="G202" s="2021"/>
      <c r="H202" s="1644"/>
      <c r="I202" s="1648"/>
      <c r="J202" s="2024"/>
      <c r="K202" s="2024"/>
      <c r="L202" s="2024"/>
      <c r="M202" s="2024"/>
      <c r="N202" s="2024"/>
      <c r="O202" s="2024"/>
      <c r="P202" s="2024"/>
      <c r="Q202" s="2024"/>
      <c r="R202" s="2024"/>
      <c r="S202" s="2024"/>
      <c r="T202" s="2024"/>
      <c r="U202" s="2024"/>
      <c r="V202" s="2024"/>
      <c r="W202" s="2024"/>
      <c r="X202" s="2024"/>
      <c r="Y202" s="2024"/>
      <c r="Z202" s="2024"/>
      <c r="AA202" s="2024"/>
      <c r="AB202" s="2024"/>
      <c r="AC202" s="2024"/>
      <c r="AD202" s="2024"/>
      <c r="AE202" s="2024"/>
      <c r="AF202" s="2024"/>
      <c r="AG202" s="2024"/>
      <c r="AH202" s="2024"/>
      <c r="AI202" s="2025"/>
      <c r="BK202" s="1620"/>
    </row>
    <row customHeight="1" ht="17.25">
      <c r="A203" s="1903"/>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11B81-EC59-DC7D-19D8-018C24F33BEE}"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41" width="9.140625" hidden="1" customWidth="1"/>
    <col min="2" max="2" style="3519" width="9.140625" hidden="1" customWidth="1"/>
    <col min="3" max="3" style="3542" width="3.7109375" customWidth="1"/>
    <col min="4" max="4" style="2663" width="6.28125" customWidth="1"/>
    <col min="5" max="6" style="2663" width="64.140625" customWidth="1"/>
    <col min="7" max="7" style="2663" width="141.140625" customWidth="1"/>
    <col min="8" max="8" style="2663" width="10.57421875"/>
    <col min="9" max="10" style="2605" width="10.57421875"/>
    <col min="11" max="16" style="2663"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6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9"/>
      <c r="F5" s="2169"/>
      <c r="G5" s="2170"/>
    </row>
    <row s="2599" customFormat="1" customHeight="1" ht="18">
      <c r="A6" s="893"/>
      <c r="B6" s="424"/>
      <c r="C6" s="377"/>
      <c r="D6" s="2171" t="str">
        <f>IF(org=0,"Не определено",org)</f>
        <v>Филиал "Печорская ГРЭС" АО "Интер РАО-Электрогенерация"</v>
      </c>
      <c r="E6" s="2172"/>
      <c r="F6" s="2172"/>
      <c r="G6" s="2173"/>
      <c r="I6" s="508"/>
      <c r="J6" s="508"/>
    </row>
    <row customHeight="1" ht="14.25">
      <c r="C7" s="82"/>
      <c r="D7" s="69"/>
      <c r="E7" s="81"/>
      <c r="F7" s="762"/>
      <c r="G7" s="179"/>
    </row>
    <row s="2871" customFormat="1" customHeight="1" ht="0.75">
      <c r="A8" s="1715"/>
      <c r="B8" s="1174"/>
      <c r="C8" s="377"/>
      <c r="D8" s="361"/>
      <c r="E8" s="395"/>
      <c r="F8" s="762"/>
      <c r="G8" s="179"/>
      <c r="I8" s="1670"/>
      <c r="J8" s="1670"/>
    </row>
    <row customHeight="1" ht="14.25">
      <c r="C9" s="82"/>
      <c r="D9" s="2047" t="s">
        <v>287</v>
      </c>
      <c r="E9" s="2047"/>
      <c r="F9" s="2047"/>
      <c r="G9" s="2174" t="s">
        <v>288</v>
      </c>
    </row>
    <row customHeight="1" ht="14.25">
      <c r="C10" s="82"/>
      <c r="D10" s="91" t="s">
        <v>87</v>
      </c>
      <c r="E10" s="94" t="s">
        <v>289</v>
      </c>
      <c r="F10" s="94" t="s">
        <v>379</v>
      </c>
      <c r="G10" s="2174"/>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293</v>
      </c>
      <c r="G12" s="137"/>
    </row>
    <row customHeight="1" ht="22.5">
      <c r="A13" s="178"/>
      <c r="C13" s="82"/>
      <c r="D13" s="133" t="s">
        <v>426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293</v>
      </c>
      <c r="G13" s="137"/>
    </row>
    <row customHeight="1" ht="14.25">
      <c r="A14" s="178"/>
      <c r="C14" s="82"/>
      <c r="D14" s="133" t="s">
        <v>439</v>
      </c>
      <c r="E14" s="181"/>
      <c r="F14" s="199"/>
      <c r="G14" s="20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440</v>
      </c>
      <c r="F15" s="187"/>
      <c r="G15" s="2008"/>
    </row>
    <row customHeight="1" ht="14.25">
      <c r="A16" s="178"/>
      <c r="C16" s="82"/>
      <c r="D16" s="133" t="s">
        <v>441</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293</v>
      </c>
      <c r="G16" s="333"/>
    </row>
    <row customHeight="1" ht="14.25">
      <c r="A17" s="178"/>
      <c r="C17" s="82"/>
      <c r="D17" s="133" t="s">
        <v>442</v>
      </c>
      <c r="E17" s="181"/>
      <c r="F17" s="391"/>
      <c r="G17" s="20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3518" customFormat="1" customHeight="1" ht="21">
      <c r="A18" s="339"/>
      <c r="B18" s="132"/>
      <c r="C18" s="296"/>
      <c r="D18" s="343"/>
      <c r="E18" s="345" t="s">
        <v>443</v>
      </c>
      <c r="F18" s="334"/>
      <c r="G18" s="2008"/>
      <c r="I18" s="346"/>
      <c r="J18" s="346"/>
    </row>
    <row s="2599" customFormat="1" customHeight="1" ht="256.5" hidden="1">
      <c r="A19" s="339"/>
      <c r="B19" s="424"/>
      <c r="C19" s="377"/>
      <c r="D19" s="895" t="s">
        <v>444</v>
      </c>
      <c r="E19" s="894" t="s">
        <v>445</v>
      </c>
      <c r="F19" s="391"/>
      <c r="G19" s="333" t="s">
        <v>446</v>
      </c>
      <c r="I19" s="508"/>
      <c r="J19" s="508"/>
    </row>
    <row s="3518" customFormat="1" customHeight="1" ht="14.25">
      <c r="A20" s="339"/>
      <c r="B20" s="132"/>
      <c r="C20" s="296"/>
      <c r="D20" s="896">
        <v>2</v>
      </c>
      <c r="E20" s="326" t="s">
        <v>447</v>
      </c>
      <c r="F20" s="184" t="s">
        <v>293</v>
      </c>
      <c r="G20" s="333"/>
      <c r="I20" s="346"/>
      <c r="J20" s="346"/>
    </row>
    <row s="3518" customFormat="1" customHeight="1" ht="18.75" hidden="1">
      <c r="A21" s="339"/>
      <c r="B21" s="132"/>
      <c r="C21" s="296"/>
      <c r="D21" s="329" t="s">
        <v>448</v>
      </c>
      <c r="E21" s="328"/>
      <c r="F21" s="327"/>
      <c r="G21" s="337"/>
      <c r="H21" s="330"/>
      <c r="I21" s="346"/>
      <c r="J21" s="346"/>
    </row>
    <row customHeight="1" ht="15">
      <c r="A22" s="178"/>
      <c r="C22" s="82"/>
      <c r="D22" s="95"/>
      <c r="E22" s="189" t="s">
        <v>449</v>
      </c>
      <c r="F22" s="334"/>
      <c r="G22" s="335"/>
    </row>
    <row s="2871" customFormat="1" customHeight="1" ht="22.5" hidden="1">
      <c r="A23" s="339"/>
      <c r="B23" s="1174"/>
      <c r="C23" s="377"/>
      <c r="D23" s="1719" t="s">
        <v>110</v>
      </c>
      <c r="E23" s="183" t="s">
        <v>450</v>
      </c>
      <c r="F23" s="1716" t="s">
        <v>293</v>
      </c>
      <c r="G23" s="341"/>
      <c r="I23" s="1670"/>
      <c r="J23" s="1670"/>
    </row>
    <row s="2871" customFormat="1" customHeight="1" ht="14.25" hidden="1">
      <c r="A24" s="339"/>
      <c r="B24" s="1174"/>
      <c r="C24" s="377"/>
      <c r="D24" s="1719" t="s">
        <v>451</v>
      </c>
      <c r="E24" s="1718" t="s">
        <v>452</v>
      </c>
      <c r="F24" s="1716" t="s">
        <v>293</v>
      </c>
      <c r="G24" s="333"/>
      <c r="I24" s="1670"/>
      <c r="J24" s="1670"/>
    </row>
    <row s="2871" customFormat="1" customHeight="1" ht="14.25" hidden="1">
      <c r="A25" s="339"/>
      <c r="B25" s="1174"/>
      <c r="C25" s="377"/>
      <c r="D25" s="1719" t="s">
        <v>453</v>
      </c>
      <c r="E25" s="181"/>
      <c r="F25" s="391"/>
      <c r="G25" s="2006" t="s">
        <v>454</v>
      </c>
      <c r="I25" s="1670"/>
      <c r="J25" s="1670"/>
    </row>
    <row s="2871" customFormat="1" customHeight="1" ht="22.5" hidden="1">
      <c r="A26" s="339"/>
      <c r="B26" s="1174"/>
      <c r="C26" s="377"/>
      <c r="D26" s="343"/>
      <c r="E26" s="345" t="s">
        <v>455</v>
      </c>
      <c r="F26" s="334"/>
      <c r="G26" s="2008"/>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84041-44CB-FC1C-FB79-BC708A83F78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92" width="3.7109375" customWidth="1"/>
    <col min="17" max="18" style="3693" width="3.7109375" customWidth="1"/>
    <col min="19" max="19" style="3694" width="12.7109375" customWidth="1"/>
    <col min="20" max="20" style="2862" width="35.710937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45">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40"/>
      <c r="Q3" s="348"/>
      <c r="R3" s="349"/>
      <c r="S3" s="1345">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45">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45">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41"/>
      <c r="R6" s="352"/>
      <c r="S6" s="1345">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45">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45">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42"/>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41"/>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200"/>
      <c r="AI17" s="2201" t="s">
        <v>58</v>
      </c>
      <c r="AJ17" s="2200"/>
      <c r="AK17" s="2201" t="s">
        <v>58</v>
      </c>
    </row>
    <row customHeight="1" ht="14.25" hidden="1">
      <c r="P18" s="1347"/>
      <c r="AD18" s="1396"/>
      <c r="AE18" s="1396"/>
      <c r="AF18" s="1396"/>
      <c r="AG18" s="324" t="str">
        <f>AH17&amp;"-"&amp;AJ17</f>
        <v>-</v>
      </c>
      <c r="AH18" s="2201"/>
      <c r="AI18" s="2201"/>
      <c r="AJ18" s="2201"/>
      <c r="AK18" s="2201"/>
    </row>
    <row customHeight="1" ht="14.25" hidden="1">
      <c r="P19" s="1347"/>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493</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242" t="s">
        <v>503</v>
      </c>
      <c r="AA41" s="2203" t="s">
        <v>504</v>
      </c>
      <c r="AB41" s="2204"/>
      <c r="AC41" s="2212"/>
      <c r="AD41" s="2194"/>
      <c r="AE41" s="2217"/>
      <c r="AF41" s="1243" t="s">
        <v>501</v>
      </c>
      <c r="AG41" s="1243" t="s">
        <v>502</v>
      </c>
      <c r="AH41" s="1349"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288">
        <f>OFFSET(V42,0,-1)+1</f>
        <v>3</v>
      </c>
      <c r="W42" s="1288"/>
      <c r="X42" s="1288">
        <f>OFFSET(X42,0,-1)+1</f>
        <v>1</v>
      </c>
      <c r="Y42" s="1288">
        <f>OFFSET(Y42,0,-1)+1</f>
        <v>2</v>
      </c>
      <c r="Z42" s="1288">
        <f>OFFSET(Z42,0,-1)+1</f>
        <v>3</v>
      </c>
      <c r="AA42" s="2205">
        <f>OFFSET(AA42,0,-1)+1</f>
        <v>4</v>
      </c>
      <c r="AB42" s="2205"/>
      <c r="AC42" s="1288">
        <f>OFFSET(AC42,0,-2)+1</f>
        <v>5</v>
      </c>
      <c r="AD42" s="1348">
        <f>OFFSET(AD42,0,-1)+1</f>
        <v>6</v>
      </c>
      <c r="AE42" s="1348"/>
      <c r="AF42" s="1348">
        <f>OFFSET(AF42,0,-1)+1</f>
        <v>1</v>
      </c>
      <c r="AG42" s="1348">
        <f>OFFSET(AG42,0,-1)+1</f>
        <v>2</v>
      </c>
      <c r="AH42" s="1348">
        <f>OFFSET(AH42,0,-1)+1</f>
        <v>3</v>
      </c>
      <c r="AI42" s="2205">
        <f>OFFSET(AI42,0,-1)+1</f>
        <v>4</v>
      </c>
      <c r="AJ42" s="2205"/>
      <c r="AK42" s="1348">
        <f>OFFSET(AK42,0,-2)+1</f>
        <v>5</v>
      </c>
      <c r="AL42" s="1269">
        <f>OFFSET(AL42,0,-1)</f>
        <v>5</v>
      </c>
      <c r="AM42" s="1288">
        <f>OFFSET(AM42,0,-1)+1</f>
        <v>6</v>
      </c>
      <c r="AN42" s="519"/>
      <c r="AO42" s="519"/>
      <c r="AP42" s="519"/>
      <c r="AQ42" s="519"/>
      <c r="AR42" s="519"/>
    </row>
    <row customHeight="1" ht="23.25">
      <c r="A43" s="1399" t="s">
        <v>157</v>
      </c>
      <c r="B43" s="1399"/>
      <c r="C43" s="1399"/>
      <c r="D43" s="1399"/>
      <c r="E43" s="2191">
        <v>1</v>
      </c>
      <c r="F43" s="1399"/>
      <c r="G43" s="1399"/>
      <c r="H43" s="1399"/>
      <c r="I43" s="1399"/>
      <c r="J43" s="1399"/>
      <c r="K43" s="1399"/>
      <c r="L43" s="1400"/>
      <c r="M43" s="1401"/>
      <c r="N43" s="1401"/>
      <c r="O43" s="1401"/>
      <c r="P43" s="357"/>
      <c r="Q43" s="356"/>
      <c r="R43" s="351"/>
      <c r="S43" s="1247">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157</v>
      </c>
      <c r="B44" s="1399" t="s">
        <v>158</v>
      </c>
      <c r="C44" s="1399"/>
      <c r="D44" s="1399"/>
      <c r="E44" s="2192"/>
      <c r="F44" s="2191">
        <v>1</v>
      </c>
      <c r="G44" s="1399"/>
      <c r="H44" s="1399"/>
      <c r="I44" s="1399"/>
      <c r="J44" s="1399"/>
      <c r="K44" s="1399"/>
      <c r="L44" s="1400"/>
      <c r="M44" s="1401"/>
      <c r="N44" s="1401"/>
      <c r="O44" s="1401"/>
      <c r="P44" s="530"/>
      <c r="Q44" s="348"/>
      <c r="R44" s="349"/>
      <c r="S44" s="1247"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157</v>
      </c>
      <c r="B45" s="1399" t="s">
        <v>158</v>
      </c>
      <c r="C45" s="1399" t="s">
        <v>159</v>
      </c>
      <c r="D45" s="1399"/>
      <c r="E45" s="2192"/>
      <c r="F45" s="2192"/>
      <c r="G45" s="2191">
        <v>1</v>
      </c>
      <c r="H45" s="1399"/>
      <c r="I45" s="1399"/>
      <c r="J45" s="1399"/>
      <c r="K45" s="1399"/>
      <c r="L45" s="1400"/>
      <c r="M45" s="1401"/>
      <c r="N45" s="1401"/>
      <c r="O45" s="1401"/>
      <c r="P45" s="350"/>
      <c r="Q45" s="348"/>
      <c r="R45" s="349"/>
      <c r="S45" s="1247"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3.25">
      <c r="A46" s="1399" t="s">
        <v>157</v>
      </c>
      <c r="B46" s="1399" t="s">
        <v>158</v>
      </c>
      <c r="C46" s="1399" t="s">
        <v>159</v>
      </c>
      <c r="D46" s="1399" t="s">
        <v>160</v>
      </c>
      <c r="E46" s="2192"/>
      <c r="F46" s="2192"/>
      <c r="G46" s="2192"/>
      <c r="H46" s="2191">
        <v>1</v>
      </c>
      <c r="I46" s="1399"/>
      <c r="J46" s="1399"/>
      <c r="K46" s="1399"/>
      <c r="L46" s="1400"/>
      <c r="M46" s="1401"/>
      <c r="N46" s="1401"/>
      <c r="O46" s="1401"/>
      <c r="P46" s="350"/>
      <c r="Q46" s="348"/>
      <c r="R46" s="349"/>
      <c r="S46" s="1247"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157</v>
      </c>
      <c r="B47" s="1399" t="s">
        <v>158</v>
      </c>
      <c r="C47" s="1399" t="s">
        <v>159</v>
      </c>
      <c r="D47" s="1399" t="s">
        <v>160</v>
      </c>
      <c r="E47" s="2192"/>
      <c r="F47" s="2192"/>
      <c r="G47" s="2192"/>
      <c r="H47" s="2192"/>
      <c r="I47" s="2189" t="str">
        <f>S46&amp;".1"</f>
        <v>....1</v>
      </c>
      <c r="J47" s="1399"/>
      <c r="K47" s="1399"/>
      <c r="L47" s="1400" t="s">
        <v>463</v>
      </c>
      <c r="P47" s="2190">
        <v>1</v>
      </c>
      <c r="Q47" s="1241"/>
      <c r="R47" s="352"/>
      <c r="S47" s="1247"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157</v>
      </c>
      <c r="B48" s="1399" t="s">
        <v>158</v>
      </c>
      <c r="C48" s="1399" t="s">
        <v>159</v>
      </c>
      <c r="D48" s="1399" t="s">
        <v>160</v>
      </c>
      <c r="E48" s="2192"/>
      <c r="F48" s="2192"/>
      <c r="G48" s="2192"/>
      <c r="H48" s="2192"/>
      <c r="I48" s="2219"/>
      <c r="J48" s="2189" t="str">
        <f>I47&amp;".1"</f>
        <v>....1.1</v>
      </c>
      <c r="K48" s="1399"/>
      <c r="L48" s="1400" t="s">
        <v>466</v>
      </c>
      <c r="P48" s="2190"/>
      <c r="Q48" s="2190">
        <v>1</v>
      </c>
      <c r="R48" s="353"/>
      <c r="S48" s="1247"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3.25">
      <c r="A49" s="1399" t="s">
        <v>157</v>
      </c>
      <c r="B49" s="1399" t="s">
        <v>158</v>
      </c>
      <c r="C49" s="1399" t="s">
        <v>159</v>
      </c>
      <c r="D49" s="1399" t="s">
        <v>160</v>
      </c>
      <c r="E49" s="2192"/>
      <c r="F49" s="2192"/>
      <c r="G49" s="2192"/>
      <c r="H49" s="2192"/>
      <c r="I49" s="2219"/>
      <c r="J49" s="2219"/>
      <c r="K49" s="2189" t="str">
        <f>J48&amp;".1"</f>
        <v>....1.1.1</v>
      </c>
      <c r="L49" s="1400" t="s">
        <v>469</v>
      </c>
      <c r="P49" s="2190"/>
      <c r="Q49" s="2190"/>
      <c r="R49" s="353">
        <v>1</v>
      </c>
      <c r="S49" s="1247"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470</v>
      </c>
      <c r="AN49" s="519">
        <f>STRCHECKDATE(V50:AL50)</f>
      </c>
      <c r="AO49" s="508"/>
      <c r="AP49" s="508" t="str">
        <f>IF(T49="","",T49)</f>
        <v/>
      </c>
      <c r="AQ49" s="508"/>
      <c r="AR49" s="508"/>
    </row>
    <row customHeight="1" ht="0.75">
      <c r="A50" s="1399" t="s">
        <v>157</v>
      </c>
      <c r="B50" s="1399" t="s">
        <v>158</v>
      </c>
      <c r="C50" s="1399" t="s">
        <v>159</v>
      </c>
      <c r="D50" s="1399" t="s">
        <v>160</v>
      </c>
      <c r="E50" s="2192"/>
      <c r="F50" s="2192"/>
      <c r="G50" s="2192"/>
      <c r="H50" s="2192"/>
      <c r="I50" s="2219"/>
      <c r="J50" s="2219"/>
      <c r="K50" s="2189"/>
      <c r="L50" s="1400"/>
      <c r="P50" s="2190"/>
      <c r="Q50" s="2190"/>
      <c r="R50" s="353"/>
      <c r="S50" s="1245"/>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157</v>
      </c>
      <c r="B51" s="1399" t="s">
        <v>158</v>
      </c>
      <c r="C51" s="1399" t="s">
        <v>159</v>
      </c>
      <c r="D51" s="1399" t="s">
        <v>160</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157</v>
      </c>
      <c r="B52" s="1399" t="s">
        <v>158</v>
      </c>
      <c r="C52" s="1399" t="s">
        <v>159</v>
      </c>
      <c r="D52" s="1399" t="s">
        <v>160</v>
      </c>
      <c r="E52" s="2192"/>
      <c r="F52" s="2192"/>
      <c r="G52" s="2192"/>
      <c r="H52" s="2192"/>
      <c r="I52" s="2189"/>
      <c r="J52" s="1399"/>
      <c r="K52" s="1399"/>
      <c r="L52" s="1400"/>
      <c r="P52" s="2190"/>
      <c r="Q52" s="1241"/>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157</v>
      </c>
      <c r="B53" s="1399" t="s">
        <v>158</v>
      </c>
      <c r="C53" s="1399" t="s">
        <v>159</v>
      </c>
      <c r="D53" s="1399" t="s">
        <v>160</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157</v>
      </c>
      <c r="B54" s="1379" t="s">
        <v>158</v>
      </c>
      <c r="C54" s="1379" t="s">
        <v>159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157</v>
      </c>
      <c r="B55" s="1379" t="s">
        <v>158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157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506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4.5" hidden="1">
      <c r="O60" s="545"/>
      <c r="P60" s="1339"/>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P62" s="1364"/>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P63" s="1364"/>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P64" s="1364"/>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F3159-CCE5-E01C-7C5F-972EE81E51C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511</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163</v>
      </c>
      <c r="B44" s="1399" t="s">
        <v>164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163</v>
      </c>
      <c r="B45" s="1399" t="s">
        <v>164</v>
      </c>
      <c r="C45" s="1399" t="s">
        <v>165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163</v>
      </c>
      <c r="B46" s="1399" t="s">
        <v>164</v>
      </c>
      <c r="C46" s="1399" t="s">
        <v>165</v>
      </c>
      <c r="D46" s="1399" t="s">
        <v>166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163</v>
      </c>
      <c r="B47" s="1399" t="s">
        <v>164</v>
      </c>
      <c r="C47" s="1399" t="s">
        <v>165</v>
      </c>
      <c r="D47" s="1399" t="s">
        <v>166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163</v>
      </c>
      <c r="B48" s="1399" t="s">
        <v>164</v>
      </c>
      <c r="C48" s="1399" t="s">
        <v>165</v>
      </c>
      <c r="D48" s="1399" t="s">
        <v>166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163</v>
      </c>
      <c r="B49" s="1399" t="s">
        <v>164</v>
      </c>
      <c r="C49" s="1399" t="s">
        <v>165</v>
      </c>
      <c r="D49" s="1399" t="s">
        <v>166</v>
      </c>
      <c r="E49" s="2192"/>
      <c r="F49" s="2192"/>
      <c r="G49" s="2192"/>
      <c r="H49" s="2192"/>
      <c r="I49" s="2219"/>
      <c r="J49" s="2219"/>
      <c r="K49" s="2189" t="str">
        <f>J48&amp;".1"</f>
        <v>....1.1.1</v>
      </c>
      <c r="L49" s="1400" t="s">
        <v>469</v>
      </c>
      <c r="P49" s="2190"/>
      <c r="Q49" s="2190"/>
      <c r="R49" s="353">
        <v>1</v>
      </c>
      <c r="S49" s="1372"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470</v>
      </c>
      <c r="AN49" s="519">
        <f>STRCHECKDATE(V50:AL50)</f>
      </c>
      <c r="AO49" s="508"/>
      <c r="AP49" s="508" t="str">
        <f>IF(T49="","",T49)</f>
        <v/>
      </c>
      <c r="AQ49" s="508"/>
      <c r="AR49" s="508"/>
    </row>
    <row customHeight="1" ht="0.75">
      <c r="A50" s="1399" t="s">
        <v>163</v>
      </c>
      <c r="B50" s="1399" t="s">
        <v>164</v>
      </c>
      <c r="C50" s="1399" t="s">
        <v>165</v>
      </c>
      <c r="D50" s="1399" t="s">
        <v>166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163</v>
      </c>
      <c r="B51" s="1399" t="s">
        <v>164</v>
      </c>
      <c r="C51" s="1399" t="s">
        <v>165</v>
      </c>
      <c r="D51" s="1399" t="s">
        <v>166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163</v>
      </c>
      <c r="B52" s="1399" t="s">
        <v>164</v>
      </c>
      <c r="C52" s="1399" t="s">
        <v>165</v>
      </c>
      <c r="D52" s="1399" t="s">
        <v>166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163</v>
      </c>
      <c r="B53" s="1399" t="s">
        <v>164</v>
      </c>
      <c r="C53" s="1399" t="s">
        <v>165</v>
      </c>
      <c r="D53" s="1399" t="s">
        <v>166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163</v>
      </c>
      <c r="B54" s="1379" t="s">
        <v>164</v>
      </c>
      <c r="C54" s="1379" t="s">
        <v>165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163</v>
      </c>
      <c r="B55" s="1379" t="s">
        <v>164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163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EB725-FD95-955F-C4C9-.8F46E4B205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2" style="2862" width="0.140625" customWidth="1"/>
    <col min="23" max="23" style="2862" width="24.7109375" hidden="1" customWidth="1"/>
    <col min="24" max="25" style="2862" width="0.14062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0.140625" customWidth="1"/>
    <col min="31" max="31" style="2862" width="24.7109375" customWidth="1"/>
    <col min="32" max="33" style="2862" width="0.14062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320"/>
      <c r="W8" s="760"/>
      <c r="X8" s="320"/>
      <c r="Y8" s="390"/>
      <c r="Z8" s="2198"/>
      <c r="AA8" s="1946" t="s">
        <v>58</v>
      </c>
      <c r="AB8" s="2198"/>
      <c r="AC8" s="1946" t="s">
        <v>58</v>
      </c>
      <c r="AD8" s="320"/>
      <c r="AE8" s="760"/>
      <c r="AF8" s="320"/>
      <c r="AG8" s="390"/>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33.7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22"/>
      <c r="Y39" s="2222"/>
      <c r="Z39" s="2208"/>
      <c r="AA39" s="2208"/>
      <c r="AB39" s="2209"/>
      <c r="AC39" s="2210" t="s">
        <v>487</v>
      </c>
      <c r="AD39" s="2207" t="s">
        <v>486</v>
      </c>
      <c r="AE39" s="2208"/>
      <c r="AF39" s="2222"/>
      <c r="AG39" s="2222"/>
      <c r="AH39" s="2208"/>
      <c r="AI39" s="2208"/>
      <c r="AJ39" s="2209"/>
      <c r="AK39" s="2210" t="s">
        <v>488</v>
      </c>
      <c r="AL39" s="2213" t="s">
        <v>489</v>
      </c>
      <c r="AM39" s="1966"/>
    </row>
    <row customHeight="1" ht="23.25">
      <c r="Q40" s="377"/>
      <c r="R40" s="377"/>
      <c r="S40" s="2206"/>
      <c r="T40" s="2047"/>
      <c r="U40" s="1044"/>
      <c r="V40" s="2223" t="s">
        <v>490</v>
      </c>
      <c r="W40" s="2225" t="s">
        <v>491</v>
      </c>
      <c r="X40" s="1412" t="s">
        <v>492</v>
      </c>
      <c r="Y40" s="1412"/>
      <c r="Z40" s="2202" t="s">
        <v>493</v>
      </c>
      <c r="AA40" s="2202"/>
      <c r="AB40" s="2196"/>
      <c r="AC40" s="2211"/>
      <c r="AD40" s="2223" t="s">
        <v>490</v>
      </c>
      <c r="AE40" s="2225" t="s">
        <v>491</v>
      </c>
      <c r="AF40" s="1412" t="s">
        <v>492</v>
      </c>
      <c r="AG40" s="1412"/>
      <c r="AH40" s="2202" t="s">
        <v>493</v>
      </c>
      <c r="AI40" s="2202"/>
      <c r="AJ40" s="2196"/>
      <c r="AK40" s="2211"/>
      <c r="AL40" s="2214"/>
      <c r="AM40" s="1966"/>
    </row>
    <row s="3540" customFormat="1" customHeight="1" ht="23.2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M41" s="1398"/>
      <c r="N41" s="1398"/>
      <c r="O41" s="1398"/>
      <c r="P41" s="1364"/>
      <c r="Q41" s="377"/>
      <c r="R41" s="377"/>
      <c r="S41" s="2206"/>
      <c r="T41" s="2047"/>
      <c r="U41" s="290"/>
      <c r="V41" s="2224"/>
      <c r="W41" s="2226"/>
      <c r="X41" s="1409" t="s">
        <v>501</v>
      </c>
      <c r="Y41" s="1409" t="s">
        <v>502</v>
      </c>
      <c r="Z41" s="1370" t="s">
        <v>503</v>
      </c>
      <c r="AA41" s="2203" t="s">
        <v>504</v>
      </c>
      <c r="AB41" s="2204"/>
      <c r="AC41" s="2212"/>
      <c r="AD41" s="2224"/>
      <c r="AE41" s="2226"/>
      <c r="AF41" s="1409" t="s">
        <v>501</v>
      </c>
      <c r="AG41" s="1409" t="s">
        <v>502</v>
      </c>
      <c r="AH41" s="1370" t="s">
        <v>503</v>
      </c>
      <c r="AI41" s="2203" t="s">
        <v>504</v>
      </c>
      <c r="AJ41" s="2204"/>
      <c r="AK41" s="2212"/>
      <c r="AL41" s="2215"/>
      <c r="AM41" s="1966"/>
      <c r="AN41" s="519"/>
      <c r="AO41" s="508"/>
      <c r="AP41" s="508"/>
      <c r="AQ41" s="508"/>
      <c r="AR41" s="508"/>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7">
        <f>OFFSET(X42,0,-1)+1</f>
        <v>1</v>
      </c>
      <c r="Y42" s="1377">
        <f>OFFSET(Y42,0,-1)+1</f>
        <v>2</v>
      </c>
      <c r="Z42" s="1371">
        <f>OFFSET(Z42,0,-1)+1</f>
        <v>3</v>
      </c>
      <c r="AA42" s="2205">
        <f>OFFSET(AA42,0,-1)+1</f>
        <v>4</v>
      </c>
      <c r="AB42" s="2205"/>
      <c r="AC42" s="1371">
        <f>OFFSET(AC42,0,-2)+1</f>
        <v>5</v>
      </c>
      <c r="AD42" s="1371">
        <f>OFFSET(AD42,0,-1)+1</f>
        <v>6</v>
      </c>
      <c r="AE42" s="1371"/>
      <c r="AF42" s="1377">
        <f>OFFSET(AF42,0,-1)+1</f>
        <v>1</v>
      </c>
      <c r="AG42" s="1377">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193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193</v>
      </c>
      <c r="B44" s="1399" t="s">
        <v>194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193</v>
      </c>
      <c r="B45" s="1399" t="s">
        <v>194</v>
      </c>
      <c r="C45" s="1399" t="s">
        <v>195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193</v>
      </c>
      <c r="B46" s="1399" t="s">
        <v>194</v>
      </c>
      <c r="C46" s="1399" t="s">
        <v>195</v>
      </c>
      <c r="D46" s="1399" t="s">
        <v>196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193</v>
      </c>
      <c r="B47" s="1399" t="s">
        <v>194</v>
      </c>
      <c r="C47" s="1399" t="s">
        <v>195</v>
      </c>
      <c r="D47" s="1399" t="s">
        <v>196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193</v>
      </c>
      <c r="B48" s="1399" t="s">
        <v>194</v>
      </c>
      <c r="C48" s="1399" t="s">
        <v>195</v>
      </c>
      <c r="D48" s="1399" t="s">
        <v>196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193</v>
      </c>
      <c r="B49" s="1399" t="s">
        <v>194</v>
      </c>
      <c r="C49" s="1399" t="s">
        <v>195</v>
      </c>
      <c r="D49" s="1399" t="s">
        <v>196</v>
      </c>
      <c r="E49" s="2192"/>
      <c r="F49" s="2192"/>
      <c r="G49" s="2192"/>
      <c r="H49" s="2192"/>
      <c r="I49" s="2219"/>
      <c r="J49" s="2219"/>
      <c r="K49" s="2189" t="str">
        <f>J48&amp;".1"</f>
        <v>....1.1.1</v>
      </c>
      <c r="L49" s="1400" t="s">
        <v>469</v>
      </c>
      <c r="P49" s="2190"/>
      <c r="Q49" s="2190"/>
      <c r="R49" s="353">
        <v>1</v>
      </c>
      <c r="S49" s="1372" t="str">
        <f>$K49</f>
        <v>....1.1.1</v>
      </c>
      <c r="T49" s="1383"/>
      <c r="U49" s="288"/>
      <c r="V49" s="320"/>
      <c r="W49" s="760"/>
      <c r="X49" s="320"/>
      <c r="Y49" s="390"/>
      <c r="Z49" s="2198"/>
      <c r="AA49" s="1946" t="s">
        <v>58</v>
      </c>
      <c r="AB49" s="2198"/>
      <c r="AC49" s="1946" t="s">
        <v>58</v>
      </c>
      <c r="AD49" s="320"/>
      <c r="AE49" s="760"/>
      <c r="AF49" s="320"/>
      <c r="AG49" s="390"/>
      <c r="AH49" s="2198"/>
      <c r="AI49" s="1946" t="s">
        <v>58</v>
      </c>
      <c r="AJ49" s="2220"/>
      <c r="AK49" s="1946" t="s">
        <v>58</v>
      </c>
      <c r="AL49" s="1384"/>
      <c r="AM49" s="2186" t="s">
        <v>470</v>
      </c>
      <c r="AN49" s="519">
        <f>STRCHECKDATE(V50:AL50)</f>
      </c>
      <c r="AO49" s="508"/>
      <c r="AP49" s="508" t="str">
        <f>IF(T49="","",T49)</f>
        <v/>
      </c>
      <c r="AQ49" s="508"/>
      <c r="AR49" s="508"/>
    </row>
    <row customHeight="1" ht="0.75">
      <c r="A50" s="1399" t="s">
        <v>193</v>
      </c>
      <c r="B50" s="1399" t="s">
        <v>194</v>
      </c>
      <c r="C50" s="1399" t="s">
        <v>195</v>
      </c>
      <c r="D50" s="1399" t="s">
        <v>196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193</v>
      </c>
      <c r="B51" s="1399" t="s">
        <v>194</v>
      </c>
      <c r="C51" s="1399" t="s">
        <v>195</v>
      </c>
      <c r="D51" s="1399" t="s">
        <v>196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193</v>
      </c>
      <c r="B52" s="1399" t="s">
        <v>194</v>
      </c>
      <c r="C52" s="1399" t="s">
        <v>195</v>
      </c>
      <c r="D52" s="1399" t="s">
        <v>196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193</v>
      </c>
      <c r="B53" s="1399" t="s">
        <v>194</v>
      </c>
      <c r="C53" s="1399" t="s">
        <v>195</v>
      </c>
      <c r="D53" s="1399" t="s">
        <v>196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193</v>
      </c>
      <c r="B54" s="1379" t="s">
        <v>194</v>
      </c>
      <c r="C54" s="1379" t="s">
        <v>195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193</v>
      </c>
      <c r="B55" s="1379" t="s">
        <v>194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193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7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38.2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A5B22-AED6-8876-E813-913E2E29DEC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169</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169</v>
      </c>
      <c r="B44" s="1399" t="s">
        <v>170</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169</v>
      </c>
      <c r="B45" s="1399" t="s">
        <v>170</v>
      </c>
      <c r="C45" s="1399" t="s">
        <v>171</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169</v>
      </c>
      <c r="B46" s="1399" t="s">
        <v>170</v>
      </c>
      <c r="C46" s="1399" t="s">
        <v>171</v>
      </c>
      <c r="D46" s="1399" t="s">
        <v>172</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169</v>
      </c>
      <c r="B47" s="1379" t="s">
        <v>170</v>
      </c>
      <c r="C47" s="1379" t="s">
        <v>171</v>
      </c>
      <c r="D47" s="1379" t="s">
        <v>172</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169</v>
      </c>
      <c r="B48" s="1399" t="s">
        <v>170</v>
      </c>
      <c r="C48" s="1399" t="s">
        <v>171</v>
      </c>
      <c r="D48" s="1399" t="s">
        <v>172</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169</v>
      </c>
      <c r="B49" s="1399" t="s">
        <v>170</v>
      </c>
      <c r="C49" s="1399" t="s">
        <v>171</v>
      </c>
      <c r="D49" s="1399" t="s">
        <v>172</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75">
      <c r="A50" s="1399" t="s">
        <v>169</v>
      </c>
      <c r="B50" s="1399" t="s">
        <v>170</v>
      </c>
      <c r="C50" s="1399" t="s">
        <v>171</v>
      </c>
      <c r="D50" s="1399" t="s">
        <v>172</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169</v>
      </c>
      <c r="B51" s="1399" t="s">
        <v>170</v>
      </c>
      <c r="C51" s="1399" t="s">
        <v>171</v>
      </c>
      <c r="D51" s="1399" t="s">
        <v>172</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169</v>
      </c>
      <c r="B52" s="1399" t="s">
        <v>170</v>
      </c>
      <c r="C52" s="1399" t="s">
        <v>171</v>
      </c>
      <c r="D52" s="1399" t="s">
        <v>172</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169</v>
      </c>
      <c r="B53" s="1399" t="s">
        <v>170</v>
      </c>
      <c r="C53" s="1399" t="s">
        <v>171</v>
      </c>
      <c r="D53" s="1399" t="s">
        <v>172</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169</v>
      </c>
      <c r="B54" s="1379" t="s">
        <v>170</v>
      </c>
      <c r="C54" s="1379" t="s">
        <v>171</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169</v>
      </c>
      <c r="B55" s="1379" t="s">
        <v>170</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169</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7.7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2BBB6-5D2A-334D-FAE9-90F7A874AD8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181</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181</v>
      </c>
      <c r="B44" s="1399" t="s">
        <v>182</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181</v>
      </c>
      <c r="B45" s="1399" t="s">
        <v>182</v>
      </c>
      <c r="C45" s="1399" t="s">
        <v>183</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181</v>
      </c>
      <c r="B46" s="1399" t="s">
        <v>182</v>
      </c>
      <c r="C46" s="1399" t="s">
        <v>183</v>
      </c>
      <c r="D46" s="1399" t="s">
        <v>184</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181</v>
      </c>
      <c r="B47" s="1379" t="s">
        <v>182</v>
      </c>
      <c r="C47" s="1379" t="s">
        <v>183</v>
      </c>
      <c r="D47" s="1379" t="s">
        <v>184</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181</v>
      </c>
      <c r="B48" s="1399" t="s">
        <v>182</v>
      </c>
      <c r="C48" s="1399" t="s">
        <v>183</v>
      </c>
      <c r="D48" s="1399" t="s">
        <v>184</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181</v>
      </c>
      <c r="B49" s="1399" t="s">
        <v>182</v>
      </c>
      <c r="C49" s="1399" t="s">
        <v>183</v>
      </c>
      <c r="D49" s="1399" t="s">
        <v>184</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75">
      <c r="A50" s="1399" t="s">
        <v>181</v>
      </c>
      <c r="B50" s="1399" t="s">
        <v>182</v>
      </c>
      <c r="C50" s="1399" t="s">
        <v>183</v>
      </c>
      <c r="D50" s="1399" t="s">
        <v>184</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181</v>
      </c>
      <c r="B51" s="1399" t="s">
        <v>182</v>
      </c>
      <c r="C51" s="1399" t="s">
        <v>183</v>
      </c>
      <c r="D51" s="1399" t="s">
        <v>184</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181</v>
      </c>
      <c r="B52" s="1399" t="s">
        <v>182</v>
      </c>
      <c r="C52" s="1399" t="s">
        <v>183</v>
      </c>
      <c r="D52" s="1399" t="s">
        <v>184</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181</v>
      </c>
      <c r="B53" s="1399" t="s">
        <v>182</v>
      </c>
      <c r="C53" s="1399" t="s">
        <v>183</v>
      </c>
      <c r="D53" s="1399" t="s">
        <v>184</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181</v>
      </c>
      <c r="B54" s="1379" t="s">
        <v>182</v>
      </c>
      <c r="C54" s="1379" t="s">
        <v>183</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181</v>
      </c>
      <c r="B55" s="1379" t="s">
        <v>182</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181</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9.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1875A-504E-5AEF-5B0A-6A11FE4D9A0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25.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187</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187</v>
      </c>
      <c r="B44" s="1399" t="s">
        <v>188</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187</v>
      </c>
      <c r="B45" s="1399" t="s">
        <v>188</v>
      </c>
      <c r="C45" s="1399" t="s">
        <v>189</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187</v>
      </c>
      <c r="B46" s="1399" t="s">
        <v>188</v>
      </c>
      <c r="C46" s="1399" t="s">
        <v>189</v>
      </c>
      <c r="D46" s="1399" t="s">
        <v>190</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187</v>
      </c>
      <c r="B47" s="1379" t="s">
        <v>188</v>
      </c>
      <c r="C47" s="1379" t="s">
        <v>189</v>
      </c>
      <c r="D47" s="1379" t="s">
        <v>190</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187</v>
      </c>
      <c r="B48" s="1399" t="s">
        <v>188</v>
      </c>
      <c r="C48" s="1399" t="s">
        <v>189</v>
      </c>
      <c r="D48" s="1399" t="s">
        <v>190</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187</v>
      </c>
      <c r="B49" s="1399" t="s">
        <v>188</v>
      </c>
      <c r="C49" s="1399" t="s">
        <v>189</v>
      </c>
      <c r="D49" s="1399" t="s">
        <v>190</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
      <c r="A50" s="1399" t="s">
        <v>187</v>
      </c>
      <c r="B50" s="1399" t="s">
        <v>188</v>
      </c>
      <c r="C50" s="1399" t="s">
        <v>189</v>
      </c>
      <c r="D50" s="1399" t="s">
        <v>190</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187</v>
      </c>
      <c r="B51" s="1399" t="s">
        <v>188</v>
      </c>
      <c r="C51" s="1399" t="s">
        <v>189</v>
      </c>
      <c r="D51" s="1399" t="s">
        <v>190</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187</v>
      </c>
      <c r="B52" s="1399" t="s">
        <v>188</v>
      </c>
      <c r="C52" s="1399" t="s">
        <v>189</v>
      </c>
      <c r="D52" s="1399" t="s">
        <v>190</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187</v>
      </c>
      <c r="B53" s="1399" t="s">
        <v>188</v>
      </c>
      <c r="C53" s="1399" t="s">
        <v>189</v>
      </c>
      <c r="D53" s="1399" t="s">
        <v>190</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
      <c r="A54" s="1379" t="s">
        <v>187</v>
      </c>
      <c r="B54" s="1379" t="s">
        <v>188</v>
      </c>
      <c r="C54" s="1379" t="s">
        <v>189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
      <c r="A55" s="1379" t="s">
        <v>187</v>
      </c>
      <c r="B55" s="1379" t="s">
        <v>188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
      <c r="A56" s="1379" t="s">
        <v>187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14.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4.2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14.2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14.2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439A3-4018-35D4-54DC-2F0923B300C7}"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2862" width="10.57421875" hidden="1"/>
    <col min="2" max="2" style="2862" width="11.00390625" hidden="1" customWidth="1"/>
    <col min="3" max="3" style="2862" width="10.57421875" hidden="1"/>
    <col min="4" max="4" style="2862" width="11.8515625" hidden="1" customWidth="1"/>
    <col min="5" max="5" style="2862" width="10.00390625" hidden="1" customWidth="1"/>
    <col min="6" max="6" style="2862" width="8.7109375" hidden="1" customWidth="1"/>
    <col min="7" max="7" style="2862" width="7.57421875" hidden="1" customWidth="1"/>
    <col min="8" max="8" style="2862" width="11.421875" hidden="1" customWidth="1"/>
    <col min="9" max="9" style="2862" width="12.00390625" hidden="1" customWidth="1"/>
    <col min="10" max="10" style="2862" width="9.8515625" hidden="1" customWidth="1"/>
    <col min="11" max="12" style="2862" width="11.421875" hidden="1" customWidth="1"/>
    <col min="13" max="13" style="3747" width="19.140625" hidden="1" customWidth="1"/>
    <col min="14" max="15" style="3637" width="12.28125" hidden="1" customWidth="1"/>
    <col min="16" max="16" style="3637" width="23.421875" hidden="1" customWidth="1"/>
    <col min="17" max="17" style="3637" width="3.7109375" hidden="1" customWidth="1"/>
    <col min="18" max="20" style="3693" width="3.7109375" customWidth="1"/>
    <col min="21" max="21" style="3694" width="12.7109375" customWidth="1"/>
    <col min="22" max="22" style="2862" width="32.00390625" customWidth="1"/>
    <col min="23" max="23" style="2862" width="0.140625" customWidth="1"/>
    <col min="24" max="28" style="2862" width="21.7109375" hidden="1" customWidth="1"/>
    <col min="29" max="29" style="2862" width="11.7109375" hidden="1" customWidth="1"/>
    <col min="30" max="30" style="2862" width="3.7109375" hidden="1" customWidth="1"/>
    <col min="31" max="31" style="2862" width="11.7109375" hidden="1" customWidth="1"/>
    <col min="32" max="32" style="2862" width="8.57421875" hidden="1" customWidth="1"/>
    <col min="33" max="37" style="2862" width="21.7109375" customWidth="1"/>
    <col min="38" max="38" style="2862" width="11.7109375" customWidth="1"/>
    <col min="39" max="39" style="2862" width="3.7109375" customWidth="1"/>
    <col min="40" max="40" style="2862" width="11.7109375" customWidth="1"/>
    <col min="41" max="41" style="2862" width="8.57421875" customWidth="1"/>
    <col min="42" max="42" style="2862" width="4.7109375" customWidth="1"/>
    <col min="43" max="43" style="2862" width="115.7109375" customWidth="1"/>
    <col min="44" max="45" style="2587" width="10.57421875"/>
    <col min="46" max="46" style="2587" width="11.140625" customWidth="1"/>
    <col min="47" max="48" style="2587" width="10.57421875"/>
  </cols>
  <sheetData>
    <row customHeight="1" ht="14.25" hidden="1">
      <c r="AB1" s="323"/>
      <c r="AC1" s="323"/>
      <c r="AK1" s="323"/>
      <c r="AL1" s="323"/>
    </row>
    <row customHeight="1" ht="21" hidden="1">
      <c r="A2" s="1302"/>
      <c r="B2" s="1302"/>
      <c r="C2" s="1302"/>
      <c r="D2" s="1302"/>
      <c r="E2" s="2231">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124</v>
      </c>
      <c r="W2" s="288"/>
      <c r="X2" s="2175"/>
      <c r="Y2" s="2176"/>
      <c r="Z2" s="2176"/>
      <c r="AA2" s="2176"/>
      <c r="AB2" s="2176"/>
      <c r="AC2" s="2176"/>
      <c r="AD2" s="2176"/>
      <c r="AE2" s="2176"/>
      <c r="AF2" s="2177"/>
      <c r="AG2" s="2175">
        <f>INDEX(PT_DIFFERENTIATION_NTAR,MATCH(A2,PT_DIFFERENTIATION_NTAR_ID,0))</f>
      </c>
      <c r="AH2" s="2176"/>
      <c r="AI2" s="2176"/>
      <c r="AJ2" s="2176"/>
      <c r="AK2" s="2176"/>
      <c r="AL2" s="2176"/>
      <c r="AM2" s="2176"/>
      <c r="AN2" s="2176"/>
      <c r="AO2" s="2176"/>
      <c r="AP2" s="2177"/>
      <c r="AQ2" s="1292" t="s">
        <v>456</v>
      </c>
      <c r="AS2" s="508"/>
      <c r="AT2" s="508" t="str">
        <f>IF(V2="","",V2)</f>
        <v>Наименование тарифа</v>
      </c>
      <c r="AU2" s="508"/>
      <c r="AV2" s="508"/>
    </row>
    <row customHeight="1" ht="21" hidden="1">
      <c r="A3" s="1302"/>
      <c r="B3" s="1302"/>
      <c r="C3" s="1302"/>
      <c r="D3" s="1302"/>
      <c r="E3" s="2232"/>
      <c r="F3" s="2231">
        <v>1</v>
      </c>
      <c r="G3" s="1302"/>
      <c r="H3" s="1302"/>
      <c r="I3" s="1302"/>
      <c r="J3" s="1302"/>
      <c r="K3" s="1302"/>
      <c r="L3" s="1302"/>
      <c r="M3" s="1346"/>
      <c r="N3" s="696"/>
      <c r="O3" s="696"/>
      <c r="P3" s="696"/>
      <c r="Q3" s="1368"/>
      <c r="R3" s="348"/>
      <c r="S3" s="517"/>
      <c r="T3" s="349"/>
      <c r="U3" s="1372">
        <f>INDEX(PT_DIFFERENTIATION_NUM_TER,MATCH(B3,PT_DIFFERENTIATION_TER_ID,0))</f>
      </c>
      <c r="V3" s="298" t="s">
        <v>457</v>
      </c>
      <c r="W3" s="288"/>
      <c r="X3" s="2175"/>
      <c r="Y3" s="2176"/>
      <c r="Z3" s="2176"/>
      <c r="AA3" s="2176"/>
      <c r="AB3" s="2176"/>
      <c r="AC3" s="2176"/>
      <c r="AD3" s="2176"/>
      <c r="AE3" s="2176"/>
      <c r="AF3" s="2177"/>
      <c r="AG3" s="2175">
        <f>INDEX(PT_DIFFERENTIATION_TER,MATCH(B3,PT_DIFFERENTIATION_TER_ID,0))</f>
      </c>
      <c r="AH3" s="2176"/>
      <c r="AI3" s="2176"/>
      <c r="AJ3" s="2176"/>
      <c r="AK3" s="2176"/>
      <c r="AL3" s="2176"/>
      <c r="AM3" s="2176"/>
      <c r="AN3" s="2176"/>
      <c r="AO3" s="2176"/>
      <c r="AP3" s="2177"/>
      <c r="AQ3" s="1292" t="s">
        <v>458</v>
      </c>
      <c r="AS3" s="508"/>
      <c r="AT3" s="508" t="str">
        <f>IF(V3="","",V3)</f>
        <v>Территория действия тарифа</v>
      </c>
      <c r="AU3" s="508"/>
      <c r="AV3" s="508"/>
    </row>
    <row customHeight="1" ht="22.5" hidden="1">
      <c r="A4" s="1302"/>
      <c r="B4" s="1302"/>
      <c r="C4" s="1302"/>
      <c r="D4" s="1302"/>
      <c r="E4" s="2232"/>
      <c r="F4" s="2232"/>
      <c r="G4" s="2231">
        <v>1</v>
      </c>
      <c r="H4" s="1302"/>
      <c r="I4" s="1302"/>
      <c r="J4" s="1302"/>
      <c r="K4" s="1302"/>
      <c r="L4" s="1302"/>
      <c r="M4" s="1346"/>
      <c r="N4" s="696"/>
      <c r="O4" s="696"/>
      <c r="P4" s="696"/>
      <c r="Q4" s="350"/>
      <c r="R4" s="348"/>
      <c r="S4" s="517"/>
      <c r="T4" s="349"/>
      <c r="U4" s="1372">
        <f>INDEX(PT_DIFFERENTIATION_NUM_CS,MATCH(C4,PT_DIFFERENTIATION_CS_ID,0))</f>
      </c>
      <c r="V4" s="299" t="s">
        <v>459</v>
      </c>
      <c r="W4" s="288"/>
      <c r="X4" s="2175"/>
      <c r="Y4" s="2176"/>
      <c r="Z4" s="2176"/>
      <c r="AA4" s="2176"/>
      <c r="AB4" s="2176"/>
      <c r="AC4" s="2176"/>
      <c r="AD4" s="2176"/>
      <c r="AE4" s="2176"/>
      <c r="AF4" s="2177"/>
      <c r="AG4" s="2175">
        <f>INDEX(PT_DIFFERENTIATION_CS,MATCH(C4,PT_DIFFERENTIATION_CS_ID,0))</f>
      </c>
      <c r="AH4" s="2176"/>
      <c r="AI4" s="2176"/>
      <c r="AJ4" s="2176"/>
      <c r="AK4" s="2176"/>
      <c r="AL4" s="2176"/>
      <c r="AM4" s="2176"/>
      <c r="AN4" s="2176"/>
      <c r="AO4" s="2176"/>
      <c r="AP4" s="2177"/>
      <c r="AQ4" s="1292" t="s">
        <v>460</v>
      </c>
      <c r="AS4" s="508"/>
      <c r="AT4" s="508" t="str">
        <f>IF(V4="","",V4)</f>
        <v>Наименование системы теплоснабжения </v>
      </c>
      <c r="AU4" s="508"/>
      <c r="AV4" s="508"/>
    </row>
    <row customHeight="1" ht="21" hidden="1">
      <c r="A5" s="1302"/>
      <c r="B5" s="1302"/>
      <c r="C5" s="1302"/>
      <c r="D5" s="1302"/>
      <c r="E5" s="2232"/>
      <c r="F5" s="2232"/>
      <c r="G5" s="2232"/>
      <c r="H5" s="2231">
        <v>1</v>
      </c>
      <c r="I5" s="1302"/>
      <c r="J5" s="1302"/>
      <c r="K5" s="1302"/>
      <c r="L5" s="1302"/>
      <c r="M5" s="1346"/>
      <c r="N5" s="696"/>
      <c r="O5" s="696"/>
      <c r="P5" s="696"/>
      <c r="Q5" s="350"/>
      <c r="R5" s="348"/>
      <c r="S5" s="517"/>
      <c r="T5" s="349"/>
      <c r="U5" s="1372">
        <f>INDEX(PT_DIFFERENTIATION_NUM_IST_TE,MATCH(D5,PT_DIFFERENTIATION_IST_TE_ID,0))</f>
      </c>
      <c r="V5" s="300" t="s">
        <v>461</v>
      </c>
      <c r="W5" s="288"/>
      <c r="X5" s="2175"/>
      <c r="Y5" s="2176"/>
      <c r="Z5" s="2176"/>
      <c r="AA5" s="2176"/>
      <c r="AB5" s="2176"/>
      <c r="AC5" s="2176"/>
      <c r="AD5" s="2176"/>
      <c r="AE5" s="2176"/>
      <c r="AF5" s="2177"/>
      <c r="AG5" s="2175">
        <f>INDEX(PT_DIFFERENTIATION_IST_TE,MATCH(D5,PT_DIFFERENTIATION_IST_TE_ID,0))</f>
      </c>
      <c r="AH5" s="2176"/>
      <c r="AI5" s="2176"/>
      <c r="AJ5" s="2176"/>
      <c r="AK5" s="2176"/>
      <c r="AL5" s="2176"/>
      <c r="AM5" s="2176"/>
      <c r="AN5" s="2176"/>
      <c r="AO5" s="2176"/>
      <c r="AP5" s="2177"/>
      <c r="AQ5" s="1292" t="s">
        <v>462</v>
      </c>
      <c r="AS5" s="508"/>
      <c r="AT5" s="508" t="str">
        <f>IF(V5="","",V5)</f>
        <v>Источник тепловой энергии  </v>
      </c>
      <c r="AU5" s="508"/>
      <c r="AV5" s="508"/>
    </row>
    <row customHeight="1" ht="14.25" hidden="1">
      <c r="A6" s="1302"/>
      <c r="B6" s="1302"/>
      <c r="C6" s="1302"/>
      <c r="D6" s="1302"/>
      <c r="E6" s="2232"/>
      <c r="F6" s="2232"/>
      <c r="G6" s="2232"/>
      <c r="H6" s="2232"/>
      <c r="I6" s="1966">
        <f>U5&amp;".1"</f>
      </c>
      <c r="J6" s="1302"/>
      <c r="K6" s="1302"/>
      <c r="L6" s="1302"/>
      <c r="M6" s="1346" t="s">
        <v>463</v>
      </c>
      <c r="N6" s="517"/>
      <c r="Q6" s="2190">
        <v>1</v>
      </c>
      <c r="R6" s="1367"/>
      <c r="S6" s="1367"/>
      <c r="T6" s="352"/>
      <c r="U6" s="1055"/>
      <c r="V6" s="1419"/>
      <c r="W6" s="1420"/>
      <c r="X6" s="2227"/>
      <c r="Y6" s="2228"/>
      <c r="Z6" s="2228"/>
      <c r="AA6" s="2228"/>
      <c r="AB6" s="2228"/>
      <c r="AC6" s="2228"/>
      <c r="AD6" s="2228"/>
      <c r="AE6" s="2228"/>
      <c r="AF6" s="2229"/>
      <c r="AG6" s="2227"/>
      <c r="AH6" s="2228"/>
      <c r="AI6" s="2228"/>
      <c r="AJ6" s="2228"/>
      <c r="AK6" s="2228"/>
      <c r="AL6" s="2228"/>
      <c r="AM6" s="2228"/>
      <c r="AN6" s="2228"/>
      <c r="AO6" s="2228"/>
      <c r="AP6" s="2229"/>
      <c r="AQ6" s="1421"/>
      <c r="AS6" s="508"/>
      <c r="AT6" s="508" t="str">
        <f>IF(V6="","",V6)</f>
        <v/>
      </c>
      <c r="AU6" s="508"/>
      <c r="AV6" s="508"/>
    </row>
    <row customHeight="1" ht="21" hidden="1">
      <c r="A7" s="1302"/>
      <c r="B7" s="1302"/>
      <c r="C7" s="1302"/>
      <c r="D7" s="1302"/>
      <c r="E7" s="2232"/>
      <c r="F7" s="2232"/>
      <c r="G7" s="2232"/>
      <c r="H7" s="2232"/>
      <c r="I7" s="1940"/>
      <c r="J7" s="1966">
        <f>I6&amp;".1"</f>
      </c>
      <c r="K7" s="1302"/>
      <c r="L7" s="1302"/>
      <c r="M7" s="1346" t="s">
        <v>466</v>
      </c>
      <c r="N7" s="517"/>
      <c r="O7" s="323"/>
      <c r="Q7" s="2190"/>
      <c r="R7" s="2190">
        <v>1</v>
      </c>
      <c r="S7" s="526"/>
      <c r="T7" s="353"/>
      <c r="U7" s="1372">
        <f>$J7</f>
      </c>
      <c r="V7" s="274" t="s">
        <v>467</v>
      </c>
      <c r="W7" s="288"/>
      <c r="X7" s="2178"/>
      <c r="Y7" s="2179"/>
      <c r="Z7" s="2179"/>
      <c r="AA7" s="2179"/>
      <c r="AB7" s="2179"/>
      <c r="AC7" s="2074"/>
      <c r="AD7" s="2074"/>
      <c r="AE7" s="2074"/>
      <c r="AF7" s="2233"/>
      <c r="AG7" s="2178"/>
      <c r="AH7" s="2179"/>
      <c r="AI7" s="2179"/>
      <c r="AJ7" s="2179"/>
      <c r="AK7" s="2179"/>
      <c r="AL7" s="2179"/>
      <c r="AM7" s="2179"/>
      <c r="AN7" s="2179"/>
      <c r="AO7" s="2179"/>
      <c r="AP7" s="2180"/>
      <c r="AQ7" s="1292" t="s">
        <v>468</v>
      </c>
      <c r="AS7" s="508"/>
      <c r="AT7" s="508" t="str">
        <f>IF(V7="","",V7)</f>
        <v>Группа потребителей</v>
      </c>
      <c r="AU7" s="508"/>
      <c r="AV7" s="508"/>
    </row>
    <row customHeight="1" ht="21" hidden="1">
      <c r="A8" s="1302"/>
      <c r="B8" s="1302"/>
      <c r="C8" s="1302"/>
      <c r="D8" s="1302"/>
      <c r="E8" s="2232"/>
      <c r="F8" s="2232"/>
      <c r="G8" s="2232"/>
      <c r="H8" s="2232"/>
      <c r="I8" s="1940"/>
      <c r="J8" s="1940"/>
      <c r="K8" s="1966">
        <f>J7&amp;".1"</f>
      </c>
      <c r="L8" s="125"/>
      <c r="M8" s="1346" t="s">
        <v>469</v>
      </c>
      <c r="N8" s="517"/>
      <c r="O8" s="323"/>
      <c r="P8" s="323"/>
      <c r="Q8" s="2190"/>
      <c r="R8" s="2190"/>
      <c r="S8" s="2190">
        <v>1</v>
      </c>
      <c r="T8" s="353"/>
      <c r="U8" s="1372">
        <f>$K8</f>
      </c>
      <c r="V8" s="1383"/>
      <c r="W8" s="288"/>
      <c r="X8" s="760"/>
      <c r="Y8" s="760"/>
      <c r="Z8" s="760"/>
      <c r="AA8" s="760"/>
      <c r="AB8" s="1441"/>
      <c r="AC8" s="2198"/>
      <c r="AD8" s="1946" t="s">
        <v>58</v>
      </c>
      <c r="AE8" s="2198"/>
      <c r="AF8" s="1946" t="s">
        <v>58</v>
      </c>
      <c r="AG8" s="1443"/>
      <c r="AH8" s="760"/>
      <c r="AI8" s="760"/>
      <c r="AJ8" s="760"/>
      <c r="AK8" s="1291"/>
      <c r="AL8" s="2198"/>
      <c r="AM8" s="1946" t="s">
        <v>58</v>
      </c>
      <c r="AN8" s="2198"/>
      <c r="AO8" s="1946" t="s">
        <v>58</v>
      </c>
      <c r="AP8" s="320"/>
      <c r="AQ8" s="1343" t="s">
        <v>519</v>
      </c>
      <c r="AR8" s="519">
        <f>STRCHECKDATE(X10:AP10)</f>
      </c>
      <c r="AS8" s="508"/>
      <c r="AT8" s="508" t="str">
        <f>IF(V8="","",V8)</f>
        <v/>
      </c>
      <c r="AU8" s="508"/>
      <c r="AV8" s="508"/>
    </row>
    <row customHeight="1" ht="21" hidden="1">
      <c r="A9" s="1302"/>
      <c r="B9" s="1302"/>
      <c r="C9" s="1302"/>
      <c r="D9" s="1302"/>
      <c r="E9" s="2232"/>
      <c r="F9" s="2232"/>
      <c r="G9" s="2232"/>
      <c r="H9" s="2232"/>
      <c r="I9" s="1940"/>
      <c r="J9" s="1940"/>
      <c r="K9" s="1940"/>
      <c r="L9" s="1966">
        <f>K8&amp;".1"</f>
      </c>
      <c r="M9" s="1346"/>
      <c r="N9" s="517"/>
      <c r="O9" s="323"/>
      <c r="P9" s="323"/>
      <c r="Q9" s="2190"/>
      <c r="R9" s="2190"/>
      <c r="S9" s="2190"/>
      <c r="T9" s="353"/>
      <c r="U9" s="1372">
        <f>$L9</f>
      </c>
      <c r="V9" s="1427"/>
      <c r="W9" s="288"/>
      <c r="X9" s="320"/>
      <c r="Y9" s="760"/>
      <c r="Z9" s="760"/>
      <c r="AA9" s="760"/>
      <c r="AB9" s="1441"/>
      <c r="AC9" s="2234"/>
      <c r="AD9" s="1946"/>
      <c r="AE9" s="2234"/>
      <c r="AF9" s="1946"/>
      <c r="AG9" s="1443"/>
      <c r="AH9" s="760"/>
      <c r="AI9" s="760"/>
      <c r="AJ9" s="760"/>
      <c r="AK9" s="1291"/>
      <c r="AL9" s="2234"/>
      <c r="AM9" s="1946"/>
      <c r="AN9" s="2234"/>
      <c r="AO9" s="1946"/>
      <c r="AP9" s="320"/>
      <c r="AQ9" s="2186" t="s">
        <v>520</v>
      </c>
      <c r="AS9" s="508"/>
      <c r="AT9" s="508"/>
      <c r="AU9" s="508"/>
      <c r="AV9" s="508"/>
    </row>
    <row customHeight="1" ht="14.25" hidden="1">
      <c r="A10" s="1302"/>
      <c r="B10" s="1302"/>
      <c r="C10" s="1302"/>
      <c r="D10" s="1302"/>
      <c r="E10" s="2232"/>
      <c r="F10" s="2232"/>
      <c r="G10" s="2232"/>
      <c r="H10" s="2232"/>
      <c r="I10" s="1940"/>
      <c r="J10" s="1940"/>
      <c r="K10" s="1940"/>
      <c r="L10" s="1966"/>
      <c r="M10" s="1346"/>
      <c r="N10" s="517"/>
      <c r="O10" s="323"/>
      <c r="P10" s="323"/>
      <c r="Q10" s="2190"/>
      <c r="R10" s="2190"/>
      <c r="S10" s="2190"/>
      <c r="T10" s="353"/>
      <c r="U10" s="1378"/>
      <c r="V10" s="288"/>
      <c r="W10" s="288"/>
      <c r="X10" s="320"/>
      <c r="Y10" s="320"/>
      <c r="Z10" s="320"/>
      <c r="AA10" s="320"/>
      <c r="AB10" s="1442" t="str">
        <f>AC8&amp;"-"&amp;AE8</f>
        <v>-</v>
      </c>
      <c r="AC10" s="2234"/>
      <c r="AD10" s="1946"/>
      <c r="AE10" s="2234"/>
      <c r="AF10" s="1946"/>
      <c r="AG10" s="1418"/>
      <c r="AH10" s="320"/>
      <c r="AI10" s="320"/>
      <c r="AJ10" s="320"/>
      <c r="AK10" s="324" t="str">
        <f>AL8&amp;"-"&amp;AN8</f>
        <v>-</v>
      </c>
      <c r="AL10" s="2234"/>
      <c r="AM10" s="1946"/>
      <c r="AN10" s="2234"/>
      <c r="AO10" s="1946"/>
      <c r="AP10" s="320"/>
      <c r="AQ10" s="2187"/>
      <c r="AS10" s="508"/>
      <c r="AT10" s="508" t="str">
        <f>IF(V10="","",V10)</f>
        <v/>
      </c>
      <c r="AU10" s="508"/>
      <c r="AV10" s="508"/>
    </row>
    <row customHeight="1" ht="11.25" hidden="1">
      <c r="A11" s="1302"/>
      <c r="B11" s="1302"/>
      <c r="C11" s="1302"/>
      <c r="D11" s="1302"/>
      <c r="E11" s="2232"/>
      <c r="F11" s="2232"/>
      <c r="G11" s="2232"/>
      <c r="H11" s="2232"/>
      <c r="I11" s="1940"/>
      <c r="J11" s="1940"/>
      <c r="K11" s="1966"/>
      <c r="L11" s="1302"/>
      <c r="M11" s="1346"/>
      <c r="N11" s="517"/>
      <c r="O11" s="323"/>
      <c r="P11" s="323"/>
      <c r="Q11" s="2190"/>
      <c r="R11" s="2190"/>
      <c r="S11" s="2190"/>
      <c r="T11" s="353"/>
      <c r="U11" s="1314"/>
      <c r="V11" s="276" t="s">
        <v>521</v>
      </c>
      <c r="W11" s="1428"/>
      <c r="X11" s="1429"/>
      <c r="Y11" s="1429"/>
      <c r="Z11" s="1429"/>
      <c r="AA11" s="1429"/>
      <c r="AB11" s="1430"/>
      <c r="AC11" s="2234"/>
      <c r="AD11" s="1946"/>
      <c r="AE11" s="2234"/>
      <c r="AF11" s="1946"/>
      <c r="AG11" s="1429"/>
      <c r="AH11" s="1429"/>
      <c r="AI11" s="1429"/>
      <c r="AJ11" s="1429"/>
      <c r="AK11" s="1430"/>
      <c r="AL11" s="2234"/>
      <c r="AM11" s="1946"/>
      <c r="AN11" s="2234"/>
      <c r="AO11" s="1946"/>
      <c r="AP11" s="1431"/>
      <c r="AQ11" s="2187"/>
      <c r="AS11" s="508"/>
      <c r="AT11" s="508"/>
      <c r="AU11" s="508"/>
      <c r="AV11" s="508"/>
    </row>
    <row customHeight="1" ht="15" hidden="1">
      <c r="A12" s="1302"/>
      <c r="B12" s="1302"/>
      <c r="C12" s="1302"/>
      <c r="D12" s="1302"/>
      <c r="E12" s="2232"/>
      <c r="F12" s="2232"/>
      <c r="G12" s="2232"/>
      <c r="H12" s="2232"/>
      <c r="I12" s="1940"/>
      <c r="J12" s="1966"/>
      <c r="K12" s="1302"/>
      <c r="L12" s="1302"/>
      <c r="M12" s="1346"/>
      <c r="N12" s="517"/>
      <c r="O12" s="323"/>
      <c r="Q12" s="2190"/>
      <c r="R12" s="2190"/>
      <c r="S12" s="1367"/>
      <c r="T12" s="352"/>
      <c r="U12" s="1314"/>
      <c r="V12" s="275" t="s">
        <v>471</v>
      </c>
      <c r="W12" s="367"/>
      <c r="X12" s="367"/>
      <c r="Y12" s="367"/>
      <c r="Z12" s="367"/>
      <c r="AA12" s="367"/>
      <c r="AB12" s="367"/>
      <c r="AC12" s="1444"/>
      <c r="AD12" s="1444"/>
      <c r="AE12" s="1444"/>
      <c r="AF12" s="1444"/>
      <c r="AG12" s="367"/>
      <c r="AH12" s="367"/>
      <c r="AI12" s="367"/>
      <c r="AJ12" s="367"/>
      <c r="AK12" s="367"/>
      <c r="AL12" s="367"/>
      <c r="AM12" s="367"/>
      <c r="AN12" s="367"/>
      <c r="AO12" s="367"/>
      <c r="AP12" s="319"/>
      <c r="AQ12" s="2188"/>
      <c r="AS12" s="508"/>
      <c r="AT12" s="508" t="str">
        <f>IF(V12="","",V12)</f>
        <v>Добавить вид теплоносителя (параметры теплоносителя)</v>
      </c>
      <c r="AU12" s="508"/>
      <c r="AV12" s="508"/>
    </row>
    <row customHeight="1" ht="11.25" hidden="1">
      <c r="A13" s="1302"/>
      <c r="B13" s="1302"/>
      <c r="C13" s="1302"/>
      <c r="D13" s="1302"/>
      <c r="E13" s="2232"/>
      <c r="F13" s="2232"/>
      <c r="G13" s="2232"/>
      <c r="H13" s="2232"/>
      <c r="I13" s="1966"/>
      <c r="J13" s="1302"/>
      <c r="K13" s="1302"/>
      <c r="L13" s="1302"/>
      <c r="M13" s="1346"/>
      <c r="N13" s="517"/>
      <c r="Q13" s="2190"/>
      <c r="R13" s="1367"/>
      <c r="S13" s="1367"/>
      <c r="T13" s="352"/>
      <c r="U13" s="1314"/>
      <c r="V13" s="364" t="s">
        <v>472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32"/>
      <c r="F14" s="2232"/>
      <c r="G14" s="2232"/>
      <c r="H14" s="2231"/>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598" customFormat="1" customHeight="1" ht="14.25" hidden="1">
      <c r="A15" s="1410"/>
      <c r="B15" s="1410"/>
      <c r="C15" s="1410"/>
      <c r="D15" s="1410"/>
      <c r="E15" s="2232"/>
      <c r="F15" s="2232"/>
      <c r="G15" s="2231"/>
      <c r="H15" s="1410"/>
      <c r="I15" s="1410"/>
      <c r="J15" s="1410"/>
      <c r="K15" s="1410"/>
      <c r="L15" s="1410"/>
      <c r="M15" s="1413"/>
      <c r="N15" s="1414"/>
      <c r="O15" s="1414"/>
      <c r="P15" s="347"/>
      <c r="Q15" s="1352"/>
      <c r="R15" s="1353"/>
      <c r="S15" s="1352"/>
      <c r="T15" s="1352"/>
      <c r="U15" s="1354"/>
      <c r="V15" s="1355" t="s">
        <v>430</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598" customFormat="1" customHeight="1" ht="14.25" hidden="1">
      <c r="A16" s="1410"/>
      <c r="B16" s="1410"/>
      <c r="C16" s="1410"/>
      <c r="D16" s="1410"/>
      <c r="E16" s="2232"/>
      <c r="F16" s="2231"/>
      <c r="G16" s="1410"/>
      <c r="H16" s="1410"/>
      <c r="I16" s="1410"/>
      <c r="J16" s="1410"/>
      <c r="K16" s="1410"/>
      <c r="L16" s="1410"/>
      <c r="M16" s="1413"/>
      <c r="N16" s="1415"/>
      <c r="O16" s="1415"/>
      <c r="P16" s="347"/>
      <c r="Q16" s="1352"/>
      <c r="R16" s="1353"/>
      <c r="S16" s="1352"/>
      <c r="T16" s="1352"/>
      <c r="U16" s="1358"/>
      <c r="V16" s="1359" t="s">
        <v>431</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598" customFormat="1" customHeight="1" ht="14.25" hidden="1">
      <c r="A17" s="1410"/>
      <c r="B17" s="1410"/>
      <c r="C17" s="1410"/>
      <c r="D17" s="1410"/>
      <c r="E17" s="2231"/>
      <c r="F17" s="1410"/>
      <c r="G17" s="1410"/>
      <c r="H17" s="1410"/>
      <c r="I17" s="1410"/>
      <c r="J17" s="1410"/>
      <c r="K17" s="1410"/>
      <c r="L17" s="1410"/>
      <c r="M17" s="1413"/>
      <c r="N17" s="1415"/>
      <c r="O17" s="1415"/>
      <c r="P17" s="347"/>
      <c r="Q17" s="1352"/>
      <c r="R17" s="1353"/>
      <c r="S17" s="1352"/>
      <c r="T17" s="1352"/>
      <c r="U17" s="1358"/>
      <c r="V17" s="1361" t="s">
        <v>432</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200"/>
      <c r="AM19" s="2201" t="s">
        <v>58</v>
      </c>
      <c r="AN19" s="2200"/>
      <c r="AO19" s="2201" t="s">
        <v>58</v>
      </c>
    </row>
    <row customHeight="1" ht="14.25" hidden="1">
      <c r="AG20" s="1396"/>
      <c r="AH20" s="1396"/>
      <c r="AI20" s="1396"/>
      <c r="AJ20" s="1396"/>
      <c r="AK20" s="1397"/>
      <c r="AL20" s="2200"/>
      <c r="AM20" s="2201"/>
      <c r="AN20" s="2200"/>
      <c r="AO20" s="2201"/>
    </row>
    <row customHeight="1" ht="14.25" hidden="1">
      <c r="AG21" s="1396"/>
      <c r="AH21" s="1396"/>
      <c r="AI21" s="1396"/>
      <c r="AJ21" s="1396"/>
      <c r="AK21" s="1397"/>
      <c r="AL21" s="2200"/>
      <c r="AM21" s="2201"/>
      <c r="AN21" s="2200"/>
      <c r="AO21" s="2201"/>
    </row>
    <row customHeight="1" ht="14.25" hidden="1">
      <c r="AG22" s="1396"/>
      <c r="AH22" s="1396"/>
      <c r="AI22" s="1396"/>
      <c r="AJ22" s="1396"/>
      <c r="AK22" s="324" t="str">
        <f>AL19&amp;"-"&amp;AN19</f>
        <v>-</v>
      </c>
      <c r="AL22" s="2201"/>
      <c r="AM22" s="2201"/>
      <c r="AN22" s="2201"/>
      <c r="AO22" s="2201"/>
    </row>
    <row customHeight="1" ht="14.25" hidden="1">
      <c r="AO23" s="323"/>
    </row>
    <row s="3145" customFormat="1" customHeight="1" ht="22.5" hidden="1">
      <c r="A24" s="1169"/>
      <c r="B24" s="1169"/>
      <c r="C24" s="1169"/>
      <c r="D24" s="1169"/>
      <c r="E24" s="1169"/>
      <c r="F24" s="1169"/>
      <c r="G24" s="1169"/>
      <c r="H24" s="1169"/>
      <c r="I24" s="1169"/>
      <c r="J24" s="1169"/>
      <c r="K24" s="1169"/>
      <c r="L24" s="1169"/>
      <c r="M24" s="1363"/>
      <c r="N24" s="1364"/>
      <c r="O24" s="1364"/>
      <c r="P24" s="1381" t="s">
        <v>474</v>
      </c>
      <c r="Q24" s="1398"/>
      <c r="R24" s="1407"/>
      <c r="S24" s="1407"/>
      <c r="T24" s="1407"/>
      <c r="U24" s="738"/>
      <c r="AC24" s="1403"/>
      <c r="AE24" s="1403"/>
      <c r="AF24" s="1402"/>
      <c r="AL24" s="1403"/>
      <c r="AN24" s="1403"/>
      <c r="AO24" s="1402"/>
      <c r="AR24" s="519"/>
      <c r="AS24" s="519"/>
      <c r="AT24" s="519"/>
      <c r="AU24" s="519"/>
      <c r="AV24" s="519"/>
    </row>
    <row s="3145"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45" customFormat="1" customHeight="1" ht="14.25" hidden="1">
      <c r="A26" s="1169"/>
      <c r="B26" s="1169"/>
      <c r="C26" s="1169"/>
      <c r="D26" s="1169"/>
      <c r="E26" s="1169"/>
      <c r="F26" s="1169"/>
      <c r="G26" s="1169"/>
      <c r="H26" s="1169"/>
      <c r="I26" s="1169"/>
      <c r="J26" s="1169"/>
      <c r="K26" s="1169"/>
      <c r="L26" s="1169"/>
      <c r="M26" s="1363"/>
      <c r="N26" s="1364"/>
      <c r="O26" s="1364"/>
      <c r="P26" s="1346" t="s">
        <v>475</v>
      </c>
      <c r="Q26" s="1398"/>
      <c r="R26" s="1407"/>
      <c r="S26" s="1407"/>
      <c r="T26" s="1407"/>
      <c r="U26" s="738"/>
      <c r="V26" s="1174" t="s">
        <v>476</v>
      </c>
      <c r="AD26" s="172" t="s">
        <v>477</v>
      </c>
      <c r="AF26" s="172" t="s">
        <v>478</v>
      </c>
      <c r="AG26" s="1174" t="s">
        <v>476</v>
      </c>
      <c r="AM26" s="172" t="s">
        <v>479</v>
      </c>
      <c r="AO26" s="172" t="s">
        <v>478</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267"/>
    </row>
    <row customHeight="1" ht="14.25">
      <c r="R31" s="377"/>
      <c r="S31" s="377"/>
      <c r="T31" s="377"/>
      <c r="U31" s="2182" t="str">
        <f>IF(org=0,"Не определено",org)</f>
        <v>Филиал "Печорская ГРЭС" АО "Интер РАО-Электрогенерация"</v>
      </c>
      <c r="V31" s="2182"/>
      <c r="W31" s="2182"/>
      <c r="X31" s="2182"/>
      <c r="Y31" s="2182"/>
      <c r="Z31" s="2182"/>
      <c r="AA31" s="2182"/>
      <c r="AB31" s="2182"/>
      <c r="AC31" s="2182"/>
      <c r="AD31" s="2182"/>
      <c r="AE31" s="2182"/>
      <c r="AF31" s="2182"/>
      <c r="AG31" s="2182"/>
      <c r="AH31" s="2182"/>
      <c r="AI31" s="2182"/>
      <c r="AJ31" s="2182"/>
      <c r="AK31" s="2182"/>
      <c r="AL31" s="2182"/>
      <c r="AM31" s="2182"/>
      <c r="AN31" s="2182"/>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27" customFormat="1" customHeight="1" ht="25.5" hidden="1">
      <c r="A33" s="1273"/>
      <c r="B33" s="1273"/>
      <c r="C33" s="1273"/>
      <c r="D33" s="1273"/>
      <c r="E33" s="1273"/>
      <c r="F33" s="1273"/>
      <c r="G33" s="1273"/>
      <c r="H33" s="1273"/>
      <c r="I33" s="1273"/>
      <c r="J33" s="1273"/>
      <c r="K33" s="1273"/>
      <c r="L33" s="1273"/>
      <c r="M33" s="1416"/>
      <c r="N33" s="1273"/>
      <c r="O33" s="1273"/>
      <c r="P33" s="1273"/>
      <c r="U33" s="2183" t="s">
        <v>39</v>
      </c>
      <c r="V33" s="2183"/>
      <c r="W33" s="1408"/>
      <c r="X33" s="2184" t="str">
        <f>IF(TITLE_NAME_OR_PR_CHANGE="",IF(TITLE_NAME_OR_PR="","",TITLE_NAME_OR_PR),TITLE_NAME_OR_PR_CHANGE)</f>
        <v/>
      </c>
      <c r="Y33" s="2184"/>
      <c r="Z33" s="2184"/>
      <c r="AA33" s="2184"/>
      <c r="AB33" s="2184"/>
      <c r="AC33" s="2184"/>
      <c r="AD33" s="2184"/>
      <c r="AE33" s="2184"/>
      <c r="AF33" s="322"/>
      <c r="AG33" s="2184" t="str">
        <f>IF(TITLE_NAME_OR_PR_CHANGE="",IF(TITLE_NAME_OR_PR="","",TITLE_NAME_OR_PR),TITLE_NAME_OR_PR_CHANGE)</f>
        <v/>
      </c>
      <c r="AH33" s="2184"/>
      <c r="AI33" s="2184"/>
      <c r="AJ33" s="2184"/>
      <c r="AK33" s="2184"/>
      <c r="AL33" s="2184"/>
      <c r="AM33" s="2184"/>
      <c r="AN33" s="2184"/>
      <c r="AO33" s="322"/>
      <c r="AP33" s="322"/>
      <c r="AQ33" s="268"/>
      <c r="AR33" s="368"/>
      <c r="AS33" s="368"/>
      <c r="AT33" s="368"/>
      <c r="AU33" s="368"/>
      <c r="AV33" s="368"/>
    </row>
    <row s="3627" customFormat="1" customHeight="1" ht="18.75" hidden="1">
      <c r="A34" s="1273"/>
      <c r="B34" s="1273"/>
      <c r="C34" s="1273"/>
      <c r="D34" s="1273"/>
      <c r="E34" s="1273"/>
      <c r="F34" s="1273"/>
      <c r="G34" s="1273"/>
      <c r="H34" s="1273"/>
      <c r="I34" s="1273"/>
      <c r="J34" s="1273"/>
      <c r="K34" s="1273"/>
      <c r="L34" s="1273"/>
      <c r="M34" s="1416"/>
      <c r="N34" s="1273"/>
      <c r="O34" s="1273"/>
      <c r="P34" s="1273"/>
      <c r="U34" s="2183" t="s">
        <v>480</v>
      </c>
      <c r="V34" s="2183"/>
      <c r="W34" s="1408"/>
      <c r="X34" s="2197" t="str">
        <f>IF(TITLE_DATE_CHANGE_PERIOD="",IF(TITLE_DATE_PR="","",TITLE_DATE_PR),TITLE_DATE_CHANGE_PERIOD)</f>
        <v/>
      </c>
      <c r="Y34" s="2197"/>
      <c r="Z34" s="2197"/>
      <c r="AA34" s="2197"/>
      <c r="AB34" s="2197"/>
      <c r="AC34" s="2197"/>
      <c r="AD34" s="2197"/>
      <c r="AE34" s="2197"/>
      <c r="AF34" s="322"/>
      <c r="AG34" s="2197" t="str">
        <f>IF(TITLE_DATE_CHANGE_PERIOD="",IF(TITLE_DATE_PR="","",TITLE_DATE_PR),TITLE_DATE_CHANGE_PERIOD)</f>
        <v/>
      </c>
      <c r="AH34" s="2197"/>
      <c r="AI34" s="2197"/>
      <c r="AJ34" s="2197"/>
      <c r="AK34" s="2197"/>
      <c r="AL34" s="2197"/>
      <c r="AM34" s="2197"/>
      <c r="AN34" s="2197"/>
      <c r="AO34" s="322"/>
      <c r="AP34" s="322"/>
      <c r="AQ34" s="268"/>
      <c r="AR34" s="368"/>
      <c r="AS34" s="368"/>
      <c r="AT34" s="368"/>
      <c r="AU34" s="368"/>
      <c r="AV34" s="368"/>
    </row>
    <row s="3627" customFormat="1" customHeight="1" ht="18.75" hidden="1">
      <c r="A35" s="1273"/>
      <c r="B35" s="1273"/>
      <c r="C35" s="1273"/>
      <c r="D35" s="1273"/>
      <c r="E35" s="1273"/>
      <c r="F35" s="1273"/>
      <c r="G35" s="1273"/>
      <c r="H35" s="1273"/>
      <c r="I35" s="1273"/>
      <c r="J35" s="1273"/>
      <c r="K35" s="1273"/>
      <c r="L35" s="1273"/>
      <c r="M35" s="1416"/>
      <c r="N35" s="1273"/>
      <c r="O35" s="1273"/>
      <c r="P35" s="1273"/>
      <c r="U35" s="2183" t="s">
        <v>481</v>
      </c>
      <c r="V35" s="2183"/>
      <c r="W35" s="1408"/>
      <c r="X35" s="2184" t="str">
        <f>IF(TITLE_NUMBER_PR_CHANGE="",IF(TITLE_NUMBER_PR="","",TITLE_NUMBER_PR),TITLE_NUMBER_PR_CHANGE)</f>
        <v/>
      </c>
      <c r="Y35" s="2184"/>
      <c r="Z35" s="2184"/>
      <c r="AA35" s="2184"/>
      <c r="AB35" s="2184"/>
      <c r="AC35" s="2184"/>
      <c r="AD35" s="2184"/>
      <c r="AE35" s="2184"/>
      <c r="AF35" s="322"/>
      <c r="AG35" s="2184" t="str">
        <f>IF(TITLE_NUMBER_PR_CHANGE="",IF(TITLE_NUMBER_PR="","",TITLE_NUMBER_PR),TITLE_NUMBER_PR_CHANGE)</f>
        <v/>
      </c>
      <c r="AH35" s="2184"/>
      <c r="AI35" s="2184"/>
      <c r="AJ35" s="2184"/>
      <c r="AK35" s="2184"/>
      <c r="AL35" s="2184"/>
      <c r="AM35" s="2184"/>
      <c r="AN35" s="2184"/>
      <c r="AO35" s="322"/>
      <c r="AP35" s="322"/>
      <c r="AQ35" s="268"/>
      <c r="AR35" s="368"/>
      <c r="AS35" s="368"/>
      <c r="AT35" s="368"/>
      <c r="AU35" s="368"/>
      <c r="AV35" s="368"/>
    </row>
    <row s="3627" customFormat="1" customHeight="1" ht="18.75" hidden="1">
      <c r="A36" s="1273"/>
      <c r="B36" s="1273"/>
      <c r="C36" s="1273"/>
      <c r="D36" s="1273"/>
      <c r="E36" s="1273"/>
      <c r="F36" s="1273"/>
      <c r="G36" s="1273"/>
      <c r="H36" s="1273"/>
      <c r="I36" s="1273"/>
      <c r="J36" s="1273"/>
      <c r="K36" s="1273"/>
      <c r="L36" s="1273"/>
      <c r="M36" s="1416"/>
      <c r="N36" s="1273"/>
      <c r="O36" s="1273"/>
      <c r="P36" s="1273"/>
      <c r="U36" s="2183" t="s">
        <v>40</v>
      </c>
      <c r="V36" s="2183"/>
      <c r="W36" s="1408"/>
      <c r="X36" s="2184" t="str">
        <f>IF(TITLE_IST_PUB_CHANGE="",IF(TITLE_IST_PUB="","",TITLE_IST_PUB),TITLE_IST_PUB_CHANGE)</f>
        <v/>
      </c>
      <c r="Y36" s="2184"/>
      <c r="Z36" s="2184"/>
      <c r="AA36" s="2184"/>
      <c r="AB36" s="2184"/>
      <c r="AC36" s="2184"/>
      <c r="AD36" s="2184"/>
      <c r="AE36" s="2184"/>
      <c r="AF36" s="322"/>
      <c r="AG36" s="2184" t="str">
        <f>IF(TITLE_IST_PUB_CHANGE="",IF(TITLE_IST_PUB="","",TITLE_IST_PUB),TITLE_IST_PUB_CHANGE)</f>
        <v/>
      </c>
      <c r="AH36" s="2184"/>
      <c r="AI36" s="2184"/>
      <c r="AJ36" s="2184"/>
      <c r="AK36" s="2184"/>
      <c r="AL36" s="2184"/>
      <c r="AM36" s="2184"/>
      <c r="AN36" s="2184"/>
      <c r="AO36" s="322"/>
      <c r="AP36" s="322"/>
      <c r="AQ36" s="268"/>
      <c r="AR36" s="368"/>
      <c r="AS36" s="368"/>
      <c r="AT36" s="368"/>
      <c r="AU36" s="368"/>
      <c r="AV36" s="368"/>
    </row>
    <row customHeight="1" ht="14.25" hidden="1">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27" customFormat="1" customHeight="1" ht="18.75" hidden="1">
      <c r="A38" s="1273"/>
      <c r="B38" s="1273"/>
      <c r="C38" s="1273"/>
      <c r="D38" s="1273"/>
      <c r="E38" s="1273"/>
      <c r="F38" s="1273"/>
      <c r="G38" s="1273"/>
      <c r="H38" s="1273"/>
      <c r="I38" s="1273"/>
      <c r="J38" s="1273"/>
      <c r="K38" s="1273"/>
      <c r="L38" s="1273"/>
      <c r="M38" s="1416"/>
      <c r="N38" s="1273"/>
      <c r="O38" s="1273"/>
      <c r="P38" s="1273"/>
      <c r="U38" s="2183" t="s">
        <v>482</v>
      </c>
      <c r="V38" s="2183"/>
      <c r="W38" s="1408"/>
      <c r="X38" s="2197" t="str">
        <f>IF(TITLE_DATE_CHANGE_PERIOD="",IF(TITLE_DATE_PR="","",TITLE_DATE_PR),TITLE_DATE_CHANGE_PERIOD)</f>
        <v/>
      </c>
      <c r="Y38" s="2197"/>
      <c r="Z38" s="2197"/>
      <c r="AA38" s="2197"/>
      <c r="AB38" s="2197"/>
      <c r="AC38" s="2197"/>
      <c r="AD38" s="2197"/>
      <c r="AE38" s="2197"/>
      <c r="AF38" s="322"/>
      <c r="AG38" s="2197" t="str">
        <f>IF(TITLE_DATE_CHANGE_PERIOD="",IF(TITLE_DATE_PR="","",TITLE_DATE_PR),TITLE_DATE_CHANGE_PERIOD)</f>
        <v/>
      </c>
      <c r="AH38" s="2197"/>
      <c r="AI38" s="2197"/>
      <c r="AJ38" s="2197"/>
      <c r="AK38" s="2197"/>
      <c r="AL38" s="2197"/>
      <c r="AM38" s="2197"/>
      <c r="AN38" s="2197"/>
      <c r="AO38" s="322"/>
      <c r="AP38" s="322"/>
      <c r="AQ38" s="268"/>
      <c r="AR38" s="368"/>
      <c r="AS38" s="368"/>
      <c r="AT38" s="368"/>
      <c r="AU38" s="368"/>
      <c r="AV38" s="368"/>
    </row>
    <row s="3627" customFormat="1" customHeight="1" ht="18.75" hidden="1">
      <c r="A39" s="1273"/>
      <c r="B39" s="1273"/>
      <c r="C39" s="1273"/>
      <c r="D39" s="1273"/>
      <c r="E39" s="1273"/>
      <c r="F39" s="1273"/>
      <c r="G39" s="1273"/>
      <c r="H39" s="1273"/>
      <c r="I39" s="1273"/>
      <c r="J39" s="1273"/>
      <c r="K39" s="1273"/>
      <c r="L39" s="1273"/>
      <c r="M39" s="1416"/>
      <c r="N39" s="1273"/>
      <c r="O39" s="1273"/>
      <c r="P39" s="1273"/>
      <c r="U39" s="2183" t="s">
        <v>483</v>
      </c>
      <c r="V39" s="2183"/>
      <c r="W39" s="1408"/>
      <c r="X39" s="2184" t="str">
        <f>IF(TITLE_NUMBER_PR_CHANGE="",IF(TITLE_NUMBER_PR="","",TITLE_NUMBER_PR),TITLE_NUMBER_PR_CHANGE)</f>
        <v/>
      </c>
      <c r="Y39" s="2184"/>
      <c r="Z39" s="2184"/>
      <c r="AA39" s="2184"/>
      <c r="AB39" s="2184"/>
      <c r="AC39" s="2184"/>
      <c r="AD39" s="2184"/>
      <c r="AE39" s="2184"/>
      <c r="AF39" s="322"/>
      <c r="AG39" s="2184" t="str">
        <f>IF(TITLE_NUMBER_PR_CHANGE="",IF(TITLE_NUMBER_PR="","",TITLE_NUMBER_PR),TITLE_NUMBER_PR_CHANGE)</f>
        <v/>
      </c>
      <c r="AH39" s="2184"/>
      <c r="AI39" s="2184"/>
      <c r="AJ39" s="2184"/>
      <c r="AK39" s="2184"/>
      <c r="AL39" s="2184"/>
      <c r="AM39" s="2184"/>
      <c r="AN39" s="2184"/>
      <c r="AO39" s="322"/>
      <c r="AP39" s="322"/>
      <c r="AQ39" s="268"/>
      <c r="AR39" s="368"/>
      <c r="AS39" s="368"/>
      <c r="AT39" s="368"/>
      <c r="AU39" s="368"/>
      <c r="AV39" s="368"/>
    </row>
    <row s="3627"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484</v>
      </c>
      <c r="AG40" s="322"/>
      <c r="AH40" s="322"/>
      <c r="AI40" s="322"/>
      <c r="AJ40" s="322"/>
      <c r="AK40" s="322"/>
      <c r="AL40" s="322"/>
      <c r="AM40" s="322"/>
      <c r="AN40" s="322"/>
      <c r="AO40" s="266" t="s">
        <v>484</v>
      </c>
      <c r="AR40" s="368"/>
      <c r="AS40" s="368"/>
      <c r="AT40" s="368"/>
      <c r="AU40" s="368"/>
      <c r="AV40" s="368"/>
    </row>
    <row customHeight="1" ht="14.25">
      <c r="R41" s="377"/>
      <c r="S41" s="377"/>
      <c r="T41" s="377"/>
      <c r="U41" s="1311"/>
      <c r="V41" s="361"/>
      <c r="W41" s="1268"/>
      <c r="X41" s="2185"/>
      <c r="Y41" s="2185"/>
      <c r="Z41" s="2185"/>
      <c r="AA41" s="2185"/>
      <c r="AB41" s="2185"/>
      <c r="AC41" s="2185"/>
      <c r="AD41" s="2185"/>
      <c r="AE41" s="2185"/>
      <c r="AF41" s="2185"/>
      <c r="AG41" s="2185"/>
      <c r="AH41" s="2185"/>
      <c r="AI41" s="2185"/>
      <c r="AJ41" s="2185"/>
      <c r="AK41" s="2185"/>
      <c r="AL41" s="2185"/>
      <c r="AM41" s="2185"/>
      <c r="AN41" s="2185"/>
      <c r="AO41" s="2185"/>
    </row>
    <row customHeight="1" ht="14.25">
      <c r="R42" s="377"/>
      <c r="S42" s="377"/>
      <c r="T42" s="377"/>
      <c r="U42" s="1966" t="s">
        <v>287</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288</v>
      </c>
    </row>
    <row customHeight="1" ht="14.25">
      <c r="R43" s="377"/>
      <c r="S43" s="377"/>
      <c r="T43" s="377"/>
      <c r="U43" s="2206" t="s">
        <v>87</v>
      </c>
      <c r="V43" s="2047" t="s">
        <v>485</v>
      </c>
      <c r="W43" s="289"/>
      <c r="X43" s="2207" t="s">
        <v>486</v>
      </c>
      <c r="Y43" s="2222"/>
      <c r="Z43" s="2222"/>
      <c r="AA43" s="2222"/>
      <c r="AB43" s="2222"/>
      <c r="AC43" s="2208"/>
      <c r="AD43" s="2208"/>
      <c r="AE43" s="2209"/>
      <c r="AF43" s="2210" t="s">
        <v>487</v>
      </c>
      <c r="AG43" s="2207" t="s">
        <v>486</v>
      </c>
      <c r="AH43" s="2222"/>
      <c r="AI43" s="2222"/>
      <c r="AJ43" s="2222"/>
      <c r="AK43" s="2222"/>
      <c r="AL43" s="2208"/>
      <c r="AM43" s="2208"/>
      <c r="AN43" s="2209"/>
      <c r="AO43" s="2210" t="s">
        <v>488</v>
      </c>
      <c r="AP43" s="2213" t="s">
        <v>489</v>
      </c>
      <c r="AQ43" s="1966"/>
    </row>
    <row customHeight="1" ht="33.75">
      <c r="R44" s="377"/>
      <c r="S44" s="377"/>
      <c r="T44" s="377"/>
      <c r="U44" s="2206"/>
      <c r="V44" s="2047"/>
      <c r="W44" s="1044"/>
      <c r="X44" s="2225" t="s">
        <v>522</v>
      </c>
      <c r="Y44" s="2237" t="s">
        <v>523</v>
      </c>
      <c r="Z44" s="2237"/>
      <c r="AA44" s="2237"/>
      <c r="AB44" s="2237"/>
      <c r="AC44" s="2225" t="s">
        <v>493</v>
      </c>
      <c r="AD44" s="2238"/>
      <c r="AE44" s="2239"/>
      <c r="AF44" s="2211"/>
      <c r="AG44" s="2225" t="s">
        <v>522</v>
      </c>
      <c r="AH44" s="2237" t="s">
        <v>523</v>
      </c>
      <c r="AI44" s="2237"/>
      <c r="AJ44" s="2237"/>
      <c r="AK44" s="2237"/>
      <c r="AL44" s="2225" t="s">
        <v>493</v>
      </c>
      <c r="AM44" s="2238"/>
      <c r="AN44" s="2239"/>
      <c r="AO44" s="2211"/>
      <c r="AP44" s="2214"/>
      <c r="AQ44" s="1966"/>
    </row>
    <row customHeight="1" ht="14.25">
      <c r="R45" s="377"/>
      <c r="S45" s="377"/>
      <c r="T45" s="377"/>
      <c r="U45" s="2206"/>
      <c r="V45" s="2047"/>
      <c r="W45" s="1044"/>
      <c r="X45" s="2250"/>
      <c r="Y45" s="2242" t="s">
        <v>524</v>
      </c>
      <c r="Z45" s="2203" t="s">
        <v>525</v>
      </c>
      <c r="AA45" s="2245"/>
      <c r="AB45" s="2204"/>
      <c r="AC45" s="2226"/>
      <c r="AD45" s="2240"/>
      <c r="AE45" s="2241"/>
      <c r="AF45" s="2211"/>
      <c r="AG45" s="2250"/>
      <c r="AH45" s="2242" t="s">
        <v>524</v>
      </c>
      <c r="AI45" s="2203" t="s">
        <v>525</v>
      </c>
      <c r="AJ45" s="2245"/>
      <c r="AK45" s="2204"/>
      <c r="AL45" s="2226"/>
      <c r="AM45" s="2240"/>
      <c r="AN45" s="2241"/>
      <c r="AO45" s="2211"/>
      <c r="AP45" s="2214"/>
      <c r="AQ45" s="1966"/>
    </row>
    <row customHeight="1" ht="25.5">
      <c r="R46" s="377"/>
      <c r="S46" s="377"/>
      <c r="T46" s="377"/>
      <c r="U46" s="2206"/>
      <c r="V46" s="2047"/>
      <c r="W46" s="1044"/>
      <c r="X46" s="2250"/>
      <c r="Y46" s="2243"/>
      <c r="Z46" s="2242" t="s">
        <v>526</v>
      </c>
      <c r="AA46" s="2203" t="s">
        <v>527</v>
      </c>
      <c r="AB46" s="2204"/>
      <c r="AC46" s="2242" t="s">
        <v>503</v>
      </c>
      <c r="AD46" s="2246" t="s">
        <v>504</v>
      </c>
      <c r="AE46" s="2247"/>
      <c r="AF46" s="2211"/>
      <c r="AG46" s="2250"/>
      <c r="AH46" s="2243"/>
      <c r="AI46" s="2242" t="s">
        <v>526</v>
      </c>
      <c r="AJ46" s="2203" t="s">
        <v>527</v>
      </c>
      <c r="AK46" s="2204"/>
      <c r="AL46" s="2242" t="s">
        <v>503</v>
      </c>
      <c r="AM46" s="2246" t="s">
        <v>504</v>
      </c>
      <c r="AN46" s="2247"/>
      <c r="AO46" s="2211"/>
      <c r="AP46" s="2214"/>
      <c r="AQ46" s="1966"/>
    </row>
    <row customHeight="1" ht="62.25">
      <c r="A47" s="1294"/>
      <c r="B47" s="1294" t="s">
        <v>136</v>
      </c>
      <c r="C47" s="1294" t="s">
        <v>137</v>
      </c>
      <c r="D47" s="1294" t="s">
        <v>138</v>
      </c>
      <c r="E47" s="1346" t="s">
        <v>494</v>
      </c>
      <c r="F47" s="1346" t="s">
        <v>495</v>
      </c>
      <c r="G47" s="1346" t="s">
        <v>496</v>
      </c>
      <c r="H47" s="1346" t="s">
        <v>497</v>
      </c>
      <c r="I47" s="1346" t="s">
        <v>498</v>
      </c>
      <c r="J47" s="1346" t="s">
        <v>499</v>
      </c>
      <c r="K47" s="1346" t="s">
        <v>500</v>
      </c>
      <c r="L47" s="1346" t="s">
        <v>528</v>
      </c>
      <c r="M47" s="1346" t="s">
        <v>475</v>
      </c>
      <c r="R47" s="377"/>
      <c r="S47" s="377"/>
      <c r="T47" s="377"/>
      <c r="U47" s="2206"/>
      <c r="V47" s="2047"/>
      <c r="W47" s="290"/>
      <c r="X47" s="2226"/>
      <c r="Y47" s="2244"/>
      <c r="Z47" s="2244"/>
      <c r="AA47" s="1243" t="s">
        <v>529</v>
      </c>
      <c r="AB47" s="1243" t="s">
        <v>530</v>
      </c>
      <c r="AC47" s="2244"/>
      <c r="AD47" s="2248"/>
      <c r="AE47" s="2249"/>
      <c r="AF47" s="2212"/>
      <c r="AG47" s="2226"/>
      <c r="AH47" s="2244"/>
      <c r="AI47" s="2244"/>
      <c r="AJ47" s="1243" t="s">
        <v>529</v>
      </c>
      <c r="AK47" s="1243" t="s">
        <v>530</v>
      </c>
      <c r="AL47" s="2244"/>
      <c r="AM47" s="2248"/>
      <c r="AN47" s="2249"/>
      <c r="AO47" s="2212"/>
      <c r="AP47" s="2215"/>
      <c r="AQ47" s="1966"/>
    </row>
    <row s="2586"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109</v>
      </c>
      <c r="V48" s="1287" t="s">
        <v>110</v>
      </c>
      <c r="W48" s="1269" t="str">
        <f>OFFSET(W48,0,-1)</f>
        <v>2</v>
      </c>
      <c r="X48" s="1371">
        <f>OFFSET(X48,0,-1)+1</f>
        <v>3</v>
      </c>
      <c r="Y48" s="1377"/>
      <c r="Z48" s="1377"/>
      <c r="AA48" s="1377">
        <f>OFFSET(AA48,0,-1)+1</f>
        <v>1</v>
      </c>
      <c r="AB48" s="1377">
        <f>OFFSET(AB48,0,-1)+1</f>
        <v>2</v>
      </c>
      <c r="AC48" s="1371">
        <f>OFFSET(AC48,0,-1)+1</f>
        <v>3</v>
      </c>
      <c r="AD48" s="2205">
        <f>OFFSET(AD48,0,-1)+1</f>
        <v>4</v>
      </c>
      <c r="AE48" s="2205"/>
      <c r="AF48" s="1371">
        <f>OFFSET(AF48,0,-2)+1</f>
        <v>5</v>
      </c>
      <c r="AG48" s="1371">
        <f>OFFSET(AG48,0,-1)+1</f>
        <v>6</v>
      </c>
      <c r="AH48" s="1371"/>
      <c r="AI48" s="1371"/>
      <c r="AJ48" s="1371">
        <f>OFFSET(AJ48,0,-1)+1</f>
        <v>1</v>
      </c>
      <c r="AK48" s="1371">
        <f>OFFSET(AK48,0,-1)+1</f>
        <v>2</v>
      </c>
      <c r="AL48" s="1371">
        <f>OFFSET(AL48,0,-1)+1</f>
        <v>3</v>
      </c>
      <c r="AM48" s="2205">
        <f>OFFSET(AM48,0,-1)+1</f>
        <v>4</v>
      </c>
      <c r="AN48" s="2205"/>
      <c r="AO48" s="1371">
        <f>OFFSET(AO48,0,-2)+1</f>
        <v>5</v>
      </c>
      <c r="AP48" s="1269">
        <f>OFFSET(AP48,0,-1)</f>
        <v>5</v>
      </c>
      <c r="AQ48" s="1371">
        <f>OFFSET(AQ48,0,-1)+1</f>
        <v>6</v>
      </c>
      <c r="AR48" s="519"/>
      <c r="AS48" s="519"/>
      <c r="AT48" s="519"/>
      <c r="AU48" s="519"/>
      <c r="AV48" s="519"/>
    </row>
    <row customHeight="1" ht="21">
      <c r="A49" s="1302" t="s">
        <v>175</v>
      </c>
      <c r="B49" s="1302"/>
      <c r="C49" s="1302"/>
      <c r="D49" s="1302"/>
      <c r="E49" s="2231">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124</v>
      </c>
      <c r="W49" s="288"/>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175</v>
      </c>
      <c r="B50" s="1302" t="s">
        <v>176</v>
      </c>
      <c r="C50" s="1302"/>
      <c r="D50" s="1302"/>
      <c r="E50" s="2232"/>
      <c r="F50" s="2231">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457</v>
      </c>
      <c r="W50" s="288"/>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292" t="s">
        <v>458</v>
      </c>
      <c r="AS50" s="508"/>
      <c r="AT50" s="508" t="str">
        <f>IF(V50="","",V50)</f>
        <v>Территория действия тарифа</v>
      </c>
      <c r="AU50" s="508"/>
      <c r="AV50" s="508"/>
    </row>
    <row customHeight="1" ht="22.5">
      <c r="A51" s="1302" t="s">
        <v>175</v>
      </c>
      <c r="B51" s="1302" t="s">
        <v>176</v>
      </c>
      <c r="C51" s="1302" t="s">
        <v>177</v>
      </c>
      <c r="D51" s="1302"/>
      <c r="E51" s="2232"/>
      <c r="F51" s="2232"/>
      <c r="G51" s="2231">
        <v>1</v>
      </c>
      <c r="H51" s="1302"/>
      <c r="I51" s="1302"/>
      <c r="J51" s="1302"/>
      <c r="K51" s="1302"/>
      <c r="L51" s="1302"/>
      <c r="M51" s="1346"/>
      <c r="N51" s="696"/>
      <c r="O51" s="696"/>
      <c r="P51" s="696"/>
      <c r="Q51" s="350"/>
      <c r="R51" s="348"/>
      <c r="S51" s="517"/>
      <c r="T51" s="349"/>
      <c r="U51" s="1372" t="str">
        <f>INDEX(PT_DIFFERENTIATION_NUM_CS,MATCH(C51,PT_DIFFERENTIATION_CS_ID,0))</f>
        <v>..</v>
      </c>
      <c r="V51" s="299" t="s">
        <v>459</v>
      </c>
      <c r="W51" s="288"/>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292" t="s">
        <v>460</v>
      </c>
      <c r="AS51" s="508"/>
      <c r="AT51" s="508" t="str">
        <f>IF(V51="","",V51)</f>
        <v>Наименование системы теплоснабжения </v>
      </c>
      <c r="AU51" s="508"/>
      <c r="AV51" s="508"/>
    </row>
    <row customHeight="1" ht="21">
      <c r="A52" s="1302" t="s">
        <v>175</v>
      </c>
      <c r="B52" s="1302" t="s">
        <v>176</v>
      </c>
      <c r="C52" s="1302" t="s">
        <v>177</v>
      </c>
      <c r="D52" s="1302" t="s">
        <v>178</v>
      </c>
      <c r="E52" s="2232"/>
      <c r="F52" s="2232"/>
      <c r="G52" s="2232"/>
      <c r="H52" s="2235">
        <v>1</v>
      </c>
      <c r="I52" s="1302"/>
      <c r="J52" s="1302"/>
      <c r="K52" s="1302"/>
      <c r="L52" s="1302"/>
      <c r="M52" s="1346"/>
      <c r="N52" s="696"/>
      <c r="O52" s="696"/>
      <c r="P52" s="696"/>
      <c r="Q52" s="350"/>
      <c r="R52" s="348"/>
      <c r="S52" s="517"/>
      <c r="T52" s="349"/>
      <c r="U52" s="1372" t="str">
        <f>INDEX(PT_DIFFERENTIATION_NUM_IST_TE,MATCH(D52,PT_DIFFERENTIATION_IST_TE_ID,0))</f>
        <v>...</v>
      </c>
      <c r="V52" s="300" t="s">
        <v>461</v>
      </c>
      <c r="W52" s="288"/>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292" t="s">
        <v>462</v>
      </c>
      <c r="AS52" s="508"/>
      <c r="AT52" s="508" t="str">
        <f>IF(V52="","",V52)</f>
        <v>Источник тепловой энергии  </v>
      </c>
      <c r="AU52" s="508"/>
      <c r="AV52" s="508"/>
    </row>
    <row s="2587" customFormat="1" customHeight="1" ht="0">
      <c r="A53" s="1411" t="s">
        <v>175</v>
      </c>
      <c r="B53" s="1411" t="s">
        <v>176</v>
      </c>
      <c r="C53" s="1411" t="s">
        <v>177</v>
      </c>
      <c r="D53" s="1411" t="s">
        <v>178</v>
      </c>
      <c r="E53" s="2232"/>
      <c r="F53" s="2232"/>
      <c r="G53" s="2232"/>
      <c r="H53" s="2236"/>
      <c r="I53" s="1966" t="str">
        <f>U52&amp;".1"</f>
        <v>....1</v>
      </c>
      <c r="J53" s="1411"/>
      <c r="K53" s="1411"/>
      <c r="L53" s="1411"/>
      <c r="M53" s="1417" t="s">
        <v>463</v>
      </c>
      <c r="N53" s="1270"/>
      <c r="O53" s="1270"/>
      <c r="P53" s="1270"/>
      <c r="Q53" s="2190">
        <v>1</v>
      </c>
      <c r="R53" s="1367"/>
      <c r="S53" s="1367"/>
      <c r="T53" s="352"/>
      <c r="U53" s="1055"/>
      <c r="V53" s="1419"/>
      <c r="W53" s="1420"/>
      <c r="X53" s="2227"/>
      <c r="Y53" s="2228"/>
      <c r="Z53" s="2228"/>
      <c r="AA53" s="2228"/>
      <c r="AB53" s="2228"/>
      <c r="AC53" s="2228"/>
      <c r="AD53" s="2228"/>
      <c r="AE53" s="2228"/>
      <c r="AF53" s="2229"/>
      <c r="AG53" s="2227"/>
      <c r="AH53" s="2228"/>
      <c r="AI53" s="2228"/>
      <c r="AJ53" s="2228"/>
      <c r="AK53" s="2228"/>
      <c r="AL53" s="2228"/>
      <c r="AM53" s="2228"/>
      <c r="AN53" s="2228"/>
      <c r="AO53" s="2228"/>
      <c r="AP53" s="2229"/>
      <c r="AQ53" s="1421"/>
      <c r="AS53" s="508"/>
      <c r="AT53" s="508" t="str">
        <f>IF(V53="","",V53)</f>
        <v/>
      </c>
      <c r="AU53" s="508"/>
      <c r="AV53" s="508"/>
    </row>
    <row customHeight="1" ht="21">
      <c r="A54" s="1302" t="s">
        <v>175</v>
      </c>
      <c r="B54" s="1302" t="s">
        <v>176</v>
      </c>
      <c r="C54" s="1302" t="s">
        <v>177</v>
      </c>
      <c r="D54" s="1302" t="s">
        <v>178</v>
      </c>
      <c r="E54" s="2232"/>
      <c r="F54" s="2232"/>
      <c r="G54" s="2232"/>
      <c r="H54" s="2236"/>
      <c r="I54" s="1940"/>
      <c r="J54" s="1966" t="str">
        <f>I53&amp;".1"</f>
        <v>....1.1</v>
      </c>
      <c r="K54" s="1302"/>
      <c r="L54" s="1302"/>
      <c r="M54" s="1346" t="s">
        <v>466</v>
      </c>
      <c r="Q54" s="2190"/>
      <c r="R54" s="2190">
        <v>1</v>
      </c>
      <c r="S54" s="526"/>
      <c r="T54" s="353"/>
      <c r="U54" s="1372" t="str">
        <f>$J54</f>
        <v>....1.1</v>
      </c>
      <c r="V54" s="274" t="s">
        <v>467</v>
      </c>
      <c r="W54" s="288"/>
      <c r="X54" s="2178"/>
      <c r="Y54" s="2179"/>
      <c r="Z54" s="2179"/>
      <c r="AA54" s="2179"/>
      <c r="AB54" s="2179"/>
      <c r="AC54" s="2074"/>
      <c r="AD54" s="2074"/>
      <c r="AE54" s="2074"/>
      <c r="AF54" s="2233"/>
      <c r="AG54" s="2178"/>
      <c r="AH54" s="2179"/>
      <c r="AI54" s="2179"/>
      <c r="AJ54" s="2179"/>
      <c r="AK54" s="2179"/>
      <c r="AL54" s="2179"/>
      <c r="AM54" s="2179"/>
      <c r="AN54" s="2179"/>
      <c r="AO54" s="2179"/>
      <c r="AP54" s="2180"/>
      <c r="AQ54" s="1292" t="s">
        <v>468</v>
      </c>
      <c r="AS54" s="508"/>
      <c r="AT54" s="508" t="str">
        <f>IF(V54="","",V54)</f>
        <v>Группа потребителей</v>
      </c>
      <c r="AU54" s="508"/>
      <c r="AV54" s="508"/>
    </row>
    <row customHeight="1" ht="21">
      <c r="A55" s="1302" t="s">
        <v>175</v>
      </c>
      <c r="B55" s="1302" t="s">
        <v>176</v>
      </c>
      <c r="C55" s="1302" t="s">
        <v>177</v>
      </c>
      <c r="D55" s="1302" t="s">
        <v>178</v>
      </c>
      <c r="E55" s="2232"/>
      <c r="F55" s="2232"/>
      <c r="G55" s="2232"/>
      <c r="H55" s="2236"/>
      <c r="I55" s="1940"/>
      <c r="J55" s="1940"/>
      <c r="K55" s="1966" t="str">
        <f>J54&amp;".1"</f>
        <v>....1.1.1</v>
      </c>
      <c r="L55" s="125"/>
      <c r="M55" s="1346" t="s">
        <v>469</v>
      </c>
      <c r="Q55" s="2190"/>
      <c r="R55" s="2190"/>
      <c r="S55" s="526">
        <v>1</v>
      </c>
      <c r="T55" s="353"/>
      <c r="U55" s="1372" t="str">
        <f>$K55</f>
        <v>....1.1.1</v>
      </c>
      <c r="V55" s="1383"/>
      <c r="W55" s="288"/>
      <c r="X55" s="760"/>
      <c r="Y55" s="760"/>
      <c r="Z55" s="760"/>
      <c r="AA55" s="760"/>
      <c r="AB55" s="1441"/>
      <c r="AC55" s="2198"/>
      <c r="AD55" s="1946" t="s">
        <v>58</v>
      </c>
      <c r="AE55" s="2198"/>
      <c r="AF55" s="1946" t="s">
        <v>58</v>
      </c>
      <c r="AG55" s="1443"/>
      <c r="AH55" s="760"/>
      <c r="AI55" s="760"/>
      <c r="AJ55" s="760"/>
      <c r="AK55" s="1291"/>
      <c r="AL55" s="2198"/>
      <c r="AM55" s="1946" t="s">
        <v>58</v>
      </c>
      <c r="AN55" s="2198"/>
      <c r="AO55" s="1946" t="s">
        <v>58</v>
      </c>
      <c r="AP55" s="1384"/>
      <c r="AQ55" s="1343" t="s">
        <v>519</v>
      </c>
      <c r="AR55" s="519">
        <f>STRCHECKDATE(X57:AP57)</f>
      </c>
      <c r="AS55" s="508"/>
      <c r="AT55" s="508" t="str">
        <f>IF(V55="","",V55)</f>
        <v/>
      </c>
      <c r="AU55" s="508"/>
      <c r="AV55" s="508"/>
    </row>
    <row customHeight="1" ht="11.25">
      <c r="A56" s="1302" t="s">
        <v>175</v>
      </c>
      <c r="B56" s="1302" t="s">
        <v>176</v>
      </c>
      <c r="C56" s="1302" t="s">
        <v>177</v>
      </c>
      <c r="D56" s="1302" t="s">
        <v>178</v>
      </c>
      <c r="E56" s="2232"/>
      <c r="F56" s="2232"/>
      <c r="G56" s="2232"/>
      <c r="H56" s="2236"/>
      <c r="I56" s="1940"/>
      <c r="J56" s="1940"/>
      <c r="K56" s="1940"/>
      <c r="L56" s="1966" t="str">
        <f>K55&amp;".1"</f>
        <v>....1.1.1.1</v>
      </c>
      <c r="M56" s="1346"/>
      <c r="Q56" s="2190"/>
      <c r="R56" s="2190"/>
      <c r="S56" s="526">
        <v>1</v>
      </c>
      <c r="T56" s="353"/>
      <c r="U56" s="1372" t="str">
        <f>$L56</f>
        <v>....1.1.1.1</v>
      </c>
      <c r="V56" s="1427"/>
      <c r="W56" s="288"/>
      <c r="X56" s="320"/>
      <c r="Y56" s="760"/>
      <c r="Z56" s="760"/>
      <c r="AA56" s="760"/>
      <c r="AB56" s="1441"/>
      <c r="AC56" s="2234"/>
      <c r="AD56" s="1946"/>
      <c r="AE56" s="2234"/>
      <c r="AF56" s="1946"/>
      <c r="AG56" s="1443"/>
      <c r="AH56" s="760"/>
      <c r="AI56" s="760"/>
      <c r="AJ56" s="760"/>
      <c r="AK56" s="1291"/>
      <c r="AL56" s="2234"/>
      <c r="AM56" s="1946"/>
      <c r="AN56" s="2234"/>
      <c r="AO56" s="1946"/>
      <c r="AP56" s="1384"/>
      <c r="AQ56" s="2186" t="s">
        <v>520</v>
      </c>
      <c r="AR56" s="519">
        <f>STRCHECKDATE(X58:AP58)</f>
      </c>
      <c r="AS56" s="508"/>
      <c r="AT56" s="508" t="str">
        <f>IF(V56="","",V56)</f>
        <v/>
      </c>
      <c r="AU56" s="508"/>
      <c r="AV56" s="508"/>
    </row>
    <row customHeight="1" ht="0">
      <c r="A57" s="1302" t="s">
        <v>175</v>
      </c>
      <c r="B57" s="1302" t="s">
        <v>176</v>
      </c>
      <c r="C57" s="1302" t="s">
        <v>177</v>
      </c>
      <c r="D57" s="1302" t="s">
        <v>178</v>
      </c>
      <c r="E57" s="2232"/>
      <c r="F57" s="2232"/>
      <c r="G57" s="2232"/>
      <c r="H57" s="2236"/>
      <c r="I57" s="1940"/>
      <c r="J57" s="1940"/>
      <c r="K57" s="1940"/>
      <c r="L57" s="1966"/>
      <c r="M57" s="1346"/>
      <c r="Q57" s="2190"/>
      <c r="R57" s="2190"/>
      <c r="S57" s="526"/>
      <c r="T57" s="353"/>
      <c r="U57" s="1378"/>
      <c r="V57" s="288"/>
      <c r="W57" s="288"/>
      <c r="X57" s="320"/>
      <c r="Y57" s="320"/>
      <c r="Z57" s="320"/>
      <c r="AA57" s="320"/>
      <c r="AB57" s="1442" t="str">
        <f>AC55&amp;"-"&amp;AE55</f>
        <v>-</v>
      </c>
      <c r="AC57" s="2234"/>
      <c r="AD57" s="1946"/>
      <c r="AE57" s="2234"/>
      <c r="AF57" s="1946"/>
      <c r="AG57" s="1418"/>
      <c r="AH57" s="320"/>
      <c r="AI57" s="320"/>
      <c r="AJ57" s="320"/>
      <c r="AK57" s="324" t="str">
        <f>AL55&amp;"-"&amp;AN55</f>
        <v>-</v>
      </c>
      <c r="AL57" s="2234"/>
      <c r="AM57" s="1946"/>
      <c r="AN57" s="2234"/>
      <c r="AO57" s="1946"/>
      <c r="AP57" s="1385"/>
      <c r="AQ57" s="2187"/>
      <c r="AS57" s="508"/>
      <c r="AT57" s="508" t="str">
        <f>IF(V57="","",V57)</f>
        <v/>
      </c>
      <c r="AU57" s="508"/>
      <c r="AV57" s="508"/>
    </row>
    <row customHeight="1" ht="11.25">
      <c r="A58" s="1302" t="s">
        <v>175</v>
      </c>
      <c r="B58" s="1302" t="s">
        <v>176</v>
      </c>
      <c r="C58" s="1302" t="s">
        <v>177</v>
      </c>
      <c r="D58" s="1302" t="s">
        <v>178</v>
      </c>
      <c r="E58" s="2232"/>
      <c r="F58" s="2232"/>
      <c r="G58" s="2232"/>
      <c r="H58" s="2236"/>
      <c r="I58" s="1940"/>
      <c r="J58" s="1940"/>
      <c r="K58" s="1966"/>
      <c r="L58" s="1302"/>
      <c r="M58" s="1346"/>
      <c r="Q58" s="2190"/>
      <c r="R58" s="2190"/>
      <c r="S58" s="1367"/>
      <c r="T58" s="352"/>
      <c r="U58" s="1314"/>
      <c r="V58" s="276" t="s">
        <v>521</v>
      </c>
      <c r="W58" s="367"/>
      <c r="X58" s="367"/>
      <c r="Y58" s="367"/>
      <c r="Z58" s="367"/>
      <c r="AA58" s="367"/>
      <c r="AB58" s="367"/>
      <c r="AC58" s="2234"/>
      <c r="AD58" s="1946"/>
      <c r="AE58" s="2234"/>
      <c r="AF58" s="1946"/>
      <c r="AG58" s="367"/>
      <c r="AH58" s="367"/>
      <c r="AI58" s="367"/>
      <c r="AJ58" s="367"/>
      <c r="AK58" s="367"/>
      <c r="AL58" s="2234"/>
      <c r="AM58" s="1946"/>
      <c r="AN58" s="2234"/>
      <c r="AO58" s="1946"/>
      <c r="AP58" s="319"/>
      <c r="AQ58" s="2187"/>
      <c r="AS58" s="508"/>
      <c r="AT58" s="508" t="str">
        <f>IF(V58="","",V58)</f>
        <v>Добавить наименование поставщика</v>
      </c>
      <c r="AU58" s="508"/>
      <c r="AV58" s="508"/>
    </row>
    <row customHeight="1" ht="11.25">
      <c r="A59" s="1302" t="s">
        <v>175</v>
      </c>
      <c r="B59" s="1302" t="s">
        <v>176</v>
      </c>
      <c r="C59" s="1302" t="s">
        <v>177</v>
      </c>
      <c r="D59" s="1302" t="s">
        <v>178</v>
      </c>
      <c r="E59" s="2232"/>
      <c r="F59" s="2232"/>
      <c r="G59" s="2232"/>
      <c r="H59" s="2236"/>
      <c r="I59" s="1940"/>
      <c r="J59" s="1966"/>
      <c r="K59" s="1302"/>
      <c r="L59" s="1302"/>
      <c r="M59" s="1346"/>
      <c r="Q59" s="2190"/>
      <c r="R59" s="2190"/>
      <c r="S59" s="1367"/>
      <c r="T59" s="352"/>
      <c r="U59" s="1314"/>
      <c r="V59" s="275" t="s">
        <v>471</v>
      </c>
      <c r="W59" s="367"/>
      <c r="X59" s="367"/>
      <c r="Y59" s="367"/>
      <c r="Z59" s="367"/>
      <c r="AA59" s="367"/>
      <c r="AB59" s="367"/>
      <c r="AC59" s="1444"/>
      <c r="AD59" s="1444"/>
      <c r="AE59" s="1444"/>
      <c r="AF59" s="1444"/>
      <c r="AG59" s="367"/>
      <c r="AH59" s="367"/>
      <c r="AI59" s="367"/>
      <c r="AJ59" s="367"/>
      <c r="AK59" s="367"/>
      <c r="AL59" s="367"/>
      <c r="AM59" s="367"/>
      <c r="AN59" s="367"/>
      <c r="AO59" s="367"/>
      <c r="AP59" s="319"/>
      <c r="AQ59" s="2188"/>
      <c r="AS59" s="508"/>
      <c r="AT59" s="508" t="str">
        <f>IF(V59="","",V59)</f>
        <v>Добавить вид теплоносителя (параметры теплоносителя)</v>
      </c>
      <c r="AU59" s="508"/>
      <c r="AV59" s="508"/>
    </row>
    <row customHeight="1" ht="11.25">
      <c r="A60" s="1302" t="s">
        <v>175</v>
      </c>
      <c r="B60" s="1302" t="s">
        <v>176</v>
      </c>
      <c r="C60" s="1302" t="s">
        <v>177</v>
      </c>
      <c r="D60" s="1302" t="s">
        <v>178</v>
      </c>
      <c r="E60" s="2232"/>
      <c r="F60" s="2232"/>
      <c r="G60" s="2232"/>
      <c r="H60" s="2236"/>
      <c r="I60" s="1966"/>
      <c r="J60" s="1302"/>
      <c r="K60" s="1302"/>
      <c r="L60" s="1302"/>
      <c r="M60" s="1346"/>
      <c r="Q60" s="2190"/>
      <c r="R60" s="1367"/>
      <c r="S60" s="1367"/>
      <c r="T60" s="352"/>
      <c r="U60" s="1314"/>
      <c r="V60" s="364" t="s">
        <v>472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175</v>
      </c>
      <c r="B61" s="1302" t="s">
        <v>176</v>
      </c>
      <c r="C61" s="1302" t="s">
        <v>177</v>
      </c>
      <c r="D61" s="1302" t="s">
        <v>178</v>
      </c>
      <c r="E61" s="2232"/>
      <c r="F61" s="2232"/>
      <c r="G61" s="2232"/>
      <c r="H61" s="2235"/>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598" customFormat="1" customHeight="1" ht="0">
      <c r="A62" s="1411" t="s">
        <v>175</v>
      </c>
      <c r="B62" s="1411" t="s">
        <v>176</v>
      </c>
      <c r="C62" s="1411" t="s">
        <v>177</v>
      </c>
      <c r="D62" s="1410"/>
      <c r="E62" s="2232"/>
      <c r="F62" s="2232"/>
      <c r="G62" s="2231"/>
      <c r="H62" s="1410"/>
      <c r="I62" s="1410"/>
      <c r="J62" s="1410"/>
      <c r="K62" s="1410"/>
      <c r="L62" s="1410"/>
      <c r="M62" s="1413"/>
      <c r="N62" s="1414"/>
      <c r="O62" s="1414"/>
      <c r="P62" s="347"/>
      <c r="Q62" s="1352"/>
      <c r="R62" s="1353"/>
      <c r="S62" s="1352"/>
      <c r="T62" s="1352"/>
      <c r="U62" s="1358"/>
      <c r="V62" s="1361" t="s">
        <v>430</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598" customFormat="1" customHeight="1" ht="0">
      <c r="A63" s="1411" t="s">
        <v>175</v>
      </c>
      <c r="B63" s="1411" t="s">
        <v>176</v>
      </c>
      <c r="C63" s="1410"/>
      <c r="D63" s="1410"/>
      <c r="E63" s="2232"/>
      <c r="F63" s="2231"/>
      <c r="G63" s="1410"/>
      <c r="H63" s="1410"/>
      <c r="I63" s="1410"/>
      <c r="J63" s="1410"/>
      <c r="K63" s="1410"/>
      <c r="L63" s="1410"/>
      <c r="M63" s="1413"/>
      <c r="N63" s="1415"/>
      <c r="O63" s="1415"/>
      <c r="P63" s="347"/>
      <c r="Q63" s="1352"/>
      <c r="R63" s="1353"/>
      <c r="S63" s="1352"/>
      <c r="T63" s="1352"/>
      <c r="U63" s="1358"/>
      <c r="V63" s="1361" t="s">
        <v>431</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7" customFormat="1" customHeight="1" ht="0">
      <c r="A64" s="1411" t="s">
        <v>175</v>
      </c>
      <c r="B64" s="1411"/>
      <c r="C64" s="1411"/>
      <c r="D64" s="1411"/>
      <c r="E64" s="2231"/>
      <c r="F64" s="1411"/>
      <c r="G64" s="1411"/>
      <c r="H64" s="1411"/>
      <c r="I64" s="1411"/>
      <c r="J64" s="1411"/>
      <c r="K64" s="1411"/>
      <c r="L64" s="1411"/>
      <c r="M64" s="1417"/>
      <c r="N64" s="1415"/>
      <c r="O64" s="1415"/>
      <c r="P64" s="347"/>
      <c r="Q64" s="385"/>
      <c r="R64" s="1380"/>
      <c r="S64" s="385"/>
      <c r="T64" s="385"/>
      <c r="U64" s="1358"/>
      <c r="V64" s="1361" t="s">
        <v>432</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598"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433</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505</v>
      </c>
      <c r="V67" s="2218" t="s">
        <v>515</v>
      </c>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row>
    <row customHeight="1" ht="19.5" hidden="1">
      <c r="P68" s="517"/>
      <c r="V68" s="2218" t="s">
        <v>531</v>
      </c>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row>
    <row customHeight="1" ht="14.25" hidden="1">
      <c r="P69" s="517"/>
    </row>
    <row customHeight="1" ht="27" hidden="1">
      <c r="P70" s="517"/>
      <c r="V70" s="2218" t="s">
        <v>532</v>
      </c>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row>
    <row customHeight="1" ht="18" hidden="1">
      <c r="P71" s="517"/>
      <c r="V71" s="2218" t="s">
        <v>531</v>
      </c>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F414F7-3C48-AD07-2A29-FC91AD4AF86D}" mc:Ignorable="x14ac xr xr2 xr3">
  <sheetPr>
    <tabColor rgb="FFCCCCFF"/>
  </sheetPr>
  <dimension ref="A1:P87"/>
  <sheetViews>
    <sheetView topLeftCell="C1" showGridLines="0" zoomScale="90" workbookViewId="0" tabSelected="1">
      <selection activeCell="E63" sqref="E63"/>
    </sheetView>
  </sheetViews>
  <sheetFormatPr defaultColWidth="9.140625" customHeight="1" defaultRowHeight="11.25"/>
  <cols>
    <col min="1" max="1" style="2492" width="10.7109375" hidden="1" customWidth="1"/>
    <col min="2" max="2" style="2482" width="10.7109375" hidden="1" customWidth="1"/>
    <col min="3" max="3" style="2583" width="3.7109375" customWidth="1"/>
    <col min="4" max="4" style="2584" width="1.7109375" customWidth="1"/>
    <col min="5" max="5" style="2584" width="55.28125" customWidth="1"/>
    <col min="6" max="6" style="2584" width="50.7109375" customWidth="1"/>
    <col min="7" max="7" style="2498" width="1.7109375" customWidth="1"/>
    <col min="8" max="8" style="2499" width="18.00390625" hidden="1" customWidth="1"/>
    <col min="9" max="9" style="2479" width="9.57421875" customWidth="1"/>
    <col min="10" max="10" style="2519" width="52.140625" hidden="1" customWidth="1"/>
    <col min="11" max="11" style="2584" width="9.140625"/>
    <col min="12" max="12" style="2584" width="78.00390625" customWidth="1"/>
    <col min="13" max="16" style="2584" width="9.140625"/>
  </cols>
  <sheetData>
    <row s="2476" customFormat="1" customHeight="1" ht="3">
      <c r="A1" s="793"/>
      <c r="B1" s="227"/>
      <c r="F1" s="228">
        <v>26354809</v>
      </c>
      <c r="G1" s="418"/>
      <c r="H1" s="56"/>
      <c r="I1" s="418"/>
      <c r="J1" s="881"/>
    </row>
    <row s="2480" customFormat="1" customHeight="1" ht="14.25">
      <c r="A2" s="793"/>
      <c r="B2" s="84"/>
      <c r="E2" s="1786" t="str">
        <f>code</f>
        <v>Код отчёта: PP108.OPEN.INFO.BALANCE.COLDVSNA.EIAS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hidden="1">
      <c r="A11" s="1937" t="s">
        <v>16</v>
      </c>
      <c r="D11" s="60"/>
      <c r="E11" s="1179" t="s">
        <v>17</v>
      </c>
      <c r="F11" s="1778" t="s">
        <v>18</v>
      </c>
      <c r="G11" s="62"/>
      <c r="H11" s="783" t="s">
        <v>19</v>
      </c>
      <c r="J11" s="886" t="s">
        <v>20</v>
      </c>
    </row>
    <row customHeight="1" ht="22.5" hidden="1">
      <c r="A12" s="1937"/>
      <c r="D12" s="60"/>
      <c r="E12" s="1179" t="s">
        <v>21</v>
      </c>
      <c r="F12" s="1778"/>
      <c r="G12" s="58"/>
      <c r="J12" s="886" t="s">
        <v>22</v>
      </c>
    </row>
    <row s="2499" customFormat="1" customHeight="1" ht="22.5" hidden="1">
      <c r="A13" s="798" t="s">
        <v>23</v>
      </c>
      <c r="B13" s="84"/>
      <c r="C13" s="415"/>
      <c r="D13" s="417"/>
      <c r="E13" s="1825" t="s">
        <v>24</v>
      </c>
      <c r="F13" s="1778" t="s">
        <v>18</v>
      </c>
      <c r="G13" s="62"/>
      <c r="H13" s="780"/>
      <c r="I13" s="418"/>
      <c r="J13" s="1826" t="s">
        <v>25</v>
      </c>
    </row>
    <row s="2499" customFormat="1" customHeight="1" ht="27">
      <c r="A14" s="798" t="s">
        <v>26</v>
      </c>
      <c r="B14" s="84"/>
      <c r="C14" s="415"/>
      <c r="D14" s="417"/>
      <c r="E14" s="1179" t="s">
        <v>27</v>
      </c>
      <c r="F14" s="2530">
        <v>2023</v>
      </c>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02" t="s">
        <v>33</v>
      </c>
      <c r="G17" s="58"/>
      <c r="H17" s="783" t="s">
        <v>19</v>
      </c>
    </row>
    <row customHeight="1" ht="22.5" hidden="1">
      <c r="D18" s="60"/>
      <c r="E18" s="1825" t="s">
        <v>34</v>
      </c>
      <c r="F18" s="1779" t="s">
        <v>35</v>
      </c>
      <c r="G18" s="58"/>
      <c r="I18" s="784"/>
      <c r="J18" s="1936" t="s">
        <v>36</v>
      </c>
    </row>
    <row customHeight="1" ht="22.5" hidden="1">
      <c r="D19" s="60"/>
      <c r="E19" s="1825" t="s">
        <v>37</v>
      </c>
      <c r="F19" s="1779"/>
      <c r="G19" s="58"/>
      <c r="I19" s="784"/>
      <c r="J19" s="193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5" t="s">
        <v>38</v>
      </c>
    </row>
    <row customHeight="1" ht="19.5" hidden="1">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1778" t="s">
        <v>18</v>
      </c>
      <c r="G21" s="58"/>
      <c r="I21" s="785"/>
    </row>
    <row customHeight="1" ht="19.5" hidden="1">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c r="G22" s="58"/>
      <c r="I22" s="785"/>
    </row>
    <row customHeight="1" ht="22.5" hidden="1">
      <c r="D23" s="60"/>
      <c r="E23" s="397" t="s">
        <v>39</v>
      </c>
      <c r="F23" s="202"/>
      <c r="G23" s="58"/>
    </row>
    <row customHeight="1" ht="19.5" hidden="1">
      <c r="D24" s="60"/>
      <c r="E24" s="397" t="s">
        <v>40</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41</v>
      </c>
    </row>
    <row customHeight="1" ht="22.5" hidden="1">
      <c r="D26" s="60"/>
      <c r="E26" s="397" t="s">
        <v>42</v>
      </c>
      <c r="F26" s="204"/>
      <c r="G26" s="58"/>
    </row>
    <row customHeight="1" ht="19.5" hidden="1">
      <c r="D27" s="60"/>
      <c r="E27" s="397" t="s">
        <v>43</v>
      </c>
      <c r="F27" s="1779"/>
      <c r="G27" s="58"/>
    </row>
    <row customHeight="1" ht="19.5" hidden="1">
      <c r="D28" s="60"/>
      <c r="E28" s="397" t="s">
        <v>44</v>
      </c>
      <c r="F28" s="204"/>
      <c r="G28" s="58"/>
    </row>
    <row customHeight="1" ht="19.5" hidden="1">
      <c r="D29" s="60"/>
      <c r="E29" s="397" t="s">
        <v>40</v>
      </c>
      <c r="F29" s="204"/>
      <c r="G29" s="58"/>
    </row>
    <row s="2491" customFormat="1" customHeight="1" ht="6">
      <c r="A30" s="795"/>
      <c r="B30" s="218"/>
      <c r="C30" s="219"/>
      <c r="D30" s="225"/>
      <c r="E30" s="223"/>
      <c r="F30" s="226"/>
      <c r="G30" s="62"/>
      <c r="H30" s="416"/>
      <c r="I30" s="418"/>
      <c r="J30" s="884"/>
    </row>
    <row customHeight="1" ht="19.5">
      <c r="C31" s="63"/>
      <c r="D31" s="64"/>
      <c r="E31" s="397" t="s">
        <v>45</v>
      </c>
      <c r="F31" s="203" t="s">
        <v>46</v>
      </c>
      <c r="G31" s="786"/>
    </row>
    <row customHeight="1" ht="19.5" hidden="1">
      <c r="C32" s="63"/>
      <c r="D32" s="64"/>
      <c r="E32" s="398" t="s">
        <v>47</v>
      </c>
      <c r="F32" s="1813"/>
      <c r="G32" s="786"/>
    </row>
    <row customHeight="1" ht="19.5">
      <c r="C33" s="63"/>
      <c r="D33" s="64"/>
      <c r="E33" s="397" t="s">
        <v>48</v>
      </c>
      <c r="F33" s="203" t="s">
        <v>49</v>
      </c>
      <c r="G33" s="786"/>
    </row>
    <row customHeight="1" ht="19.5">
      <c r="C34" s="63"/>
      <c r="D34" s="64"/>
      <c r="E34" s="397" t="s">
        <v>50</v>
      </c>
      <c r="F34" s="203" t="s">
        <v>51</v>
      </c>
      <c r="G34" s="786"/>
      <c r="H34" s="65"/>
    </row>
    <row s="2491" customFormat="1" customHeight="1" ht="11.25">
      <c r="A35" s="795"/>
      <c r="B35" s="218"/>
      <c r="C35" s="219"/>
      <c r="D35" s="225"/>
      <c r="E35" s="223"/>
      <c r="F35" s="226"/>
      <c r="G35" s="62"/>
      <c r="H35" s="416"/>
      <c r="I35" s="418"/>
      <c r="J35" s="884"/>
    </row>
    <row customHeight="1" ht="19.5" hidden="1">
      <c r="A36" s="889"/>
      <c r="D36" s="64"/>
      <c r="E36" s="397" t="s">
        <v>52</v>
      </c>
      <c r="F36" s="344"/>
      <c r="G36" s="62"/>
    </row>
    <row customHeight="1" ht="19.5">
      <c r="A37" s="889"/>
      <c r="D37" s="64"/>
      <c r="E37" s="397" t="s">
        <v>53</v>
      </c>
      <c r="F37" s="2550" t="s">
        <v>54</v>
      </c>
      <c r="G37" s="62"/>
    </row>
    <row s="2491" customFormat="1" customHeight="1" ht="6">
      <c r="A38" s="795"/>
      <c r="B38" s="218"/>
      <c r="C38" s="219"/>
      <c r="D38" s="220"/>
      <c r="E38" s="221"/>
      <c r="F38" s="1066"/>
      <c r="G38" s="58"/>
      <c r="H38" s="416"/>
      <c r="I38" s="418"/>
      <c r="J38" s="886"/>
    </row>
    <row customHeight="1" ht="22.5">
      <c r="A39" s="795"/>
      <c r="D39" s="60"/>
      <c r="E39" s="397" t="s">
        <v>55</v>
      </c>
      <c r="F39" s="718" t="s">
        <v>56</v>
      </c>
      <c r="G39" s="58"/>
      <c r="H39" s="783" t="s">
        <v>19</v>
      </c>
    </row>
    <row s="2520" customFormat="1" customHeight="1" ht="6" hidden="1">
      <c r="A40" s="794"/>
      <c r="B40" s="433"/>
      <c r="C40" s="434"/>
      <c r="D40" s="435"/>
      <c r="E40" s="436"/>
      <c r="F40" s="1066"/>
      <c r="G40" s="58"/>
      <c r="H40" s="416"/>
      <c r="I40" s="418"/>
      <c r="J40" s="886"/>
    </row>
    <row s="2499" customFormat="1" customHeight="1" ht="19.5" hidden="1">
      <c r="A41" s="798" t="s">
        <v>23</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56</v>
      </c>
      <c r="G41" s="58"/>
      <c r="I41" s="418"/>
      <c r="J41" s="886"/>
    </row>
    <row s="2520" customFormat="1" customHeight="1" ht="6" hidden="1">
      <c r="A42" s="794"/>
      <c r="B42" s="433"/>
      <c r="C42" s="434"/>
      <c r="D42" s="435"/>
      <c r="E42" s="436"/>
      <c r="F42" s="1066"/>
      <c r="G42" s="58"/>
      <c r="H42" s="416"/>
      <c r="I42" s="418"/>
      <c r="J42" s="884"/>
    </row>
    <row s="2499" customFormat="1" customHeight="1" ht="22.5" hidden="1">
      <c r="A43" s="794"/>
      <c r="B43" s="420"/>
      <c r="C43" s="415"/>
      <c r="D43" s="417"/>
      <c r="E43" s="397" t="s">
        <v>57</v>
      </c>
      <c r="F43" s="718" t="s">
        <v>58</v>
      </c>
      <c r="G43" s="58"/>
      <c r="I43" s="418"/>
      <c r="J43" s="886"/>
    </row>
    <row s="2499" customFormat="1" customHeight="1" ht="22.5" hidden="1">
      <c r="A44" s="794"/>
      <c r="B44" s="420"/>
      <c r="C44" s="415"/>
      <c r="D44" s="417"/>
      <c r="E44" s="1179" t="s">
        <v>59</v>
      </c>
      <c r="F44" s="761"/>
      <c r="G44" s="58"/>
      <c r="I44" s="418"/>
      <c r="J44" s="886"/>
    </row>
    <row s="2520" customFormat="1" customHeight="1" ht="6" hidden="1">
      <c r="A45" s="794"/>
      <c r="B45" s="433"/>
      <c r="C45" s="434"/>
      <c r="D45" s="435"/>
      <c r="E45" s="436"/>
      <c r="F45" s="1066"/>
      <c r="G45" s="58"/>
      <c r="H45" s="416"/>
      <c r="I45" s="418"/>
      <c r="J45" s="886"/>
    </row>
    <row s="2520" customFormat="1" customHeight="1" ht="22.5" hidden="1">
      <c r="A46" s="794"/>
      <c r="B46" s="433"/>
      <c r="C46" s="434"/>
      <c r="D46" s="435"/>
      <c r="E46" s="1179" t="s">
        <v>60</v>
      </c>
      <c r="F46" s="718" t="s">
        <v>56</v>
      </c>
      <c r="G46" s="58"/>
      <c r="H46" s="416"/>
      <c r="I46" s="418"/>
      <c r="J46" s="886"/>
    </row>
    <row s="2499" customFormat="1" customHeight="1" ht="22.5" hidden="1">
      <c r="A47" s="794"/>
      <c r="B47" s="420"/>
      <c r="C47" s="415"/>
      <c r="D47" s="417"/>
      <c r="E47" s="1179" t="s">
        <v>61</v>
      </c>
      <c r="F47" s="718" t="s">
        <v>56</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58"/>
    </row>
    <row s="2520" customFormat="1" customHeight="1" ht="6">
      <c r="A50" s="795"/>
      <c r="B50" s="433"/>
      <c r="C50" s="434"/>
      <c r="D50" s="225"/>
      <c r="E50" s="223"/>
      <c r="F50" s="226"/>
      <c r="G50" s="62"/>
      <c r="H50" s="416"/>
      <c r="I50" s="418"/>
      <c r="J50" s="886"/>
    </row>
    <row s="2559" customFormat="1" customHeight="1" ht="22.5">
      <c r="A51" s="796"/>
      <c r="B51" s="420"/>
      <c r="C51" s="538"/>
      <c r="D51" s="539"/>
      <c r="E51" s="397" t="s">
        <v>62</v>
      </c>
      <c r="F51" s="718" t="s">
        <v>56</v>
      </c>
      <c r="G51" s="540"/>
      <c r="I51" s="542"/>
      <c r="J51" s="888"/>
      <c r="P51" s="543"/>
    </row>
    <row s="2520" customFormat="1" customHeight="1" ht="6">
      <c r="A52" s="795"/>
      <c r="B52" s="433"/>
      <c r="C52" s="434"/>
      <c r="D52" s="225"/>
      <c r="E52" s="223"/>
      <c r="F52" s="226"/>
      <c r="G52" s="62"/>
      <c r="H52" s="416"/>
      <c r="I52" s="418"/>
      <c r="J52" s="884"/>
    </row>
    <row s="2559" customFormat="1" customHeight="1" ht="22.5">
      <c r="A53" s="796"/>
      <c r="B53" s="420"/>
      <c r="C53" s="538"/>
      <c r="D53" s="539"/>
      <c r="E53" s="397" t="s">
        <v>63</v>
      </c>
      <c r="F53" s="1061" t="s">
        <v>58</v>
      </c>
      <c r="G53" s="540"/>
      <c r="I53" s="542"/>
      <c r="J53" s="888"/>
      <c r="P53" s="543"/>
    </row>
    <row s="2559" customFormat="1" customHeight="1" ht="22.5">
      <c r="A54" s="796"/>
      <c r="B54" s="420"/>
      <c r="C54" s="538"/>
      <c r="D54" s="539"/>
      <c r="E54" s="397" t="s">
        <v>64</v>
      </c>
      <c r="F54" s="2568">
        <v>45370.48158564815</v>
      </c>
      <c r="G54" s="540"/>
      <c r="I54" s="542"/>
      <c r="J54" s="888"/>
      <c r="P54" s="543"/>
    </row>
    <row s="2520" customFormat="1" customHeight="1" ht="6">
      <c r="A55" s="795"/>
      <c r="B55" s="433"/>
      <c r="C55" s="434"/>
      <c r="D55" s="225"/>
      <c r="E55" s="223"/>
      <c r="F55" s="226"/>
      <c r="G55" s="62"/>
      <c r="H55" s="416"/>
      <c r="I55" s="418"/>
      <c r="J55" s="884"/>
    </row>
    <row s="2559" customFormat="1" customHeight="1" ht="22.5">
      <c r="A56" s="796"/>
      <c r="B56" s="420"/>
      <c r="C56" s="538"/>
      <c r="D56" s="539"/>
      <c r="E56" s="397" t="s">
        <v>65</v>
      </c>
      <c r="F56" s="1061" t="s">
        <v>56</v>
      </c>
      <c r="G56" s="540"/>
      <c r="I56" s="542"/>
      <c r="J56" s="888"/>
      <c r="P56" s="543"/>
    </row>
    <row s="2520" customFormat="1" customHeight="1" ht="6">
      <c r="A57" s="795"/>
      <c r="B57" s="433"/>
      <c r="C57" s="434"/>
      <c r="D57" s="225"/>
      <c r="E57" s="223"/>
      <c r="F57" s="226"/>
      <c r="G57" s="62"/>
      <c r="H57" s="416"/>
      <c r="I57" s="418"/>
      <c r="J57" s="884"/>
    </row>
    <row s="2559" customFormat="1" customHeight="1" ht="15">
      <c r="A58" s="796"/>
      <c r="B58" s="420"/>
      <c r="C58" s="538"/>
      <c r="D58" s="539"/>
      <c r="E58" s="397" t="s">
        <v>66</v>
      </c>
      <c r="F58" s="1061" t="s">
        <v>56</v>
      </c>
      <c r="G58" s="540"/>
      <c r="I58" s="542"/>
      <c r="J58" s="888"/>
      <c r="P58" s="543"/>
    </row>
    <row s="2559"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5" t="str">
        <f>F58</f>
        <v>нет</v>
      </c>
      <c r="G59" s="540"/>
      <c r="I59" s="542"/>
      <c r="J59" s="888"/>
      <c r="P59" s="543"/>
    </row>
    <row s="2559" customFormat="1" customHeight="1" ht="15" hidden="1">
      <c r="A60" s="796"/>
      <c r="B60" s="420"/>
      <c r="C60" s="538"/>
      <c r="D60" s="539"/>
      <c r="E60" s="1179" t="s">
        <v>67</v>
      </c>
      <c r="F60" s="2570" t="str">
        <f>F59</f>
        <v>нет</v>
      </c>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68</v>
      </c>
      <c r="F62" s="1717" t="s">
        <v>58</v>
      </c>
      <c r="G62" s="58"/>
      <c r="H62" s="783" t="s">
        <v>19</v>
      </c>
      <c r="I62" s="418"/>
      <c r="J62" s="886"/>
    </row>
    <row s="2491" customFormat="1" customHeight="1" ht="6">
      <c r="A63" s="795"/>
      <c r="B63" s="218"/>
      <c r="C63" s="219"/>
      <c r="D63" s="225"/>
      <c r="E63" s="223"/>
      <c r="F63" s="226"/>
      <c r="G63" s="62"/>
      <c r="H63" s="416"/>
      <c r="I63" s="418"/>
      <c r="J63" s="884"/>
    </row>
    <row customHeight="1" ht="19.5">
      <c r="A64" s="797"/>
      <c r="B64" s="85"/>
      <c r="D64" s="67"/>
      <c r="E64" s="397" t="s">
        <v>69</v>
      </c>
      <c r="F64" s="202" t="s">
        <v>70</v>
      </c>
      <c r="G64" s="62"/>
    </row>
    <row customHeight="1" ht="19.5">
      <c r="A65" s="797"/>
      <c r="B65" s="85"/>
      <c r="D65" s="67"/>
      <c r="E65" s="397" t="s">
        <v>71</v>
      </c>
      <c r="F65" s="202" t="s">
        <v>72</v>
      </c>
      <c r="G65" s="62"/>
    </row>
    <row customHeight="1" ht="35.25">
      <c r="D66" s="60"/>
      <c r="E66" s="399" t="s">
        <v>73</v>
      </c>
      <c r="F66" s="1067"/>
      <c r="G66" s="58"/>
    </row>
    <row customHeight="1" ht="19.5">
      <c r="A67" s="797"/>
      <c r="D67" s="417"/>
      <c r="E67" s="397" t="s">
        <v>74</v>
      </c>
      <c r="F67" s="257" t="s">
        <v>75</v>
      </c>
      <c r="G67" s="62"/>
    </row>
    <row customHeight="1" ht="19.5">
      <c r="A68" s="797"/>
      <c r="B68" s="85"/>
      <c r="D68" s="67"/>
      <c r="E68" s="397" t="s">
        <v>76</v>
      </c>
      <c r="F68" s="257" t="s">
        <v>77</v>
      </c>
      <c r="G68" s="62"/>
    </row>
    <row customHeight="1" ht="19.5">
      <c r="A69" s="797"/>
      <c r="B69" s="85"/>
      <c r="D69" s="67"/>
      <c r="E69" s="397" t="s">
        <v>78</v>
      </c>
      <c r="F69" s="257" t="s">
        <v>79</v>
      </c>
      <c r="G69" s="62"/>
    </row>
    <row customHeight="1" ht="19.5">
      <c r="D70" s="417"/>
      <c r="E70" s="397" t="s">
        <v>80</v>
      </c>
      <c r="F70" s="257" t="s">
        <v>81</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7505DEF8-AA1E-07AD-10AA-0E0D2CE50C35}"/>
    <hyperlink ref="H17" location="Титульный!H9" display="Как заполнить?" tooltip="Помощь по работе с полями отчётной формы" xr:uid="{1EBB0D63-7F15-79EF-95ED-E1D1CD0F80CF}"/>
    <hyperlink ref="H39" location="Титульный!H9" display="Как заполнить?" tooltip="Помощь по работе с полями отчётной формы" xr:uid="{4DE0B842-7863-8132-A0C6-AF370A3D2C05}"/>
    <hyperlink ref="H62" location="Титульный!H9" display="Как заполнить?" tooltip="Помощь по работе с полями отчётной формы" xr:uid="{66EA5848-46B8-BDBC-9EF2-931AEF603C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591A8-1FA9-08DA-AB2F-05CD22BEF605}"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3" style="2862" width="21.7109375" hidden="1" customWidth="1"/>
    <col min="24" max="24" style="2862" width="11.7109375" hidden="1" customWidth="1"/>
    <col min="25" max="25" style="2862" width="3.7109375" hidden="1" customWidth="1"/>
    <col min="26" max="26" style="2862" width="11.7109375" hidden="1" customWidth="1"/>
    <col min="27" max="27" style="2862" width="8.57421875" hidden="1" customWidth="1"/>
    <col min="28" max="28" style="2862" width="5.421875" customWidth="1"/>
    <col min="29" max="30" style="2862" width="3.7109375" customWidth="1"/>
    <col min="31" max="31" style="2862" width="24.7109375" customWidth="1"/>
    <col min="32" max="34" style="2862" width="3.7109375" customWidth="1"/>
    <col min="35" max="35" style="2862" width="24.7109375" customWidth="1"/>
    <col min="36" max="38" style="2862" width="3.7109375" customWidth="1"/>
    <col min="39" max="39" style="2862" width="18.8515625" customWidth="1"/>
    <col min="40" max="41" style="2862" width="21.7109375" customWidth="1"/>
    <col min="42" max="42" style="2862" width="11.7109375" customWidth="1"/>
    <col min="43" max="43" style="2862" width="3.7109375" customWidth="1"/>
    <col min="44" max="44" style="2862" width="11.7109375" customWidth="1"/>
    <col min="45" max="45" style="2862" width="8.57421875" customWidth="1"/>
    <col min="46" max="46" style="2862" width="4.7109375" customWidth="1"/>
    <col min="47" max="47" style="2862" width="115.7109375" customWidth="1"/>
    <col min="48" max="49" style="2587" width="10.57421875"/>
    <col min="50" max="50" style="2587" width="11.140625" customWidth="1"/>
    <col min="51" max="52" style="2587" width="10.57421875"/>
  </cols>
  <sheetData>
    <row customHeight="1" ht="14.25" hidden="1">
      <c r="W1" s="323"/>
      <c r="X1" s="323"/>
      <c r="AO1" s="323"/>
      <c r="AP1" s="323"/>
    </row>
    <row customHeight="1" ht="21" hidden="1">
      <c r="A2" s="1399"/>
      <c r="B2" s="1399"/>
      <c r="C2" s="1399"/>
      <c r="D2" s="1399"/>
      <c r="E2" s="2191">
        <v>1</v>
      </c>
      <c r="F2" s="1399"/>
      <c r="G2" s="1399"/>
      <c r="H2" s="1399"/>
      <c r="I2" s="1399"/>
      <c r="J2" s="1399"/>
      <c r="K2" s="1399"/>
      <c r="L2" s="1400"/>
      <c r="M2" s="1401"/>
      <c r="N2" s="1401"/>
      <c r="O2" s="1401"/>
      <c r="P2" s="1445"/>
      <c r="Q2" s="883"/>
      <c r="R2" s="351"/>
      <c r="S2" s="1372">
        <f>INDEX(PT_DIFFERENTIATION_NUM_NTAR,MATCH(A2,PT_DIFFERENTIATION_NTAR_ID,0))</f>
      </c>
      <c r="T2" s="286" t="s">
        <v>124</v>
      </c>
      <c r="U2" s="288"/>
      <c r="V2" s="2176"/>
      <c r="W2" s="2176"/>
      <c r="X2" s="2176"/>
      <c r="Y2" s="2176"/>
      <c r="Z2" s="2176"/>
      <c r="AA2" s="2177"/>
      <c r="AB2" s="2175">
        <f>INDEX(PT_DIFFERENTIATION_NTAR,MATCH(A2,PT_DIFFERENTIATION_NTAR_ID,0))</f>
      </c>
      <c r="AC2" s="2176"/>
      <c r="AD2" s="2176"/>
      <c r="AE2" s="2176"/>
      <c r="AF2" s="2176"/>
      <c r="AG2" s="2176"/>
      <c r="AH2" s="2176"/>
      <c r="AI2" s="2176"/>
      <c r="AJ2" s="2176"/>
      <c r="AK2" s="2176"/>
      <c r="AL2" s="2176"/>
      <c r="AM2" s="2176"/>
      <c r="AN2" s="2176"/>
      <c r="AO2" s="2176"/>
      <c r="AP2" s="2176"/>
      <c r="AQ2" s="2176"/>
      <c r="AR2" s="2176"/>
      <c r="AS2" s="2176"/>
      <c r="AT2" s="2177"/>
      <c r="AU2" s="1292" t="s">
        <v>456</v>
      </c>
      <c r="AW2" s="508"/>
      <c r="AX2" s="508" t="str">
        <f>IF(T2="","",T2)</f>
        <v>Наименование тарифа</v>
      </c>
      <c r="AY2" s="508"/>
      <c r="AZ2" s="508"/>
    </row>
    <row customHeight="1" ht="21" hidden="1">
      <c r="A3" s="1399"/>
      <c r="B3" s="1399"/>
      <c r="C3" s="1399"/>
      <c r="D3" s="1399"/>
      <c r="E3" s="2192"/>
      <c r="F3" s="2191">
        <v>1</v>
      </c>
      <c r="G3" s="1399"/>
      <c r="H3" s="1399"/>
      <c r="I3" s="1399"/>
      <c r="J3" s="1399"/>
      <c r="K3" s="1399"/>
      <c r="L3" s="1400"/>
      <c r="M3" s="1401"/>
      <c r="N3" s="1401"/>
      <c r="O3" s="1401"/>
      <c r="P3" s="1446"/>
      <c r="Q3" s="1447"/>
      <c r="R3" s="349"/>
      <c r="S3" s="1372">
        <f>INDEX(PT_DIFFERENTIATION_NUM_TER,MATCH(B3,PT_DIFFERENTIATION_TER_ID,0))</f>
      </c>
      <c r="T3" s="298" t="s">
        <v>457</v>
      </c>
      <c r="U3" s="288"/>
      <c r="V3" s="2176"/>
      <c r="W3" s="2176"/>
      <c r="X3" s="2176"/>
      <c r="Y3" s="2176"/>
      <c r="Z3" s="2176"/>
      <c r="AA3" s="2177"/>
      <c r="AB3" s="2175">
        <f>INDEX(PT_DIFFERENTIATION_TER,MATCH(B3,PT_DIFFERENTIATION_TER_ID,0))</f>
      </c>
      <c r="AC3" s="2176"/>
      <c r="AD3" s="2176"/>
      <c r="AE3" s="2176"/>
      <c r="AF3" s="2176"/>
      <c r="AG3" s="2176"/>
      <c r="AH3" s="2176"/>
      <c r="AI3" s="2176"/>
      <c r="AJ3" s="2176"/>
      <c r="AK3" s="2176"/>
      <c r="AL3" s="2176"/>
      <c r="AM3" s="2176"/>
      <c r="AN3" s="2176"/>
      <c r="AO3" s="2176"/>
      <c r="AP3" s="2176"/>
      <c r="AQ3" s="2176"/>
      <c r="AR3" s="2176"/>
      <c r="AS3" s="2176"/>
      <c r="AT3" s="2177"/>
      <c r="AU3" s="1292" t="s">
        <v>458</v>
      </c>
      <c r="AW3" s="508"/>
      <c r="AX3" s="508" t="str">
        <f>IF(T3="","",T3)</f>
        <v>Территория действия тарифа</v>
      </c>
      <c r="AY3" s="508"/>
      <c r="AZ3" s="508"/>
    </row>
    <row customHeight="1" ht="22.5" hidden="1">
      <c r="A4" s="1399"/>
      <c r="B4" s="1399"/>
      <c r="C4" s="1399"/>
      <c r="D4" s="1399"/>
      <c r="E4" s="2192"/>
      <c r="F4" s="2192"/>
      <c r="G4" s="2191">
        <v>1</v>
      </c>
      <c r="H4" s="1399"/>
      <c r="I4" s="1399"/>
      <c r="J4" s="1399"/>
      <c r="K4" s="1399"/>
      <c r="L4" s="1400"/>
      <c r="M4" s="1401"/>
      <c r="N4" s="1401"/>
      <c r="O4" s="1401"/>
      <c r="P4" s="1448"/>
      <c r="Q4" s="1447"/>
      <c r="R4" s="349"/>
      <c r="S4" s="1372">
        <f>INDEX(PT_DIFFERENTIATION_NUM_CS,MATCH(C4,PT_DIFFERENTIATION_CS_ID,0))</f>
      </c>
      <c r="T4" s="299" t="s">
        <v>459</v>
      </c>
      <c r="U4" s="288"/>
      <c r="V4" s="2176"/>
      <c r="W4" s="2176"/>
      <c r="X4" s="2176"/>
      <c r="Y4" s="2176"/>
      <c r="Z4" s="2176"/>
      <c r="AA4" s="2177"/>
      <c r="AB4" s="2175">
        <f>INDEX(PT_DIFFERENTIATION_CS,MATCH(C4,PT_DIFFERENTIATION_CS_ID,0))</f>
      </c>
      <c r="AC4" s="2176"/>
      <c r="AD4" s="2176"/>
      <c r="AE4" s="2176"/>
      <c r="AF4" s="2176"/>
      <c r="AG4" s="2176"/>
      <c r="AH4" s="2176"/>
      <c r="AI4" s="2176"/>
      <c r="AJ4" s="2176"/>
      <c r="AK4" s="2176"/>
      <c r="AL4" s="2176"/>
      <c r="AM4" s="2176"/>
      <c r="AN4" s="2176"/>
      <c r="AO4" s="2176"/>
      <c r="AP4" s="2176"/>
      <c r="AQ4" s="2176"/>
      <c r="AR4" s="2176"/>
      <c r="AS4" s="2176"/>
      <c r="AT4" s="2177"/>
      <c r="AU4" s="1292" t="s">
        <v>460</v>
      </c>
      <c r="AW4" s="508"/>
      <c r="AX4" s="508" t="str">
        <f>IF(T4="","",T4)</f>
        <v>Наименование системы теплоснабжения </v>
      </c>
      <c r="AY4" s="508"/>
      <c r="AZ4" s="508"/>
    </row>
    <row customHeight="1" ht="21" hidden="1">
      <c r="A5" s="1399"/>
      <c r="B5" s="1399"/>
      <c r="C5" s="1399"/>
      <c r="D5" s="1399"/>
      <c r="E5" s="2192"/>
      <c r="F5" s="2192"/>
      <c r="G5" s="2192"/>
      <c r="H5" s="2191">
        <v>1</v>
      </c>
      <c r="I5" s="1399"/>
      <c r="J5" s="1399"/>
      <c r="K5" s="1399"/>
      <c r="L5" s="1400"/>
      <c r="M5" s="1401"/>
      <c r="N5" s="1401"/>
      <c r="O5" s="1401"/>
      <c r="P5" s="1448"/>
      <c r="Q5" s="1447"/>
      <c r="R5" s="349"/>
      <c r="S5" s="1372">
        <f>INDEX(PT_DIFFERENTIATION_NUM_IST_TE,MATCH(D5,PT_DIFFERENTIATION_IST_TE_ID,0))</f>
      </c>
      <c r="T5" s="300" t="s">
        <v>461</v>
      </c>
      <c r="U5" s="288"/>
      <c r="V5" s="2176"/>
      <c r="W5" s="2176"/>
      <c r="X5" s="2176"/>
      <c r="Y5" s="2176"/>
      <c r="Z5" s="2176"/>
      <c r="AA5" s="2177"/>
      <c r="AB5" s="2175">
        <f>INDEX(PT_DIFFERENTIATION_IST_TE,MATCH(D5,PT_DIFFERENTIATION_IST_TE_ID,0))</f>
      </c>
      <c r="AC5" s="2176"/>
      <c r="AD5" s="2176"/>
      <c r="AE5" s="2176"/>
      <c r="AF5" s="2176"/>
      <c r="AG5" s="2176"/>
      <c r="AH5" s="2176"/>
      <c r="AI5" s="2176"/>
      <c r="AJ5" s="2176"/>
      <c r="AK5" s="2176"/>
      <c r="AL5" s="2176"/>
      <c r="AM5" s="2176"/>
      <c r="AN5" s="2176"/>
      <c r="AO5" s="2176"/>
      <c r="AP5" s="2176"/>
      <c r="AQ5" s="2176"/>
      <c r="AR5" s="2176"/>
      <c r="AS5" s="2176"/>
      <c r="AT5" s="2177"/>
      <c r="AU5" s="1292" t="s">
        <v>462</v>
      </c>
      <c r="AW5" s="508"/>
      <c r="AX5" s="508" t="str">
        <f>IF(T5="","",T5)</f>
        <v>Источник тепловой энергии  </v>
      </c>
      <c r="AY5" s="508"/>
      <c r="AZ5" s="508"/>
    </row>
    <row s="2587" customFormat="1" customHeight="1" ht="14.25" hidden="1">
      <c r="A6" s="1379"/>
      <c r="B6" s="1379"/>
      <c r="C6" s="1379"/>
      <c r="D6" s="1379"/>
      <c r="E6" s="2192"/>
      <c r="F6" s="2192"/>
      <c r="G6" s="2192"/>
      <c r="H6" s="2192"/>
      <c r="I6" s="2189">
        <f>S5&amp;".1"</f>
      </c>
      <c r="J6" s="1379"/>
      <c r="K6" s="1379"/>
      <c r="L6" s="1382" t="s">
        <v>463</v>
      </c>
      <c r="M6" s="518"/>
      <c r="N6" s="518"/>
      <c r="O6" s="518"/>
      <c r="P6" s="2190">
        <v>1</v>
      </c>
      <c r="Q6" s="1367"/>
      <c r="R6" s="352"/>
      <c r="S6" s="1055"/>
      <c r="T6" s="1419"/>
      <c r="U6" s="1420"/>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421"/>
      <c r="AW6" s="508"/>
      <c r="AX6" s="508" t="str">
        <f>IF(T6="","",T6)</f>
        <v/>
      </c>
      <c r="AY6" s="508"/>
      <c r="AZ6" s="508"/>
    </row>
    <row s="2587" customFormat="1" customHeight="1" ht="14.25" hidden="1">
      <c r="A7" s="1379"/>
      <c r="B7" s="1379"/>
      <c r="C7" s="1379"/>
      <c r="D7" s="1379"/>
      <c r="E7" s="2192"/>
      <c r="F7" s="2192"/>
      <c r="G7" s="2192"/>
      <c r="H7" s="2192"/>
      <c r="I7" s="2219"/>
      <c r="J7" s="2189">
        <f>S5&amp;".1"</f>
      </c>
      <c r="K7" s="1379"/>
      <c r="L7" s="1382"/>
      <c r="M7" s="518"/>
      <c r="N7" s="518"/>
      <c r="O7" s="518"/>
      <c r="P7" s="2190"/>
      <c r="Q7" s="2190">
        <v>1</v>
      </c>
      <c r="R7" s="353"/>
      <c r="S7" s="1055"/>
      <c r="T7" s="1435"/>
      <c r="U7" s="1420"/>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421"/>
      <c r="AW7" s="508"/>
      <c r="AX7" s="508" t="str">
        <f>IF(T7="","",T7)</f>
        <v/>
      </c>
      <c r="AY7" s="508"/>
      <c r="AZ7" s="508"/>
    </row>
    <row customHeight="1" ht="21" hidden="1">
      <c r="A8" s="1399"/>
      <c r="B8" s="1399"/>
      <c r="C8" s="1399"/>
      <c r="D8" s="1399"/>
      <c r="E8" s="2192"/>
      <c r="F8" s="2192"/>
      <c r="G8" s="2192"/>
      <c r="H8" s="2192"/>
      <c r="I8" s="2219"/>
      <c r="J8" s="2219"/>
      <c r="K8" s="2189">
        <f>S5&amp;".1"</f>
      </c>
      <c r="L8" s="1400"/>
      <c r="P8" s="2190"/>
      <c r="Q8" s="2190"/>
      <c r="R8" s="2271">
        <v>1</v>
      </c>
      <c r="S8" s="2265">
        <f>$K8</f>
      </c>
      <c r="T8" s="2268"/>
      <c r="U8" s="288"/>
      <c r="V8" s="760"/>
      <c r="W8" s="1291"/>
      <c r="X8" s="2198"/>
      <c r="Y8" s="1946" t="s">
        <v>58</v>
      </c>
      <c r="Z8" s="2198"/>
      <c r="AA8" s="1946" t="s">
        <v>58</v>
      </c>
      <c r="AB8" s="1946" t="s">
        <v>56</v>
      </c>
      <c r="AC8" s="2251"/>
      <c r="AD8" s="2042">
        <v>1</v>
      </c>
      <c r="AE8" s="2252"/>
      <c r="AF8" s="1946" t="s">
        <v>56</v>
      </c>
      <c r="AG8" s="2251"/>
      <c r="AH8" s="2042">
        <v>1</v>
      </c>
      <c r="AI8" s="2252"/>
      <c r="AJ8" s="1946" t="s">
        <v>56</v>
      </c>
      <c r="AK8" s="301"/>
      <c r="AL8" s="1373">
        <v>1</v>
      </c>
      <c r="AM8" s="1434"/>
      <c r="AN8" s="760"/>
      <c r="AO8" s="1291"/>
      <c r="AP8" s="1780"/>
      <c r="AQ8" s="1495" t="s">
        <v>58</v>
      </c>
      <c r="AR8" s="1780"/>
      <c r="AS8" s="1495" t="s">
        <v>58</v>
      </c>
      <c r="AT8" s="1384"/>
      <c r="AU8" s="2186" t="s">
        <v>533</v>
      </c>
      <c r="AV8" s="519">
        <f>STRCHECKDATE(V11:AT11)</f>
      </c>
      <c r="AW8" s="508"/>
      <c r="AX8" s="508" t="str">
        <f>IF(T8="","",T8)</f>
        <v/>
      </c>
      <c r="AY8" s="508"/>
      <c r="AZ8" s="508"/>
    </row>
    <row customHeight="1" ht="11.25" hidden="1">
      <c r="A9" s="1399"/>
      <c r="B9" s="1399"/>
      <c r="C9" s="1399"/>
      <c r="D9" s="1399"/>
      <c r="E9" s="2192"/>
      <c r="F9" s="2192"/>
      <c r="G9" s="2192"/>
      <c r="H9" s="2192"/>
      <c r="I9" s="2219"/>
      <c r="J9" s="2219"/>
      <c r="K9" s="2189"/>
      <c r="L9" s="1400"/>
      <c r="P9" s="2190"/>
      <c r="Q9" s="2190"/>
      <c r="R9" s="2271"/>
      <c r="S9" s="2266"/>
      <c r="T9" s="2269"/>
      <c r="U9" s="288"/>
      <c r="V9" s="1429"/>
      <c r="W9" s="1433"/>
      <c r="X9" s="2198"/>
      <c r="Y9" s="1946"/>
      <c r="Z9" s="2198"/>
      <c r="AA9" s="1946"/>
      <c r="AB9" s="1946"/>
      <c r="AC9" s="2251"/>
      <c r="AD9" s="2042"/>
      <c r="AE9" s="2252"/>
      <c r="AF9" s="1946"/>
      <c r="AG9" s="2251"/>
      <c r="AH9" s="2042"/>
      <c r="AI9" s="2252"/>
      <c r="AJ9" s="1946"/>
      <c r="AK9" s="308"/>
      <c r="AL9" s="423"/>
      <c r="AM9" s="422" t="s">
        <v>534</v>
      </c>
      <c r="AN9" s="1429"/>
      <c r="AO9" s="1532"/>
      <c r="AP9" s="1429"/>
      <c r="AQ9" s="1429"/>
      <c r="AR9" s="1429"/>
      <c r="AS9" s="1429"/>
      <c r="AT9" s="1426"/>
      <c r="AU9" s="2187"/>
      <c r="AW9" s="508"/>
      <c r="AX9" s="508"/>
      <c r="AY9" s="508"/>
      <c r="AZ9" s="508"/>
    </row>
    <row customHeight="1" ht="11.25" hidden="1">
      <c r="A10" s="1399"/>
      <c r="B10" s="1399"/>
      <c r="C10" s="1399"/>
      <c r="D10" s="1399"/>
      <c r="E10" s="2192"/>
      <c r="F10" s="2192"/>
      <c r="G10" s="2192"/>
      <c r="H10" s="2192"/>
      <c r="I10" s="2219"/>
      <c r="J10" s="2219"/>
      <c r="K10" s="2189"/>
      <c r="L10" s="1400"/>
      <c r="P10" s="2190"/>
      <c r="Q10" s="2190"/>
      <c r="R10" s="2271"/>
      <c r="S10" s="2266"/>
      <c r="T10" s="2269"/>
      <c r="U10" s="288"/>
      <c r="V10" s="1429"/>
      <c r="W10" s="1433"/>
      <c r="X10" s="2198"/>
      <c r="Y10" s="1946"/>
      <c r="Z10" s="2198"/>
      <c r="AA10" s="1946"/>
      <c r="AB10" s="1946"/>
      <c r="AC10" s="2251"/>
      <c r="AD10" s="2042"/>
      <c r="AE10" s="2252"/>
      <c r="AF10" s="1946"/>
      <c r="AG10" s="282"/>
      <c r="AH10" s="422"/>
      <c r="AI10" s="422" t="s">
        <v>535</v>
      </c>
      <c r="AJ10" s="1429"/>
      <c r="AK10" s="1429"/>
      <c r="AL10" s="1429"/>
      <c r="AM10" s="1429"/>
      <c r="AN10" s="1429"/>
      <c r="AO10" s="1532"/>
      <c r="AP10" s="1429"/>
      <c r="AQ10" s="1429"/>
      <c r="AR10" s="1429"/>
      <c r="AS10" s="1429"/>
      <c r="AT10" s="1426"/>
      <c r="AU10" s="2187"/>
      <c r="AW10" s="508"/>
      <c r="AX10" s="508"/>
      <c r="AY10" s="508"/>
      <c r="AZ10" s="508"/>
    </row>
    <row customHeight="1" ht="11.25" hidden="1">
      <c r="A11" s="1399"/>
      <c r="B11" s="1399"/>
      <c r="C11" s="1399"/>
      <c r="D11" s="1399"/>
      <c r="E11" s="2192"/>
      <c r="F11" s="2192"/>
      <c r="G11" s="2192"/>
      <c r="H11" s="2192"/>
      <c r="I11" s="2219"/>
      <c r="J11" s="2219"/>
      <c r="K11" s="2189"/>
      <c r="L11" s="1400"/>
      <c r="P11" s="2190"/>
      <c r="Q11" s="2190"/>
      <c r="R11" s="2271"/>
      <c r="S11" s="2267"/>
      <c r="T11" s="2270"/>
      <c r="U11" s="288"/>
      <c r="V11" s="1429"/>
      <c r="W11" s="1432" t="str">
        <f>X8&amp;"-"&amp;Z8</f>
        <v>-</v>
      </c>
      <c r="X11" s="2199"/>
      <c r="Y11" s="1946"/>
      <c r="Z11" s="2199"/>
      <c r="AA11" s="1946"/>
      <c r="AB11" s="1946"/>
      <c r="AC11" s="302"/>
      <c r="AD11" s="304"/>
      <c r="AE11" s="422" t="s">
        <v>536</v>
      </c>
      <c r="AF11" s="1429"/>
      <c r="AG11" s="1429"/>
      <c r="AH11" s="1429"/>
      <c r="AI11" s="1429"/>
      <c r="AJ11" s="1429"/>
      <c r="AK11" s="1429"/>
      <c r="AL11" s="1429"/>
      <c r="AM11" s="1429"/>
      <c r="AN11" s="1429"/>
      <c r="AO11" s="1430" t="str">
        <f>AP8&amp;"-"&amp;AR8</f>
        <v>-</v>
      </c>
      <c r="AP11" s="1429"/>
      <c r="AQ11" s="1429"/>
      <c r="AR11" s="1429"/>
      <c r="AS11" s="1429"/>
      <c r="AT11" s="1385"/>
      <c r="AU11" s="2187"/>
      <c r="AW11" s="508"/>
      <c r="AX11" s="508" t="str">
        <f>IF(T11="","",T11)</f>
        <v/>
      </c>
      <c r="AY11" s="508"/>
      <c r="AZ11" s="508"/>
    </row>
    <row customHeight="1" ht="11.25" hidden="1">
      <c r="A12" s="1399"/>
      <c r="B12" s="1399"/>
      <c r="C12" s="1399"/>
      <c r="D12" s="1399"/>
      <c r="E12" s="2192"/>
      <c r="F12" s="2192"/>
      <c r="G12" s="2192"/>
      <c r="H12" s="2192"/>
      <c r="I12" s="2219"/>
      <c r="J12" s="2189"/>
      <c r="K12" s="1399"/>
      <c r="L12" s="1400"/>
      <c r="P12" s="2190"/>
      <c r="Q12" s="2190"/>
      <c r="R12" s="352"/>
      <c r="S12" s="1314"/>
      <c r="T12" s="275" t="s">
        <v>537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88"/>
      <c r="AW12" s="508"/>
      <c r="AX12" s="508" t="str">
        <f>IF(T12="","",T12)</f>
        <v>Добавить строку</v>
      </c>
      <c r="AY12" s="508"/>
      <c r="AZ12" s="508"/>
    </row>
    <row s="2587" customFormat="1" customHeight="1" ht="14.25" hidden="1">
      <c r="A13" s="1379"/>
      <c r="B13" s="1379"/>
      <c r="C13" s="1379"/>
      <c r="D13" s="1379"/>
      <c r="E13" s="2192"/>
      <c r="F13" s="2192"/>
      <c r="G13" s="2192"/>
      <c r="H13" s="2192"/>
      <c r="I13" s="2189"/>
      <c r="J13" s="1379"/>
      <c r="K13" s="1379"/>
      <c r="L13" s="1382"/>
      <c r="M13" s="518"/>
      <c r="N13" s="518"/>
      <c r="O13" s="518"/>
      <c r="P13" s="2190"/>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7" customFormat="1" customHeight="1" ht="14.25" hidden="1">
      <c r="A14" s="1379"/>
      <c r="B14" s="1379"/>
      <c r="C14" s="1379"/>
      <c r="D14" s="1379"/>
      <c r="E14" s="2192"/>
      <c r="F14" s="2192"/>
      <c r="G14" s="2192"/>
      <c r="H14" s="2191"/>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598" customFormat="1" customHeight="1" ht="14.25" hidden="1">
      <c r="A15" s="1379"/>
      <c r="B15" s="1379"/>
      <c r="C15" s="1379"/>
      <c r="D15" s="1350"/>
      <c r="E15" s="2192"/>
      <c r="F15" s="2192"/>
      <c r="G15" s="2191"/>
      <c r="H15" s="1350"/>
      <c r="I15" s="1350"/>
      <c r="J15" s="1350"/>
      <c r="K15" s="1350"/>
      <c r="L15" s="1375"/>
      <c r="M15" s="1351"/>
      <c r="N15" s="1351"/>
      <c r="P15" s="1352"/>
      <c r="Q15" s="1353"/>
      <c r="R15" s="1352"/>
      <c r="S15" s="1358"/>
      <c r="T15" s="1361" t="s">
        <v>430</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598" customFormat="1" customHeight="1" ht="14.25" hidden="1">
      <c r="A16" s="1379"/>
      <c r="B16" s="1379"/>
      <c r="C16" s="1350"/>
      <c r="D16" s="1350"/>
      <c r="E16" s="2192"/>
      <c r="F16" s="2191"/>
      <c r="G16" s="1350"/>
      <c r="H16" s="1350"/>
      <c r="I16" s="1350"/>
      <c r="J16" s="1350"/>
      <c r="K16" s="1350"/>
      <c r="L16" s="1375"/>
      <c r="M16" s="1357"/>
      <c r="N16" s="1357"/>
      <c r="P16" s="1352"/>
      <c r="Q16" s="1353"/>
      <c r="R16" s="1352"/>
      <c r="S16" s="1358"/>
      <c r="T16" s="1361" t="s">
        <v>431</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7" customFormat="1" customHeight="1" ht="14.25" hidden="1">
      <c r="A17" s="1379"/>
      <c r="B17" s="1379"/>
      <c r="C17" s="1379"/>
      <c r="D17" s="1379"/>
      <c r="E17" s="2191"/>
      <c r="F17" s="1379"/>
      <c r="G17" s="1379"/>
      <c r="H17" s="1379"/>
      <c r="I17" s="1379"/>
      <c r="J17" s="1379"/>
      <c r="K17" s="1379"/>
      <c r="L17" s="1382"/>
      <c r="M17" s="1357"/>
      <c r="N17" s="1357"/>
      <c r="O17" s="526"/>
      <c r="P17" s="385"/>
      <c r="Q17" s="1380"/>
      <c r="R17" s="385"/>
      <c r="S17" s="1358"/>
      <c r="T17" s="1361" t="s">
        <v>432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56</v>
      </c>
      <c r="AC19" s="1537"/>
      <c r="AD19" s="556">
        <v>1</v>
      </c>
      <c r="AE19" s="1538"/>
      <c r="AF19" s="1360" t="s">
        <v>56</v>
      </c>
      <c r="AG19" s="1537"/>
      <c r="AH19" s="556">
        <v>1</v>
      </c>
      <c r="AI19" s="1538"/>
      <c r="AJ19" s="1360" t="s">
        <v>56</v>
      </c>
      <c r="AK19" s="1539"/>
      <c r="AL19" s="556">
        <v>1</v>
      </c>
      <c r="AM19" s="1542"/>
      <c r="AN19" s="1439"/>
      <c r="AO19" s="1440"/>
      <c r="AP19" s="1782"/>
      <c r="AQ19" s="1496" t="s">
        <v>58</v>
      </c>
      <c r="AR19" s="1782"/>
      <c r="AS19" s="1496" t="s">
        <v>58</v>
      </c>
    </row>
    <row customHeight="1" ht="14.25" hidden="1">
      <c r="AV20" s="504"/>
      <c r="AW20" s="504"/>
      <c r="AX20" s="504"/>
      <c r="AY20" s="504"/>
      <c r="AZ20" s="504"/>
    </row>
    <row customHeight="1" ht="14.25" hidden="1">
      <c r="O21" s="1403" t="s">
        <v>474</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806" customFormat="1" customHeight="1" ht="14.25" hidden="1">
      <c r="M23" s="1544"/>
      <c r="N23" s="1544"/>
      <c r="O23" s="1545" t="s">
        <v>475</v>
      </c>
      <c r="P23" s="1544"/>
      <c r="Q23" s="1546"/>
      <c r="R23" s="1546"/>
      <c r="Y23" s="1543" t="s">
        <v>477</v>
      </c>
      <c r="AA23" s="1543" t="s">
        <v>478</v>
      </c>
      <c r="AB23" s="1543" t="s">
        <v>538</v>
      </c>
      <c r="AE23" s="1543" t="s">
        <v>539</v>
      </c>
      <c r="AF23" s="1543" t="s">
        <v>538</v>
      </c>
      <c r="AI23" s="1543" t="s">
        <v>540</v>
      </c>
      <c r="AJ23" s="1543" t="s">
        <v>538</v>
      </c>
      <c r="AM23" s="1543" t="s">
        <v>541</v>
      </c>
      <c r="AQ23" s="1543" t="s">
        <v>477</v>
      </c>
      <c r="AS23" s="1543" t="s">
        <v>478</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267"/>
    </row>
    <row customHeight="1" ht="14.25">
      <c r="Q28" s="279"/>
      <c r="R28" s="377"/>
      <c r="S28" s="2182" t="str">
        <f>IF(org=0,"Не определено",org)</f>
        <v>Филиал "Печорская ГРЭС" АО "Интер РАО-Электрогенерация"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27" customFormat="1" customHeight="1" ht="25.5" hidden="1">
      <c r="A30" s="1404"/>
      <c r="B30" s="1404"/>
      <c r="C30" s="1404"/>
      <c r="D30" s="1404"/>
      <c r="E30" s="1404"/>
      <c r="F30" s="1404"/>
      <c r="G30" s="1404"/>
      <c r="H30" s="1404"/>
      <c r="I30" s="1404"/>
      <c r="J30" s="1404"/>
      <c r="K30" s="1404"/>
      <c r="L30" s="1405"/>
      <c r="M30" s="1404"/>
      <c r="N30" s="1404"/>
      <c r="O30" s="1404"/>
      <c r="P30" s="1404"/>
      <c r="Q30" s="1404"/>
      <c r="S30" s="2183" t="s">
        <v>39</v>
      </c>
      <c r="T30" s="2183"/>
      <c r="U30" s="1408"/>
      <c r="V30" s="2184"/>
      <c r="W30" s="2184"/>
      <c r="X30" s="2184"/>
      <c r="Y30" s="2184"/>
      <c r="Z30" s="2184"/>
      <c r="AA30" s="322"/>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322"/>
      <c r="AT30" s="322"/>
      <c r="AU30" s="268"/>
      <c r="AV30" s="368"/>
      <c r="AW30" s="368"/>
      <c r="AX30" s="368"/>
      <c r="AY30" s="368"/>
      <c r="AZ30" s="368"/>
    </row>
    <row s="3627" customFormat="1" customHeight="1" ht="18.75" hidden="1">
      <c r="A31" s="1404"/>
      <c r="B31" s="1404"/>
      <c r="C31" s="1404"/>
      <c r="D31" s="1404"/>
      <c r="E31" s="1404"/>
      <c r="F31" s="1404"/>
      <c r="G31" s="1404"/>
      <c r="H31" s="1404"/>
      <c r="I31" s="1404"/>
      <c r="J31" s="1404"/>
      <c r="K31" s="1404"/>
      <c r="L31" s="1405"/>
      <c r="M31" s="1404"/>
      <c r="N31" s="1404"/>
      <c r="O31" s="1404"/>
      <c r="P31" s="1404"/>
      <c r="Q31" s="1404"/>
      <c r="S31" s="2183" t="s">
        <v>480</v>
      </c>
      <c r="T31" s="2183"/>
      <c r="U31" s="1408"/>
      <c r="V31" s="2197"/>
      <c r="W31" s="2197"/>
      <c r="X31" s="2197"/>
      <c r="Y31" s="2197"/>
      <c r="Z31" s="2197"/>
      <c r="AA31" s="322"/>
      <c r="AB31" s="2197" t="str">
        <f>IF(TITLE_DATE_CHANGE_PERIOD="",IF(TITLE_DATE_PR="","",TITLE_DATE_PR),TITLE_DATE_CHANGE_PERIOD)</f>
        <v/>
      </c>
      <c r="AC31" s="2197"/>
      <c r="AD31" s="2197"/>
      <c r="AE31" s="2197"/>
      <c r="AF31" s="2197"/>
      <c r="AG31" s="2197"/>
      <c r="AH31" s="2197"/>
      <c r="AI31" s="2197"/>
      <c r="AJ31" s="2197"/>
      <c r="AK31" s="2197"/>
      <c r="AL31" s="2197"/>
      <c r="AM31" s="2197"/>
      <c r="AN31" s="2197"/>
      <c r="AO31" s="2197"/>
      <c r="AP31" s="2197"/>
      <c r="AQ31" s="2197"/>
      <c r="AR31" s="2197"/>
      <c r="AS31" s="322"/>
      <c r="AT31" s="322"/>
      <c r="AU31" s="268"/>
      <c r="AV31" s="368"/>
      <c r="AW31" s="368"/>
      <c r="AX31" s="368"/>
      <c r="AY31" s="368"/>
      <c r="AZ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481</v>
      </c>
      <c r="T32" s="2183"/>
      <c r="U32" s="1408"/>
      <c r="V32" s="2184"/>
      <c r="W32" s="2184"/>
      <c r="X32" s="2184"/>
      <c r="Y32" s="2184"/>
      <c r="Z32" s="2184"/>
      <c r="AA32" s="322"/>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322"/>
      <c r="AT32" s="322"/>
      <c r="AU32" s="268"/>
      <c r="AV32" s="368"/>
      <c r="AW32" s="368"/>
      <c r="AX32" s="368"/>
      <c r="AY32" s="368"/>
      <c r="AZ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40</v>
      </c>
      <c r="T33" s="2183"/>
      <c r="U33" s="1408"/>
      <c r="V33" s="2184"/>
      <c r="W33" s="2184"/>
      <c r="X33" s="2184"/>
      <c r="Y33" s="2184"/>
      <c r="Z33" s="2184"/>
      <c r="AA33" s="322"/>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322"/>
      <c r="AT33" s="322"/>
      <c r="AU33" s="268"/>
      <c r="AV33" s="368"/>
      <c r="AW33" s="368"/>
      <c r="AX33" s="368"/>
      <c r="AY33" s="368"/>
      <c r="AZ33" s="368"/>
    </row>
    <row customHeight="1" ht="14.25" hidden="1">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27" customFormat="1" customHeight="1" ht="18.75" hidden="1">
      <c r="A35" s="1404"/>
      <c r="B35" s="1404"/>
      <c r="C35" s="1404"/>
      <c r="D35" s="1404"/>
      <c r="E35" s="1404"/>
      <c r="F35" s="1404"/>
      <c r="G35" s="1404"/>
      <c r="H35" s="1404"/>
      <c r="I35" s="1404"/>
      <c r="J35" s="1404"/>
      <c r="K35" s="1404"/>
      <c r="L35" s="1405"/>
      <c r="M35" s="1404"/>
      <c r="N35" s="1404"/>
      <c r="O35" s="1404"/>
      <c r="P35" s="1404"/>
      <c r="Q35" s="1404"/>
      <c r="S35" s="2183" t="s">
        <v>480</v>
      </c>
      <c r="T35" s="2183"/>
      <c r="U35" s="1408"/>
      <c r="V35" s="2197"/>
      <c r="W35" s="2197"/>
      <c r="X35" s="2197"/>
      <c r="Y35" s="2197"/>
      <c r="Z35" s="2197"/>
      <c r="AA35" s="322"/>
      <c r="AB35" s="2197" t="str">
        <f>IF(TITLE_DATE_CHANGE_PERIOD="",IF(TITLE_DATE_PR="","",TITLE_DATE_PR),TITLE_DATE_CHANGE_PERIOD)</f>
        <v/>
      </c>
      <c r="AC35" s="2197"/>
      <c r="AD35" s="2197"/>
      <c r="AE35" s="2197"/>
      <c r="AF35" s="2197"/>
      <c r="AG35" s="2197"/>
      <c r="AH35" s="2197"/>
      <c r="AI35" s="2197"/>
      <c r="AJ35" s="2197"/>
      <c r="AK35" s="2197"/>
      <c r="AL35" s="2197"/>
      <c r="AM35" s="2197"/>
      <c r="AN35" s="2197"/>
      <c r="AO35" s="2197"/>
      <c r="AP35" s="2197"/>
      <c r="AQ35" s="2197"/>
      <c r="AR35" s="2197"/>
      <c r="AS35" s="322"/>
      <c r="AT35" s="322"/>
      <c r="AU35" s="268"/>
      <c r="AV35" s="368"/>
      <c r="AW35" s="368"/>
      <c r="AX35" s="368"/>
      <c r="AY35" s="368"/>
      <c r="AZ35" s="368"/>
    </row>
    <row s="3627" customFormat="1" customHeight="1" ht="18" hidden="1">
      <c r="A36" s="1404"/>
      <c r="B36" s="1404"/>
      <c r="C36" s="1404"/>
      <c r="D36" s="1404"/>
      <c r="E36" s="1404"/>
      <c r="F36" s="1404"/>
      <c r="G36" s="1404"/>
      <c r="H36" s="1404"/>
      <c r="I36" s="1404"/>
      <c r="J36" s="1404"/>
      <c r="K36" s="1404"/>
      <c r="L36" s="1405"/>
      <c r="M36" s="1404"/>
      <c r="N36" s="1404"/>
      <c r="O36" s="1404"/>
      <c r="P36" s="1404"/>
      <c r="Q36" s="1404"/>
      <c r="S36" s="2183" t="s">
        <v>481</v>
      </c>
      <c r="T36" s="2183"/>
      <c r="U36" s="1408"/>
      <c r="V36" s="2184"/>
      <c r="W36" s="2184"/>
      <c r="X36" s="2184"/>
      <c r="Y36" s="2184"/>
      <c r="Z36" s="2184"/>
      <c r="AA36" s="322"/>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322"/>
      <c r="AT36" s="322"/>
      <c r="AU36" s="268"/>
      <c r="AV36" s="368"/>
      <c r="AW36" s="368"/>
      <c r="AX36" s="368"/>
      <c r="AY36" s="368"/>
      <c r="AZ36" s="368"/>
    </row>
    <row s="3627"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484</v>
      </c>
      <c r="AB37" s="322"/>
      <c r="AC37" s="322"/>
      <c r="AD37" s="322"/>
      <c r="AE37" s="322"/>
      <c r="AF37" s="322"/>
      <c r="AG37" s="322"/>
      <c r="AH37" s="322"/>
      <c r="AI37" s="322"/>
      <c r="AJ37" s="322"/>
      <c r="AK37" s="322"/>
      <c r="AL37" s="322"/>
      <c r="AM37" s="322"/>
      <c r="AN37" s="322"/>
      <c r="AO37" s="322"/>
      <c r="AP37" s="322"/>
      <c r="AQ37" s="322"/>
      <c r="AR37" s="322"/>
      <c r="AS37" s="266" t="s">
        <v>484</v>
      </c>
      <c r="AV37" s="368"/>
      <c r="AW37" s="368"/>
      <c r="AX37" s="368"/>
      <c r="AY37" s="368"/>
      <c r="AZ37" s="368"/>
    </row>
    <row customHeight="1" ht="14.25">
      <c r="Q38" s="279"/>
      <c r="R38" s="377"/>
      <c r="S38" s="1311"/>
      <c r="T38" s="361"/>
      <c r="U38" s="1268"/>
      <c r="V38" s="2185"/>
      <c r="W38" s="2185"/>
      <c r="X38" s="2185"/>
      <c r="Y38" s="2185"/>
      <c r="Z38" s="2185"/>
      <c r="AA38" s="2185"/>
      <c r="AB38" s="2185"/>
      <c r="AC38" s="2185"/>
      <c r="AD38" s="2185"/>
      <c r="AE38" s="2185"/>
      <c r="AF38" s="2185"/>
      <c r="AG38" s="2185"/>
      <c r="AH38" s="2185"/>
      <c r="AI38" s="2185"/>
      <c r="AJ38" s="2185"/>
      <c r="AK38" s="2185"/>
      <c r="AL38" s="2185"/>
      <c r="AM38" s="2185"/>
      <c r="AN38" s="2185"/>
      <c r="AO38" s="2185"/>
      <c r="AP38" s="2185"/>
      <c r="AQ38" s="2185"/>
      <c r="AR38" s="2185"/>
      <c r="AS38" s="2185"/>
    </row>
    <row customHeight="1" ht="14.25">
      <c r="Q39" s="279"/>
      <c r="R39" s="377"/>
      <c r="S39" s="1966" t="s">
        <v>287</v>
      </c>
      <c r="T39" s="1966"/>
      <c r="U39" s="1966"/>
      <c r="V39" s="1966"/>
      <c r="W39" s="1966"/>
      <c r="X39" s="1966"/>
      <c r="Y39" s="1966"/>
      <c r="Z39" s="1966"/>
      <c r="AA39" s="1966"/>
      <c r="AB39" s="2012"/>
      <c r="AC39" s="2012"/>
      <c r="AD39" s="2012"/>
      <c r="AE39" s="2012"/>
      <c r="AF39" s="1966"/>
      <c r="AG39" s="1966"/>
      <c r="AH39" s="1966"/>
      <c r="AI39" s="1966"/>
      <c r="AJ39" s="1966"/>
      <c r="AK39" s="1966"/>
      <c r="AL39" s="1966"/>
      <c r="AM39" s="1966"/>
      <c r="AN39" s="1966"/>
      <c r="AO39" s="1966"/>
      <c r="AP39" s="1966"/>
      <c r="AQ39" s="1966"/>
      <c r="AR39" s="1966"/>
      <c r="AS39" s="1966"/>
      <c r="AT39" s="1966"/>
      <c r="AU39" s="1966" t="s">
        <v>288</v>
      </c>
    </row>
    <row customHeight="1" ht="14.25">
      <c r="Q40" s="279"/>
      <c r="R40" s="377"/>
      <c r="S40" s="2206" t="s">
        <v>87</v>
      </c>
      <c r="T40" s="2047" t="s">
        <v>542</v>
      </c>
      <c r="U40" s="289"/>
      <c r="V40" s="2208"/>
      <c r="W40" s="2208"/>
      <c r="X40" s="2208"/>
      <c r="Y40" s="2208"/>
      <c r="Z40" s="2209"/>
      <c r="AA40" s="2261" t="s">
        <v>487</v>
      </c>
      <c r="AB40" s="2253" t="s">
        <v>543</v>
      </c>
      <c r="AC40" s="2222"/>
      <c r="AD40" s="2222"/>
      <c r="AE40" s="2254"/>
      <c r="AF40" s="2222" t="s">
        <v>544</v>
      </c>
      <c r="AG40" s="2222"/>
      <c r="AH40" s="2222"/>
      <c r="AI40" s="2254"/>
      <c r="AJ40" s="2253" t="s">
        <v>545</v>
      </c>
      <c r="AK40" s="2222"/>
      <c r="AL40" s="2222"/>
      <c r="AM40" s="2254"/>
      <c r="AN40" s="2253" t="s">
        <v>486</v>
      </c>
      <c r="AO40" s="2222"/>
      <c r="AP40" s="2208"/>
      <c r="AQ40" s="2208"/>
      <c r="AR40" s="2209"/>
      <c r="AS40" s="2210" t="s">
        <v>487</v>
      </c>
      <c r="AT40" s="2213" t="s">
        <v>489</v>
      </c>
      <c r="AU40" s="1966"/>
    </row>
    <row customHeight="1" ht="33.75">
      <c r="Q41" s="279"/>
      <c r="R41" s="377"/>
      <c r="S41" s="2206"/>
      <c r="T41" s="2047"/>
      <c r="U41" s="1044"/>
      <c r="V41" s="2029" t="s">
        <v>546</v>
      </c>
      <c r="W41" s="2030"/>
      <c r="X41" s="2225" t="s">
        <v>493</v>
      </c>
      <c r="Y41" s="2238"/>
      <c r="Z41" s="2239"/>
      <c r="AA41" s="2262"/>
      <c r="AB41" s="2255"/>
      <c r="AC41" s="2256"/>
      <c r="AD41" s="2256"/>
      <c r="AE41" s="2257"/>
      <c r="AF41" s="2256"/>
      <c r="AG41" s="2256"/>
      <c r="AH41" s="2256"/>
      <c r="AI41" s="2257"/>
      <c r="AJ41" s="2255"/>
      <c r="AK41" s="2256"/>
      <c r="AL41" s="2256"/>
      <c r="AM41" s="2256"/>
      <c r="AN41" s="1966" t="s">
        <v>547</v>
      </c>
      <c r="AO41" s="1966"/>
      <c r="AP41" s="2238" t="s">
        <v>493</v>
      </c>
      <c r="AQ41" s="2238"/>
      <c r="AR41" s="2239"/>
      <c r="AS41" s="2211"/>
      <c r="AT41" s="2214"/>
      <c r="AU41" s="1966"/>
    </row>
    <row customHeight="1" ht="14.25">
      <c r="Q42" s="279"/>
      <c r="R42" s="377"/>
      <c r="S42" s="2206"/>
      <c r="T42" s="2047"/>
      <c r="U42" s="1044"/>
      <c r="V42" s="2037"/>
      <c r="W42" s="2038"/>
      <c r="X42" s="2226"/>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1"/>
      <c r="AT42" s="2214"/>
      <c r="AU42" s="1966"/>
    </row>
    <row customHeight="1" ht="14.25">
      <c r="A43" s="1406"/>
      <c r="B43" s="1406" t="s">
        <v>136</v>
      </c>
      <c r="C43" s="1406" t="s">
        <v>137</v>
      </c>
      <c r="D43" s="1406" t="s">
        <v>138</v>
      </c>
      <c r="E43" s="1400" t="s">
        <v>494</v>
      </c>
      <c r="F43" s="1400" t="s">
        <v>495</v>
      </c>
      <c r="G43" s="1400" t="s">
        <v>496</v>
      </c>
      <c r="H43" s="1400" t="s">
        <v>497</v>
      </c>
      <c r="I43" s="1400" t="s">
        <v>498</v>
      </c>
      <c r="J43" s="1400" t="s">
        <v>499</v>
      </c>
      <c r="K43" s="1400" t="s">
        <v>500</v>
      </c>
      <c r="L43" s="1400" t="s">
        <v>475</v>
      </c>
      <c r="Q43" s="279"/>
      <c r="R43" s="377"/>
      <c r="S43" s="2206"/>
      <c r="T43" s="2047"/>
      <c r="U43" s="290"/>
      <c r="V43" s="1366" t="s">
        <v>548</v>
      </c>
      <c r="W43" s="1366" t="s">
        <v>549</v>
      </c>
      <c r="X43" s="1374" t="s">
        <v>503</v>
      </c>
      <c r="Y43" s="2203" t="s">
        <v>504</v>
      </c>
      <c r="Z43" s="2204"/>
      <c r="AA43" s="2263"/>
      <c r="AB43" s="2258"/>
      <c r="AC43" s="2259"/>
      <c r="AD43" s="2259"/>
      <c r="AE43" s="2260"/>
      <c r="AF43" s="2259"/>
      <c r="AG43" s="2259"/>
      <c r="AH43" s="2259"/>
      <c r="AI43" s="2260"/>
      <c r="AJ43" s="2258"/>
      <c r="AK43" s="2259"/>
      <c r="AL43" s="2259"/>
      <c r="AM43" s="2260"/>
      <c r="AN43" s="1915" t="s">
        <v>548</v>
      </c>
      <c r="AO43" s="1915" t="s">
        <v>549</v>
      </c>
      <c r="AP43" s="1374" t="s">
        <v>503</v>
      </c>
      <c r="AQ43" s="2203" t="s">
        <v>504</v>
      </c>
      <c r="AR43" s="2204"/>
      <c r="AS43" s="2212"/>
      <c r="AT43" s="2215"/>
      <c r="AU43" s="1966"/>
    </row>
    <row s="2586"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109</v>
      </c>
      <c r="T44" s="1287" t="s">
        <v>110</v>
      </c>
      <c r="U44" s="1269" t="str">
        <f>OFFSET(U44,0,-1)</f>
        <v>2</v>
      </c>
      <c r="V44" s="1371">
        <f>OFFSET(V44,0,-1)+1</f>
        <v>3</v>
      </c>
      <c r="W44" s="1371">
        <f>OFFSET(W44,0,-1)+1</f>
        <v>4</v>
      </c>
      <c r="X44" s="1371">
        <f>OFFSET(X44,0,-1)+1</f>
        <v>5</v>
      </c>
      <c r="Y44" s="2205">
        <f>OFFSET(Y44,0,-1)+1</f>
        <v>6</v>
      </c>
      <c r="Z44" s="2205"/>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05">
        <f>OFFSET(AQ44,0,-1)+1</f>
        <v>4</v>
      </c>
      <c r="AR44" s="2205"/>
      <c r="AS44" s="1371">
        <f>OFFSET(AS44,0,-2)+1</f>
        <v>5</v>
      </c>
      <c r="AT44" s="1269">
        <f>OFFSET(AT44,0,-1)</f>
        <v>5</v>
      </c>
      <c r="AU44" s="1371">
        <f>OFFSET(AU44,0,-1)+1</f>
        <v>6</v>
      </c>
      <c r="AV44" s="519"/>
      <c r="AW44" s="519"/>
      <c r="AX44" s="519"/>
      <c r="AY44" s="519"/>
      <c r="AZ44" s="519"/>
    </row>
    <row customHeight="1" ht="102">
      <c r="A45" s="1399" t="s">
        <v>199</v>
      </c>
      <c r="B45" s="1399"/>
      <c r="C45" s="1399"/>
      <c r="D45" s="1399"/>
      <c r="E45" s="2191">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124</v>
      </c>
      <c r="U45" s="288"/>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199</v>
      </c>
      <c r="B46" s="1399" t="s">
        <v>200</v>
      </c>
      <c r="C46" s="1399"/>
      <c r="D46" s="1399"/>
      <c r="E46" s="2192"/>
      <c r="F46" s="2191">
        <v>1</v>
      </c>
      <c r="G46" s="1399"/>
      <c r="H46" s="1399"/>
      <c r="I46" s="1399"/>
      <c r="J46" s="1399"/>
      <c r="K46" s="1399"/>
      <c r="L46" s="1400"/>
      <c r="M46" s="1401"/>
      <c r="N46" s="1401"/>
      <c r="O46" s="1401"/>
      <c r="P46" s="1446"/>
      <c r="Q46" s="1447"/>
      <c r="R46" s="349"/>
      <c r="S46" s="1372" t="str">
        <f>INDEX(PT_DIFFERENTIATION_NUM_TER,MATCH(B46,PT_DIFFERENTIATION_TER_ID,0))</f>
        <v>.</v>
      </c>
      <c r="T46" s="298" t="s">
        <v>457</v>
      </c>
      <c r="U46" s="288"/>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292" t="s">
        <v>458</v>
      </c>
      <c r="AW46" s="508"/>
      <c r="AX46" s="508" t="str">
        <f>IF(T46="","",T46)</f>
        <v>Территория действия тарифа</v>
      </c>
      <c r="AY46" s="508"/>
      <c r="AZ46" s="508"/>
    </row>
    <row customHeight="1" ht="23.25">
      <c r="A47" s="1399" t="s">
        <v>199</v>
      </c>
      <c r="B47" s="1399" t="s">
        <v>200</v>
      </c>
      <c r="C47" s="1399" t="s">
        <v>201</v>
      </c>
      <c r="D47" s="1399"/>
      <c r="E47" s="2192"/>
      <c r="F47" s="2192"/>
      <c r="G47" s="2191">
        <v>1</v>
      </c>
      <c r="H47" s="1399"/>
      <c r="I47" s="1399"/>
      <c r="J47" s="1399"/>
      <c r="K47" s="1399"/>
      <c r="L47" s="1400"/>
      <c r="M47" s="1401"/>
      <c r="N47" s="1401"/>
      <c r="O47" s="1401"/>
      <c r="P47" s="1448"/>
      <c r="Q47" s="1447"/>
      <c r="R47" s="349"/>
      <c r="S47" s="1372" t="str">
        <f>INDEX(PT_DIFFERENTIATION_NUM_CS,MATCH(C47,PT_DIFFERENTIATION_CS_ID,0))</f>
        <v>..</v>
      </c>
      <c r="T47" s="299" t="s">
        <v>459</v>
      </c>
      <c r="U47" s="288"/>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292" t="s">
        <v>460</v>
      </c>
      <c r="AW47" s="508"/>
      <c r="AX47" s="508" t="str">
        <f>IF(T47="","",T47)</f>
        <v>Наименование системы теплоснабжения </v>
      </c>
      <c r="AY47" s="508"/>
      <c r="AZ47" s="508"/>
    </row>
    <row customHeight="1" ht="21">
      <c r="A48" s="1399" t="s">
        <v>199</v>
      </c>
      <c r="B48" s="1399" t="s">
        <v>200</v>
      </c>
      <c r="C48" s="1399" t="s">
        <v>201</v>
      </c>
      <c r="D48" s="1399" t="s">
        <v>202</v>
      </c>
      <c r="E48" s="2192"/>
      <c r="F48" s="2192"/>
      <c r="G48" s="2192"/>
      <c r="H48" s="2191">
        <v>1</v>
      </c>
      <c r="I48" s="1399"/>
      <c r="J48" s="1399"/>
      <c r="K48" s="1399"/>
      <c r="L48" s="1400"/>
      <c r="M48" s="1401"/>
      <c r="N48" s="1401"/>
      <c r="O48" s="1401"/>
      <c r="P48" s="1448"/>
      <c r="Q48" s="1447"/>
      <c r="R48" s="349"/>
      <c r="S48" s="1372" t="str">
        <f>INDEX(PT_DIFFERENTIATION_NUM_IST_TE,MATCH(D48,PT_DIFFERENTIATION_IST_TE_ID,0))</f>
        <v>...</v>
      </c>
      <c r="T48" s="300" t="s">
        <v>461</v>
      </c>
      <c r="U48" s="288"/>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292" t="s">
        <v>462</v>
      </c>
      <c r="AW48" s="508"/>
      <c r="AX48" s="508" t="str">
        <f>IF(T48="","",T48)</f>
        <v>Источник тепловой энергии  </v>
      </c>
      <c r="AY48" s="508"/>
      <c r="AZ48" s="508"/>
    </row>
    <row s="2587" customFormat="1" customHeight="1" ht="0">
      <c r="A49" s="1379" t="s">
        <v>199</v>
      </c>
      <c r="B49" s="1379" t="s">
        <v>200</v>
      </c>
      <c r="C49" s="1379" t="s">
        <v>201</v>
      </c>
      <c r="D49" s="1379" t="s">
        <v>202</v>
      </c>
      <c r="E49" s="2192"/>
      <c r="F49" s="2192"/>
      <c r="G49" s="2192"/>
      <c r="H49" s="2192"/>
      <c r="I49" s="2189" t="str">
        <f>S48&amp;".1"</f>
        <v>....1</v>
      </c>
      <c r="J49" s="1379"/>
      <c r="K49" s="1379"/>
      <c r="L49" s="1382" t="s">
        <v>463</v>
      </c>
      <c r="M49" s="518"/>
      <c r="N49" s="518"/>
      <c r="O49" s="518"/>
      <c r="P49" s="2190">
        <v>1</v>
      </c>
      <c r="Q49" s="1367"/>
      <c r="R49" s="352"/>
      <c r="S49" s="1055"/>
      <c r="T49" s="1419"/>
      <c r="U49" s="1420"/>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421"/>
      <c r="AW49" s="508"/>
      <c r="AX49" s="508" t="str">
        <f>IF(T49="","",T49)</f>
        <v/>
      </c>
      <c r="AY49" s="508"/>
      <c r="AZ49" s="508"/>
    </row>
    <row s="2587" customFormat="1" customHeight="1" ht="0">
      <c r="A50" s="1379" t="s">
        <v>199</v>
      </c>
      <c r="B50" s="1379" t="s">
        <v>200</v>
      </c>
      <c r="C50" s="1379" t="s">
        <v>201</v>
      </c>
      <c r="D50" s="1379" t="s">
        <v>202</v>
      </c>
      <c r="E50" s="2192"/>
      <c r="F50" s="2192"/>
      <c r="G50" s="2192"/>
      <c r="H50" s="2192"/>
      <c r="I50" s="2219"/>
      <c r="J50" s="2189" t="str">
        <f>S48&amp;".1"</f>
        <v>....1</v>
      </c>
      <c r="K50" s="1379"/>
      <c r="L50" s="1382"/>
      <c r="M50" s="518"/>
      <c r="N50" s="518"/>
      <c r="O50" s="518"/>
      <c r="P50" s="2190"/>
      <c r="Q50" s="2190">
        <v>1</v>
      </c>
      <c r="R50" s="353"/>
      <c r="S50" s="1055"/>
      <c r="T50" s="1435"/>
      <c r="U50" s="1420"/>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421"/>
      <c r="AW50" s="508"/>
      <c r="AX50" s="508" t="str">
        <f>IF(T50="","",T50)</f>
        <v/>
      </c>
      <c r="AY50" s="508"/>
      <c r="AZ50" s="508"/>
    </row>
    <row customHeight="1" ht="21">
      <c r="A51" s="1399" t="s">
        <v>199</v>
      </c>
      <c r="B51" s="1399" t="s">
        <v>200</v>
      </c>
      <c r="C51" s="1399" t="s">
        <v>201</v>
      </c>
      <c r="D51" s="1399" t="s">
        <v>202</v>
      </c>
      <c r="E51" s="2192"/>
      <c r="F51" s="2192"/>
      <c r="G51" s="2192"/>
      <c r="H51" s="2192"/>
      <c r="I51" s="2219"/>
      <c r="J51" s="2219"/>
      <c r="K51" s="2189" t="str">
        <f>S48&amp;".1"</f>
        <v>....1</v>
      </c>
      <c r="L51" s="1400"/>
      <c r="P51" s="2190"/>
      <c r="Q51" s="2190"/>
      <c r="R51" s="353">
        <v>1</v>
      </c>
      <c r="S51" s="2265" t="str">
        <f>$K51</f>
        <v>....1</v>
      </c>
      <c r="T51" s="2268"/>
      <c r="U51" s="288"/>
      <c r="V51" s="760"/>
      <c r="W51" s="1291"/>
      <c r="X51" s="1780"/>
      <c r="Y51" s="1495" t="s">
        <v>58</v>
      </c>
      <c r="Z51" s="1780"/>
      <c r="AA51" s="1495" t="s">
        <v>58</v>
      </c>
      <c r="AB51" s="1946" t="s">
        <v>56</v>
      </c>
      <c r="AC51" s="2251"/>
      <c r="AD51" s="2042">
        <v>1</v>
      </c>
      <c r="AE51" s="2272" t="s">
        <v>18</v>
      </c>
      <c r="AF51" s="1946" t="s">
        <v>56</v>
      </c>
      <c r="AG51" s="2251"/>
      <c r="AH51" s="2042">
        <v>1</v>
      </c>
      <c r="AI51" s="2272" t="s">
        <v>18</v>
      </c>
      <c r="AJ51" s="1946" t="s">
        <v>56</v>
      </c>
      <c r="AK51" s="301"/>
      <c r="AL51" s="1373">
        <v>1</v>
      </c>
      <c r="AM51" s="1438"/>
      <c r="AN51" s="760"/>
      <c r="AO51" s="1291"/>
      <c r="AP51" s="1780"/>
      <c r="AQ51" s="1495" t="s">
        <v>58</v>
      </c>
      <c r="AR51" s="1780"/>
      <c r="AS51" s="1495" t="s">
        <v>58</v>
      </c>
      <c r="AT51" s="1384"/>
      <c r="AU51" s="2186" t="s">
        <v>550</v>
      </c>
      <c r="AV51" s="519">
        <f>STRCHECKDATE(V54:AT54)</f>
      </c>
      <c r="AW51" s="508"/>
      <c r="AX51" s="508" t="str">
        <f>IF(T51="","",T51)</f>
        <v/>
      </c>
      <c r="AY51" s="508"/>
      <c r="AZ51" s="508"/>
    </row>
    <row customHeight="1" ht="11.25">
      <c r="A52" s="1399" t="s">
        <v>199</v>
      </c>
      <c r="B52" s="1399"/>
      <c r="C52" s="1399"/>
      <c r="D52" s="1399"/>
      <c r="E52" s="2192"/>
      <c r="F52" s="2192"/>
      <c r="G52" s="2192"/>
      <c r="H52" s="2192"/>
      <c r="I52" s="2219"/>
      <c r="J52" s="2219"/>
      <c r="K52" s="2189"/>
      <c r="L52" s="1400"/>
      <c r="P52" s="2190"/>
      <c r="Q52" s="2190"/>
      <c r="R52" s="353"/>
      <c r="S52" s="2266"/>
      <c r="T52" s="2269"/>
      <c r="U52" s="288"/>
      <c r="V52" s="1429"/>
      <c r="W52" s="1532"/>
      <c r="X52" s="1429"/>
      <c r="Y52" s="1429"/>
      <c r="Z52" s="1429"/>
      <c r="AA52" s="1429"/>
      <c r="AB52" s="1946"/>
      <c r="AC52" s="2251"/>
      <c r="AD52" s="2042"/>
      <c r="AE52" s="2272"/>
      <c r="AF52" s="1946"/>
      <c r="AG52" s="2251"/>
      <c r="AH52" s="2042"/>
      <c r="AI52" s="2272"/>
      <c r="AJ52" s="1946"/>
      <c r="AK52" s="308"/>
      <c r="AL52" s="423"/>
      <c r="AM52" s="422" t="s">
        <v>534</v>
      </c>
      <c r="AN52" s="1429"/>
      <c r="AO52" s="1532"/>
      <c r="AP52" s="1429"/>
      <c r="AQ52" s="1429"/>
      <c r="AR52" s="1429"/>
      <c r="AS52" s="1429"/>
      <c r="AT52" s="1426"/>
      <c r="AU52" s="2187"/>
      <c r="AW52" s="508"/>
      <c r="AX52" s="508"/>
      <c r="AY52" s="508"/>
      <c r="AZ52" s="508"/>
    </row>
    <row customHeight="1" ht="11.25">
      <c r="A53" s="1399" t="s">
        <v>199</v>
      </c>
      <c r="B53" s="1399"/>
      <c r="C53" s="1399"/>
      <c r="D53" s="1399"/>
      <c r="E53" s="2192"/>
      <c r="F53" s="2192"/>
      <c r="G53" s="2192"/>
      <c r="H53" s="2192"/>
      <c r="I53" s="2219"/>
      <c r="J53" s="2219"/>
      <c r="K53" s="2189"/>
      <c r="L53" s="1400"/>
      <c r="P53" s="2190"/>
      <c r="Q53" s="2190"/>
      <c r="R53" s="353"/>
      <c r="S53" s="2266"/>
      <c r="T53" s="2269"/>
      <c r="U53" s="288"/>
      <c r="V53" s="1429"/>
      <c r="W53" s="1532"/>
      <c r="X53" s="1429"/>
      <c r="Y53" s="1429"/>
      <c r="Z53" s="1429"/>
      <c r="AA53" s="1429"/>
      <c r="AB53" s="1946"/>
      <c r="AC53" s="2251"/>
      <c r="AD53" s="2042"/>
      <c r="AE53" s="2272"/>
      <c r="AF53" s="1946"/>
      <c r="AG53" s="282"/>
      <c r="AH53" s="422"/>
      <c r="AI53" s="422" t="s">
        <v>535</v>
      </c>
      <c r="AJ53" s="1429"/>
      <c r="AK53" s="1429"/>
      <c r="AL53" s="1429"/>
      <c r="AM53" s="1429"/>
      <c r="AN53" s="1429"/>
      <c r="AO53" s="1532"/>
      <c r="AP53" s="1429"/>
      <c r="AQ53" s="1429"/>
      <c r="AR53" s="1429"/>
      <c r="AS53" s="1429"/>
      <c r="AT53" s="1426"/>
      <c r="AU53" s="2187"/>
      <c r="AW53" s="508"/>
      <c r="AX53" s="508"/>
      <c r="AY53" s="508"/>
      <c r="AZ53" s="508"/>
    </row>
    <row customHeight="1" ht="11.25">
      <c r="A54" s="1399" t="s">
        <v>199</v>
      </c>
      <c r="B54" s="1399" t="s">
        <v>200</v>
      </c>
      <c r="C54" s="1399" t="s">
        <v>201</v>
      </c>
      <c r="D54" s="1399" t="s">
        <v>202</v>
      </c>
      <c r="E54" s="2192"/>
      <c r="F54" s="2192"/>
      <c r="G54" s="2192"/>
      <c r="H54" s="2192"/>
      <c r="I54" s="2219"/>
      <c r="J54" s="2219"/>
      <c r="K54" s="2189"/>
      <c r="L54" s="1400"/>
      <c r="P54" s="2190"/>
      <c r="Q54" s="2190"/>
      <c r="R54" s="353"/>
      <c r="S54" s="2267"/>
      <c r="T54" s="2270"/>
      <c r="U54" s="288"/>
      <c r="V54" s="1429"/>
      <c r="W54" s="1430" t="str">
        <f>X51&amp;"-"&amp;Z51</f>
        <v>-</v>
      </c>
      <c r="X54" s="1429"/>
      <c r="Y54" s="1429"/>
      <c r="Z54" s="1429"/>
      <c r="AA54" s="1429"/>
      <c r="AB54" s="1946"/>
      <c r="AC54" s="302"/>
      <c r="AD54" s="304"/>
      <c r="AE54" s="422" t="s">
        <v>536</v>
      </c>
      <c r="AF54" s="1429"/>
      <c r="AG54" s="1429"/>
      <c r="AH54" s="1429"/>
      <c r="AI54" s="1429"/>
      <c r="AJ54" s="1429"/>
      <c r="AK54" s="1429"/>
      <c r="AL54" s="1429"/>
      <c r="AM54" s="1429"/>
      <c r="AN54" s="1429"/>
      <c r="AO54" s="1430" t="str">
        <f>AP51&amp;"-"&amp;AR51</f>
        <v>-</v>
      </c>
      <c r="AP54" s="1429"/>
      <c r="AQ54" s="1429"/>
      <c r="AR54" s="1429"/>
      <c r="AS54" s="1429"/>
      <c r="AT54" s="1385"/>
      <c r="AU54" s="2187"/>
      <c r="AW54" s="508"/>
      <c r="AX54" s="508" t="str">
        <f>IF(T54="","",T54)</f>
        <v/>
      </c>
      <c r="AY54" s="508"/>
      <c r="AZ54" s="508"/>
    </row>
    <row customHeight="1" ht="11.25">
      <c r="A55" s="1399" t="s">
        <v>199</v>
      </c>
      <c r="B55" s="1399" t="s">
        <v>200</v>
      </c>
      <c r="C55" s="1399" t="s">
        <v>201</v>
      </c>
      <c r="D55" s="1399" t="s">
        <v>202</v>
      </c>
      <c r="E55" s="2192"/>
      <c r="F55" s="2192"/>
      <c r="G55" s="2192"/>
      <c r="H55" s="2192"/>
      <c r="I55" s="2219"/>
      <c r="J55" s="2189"/>
      <c r="K55" s="1399"/>
      <c r="L55" s="1400"/>
      <c r="P55" s="2190"/>
      <c r="Q55" s="2190"/>
      <c r="R55" s="352"/>
      <c r="S55" s="1314"/>
      <c r="T55" s="275" t="s">
        <v>537</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188"/>
      <c r="AW55" s="508"/>
      <c r="AX55" s="508" t="str">
        <f>IF(T55="","",T55)</f>
        <v>Добавить строку</v>
      </c>
      <c r="AY55" s="508"/>
      <c r="AZ55" s="508"/>
    </row>
    <row s="2587" customFormat="1" customHeight="1" ht="0">
      <c r="A56" s="1379" t="s">
        <v>199</v>
      </c>
      <c r="B56" s="1379" t="s">
        <v>200</v>
      </c>
      <c r="C56" s="1379" t="s">
        <v>201</v>
      </c>
      <c r="D56" s="1379" t="s">
        <v>202</v>
      </c>
      <c r="E56" s="2192"/>
      <c r="F56" s="2192"/>
      <c r="G56" s="2192"/>
      <c r="H56" s="2192"/>
      <c r="I56" s="2189"/>
      <c r="J56" s="1379"/>
      <c r="K56" s="1379"/>
      <c r="L56" s="1382"/>
      <c r="M56" s="518"/>
      <c r="N56" s="518"/>
      <c r="O56" s="518"/>
      <c r="P56" s="2190"/>
      <c r="Q56" s="1367"/>
      <c r="R56" s="352"/>
      <c r="S56" s="1422"/>
      <c r="T56" s="1423" t="s">
        <v>472</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6" customFormat="1" customHeight="1" ht="0">
      <c r="A57" s="1379" t="s">
        <v>199</v>
      </c>
      <c r="B57" s="1379" t="s">
        <v>200</v>
      </c>
      <c r="C57" s="1379" t="s">
        <v>201</v>
      </c>
      <c r="D57" s="1379" t="s">
        <v>202</v>
      </c>
      <c r="E57" s="2192"/>
      <c r="F57" s="2192"/>
      <c r="G57" s="2192"/>
      <c r="H57" s="2191"/>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598" customFormat="1" customHeight="1" ht="0">
      <c r="A58" s="1379" t="s">
        <v>199</v>
      </c>
      <c r="B58" s="1379" t="s">
        <v>200</v>
      </c>
      <c r="C58" s="1379" t="s">
        <v>201</v>
      </c>
      <c r="D58" s="1350"/>
      <c r="E58" s="2192"/>
      <c r="F58" s="2192"/>
      <c r="G58" s="2191"/>
      <c r="H58" s="1350"/>
      <c r="I58" s="1350"/>
      <c r="J58" s="1350"/>
      <c r="K58" s="1350"/>
      <c r="L58" s="1375"/>
      <c r="M58" s="1351"/>
      <c r="N58" s="1351"/>
      <c r="P58" s="1352"/>
      <c r="Q58" s="1353"/>
      <c r="R58" s="1352"/>
      <c r="S58" s="1358"/>
      <c r="T58" s="1361" t="s">
        <v>430</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598" customFormat="1" customHeight="1" ht="0">
      <c r="A59" s="1379" t="s">
        <v>199</v>
      </c>
      <c r="B59" s="1379" t="s">
        <v>200</v>
      </c>
      <c r="C59" s="1350"/>
      <c r="D59" s="1350"/>
      <c r="E59" s="2192"/>
      <c r="F59" s="2191"/>
      <c r="G59" s="1350"/>
      <c r="H59" s="1350"/>
      <c r="I59" s="1350"/>
      <c r="J59" s="1350"/>
      <c r="K59" s="1350"/>
      <c r="L59" s="1375"/>
      <c r="M59" s="1357"/>
      <c r="N59" s="1357"/>
      <c r="P59" s="1352"/>
      <c r="Q59" s="1353"/>
      <c r="R59" s="1352"/>
      <c r="S59" s="1358"/>
      <c r="T59" s="1361" t="s">
        <v>431</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7" customFormat="1" customHeight="1" ht="0">
      <c r="A60" s="1379" t="s">
        <v>199</v>
      </c>
      <c r="B60" s="1379"/>
      <c r="C60" s="1379"/>
      <c r="D60" s="1379"/>
      <c r="E60" s="2192"/>
      <c r="F60" s="1379"/>
      <c r="G60" s="1379"/>
      <c r="H60" s="1379"/>
      <c r="I60" s="1379"/>
      <c r="J60" s="1379"/>
      <c r="K60" s="1379"/>
      <c r="L60" s="1382"/>
      <c r="M60" s="1357"/>
      <c r="N60" s="1357"/>
      <c r="O60" s="526"/>
      <c r="P60" s="385"/>
      <c r="Q60" s="1380"/>
      <c r="R60" s="385"/>
      <c r="S60" s="1358"/>
      <c r="T60" s="1361" t="s">
        <v>432</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7" customFormat="1" customHeight="1" ht="0">
      <c r="A61" s="1379" t="s">
        <v>199</v>
      </c>
      <c r="B61" s="1379"/>
      <c r="C61" s="1379"/>
      <c r="D61" s="1379"/>
      <c r="E61" s="2191"/>
      <c r="F61" s="1379"/>
      <c r="G61" s="1379"/>
      <c r="H61" s="1379"/>
      <c r="I61" s="1379"/>
      <c r="J61" s="1379"/>
      <c r="K61" s="1379"/>
      <c r="L61" s="1382"/>
      <c r="M61" s="1357"/>
      <c r="N61" s="1357"/>
      <c r="O61" s="526"/>
      <c r="P61" s="385"/>
      <c r="Q61" s="1380"/>
      <c r="R61" s="385"/>
      <c r="S61" s="1358"/>
      <c r="T61" s="1361" t="s">
        <v>432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598"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433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505</v>
      </c>
      <c r="T64" s="2218" t="s">
        <v>551</v>
      </c>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row>
    <row customHeight="1" ht="19.5" hidden="1">
      <c r="O65" s="545"/>
      <c r="T65" s="2218" t="s">
        <v>531</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row>
    <row customHeight="1" ht="14.25" hidden="1">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hidden="1">
      <c r="O67" s="545"/>
      <c r="T67" s="2218" t="s">
        <v>552</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row>
    <row customHeight="1" ht="15.75" hidden="1">
      <c r="O68" s="545"/>
      <c r="T68" s="2218" t="s">
        <v>531</v>
      </c>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row>
    <row customHeight="1" ht="14.25">
      <c r="O69" s="54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B4A102-E5DF-46D1-994D-C8EA1BD56B87}"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3925" width="32.57421875" customWidth="1"/>
    <col min="2" max="2" style="3926" width="11.00390625" customWidth="1"/>
    <col min="3" max="3" style="3926" width="9.140625"/>
    <col min="4" max="4" style="3926" width="26.57421875" customWidth="1"/>
    <col min="5" max="5" style="3841" width="27.7109375" customWidth="1"/>
    <col min="6" max="6" style="3841" width="23.57421875" customWidth="1"/>
    <col min="7" max="7" style="3841" width="31.421875" customWidth="1"/>
    <col min="8" max="8" style="3841" width="40.8515625" customWidth="1"/>
    <col min="9" max="9" style="3841" width="14.57421875" customWidth="1"/>
    <col min="10" max="10" style="3841" width="26.8515625" customWidth="1"/>
    <col min="11" max="11" style="3841" width="50.00390625" customWidth="1"/>
    <col min="12" max="13" style="3841" width="10.7109375" customWidth="1"/>
    <col min="14" max="14" style="3841" width="55.140625" customWidth="1"/>
    <col min="15" max="15" style="3841" width="31.8515625" customWidth="1"/>
    <col min="16" max="16" style="3841" width="23.8515625" customWidth="1"/>
    <col min="17" max="17" style="3841" width="46.57421875" customWidth="1"/>
    <col min="18" max="18" style="3841" width="24.00390625" customWidth="1"/>
    <col min="19" max="19" style="3841" width="20.57421875" customWidth="1"/>
    <col min="20" max="20" style="3841" width="22.00390625" customWidth="1"/>
    <col min="21" max="22" style="3841" width="26.421875" customWidth="1"/>
    <col min="23" max="23" style="3841" width="8.28125" hidden="1" customWidth="1"/>
    <col min="24" max="24" style="3841" width="59.7109375" customWidth="1"/>
    <col min="25" max="25" style="3841" width="49.140625" customWidth="1"/>
    <col min="26" max="26" style="3841" width="11.140625" customWidth="1"/>
    <col min="27" max="30" style="3841" width="29.00390625" customWidth="1"/>
    <col min="31" max="31" style="3841" width="9.140625"/>
    <col min="32" max="32" style="3841" width="34.7109375" customWidth="1"/>
    <col min="33" max="33" style="3841" width="9.140625"/>
    <col min="34" max="35" style="3841" width="34.421875" customWidth="1"/>
    <col min="36" max="36" style="3841" width="9.140625"/>
    <col min="37" max="37" style="3841" width="24.57421875" customWidth="1"/>
    <col min="38" max="38" style="3841" width="9.140625"/>
    <col min="39" max="39" style="3841" width="26.140625" customWidth="1"/>
    <col min="40" max="40" style="3841" width="1.7109375" customWidth="1"/>
    <col min="41" max="41" style="3841" width="9.140625"/>
    <col min="42" max="43" style="3841" width="47.8515625" customWidth="1"/>
    <col min="44" max="44" style="3841" width="1.7109375" customWidth="1"/>
    <col min="45" max="45" style="3841" width="21.421875" customWidth="1"/>
    <col min="46" max="46" style="3841" width="1.7109375" customWidth="1"/>
    <col min="47" max="47" style="3841" width="31.28125" customWidth="1"/>
    <col min="48" max="48" style="3841" width="1.7109375" customWidth="1"/>
    <col min="49" max="50" style="3927" width="9.140625"/>
    <col min="51" max="51" style="3841" width="3.7109375" customWidth="1"/>
    <col min="52" max="52" style="3841" width="55.00390625" customWidth="1"/>
    <col min="53" max="53" style="3841" width="9.140625"/>
    <col min="54" max="54" style="3841" width="35.140625" customWidth="1"/>
    <col min="55" max="55" style="3841" width="9.140625"/>
    <col min="56" max="56" style="3841" width="1.7109375" customWidth="1"/>
    <col min="57" max="57" style="3928" width="12.57421875" customWidth="1"/>
    <col min="58" max="58" style="3928" width="14.28125" customWidth="1"/>
    <col min="59" max="59" style="3841" width="30.7109375" customWidth="1"/>
    <col min="60" max="60" style="3836" width="40.7109375" customWidth="1"/>
    <col min="61" max="61" style="3836" width="15.00390625" customWidth="1"/>
    <col min="62" max="62" style="3836" width="40.7109375" customWidth="1"/>
    <col min="63" max="63" style="3836" width="2.7109375" customWidth="1"/>
    <col min="64" max="64" style="3836" width="44.7109375" customWidth="1"/>
    <col min="65" max="65" style="3836" width="2.7109375" customWidth="1"/>
    <col min="66" max="66" style="3836" width="40.7109375" customWidth="1"/>
    <col min="67" max="68" style="3841" width="9.140625"/>
    <col min="69" max="69" style="3841" width="18.140625" customWidth="1"/>
    <col min="70" max="70" style="3841" width="57.8515625" customWidth="1"/>
    <col min="71" max="71" style="3895" width="1.7109375" customWidth="1"/>
    <col min="72" max="72" style="3841" width="22.57421875" customWidth="1"/>
    <col min="73" max="73" style="3841" width="57.8515625" customWidth="1"/>
    <col min="74" max="74" style="3841" width="1.7109375" customWidth="1"/>
    <col min="75" max="75" style="3841" width="22.57421875" customWidth="1"/>
    <col min="76" max="76" style="3841" width="57.8515625" customWidth="1"/>
    <col min="77" max="77" style="3841" width="1.7109375" customWidth="1"/>
    <col min="78" max="78" style="3841" width="22.57421875" customWidth="1"/>
    <col min="79" max="79" style="3841" width="57.8515625" customWidth="1"/>
    <col min="80" max="81" style="3841" width="9.140625"/>
    <col min="82" max="82" style="3841" width="49.57421875" customWidth="1"/>
  </cols>
  <sheetData>
    <row s="3831" customFormat="1" customHeight="1" ht="11.25">
      <c r="A1" s="1080" t="s">
        <v>553</v>
      </c>
      <c r="B1" s="1080" t="s">
        <v>554</v>
      </c>
      <c r="C1" s="1080" t="s">
        <v>555</v>
      </c>
      <c r="D1" s="1080" t="s">
        <v>556</v>
      </c>
      <c r="E1" s="1080" t="s">
        <v>557</v>
      </c>
      <c r="F1" s="1080" t="s">
        <v>558</v>
      </c>
      <c r="G1" s="1080" t="s">
        <v>559</v>
      </c>
      <c r="H1" s="1080" t="s">
        <v>560</v>
      </c>
      <c r="I1" s="1080" t="s">
        <v>561</v>
      </c>
      <c r="J1" s="1080" t="s">
        <v>562</v>
      </c>
      <c r="K1" s="1080" t="s">
        <v>563</v>
      </c>
      <c r="L1" s="1080"/>
      <c r="M1" s="1080"/>
      <c r="N1" s="1080" t="s">
        <v>564</v>
      </c>
      <c r="O1" s="1080" t="s">
        <v>565</v>
      </c>
      <c r="P1" s="1080" t="s">
        <v>566</v>
      </c>
      <c r="Q1" s="1080" t="s">
        <v>567</v>
      </c>
      <c r="R1" s="1080" t="s">
        <v>568</v>
      </c>
      <c r="S1" s="1080" t="s">
        <v>569</v>
      </c>
      <c r="T1" s="1080" t="s">
        <v>570</v>
      </c>
      <c r="U1" s="1080" t="s">
        <v>571</v>
      </c>
      <c r="V1" s="1080"/>
      <c r="W1" s="807" t="s">
        <v>572</v>
      </c>
      <c r="X1" s="1080" t="s">
        <v>573</v>
      </c>
      <c r="Y1" s="1080" t="s">
        <v>574</v>
      </c>
      <c r="Z1" s="1080"/>
      <c r="AA1" s="1080" t="s">
        <v>575</v>
      </c>
      <c r="AB1" s="1080"/>
      <c r="AC1" s="1080" t="s">
        <v>576</v>
      </c>
      <c r="AD1" s="1080"/>
      <c r="AF1" s="1080" t="s">
        <v>577</v>
      </c>
      <c r="AH1" s="1080" t="s">
        <v>578</v>
      </c>
      <c r="AI1" s="1080" t="s">
        <v>579</v>
      </c>
      <c r="AK1" s="1080" t="s">
        <v>580</v>
      </c>
      <c r="AM1" s="1080" t="s">
        <v>581</v>
      </c>
      <c r="AP1" s="1080" t="s">
        <v>582</v>
      </c>
      <c r="AQ1" s="1080" t="s">
        <v>583</v>
      </c>
      <c r="AS1" s="1080" t="s">
        <v>584</v>
      </c>
      <c r="AU1" s="1080" t="s">
        <v>585</v>
      </c>
      <c r="AW1" s="1080" t="s">
        <v>586</v>
      </c>
      <c r="AX1" s="1080" t="s">
        <v>587</v>
      </c>
      <c r="AZ1" s="1166" t="s">
        <v>588</v>
      </c>
      <c r="BB1" s="1080" t="s">
        <v>589</v>
      </c>
      <c r="BC1" s="1080"/>
      <c r="BE1" s="1080" t="s">
        <v>590</v>
      </c>
      <c r="BF1" s="1080" t="s">
        <v>591</v>
      </c>
      <c r="BH1" s="1082" t="s">
        <v>592</v>
      </c>
      <c r="BI1" s="1083"/>
      <c r="BJ1" s="1084" t="s">
        <v>593</v>
      </c>
      <c r="BK1" s="1083"/>
      <c r="BL1" s="1085" t="s">
        <v>594</v>
      </c>
      <c r="BM1" s="1083"/>
      <c r="BN1" s="1086" t="s">
        <v>595</v>
      </c>
      <c r="BS1" s="1463"/>
    </row>
    <row customHeight="1" ht="11.25">
      <c r="A2" s="1087" t="s">
        <v>596</v>
      </c>
      <c r="B2" s="1088">
        <v>2000</v>
      </c>
      <c r="C2" s="1088">
        <v>2022</v>
      </c>
      <c r="D2" s="1088" t="s">
        <v>58</v>
      </c>
      <c r="E2" s="1089" t="s">
        <v>597</v>
      </c>
      <c r="F2" s="1089" t="s">
        <v>598</v>
      </c>
      <c r="G2" s="1089" t="s">
        <v>599</v>
      </c>
      <c r="H2" s="1090" t="s">
        <v>54</v>
      </c>
      <c r="I2" s="1089" t="s">
        <v>109</v>
      </c>
      <c r="J2" s="1089" t="s">
        <v>600</v>
      </c>
      <c r="K2" s="1091" t="s">
        <v>601</v>
      </c>
      <c r="L2" s="1092" t="s">
        <v>601</v>
      </c>
      <c r="M2" s="1091">
        <v>1</v>
      </c>
      <c r="N2" s="1176" t="s">
        <v>602</v>
      </c>
      <c r="O2" s="1090" t="s">
        <v>603</v>
      </c>
      <c r="P2" s="1093" t="s">
        <v>33</v>
      </c>
      <c r="Q2" s="1094" t="s">
        <v>604</v>
      </c>
      <c r="R2" s="129" t="s">
        <v>605</v>
      </c>
      <c r="S2" s="129" t="s">
        <v>606</v>
      </c>
      <c r="T2" s="1095" t="s">
        <v>607</v>
      </c>
      <c r="U2" s="1092" t="s">
        <v>608</v>
      </c>
      <c r="V2" s="1096">
        <v>1</v>
      </c>
      <c r="W2" s="1097"/>
      <c r="X2" s="1097" t="s">
        <v>609</v>
      </c>
      <c r="Y2" s="1088" t="s">
        <v>610</v>
      </c>
      <c r="Z2" s="1098"/>
      <c r="AA2" s="1088" t="s">
        <v>611</v>
      </c>
      <c r="AB2" s="1099" t="s">
        <v>611</v>
      </c>
      <c r="AC2" s="1088" t="s">
        <v>612</v>
      </c>
      <c r="AD2" s="1099" t="s">
        <v>612</v>
      </c>
      <c r="AF2" s="1090" t="s">
        <v>608</v>
      </c>
      <c r="AH2" s="1089" t="s">
        <v>613</v>
      </c>
      <c r="AI2" s="1089" t="s">
        <v>613</v>
      </c>
      <c r="AK2" s="1089" t="s">
        <v>614</v>
      </c>
      <c r="AM2" s="1089" t="s">
        <v>615</v>
      </c>
      <c r="AP2" s="1100" t="s">
        <v>609</v>
      </c>
      <c r="AQ2" s="1101" t="s">
        <v>609</v>
      </c>
      <c r="AS2" s="1088" t="s">
        <v>616</v>
      </c>
      <c r="AU2" s="1134" t="s">
        <v>617</v>
      </c>
      <c r="AW2" s="1134" t="s">
        <v>618</v>
      </c>
      <c r="AX2" s="1134" t="s">
        <v>618</v>
      </c>
      <c r="AZ2" s="1134" t="s">
        <v>619</v>
      </c>
      <c r="BB2" s="1134" t="s">
        <v>620</v>
      </c>
      <c r="BC2" s="1134" t="s">
        <v>621</v>
      </c>
      <c r="BE2" s="1134">
        <v>2000</v>
      </c>
      <c r="BF2" s="1134" t="s">
        <v>622</v>
      </c>
    </row>
    <row customHeight="1" ht="11.25">
      <c r="A3" s="1087" t="s">
        <v>623</v>
      </c>
      <c r="B3" s="1088">
        <v>2001</v>
      </c>
      <c r="C3" s="1088">
        <v>2023</v>
      </c>
      <c r="D3" s="1088" t="s">
        <v>56</v>
      </c>
      <c r="E3" s="1089" t="s">
        <v>624</v>
      </c>
      <c r="F3" s="1089" t="s">
        <v>625</v>
      </c>
      <c r="G3" s="1089" t="s">
        <v>626</v>
      </c>
      <c r="H3" s="1090" t="s">
        <v>627</v>
      </c>
      <c r="I3" s="1089" t="s">
        <v>110</v>
      </c>
      <c r="J3" s="1089" t="s">
        <v>628</v>
      </c>
      <c r="K3" s="1091" t="s">
        <v>629</v>
      </c>
      <c r="L3" s="1091" t="s">
        <v>629</v>
      </c>
      <c r="M3" s="1091">
        <v>2</v>
      </c>
      <c r="N3" s="1176" t="s">
        <v>630</v>
      </c>
      <c r="O3" s="1090" t="s">
        <v>631</v>
      </c>
      <c r="P3" s="1093" t="s">
        <v>632</v>
      </c>
      <c r="Q3" s="1094" t="s">
        <v>633</v>
      </c>
      <c r="R3" s="129" t="s">
        <v>634</v>
      </c>
      <c r="S3" s="129" t="s">
        <v>635</v>
      </c>
      <c r="T3" s="1095" t="s">
        <v>636</v>
      </c>
      <c r="U3" s="1092" t="s">
        <v>637</v>
      </c>
      <c r="V3" s="1096">
        <v>2</v>
      </c>
      <c r="W3" s="1097"/>
      <c r="X3" s="1097" t="s">
        <v>638</v>
      </c>
      <c r="Y3" s="1088" t="s">
        <v>610</v>
      </c>
      <c r="Z3" s="1098"/>
      <c r="AA3" s="1088" t="s">
        <v>639</v>
      </c>
      <c r="AB3" s="1099" t="s">
        <v>639</v>
      </c>
      <c r="AC3" s="1088" t="s">
        <v>640</v>
      </c>
      <c r="AD3" s="1099" t="s">
        <v>640</v>
      </c>
      <c r="AF3" s="1090" t="s">
        <v>637</v>
      </c>
      <c r="AH3" s="1089" t="s">
        <v>641</v>
      </c>
      <c r="AI3" s="1089" t="s">
        <v>642</v>
      </c>
      <c r="AK3" s="1089" t="s">
        <v>643</v>
      </c>
      <c r="AM3" s="1089" t="s">
        <v>644</v>
      </c>
      <c r="AP3" s="1100" t="s">
        <v>645</v>
      </c>
      <c r="AQ3" s="1101" t="s">
        <v>645</v>
      </c>
      <c r="AS3" s="1088" t="s">
        <v>646</v>
      </c>
      <c r="AU3" s="1134" t="s">
        <v>647</v>
      </c>
      <c r="AW3" s="1134" t="s">
        <v>648</v>
      </c>
      <c r="AX3" s="1134" t="s">
        <v>648</v>
      </c>
      <c r="AZ3" s="1134" t="s">
        <v>649</v>
      </c>
      <c r="BB3" s="1134" t="s">
        <v>650</v>
      </c>
      <c r="BC3" s="1134" t="s">
        <v>621</v>
      </c>
      <c r="BE3" s="1134">
        <v>2001</v>
      </c>
      <c r="BF3" s="1134" t="s">
        <v>651</v>
      </c>
      <c r="BH3" s="1080" t="s">
        <v>652</v>
      </c>
      <c r="BJ3" s="1080" t="s">
        <v>653</v>
      </c>
      <c r="BL3" s="1080" t="s">
        <v>654</v>
      </c>
      <c r="BN3" s="1080" t="s">
        <v>655</v>
      </c>
      <c r="BR3" s="1080" t="s">
        <v>656</v>
      </c>
      <c r="BS3" s="1464"/>
      <c r="BT3" s="1083"/>
      <c r="BU3" s="1080" t="s">
        <v>657</v>
      </c>
      <c r="BV3" s="1083"/>
      <c r="BW3" s="1736"/>
      <c r="BX3" s="1738" t="s">
        <v>658</v>
      </c>
      <c r="CA3" s="1080" t="s">
        <v>659</v>
      </c>
    </row>
    <row customHeight="1" ht="11.25">
      <c r="A4" s="1087" t="s">
        <v>660</v>
      </c>
      <c r="B4" s="1088">
        <v>2002</v>
      </c>
      <c r="C4" s="1088">
        <v>2024</v>
      </c>
      <c r="E4" s="1089" t="s">
        <v>661</v>
      </c>
      <c r="F4" s="1089" t="s">
        <v>662</v>
      </c>
      <c r="H4" s="1090" t="s">
        <v>663</v>
      </c>
      <c r="I4" s="1089" t="s">
        <v>89</v>
      </c>
      <c r="J4" s="1089" t="s">
        <v>664</v>
      </c>
      <c r="K4" s="1091" t="s">
        <v>665</v>
      </c>
      <c r="L4" s="1091" t="s">
        <v>665</v>
      </c>
      <c r="M4" s="1091">
        <v>3</v>
      </c>
      <c r="N4" s="1176" t="s">
        <v>666</v>
      </c>
      <c r="O4" s="1089" t="s">
        <v>667</v>
      </c>
      <c r="Q4" s="1094" t="s">
        <v>668</v>
      </c>
      <c r="R4" s="129" t="s">
        <v>669</v>
      </c>
      <c r="S4" s="129" t="s">
        <v>670</v>
      </c>
      <c r="T4" s="1095" t="s">
        <v>671</v>
      </c>
      <c r="U4" s="1092" t="s">
        <v>672</v>
      </c>
      <c r="V4" s="1096">
        <v>3</v>
      </c>
      <c r="W4" s="1097"/>
      <c r="X4" s="1097" t="s">
        <v>673</v>
      </c>
      <c r="Y4" s="1088" t="s">
        <v>610</v>
      </c>
      <c r="Z4" s="1104"/>
      <c r="AC4" s="1088" t="s">
        <v>674</v>
      </c>
      <c r="AD4" s="1099" t="s">
        <v>674</v>
      </c>
      <c r="AF4" s="1090" t="s">
        <v>672</v>
      </c>
      <c r="AH4" s="1090" t="s">
        <v>675</v>
      </c>
      <c r="AK4" s="1089" t="s">
        <v>676</v>
      </c>
      <c r="AM4" s="1089" t="s">
        <v>677</v>
      </c>
      <c r="AP4" s="1100" t="s">
        <v>638</v>
      </c>
      <c r="AQ4" s="1101" t="s">
        <v>638</v>
      </c>
      <c r="AS4" s="1088" t="s">
        <v>678</v>
      </c>
      <c r="AU4" s="1134" t="s">
        <v>679</v>
      </c>
      <c r="AW4" s="1134" t="s">
        <v>680</v>
      </c>
      <c r="AX4" s="1134" t="s">
        <v>680</v>
      </c>
      <c r="AZ4" s="1134" t="s">
        <v>681</v>
      </c>
      <c r="BB4" s="1134" t="s">
        <v>682</v>
      </c>
      <c r="BC4" s="1134" t="s">
        <v>683</v>
      </c>
      <c r="BE4" s="1134">
        <v>2002</v>
      </c>
      <c r="BF4" s="1134" t="s">
        <v>684</v>
      </c>
      <c r="BH4" s="1081" t="s">
        <v>685</v>
      </c>
      <c r="BJ4" s="1081" t="s">
        <v>685</v>
      </c>
      <c r="BL4" s="1081" t="s">
        <v>685</v>
      </c>
      <c r="BN4" s="1081" t="s">
        <v>685</v>
      </c>
      <c r="BQ4" s="1468" t="s">
        <v>686</v>
      </c>
      <c r="BR4" s="1173" t="s">
        <v>687</v>
      </c>
      <c r="BS4" s="260"/>
      <c r="BT4" s="1468" t="s">
        <v>688</v>
      </c>
      <c r="BU4" s="1173" t="s">
        <v>689</v>
      </c>
      <c r="BV4" s="1083"/>
      <c r="BW4" s="1743" t="s">
        <v>690</v>
      </c>
      <c r="BX4" s="1737" t="s">
        <v>691</v>
      </c>
      <c r="BZ4" s="1468" t="s">
        <v>692</v>
      </c>
      <c r="CA4" s="1173" t="s">
        <v>693</v>
      </c>
    </row>
    <row customHeight="1" ht="11.25">
      <c r="A5" s="1087" t="s">
        <v>694</v>
      </c>
      <c r="B5" s="1088">
        <v>2003</v>
      </c>
      <c r="C5" s="1088">
        <v>2025</v>
      </c>
      <c r="E5" s="1089" t="s">
        <v>695</v>
      </c>
      <c r="F5" s="1089" t="s">
        <v>696</v>
      </c>
      <c r="H5" s="1090" t="s">
        <v>697</v>
      </c>
      <c r="I5" s="1089" t="s">
        <v>90</v>
      </c>
      <c r="K5" s="1091" t="s">
        <v>698</v>
      </c>
      <c r="L5" s="1091" t="s">
        <v>698</v>
      </c>
      <c r="M5" s="1091">
        <v>4</v>
      </c>
      <c r="N5" s="1105" t="s">
        <v>699</v>
      </c>
      <c r="O5" s="1089" t="s">
        <v>700</v>
      </c>
      <c r="Q5" s="1094" t="s">
        <v>701</v>
      </c>
      <c r="R5" s="129" t="s">
        <v>702</v>
      </c>
      <c r="T5" s="1090" t="s">
        <v>703</v>
      </c>
      <c r="U5" s="1092" t="s">
        <v>704</v>
      </c>
      <c r="V5" s="1096">
        <v>4</v>
      </c>
      <c r="W5" s="1097"/>
      <c r="X5" s="1097" t="s">
        <v>167</v>
      </c>
      <c r="Y5" s="1088" t="s">
        <v>705</v>
      </c>
      <c r="Z5" s="1104">
        <v>1</v>
      </c>
      <c r="AF5" s="1090" t="s">
        <v>706</v>
      </c>
      <c r="AH5" s="1089" t="s">
        <v>707</v>
      </c>
      <c r="AK5" s="1089" t="s">
        <v>708</v>
      </c>
      <c r="AM5" s="1089" t="s">
        <v>709</v>
      </c>
      <c r="AP5" s="1100" t="s">
        <v>167</v>
      </c>
      <c r="AQ5" s="1101" t="s">
        <v>167</v>
      </c>
      <c r="AU5" s="1134" t="s">
        <v>710</v>
      </c>
      <c r="AW5" s="1134" t="s">
        <v>711</v>
      </c>
      <c r="AX5" s="1134" t="s">
        <v>711</v>
      </c>
      <c r="AZ5" s="1134" t="s">
        <v>712</v>
      </c>
      <c r="BB5" s="1134" t="s">
        <v>713</v>
      </c>
      <c r="BC5" s="1134" t="s">
        <v>714</v>
      </c>
      <c r="BE5" s="1134">
        <v>2003</v>
      </c>
      <c r="BF5" s="1134" t="s">
        <v>715</v>
      </c>
      <c r="BH5" s="1081" t="s">
        <v>716</v>
      </c>
      <c r="BJ5" s="1081" t="s">
        <v>716</v>
      </c>
      <c r="BL5" s="1081" t="s">
        <v>716</v>
      </c>
      <c r="BN5" s="1081" t="s">
        <v>717</v>
      </c>
      <c r="BQ5" s="1317">
        <v>4213775</v>
      </c>
      <c r="BR5" s="1081" t="s">
        <v>609</v>
      </c>
      <c r="BS5" s="1465"/>
      <c r="BT5" s="1317">
        <v>64236871</v>
      </c>
      <c r="BU5" s="1081" t="s">
        <v>216</v>
      </c>
      <c r="BV5" s="1083"/>
      <c r="BW5" s="1741">
        <v>4213767</v>
      </c>
      <c r="BX5" s="1739" t="s">
        <v>718</v>
      </c>
      <c r="BZ5" s="1317">
        <v>64237509</v>
      </c>
      <c r="CA5" s="1331" t="s">
        <v>719</v>
      </c>
    </row>
    <row customHeight="1" ht="11.25">
      <c r="A6" s="1087" t="s">
        <v>720</v>
      </c>
      <c r="B6" s="1088">
        <v>2004</v>
      </c>
      <c r="C6" s="1088">
        <v>2026</v>
      </c>
      <c r="E6" s="1089" t="s">
        <v>721</v>
      </c>
      <c r="F6" s="1106"/>
      <c r="H6" s="1090" t="s">
        <v>722</v>
      </c>
      <c r="I6" s="1089" t="s">
        <v>111</v>
      </c>
      <c r="J6" s="1080" t="s">
        <v>723</v>
      </c>
      <c r="N6" s="1105" t="s">
        <v>724</v>
      </c>
      <c r="O6" s="1089" t="s">
        <v>725</v>
      </c>
      <c r="R6" s="129" t="s">
        <v>604</v>
      </c>
      <c r="T6" s="1090" t="s">
        <v>726</v>
      </c>
      <c r="U6" s="1092" t="s">
        <v>706</v>
      </c>
      <c r="V6" s="1096">
        <v>5</v>
      </c>
      <c r="W6" s="1097"/>
      <c r="X6" s="1088" t="s">
        <v>173</v>
      </c>
      <c r="Y6" s="1088" t="s">
        <v>727</v>
      </c>
      <c r="Z6" s="1104"/>
      <c r="AA6" s="1107"/>
      <c r="AH6" s="1089" t="s">
        <v>728</v>
      </c>
      <c r="AK6" s="1089" t="s">
        <v>729</v>
      </c>
      <c r="AM6" s="1089" t="s">
        <v>730</v>
      </c>
      <c r="AP6" s="1100" t="s">
        <v>173</v>
      </c>
      <c r="AQ6" s="1101" t="s">
        <v>173</v>
      </c>
      <c r="AU6" s="1134" t="s">
        <v>731</v>
      </c>
      <c r="AW6" s="1134" t="s">
        <v>732</v>
      </c>
      <c r="AX6" s="1134" t="s">
        <v>732</v>
      </c>
      <c r="BB6" s="1134" t="s">
        <v>733</v>
      </c>
      <c r="BC6" s="1134" t="s">
        <v>714</v>
      </c>
      <c r="BE6" s="1134">
        <v>2004</v>
      </c>
      <c r="BF6" s="1134" t="s">
        <v>734</v>
      </c>
      <c r="BH6" s="1081" t="s">
        <v>735</v>
      </c>
      <c r="BJ6" s="1081" t="s">
        <v>736</v>
      </c>
      <c r="BL6" s="1081" t="s">
        <v>736</v>
      </c>
      <c r="BN6" s="1081" t="s">
        <v>737</v>
      </c>
      <c r="BQ6" s="1317">
        <v>4213784</v>
      </c>
      <c r="BR6" s="1331" t="s">
        <v>645</v>
      </c>
      <c r="BS6" s="1466"/>
      <c r="BT6" s="1317">
        <v>64236872</v>
      </c>
      <c r="BU6" s="1081" t="s">
        <v>221</v>
      </c>
      <c r="BV6" s="1083"/>
      <c r="BW6" s="1741">
        <v>4213768</v>
      </c>
      <c r="BX6" s="1739" t="s">
        <v>241</v>
      </c>
      <c r="BZ6" s="1317">
        <v>64237510</v>
      </c>
      <c r="CA6" s="1081" t="s">
        <v>738</v>
      </c>
    </row>
    <row customHeight="1" ht="11.25">
      <c r="A7" s="1087" t="s">
        <v>739</v>
      </c>
      <c r="B7" s="1088">
        <v>2005</v>
      </c>
      <c r="E7" s="1089" t="s">
        <v>740</v>
      </c>
      <c r="F7" s="1106"/>
      <c r="H7" s="1090" t="s">
        <v>741</v>
      </c>
      <c r="I7" s="1089" t="s">
        <v>91</v>
      </c>
      <c r="J7" s="1089" t="s">
        <v>742</v>
      </c>
      <c r="N7" s="1109" t="s">
        <v>743</v>
      </c>
      <c r="O7" s="1089" t="s">
        <v>744</v>
      </c>
      <c r="U7" s="1092" t="s">
        <v>56</v>
      </c>
      <c r="V7" s="370" t="s">
        <v>91</v>
      </c>
      <c r="W7" s="1097"/>
      <c r="X7" s="1088" t="s">
        <v>179</v>
      </c>
      <c r="Y7" s="1088" t="s">
        <v>705</v>
      </c>
      <c r="Z7" s="1104"/>
      <c r="AA7" s="1107"/>
      <c r="AH7" s="1089" t="s">
        <v>745</v>
      </c>
      <c r="AK7" s="1089" t="s">
        <v>746</v>
      </c>
      <c r="AM7" s="1089" t="s">
        <v>747</v>
      </c>
      <c r="AP7" s="1100" t="s">
        <v>179</v>
      </c>
      <c r="AQ7" s="1101" t="s">
        <v>179</v>
      </c>
      <c r="AU7" s="1134" t="s">
        <v>748</v>
      </c>
      <c r="AW7" s="1134" t="s">
        <v>749</v>
      </c>
      <c r="AX7" s="1134" t="s">
        <v>749</v>
      </c>
      <c r="AZ7" s="1080" t="s">
        <v>750</v>
      </c>
      <c r="BB7" s="1134" t="s">
        <v>751</v>
      </c>
      <c r="BC7" s="1134" t="s">
        <v>714</v>
      </c>
      <c r="BE7" s="1134">
        <v>2005</v>
      </c>
      <c r="BF7" s="1134" t="s">
        <v>752</v>
      </c>
      <c r="BH7" s="1081" t="s">
        <v>753</v>
      </c>
      <c r="BJ7" s="1081" t="s">
        <v>735</v>
      </c>
      <c r="BL7" s="1081" t="s">
        <v>735</v>
      </c>
      <c r="BN7" s="1081" t="s">
        <v>754</v>
      </c>
      <c r="BQ7" s="1317">
        <v>4213781</v>
      </c>
      <c r="BR7" s="1081" t="s">
        <v>638</v>
      </c>
      <c r="BS7" s="1465"/>
      <c r="BT7" s="1317">
        <v>64236873</v>
      </c>
      <c r="BU7" s="1081" t="s">
        <v>226</v>
      </c>
      <c r="BV7" s="1083"/>
      <c r="BW7" s="1741">
        <v>4213769</v>
      </c>
      <c r="BX7" s="1739" t="s">
        <v>755</v>
      </c>
      <c r="BZ7" s="1317">
        <v>64237511</v>
      </c>
      <c r="CA7" s="1081" t="s">
        <v>256</v>
      </c>
    </row>
    <row customHeight="1" ht="11.25">
      <c r="A8" s="1087" t="s">
        <v>756</v>
      </c>
      <c r="B8" s="1088">
        <v>2006</v>
      </c>
      <c r="E8" s="1089" t="s">
        <v>757</v>
      </c>
      <c r="F8" s="1106"/>
      <c r="I8" s="1089" t="s">
        <v>92</v>
      </c>
      <c r="J8" s="1089" t="s">
        <v>758</v>
      </c>
      <c r="N8" s="1177" t="s">
        <v>759</v>
      </c>
      <c r="O8" s="1089" t="s">
        <v>760</v>
      </c>
      <c r="V8" s="370" t="s">
        <v>92</v>
      </c>
      <c r="W8" s="1097"/>
      <c r="X8" s="1088" t="s">
        <v>185</v>
      </c>
      <c r="Y8" s="1088" t="s">
        <v>705</v>
      </c>
      <c r="Z8" s="1104"/>
      <c r="AA8" s="1107"/>
      <c r="AK8" s="1089" t="s">
        <v>761</v>
      </c>
      <c r="AP8" s="1100" t="s">
        <v>185</v>
      </c>
      <c r="AQ8" s="1101" t="s">
        <v>185</v>
      </c>
      <c r="AU8" s="1134" t="s">
        <v>762</v>
      </c>
      <c r="AW8" s="1134" t="s">
        <v>763</v>
      </c>
      <c r="AX8" s="1134" t="s">
        <v>763</v>
      </c>
      <c r="AZ8" s="1134" t="s">
        <v>764</v>
      </c>
      <c r="BB8" s="1134" t="s">
        <v>765</v>
      </c>
      <c r="BC8" s="1134" t="s">
        <v>714</v>
      </c>
      <c r="BE8" s="1134">
        <v>2006</v>
      </c>
      <c r="BF8" s="1134" t="s">
        <v>766</v>
      </c>
      <c r="BH8" s="1081" t="s">
        <v>767</v>
      </c>
      <c r="BJ8" s="1081" t="s">
        <v>768</v>
      </c>
      <c r="BL8" s="1081" t="s">
        <v>768</v>
      </c>
      <c r="BN8" s="1081" t="s">
        <v>769</v>
      </c>
      <c r="BQ8" s="1317">
        <v>4213776</v>
      </c>
      <c r="BR8" s="1081" t="s">
        <v>167</v>
      </c>
      <c r="BS8" s="1465"/>
      <c r="BT8" s="1317">
        <v>64236874</v>
      </c>
      <c r="BU8" s="1331" t="s">
        <v>770</v>
      </c>
      <c r="BV8" s="1083"/>
      <c r="BW8" s="1741">
        <v>4213770</v>
      </c>
      <c r="BX8" s="1742" t="s">
        <v>771</v>
      </c>
      <c r="BZ8" s="1317">
        <v>64237512</v>
      </c>
      <c r="CA8" s="1081" t="s">
        <v>251</v>
      </c>
    </row>
    <row customHeight="1" ht="11.25">
      <c r="A9" s="1087" t="s">
        <v>772</v>
      </c>
      <c r="B9" s="1088">
        <v>2007</v>
      </c>
      <c r="E9" s="1089" t="s">
        <v>773</v>
      </c>
      <c r="F9" s="1106"/>
      <c r="G9" s="1080" t="s">
        <v>774</v>
      </c>
      <c r="H9" s="1080" t="s">
        <v>775</v>
      </c>
      <c r="I9" s="1089" t="s">
        <v>112</v>
      </c>
      <c r="O9" s="1089" t="s">
        <v>776</v>
      </c>
      <c r="V9" s="370" t="s">
        <v>112</v>
      </c>
      <c r="W9" s="1097"/>
      <c r="X9" s="1088" t="s">
        <v>191</v>
      </c>
      <c r="Y9" s="1088" t="s">
        <v>610</v>
      </c>
      <c r="Z9" s="1104">
        <v>1</v>
      </c>
      <c r="AA9" s="1107"/>
      <c r="AK9" s="1089" t="s">
        <v>777</v>
      </c>
      <c r="AP9" s="1100" t="s">
        <v>778</v>
      </c>
      <c r="AQ9" s="1101" t="s">
        <v>778</v>
      </c>
      <c r="AW9" s="1134" t="s">
        <v>779</v>
      </c>
      <c r="AX9" s="1134" t="s">
        <v>779</v>
      </c>
      <c r="AZ9" s="1134" t="s">
        <v>780</v>
      </c>
      <c r="BB9" s="1134" t="s">
        <v>781</v>
      </c>
      <c r="BC9" s="1134" t="s">
        <v>714</v>
      </c>
      <c r="BE9" s="1134">
        <v>2007</v>
      </c>
      <c r="BF9" s="1134" t="s">
        <v>782</v>
      </c>
      <c r="BH9" s="1081" t="s">
        <v>783</v>
      </c>
      <c r="BJ9" s="1081" t="s">
        <v>784</v>
      </c>
      <c r="BL9" s="1081" t="s">
        <v>784</v>
      </c>
      <c r="BN9" s="1081" t="s">
        <v>785</v>
      </c>
      <c r="BQ9" s="1317">
        <v>4213777</v>
      </c>
      <c r="BR9" s="1081" t="s">
        <v>173</v>
      </c>
      <c r="BS9" s="1465"/>
      <c r="BT9" s="1317">
        <v>64236875</v>
      </c>
      <c r="BU9" s="1081" t="s">
        <v>231</v>
      </c>
      <c r="BV9" s="1083"/>
      <c r="BW9" s="1736"/>
      <c r="BX9" s="1736"/>
    </row>
    <row customHeight="1" ht="11.25">
      <c r="A10" s="1087" t="s">
        <v>786</v>
      </c>
      <c r="B10" s="1088">
        <v>2008</v>
      </c>
      <c r="E10" s="1089" t="s">
        <v>787</v>
      </c>
      <c r="F10" s="1106"/>
      <c r="G10" s="1089" t="s">
        <v>788</v>
      </c>
      <c r="H10" s="1089" t="s">
        <v>789</v>
      </c>
      <c r="I10" s="1089" t="s">
        <v>149</v>
      </c>
      <c r="J10" s="1080" t="s">
        <v>790</v>
      </c>
      <c r="K10" s="1080" t="s">
        <v>791</v>
      </c>
      <c r="O10" s="1089" t="s">
        <v>792</v>
      </c>
      <c r="V10" s="371" t="s">
        <v>149</v>
      </c>
      <c r="W10" s="1110"/>
      <c r="X10" s="1110" t="s">
        <v>793</v>
      </c>
      <c r="Y10" s="1111" t="s">
        <v>794</v>
      </c>
      <c r="Z10" s="1104"/>
      <c r="AP10" s="1100" t="s">
        <v>793</v>
      </c>
      <c r="AQ10" s="1101" t="s">
        <v>793</v>
      </c>
      <c r="AW10" s="1134" t="s">
        <v>795</v>
      </c>
      <c r="AX10" s="1134" t="s">
        <v>795</v>
      </c>
      <c r="AZ10" s="1134" t="s">
        <v>796</v>
      </c>
      <c r="BB10" s="1134" t="s">
        <v>797</v>
      </c>
      <c r="BC10" s="1134" t="s">
        <v>714</v>
      </c>
      <c r="BE10" s="1134">
        <v>2008</v>
      </c>
      <c r="BF10" s="1134" t="s">
        <v>798</v>
      </c>
      <c r="BH10" s="1081" t="s">
        <v>799</v>
      </c>
      <c r="BJ10" s="1081" t="s">
        <v>800</v>
      </c>
      <c r="BL10" s="1081" t="s">
        <v>800</v>
      </c>
      <c r="BN10" s="1081" t="s">
        <v>801</v>
      </c>
      <c r="BQ10" s="1317">
        <v>4213778</v>
      </c>
      <c r="BR10" s="1081" t="s">
        <v>179</v>
      </c>
      <c r="BS10" s="1465"/>
      <c r="BT10" s="1317">
        <v>64236876</v>
      </c>
      <c r="BU10" s="1081" t="s">
        <v>211</v>
      </c>
      <c r="BV10" s="1083"/>
      <c r="BW10" s="1736"/>
      <c r="BX10" s="1736"/>
    </row>
    <row customHeight="1" ht="11.25">
      <c r="A11" s="1087" t="s">
        <v>802</v>
      </c>
      <c r="B11" s="1088">
        <v>2009</v>
      </c>
      <c r="E11" s="1089" t="s">
        <v>803</v>
      </c>
      <c r="F11" s="1106"/>
      <c r="G11" s="1089" t="s">
        <v>804</v>
      </c>
      <c r="H11" s="1089" t="s">
        <v>805</v>
      </c>
      <c r="I11" s="1089" t="s">
        <v>150</v>
      </c>
      <c r="J11" s="1090" t="s">
        <v>806</v>
      </c>
      <c r="K11" s="1112" t="s">
        <v>807</v>
      </c>
      <c r="O11" s="1090" t="s">
        <v>808</v>
      </c>
      <c r="V11" s="370" t="s">
        <v>150</v>
      </c>
      <c r="W11" s="261"/>
      <c r="X11" s="1097" t="s">
        <v>778</v>
      </c>
      <c r="Y11" s="1088" t="s">
        <v>809</v>
      </c>
      <c r="Z11" s="1104"/>
      <c r="AP11" s="1100" t="s">
        <v>191</v>
      </c>
      <c r="AQ11" s="1102" t="s">
        <v>191</v>
      </c>
      <c r="AW11" s="1134" t="s">
        <v>810</v>
      </c>
      <c r="AX11" s="1134" t="s">
        <v>810</v>
      </c>
      <c r="AZ11" s="1134" t="s">
        <v>811</v>
      </c>
      <c r="BB11" s="1134" t="s">
        <v>812</v>
      </c>
      <c r="BC11" s="1134" t="s">
        <v>714</v>
      </c>
      <c r="BE11" s="1134">
        <v>2009</v>
      </c>
      <c r="BF11" s="1134" t="s">
        <v>813</v>
      </c>
      <c r="BH11" s="1081" t="s">
        <v>814</v>
      </c>
      <c r="BJ11" s="1081" t="s">
        <v>783</v>
      </c>
      <c r="BL11" s="1081" t="s">
        <v>783</v>
      </c>
      <c r="BN11" s="1081" t="s">
        <v>815</v>
      </c>
      <c r="BQ11" s="1317">
        <v>4213780</v>
      </c>
      <c r="BR11" s="1081" t="s">
        <v>185</v>
      </c>
      <c r="BS11" s="1465"/>
      <c r="BW11" s="1736"/>
      <c r="BX11" s="1736"/>
    </row>
    <row customHeight="1" ht="11.25">
      <c r="A12" s="1087" t="s">
        <v>816</v>
      </c>
      <c r="B12" s="1088">
        <v>2010</v>
      </c>
      <c r="E12" s="1089" t="s">
        <v>817</v>
      </c>
      <c r="F12" s="1106"/>
      <c r="G12" s="1089" t="s">
        <v>805</v>
      </c>
      <c r="I12" s="1089" t="s">
        <v>151</v>
      </c>
      <c r="J12" s="1090" t="s">
        <v>818</v>
      </c>
      <c r="K12" s="1112" t="s">
        <v>819</v>
      </c>
      <c r="O12" s="1090" t="s">
        <v>604</v>
      </c>
      <c r="V12" s="370" t="s">
        <v>151</v>
      </c>
      <c r="W12" s="1102"/>
      <c r="X12" s="1097" t="s">
        <v>820</v>
      </c>
      <c r="Y12" s="1088" t="s">
        <v>610</v>
      </c>
      <c r="AP12" s="1100"/>
      <c r="AW12" s="1134" t="s">
        <v>150</v>
      </c>
      <c r="AX12" s="1134" t="s">
        <v>150</v>
      </c>
      <c r="AZ12" s="1134" t="s">
        <v>821</v>
      </c>
      <c r="BB12" s="1134" t="s">
        <v>822</v>
      </c>
      <c r="BC12" s="1134" t="s">
        <v>714</v>
      </c>
      <c r="BE12" s="1134">
        <v>2010</v>
      </c>
      <c r="BF12" s="1134" t="s">
        <v>823</v>
      </c>
      <c r="BH12" s="1081" t="s">
        <v>824</v>
      </c>
      <c r="BJ12" s="1081" t="s">
        <v>825</v>
      </c>
      <c r="BL12" s="1081" t="s">
        <v>825</v>
      </c>
      <c r="BN12" s="1081" t="s">
        <v>826</v>
      </c>
      <c r="BQ12" s="1317">
        <v>4213779</v>
      </c>
      <c r="BR12" s="1081" t="s">
        <v>778</v>
      </c>
      <c r="BS12" s="1465"/>
      <c r="BT12" s="1083"/>
      <c r="BU12" s="1083"/>
      <c r="BV12" s="1083"/>
      <c r="BW12" s="1736"/>
      <c r="BX12" s="1736"/>
    </row>
    <row customHeight="1" ht="11.25">
      <c r="A13" s="1087" t="s">
        <v>827</v>
      </c>
      <c r="B13" s="1088">
        <v>2011</v>
      </c>
      <c r="E13" s="1089" t="s">
        <v>828</v>
      </c>
      <c r="F13" s="1106"/>
      <c r="I13" s="1089" t="s">
        <v>152</v>
      </c>
      <c r="K13" s="1112" t="s">
        <v>777</v>
      </c>
      <c r="V13" s="370" t="s">
        <v>152</v>
      </c>
      <c r="W13" s="1102"/>
      <c r="X13" s="1102"/>
      <c r="Y13" s="1102"/>
      <c r="AW13" s="1134" t="s">
        <v>151</v>
      </c>
      <c r="AX13" s="1134" t="s">
        <v>151</v>
      </c>
      <c r="BB13" s="1134" t="s">
        <v>829</v>
      </c>
      <c r="BC13" s="1134" t="s">
        <v>830</v>
      </c>
      <c r="BE13" s="1134">
        <v>2011</v>
      </c>
      <c r="BF13" s="1134" t="s">
        <v>831</v>
      </c>
      <c r="BH13" s="1081" t="s">
        <v>832</v>
      </c>
      <c r="BJ13" s="1081" t="s">
        <v>814</v>
      </c>
      <c r="BL13" s="1081" t="s">
        <v>814</v>
      </c>
      <c r="BN13" s="1081" t="s">
        <v>833</v>
      </c>
      <c r="BQ13" s="1317">
        <v>4213783</v>
      </c>
      <c r="BR13" s="1081" t="s">
        <v>793</v>
      </c>
      <c r="BS13" s="1465"/>
      <c r="BT13" s="1083"/>
      <c r="BU13" s="1083"/>
      <c r="BV13" s="1083"/>
      <c r="BW13" s="1740"/>
      <c r="BX13" s="1736"/>
    </row>
    <row customHeight="1" ht="11.25">
      <c r="A14" s="1087" t="s">
        <v>834</v>
      </c>
      <c r="B14" s="1088">
        <v>2012</v>
      </c>
      <c r="I14" s="1089" t="s">
        <v>153</v>
      </c>
      <c r="J14" s="1080" t="s">
        <v>835</v>
      </c>
      <c r="N14" s="1080" t="s">
        <v>836</v>
      </c>
      <c r="V14" s="1096">
        <v>13</v>
      </c>
      <c r="W14" s="1097"/>
      <c r="X14" s="1097" t="s">
        <v>645</v>
      </c>
      <c r="Y14" s="1088" t="s">
        <v>610</v>
      </c>
      <c r="AW14" s="1134" t="s">
        <v>152</v>
      </c>
      <c r="AX14" s="1134" t="s">
        <v>152</v>
      </c>
      <c r="AZ14" s="1080" t="s">
        <v>837</v>
      </c>
      <c r="BB14" s="1134" t="s">
        <v>838</v>
      </c>
      <c r="BC14" s="1134" t="s">
        <v>830</v>
      </c>
      <c r="BE14" s="1134">
        <v>2012</v>
      </c>
      <c r="BH14" s="1081" t="s">
        <v>754</v>
      </c>
      <c r="BJ14" s="1235" t="s">
        <v>839</v>
      </c>
      <c r="BL14" s="1235" t="s">
        <v>839</v>
      </c>
      <c r="BN14" s="1081" t="s">
        <v>840</v>
      </c>
      <c r="BQ14" s="1317">
        <v>4213782</v>
      </c>
      <c r="BR14" s="1081" t="s">
        <v>191</v>
      </c>
      <c r="BS14" s="1465"/>
      <c r="BT14" s="1083"/>
      <c r="BU14" s="1083"/>
      <c r="BV14" s="1083"/>
      <c r="BW14" s="1740"/>
      <c r="BX14" s="1736"/>
    </row>
    <row customHeight="1" ht="19.5">
      <c r="A15" s="1087" t="s">
        <v>841</v>
      </c>
      <c r="B15" s="1088">
        <v>2013</v>
      </c>
      <c r="E15" s="1744" t="s">
        <v>842</v>
      </c>
      <c r="G15" s="1080" t="s">
        <v>843</v>
      </c>
      <c r="H15" s="1080" t="s">
        <v>844</v>
      </c>
      <c r="I15" s="1091" t="s">
        <v>154</v>
      </c>
      <c r="J15" s="1102" t="s">
        <v>845</v>
      </c>
      <c r="N15" s="1172" t="s">
        <v>846</v>
      </c>
      <c r="X15" s="1100"/>
      <c r="AW15" s="1134" t="s">
        <v>153</v>
      </c>
      <c r="AX15" s="1134" t="s">
        <v>153</v>
      </c>
      <c r="AZ15" s="1134" t="s">
        <v>764</v>
      </c>
      <c r="BB15" s="1134" t="s">
        <v>847</v>
      </c>
      <c r="BC15" s="1134" t="s">
        <v>830</v>
      </c>
      <c r="BE15" s="1134">
        <v>2013</v>
      </c>
      <c r="BH15" s="1081" t="s">
        <v>769</v>
      </c>
      <c r="BJ15" s="1235" t="s">
        <v>848</v>
      </c>
      <c r="BL15" s="1235" t="s">
        <v>848</v>
      </c>
      <c r="BN15" s="1081" t="s">
        <v>849</v>
      </c>
      <c r="BR15" s="1083"/>
      <c r="BS15" s="1467"/>
      <c r="BT15" s="1083"/>
      <c r="BU15" s="1083"/>
      <c r="BV15" s="1083"/>
      <c r="BW15" s="1740"/>
      <c r="BX15" s="1736"/>
    </row>
    <row customHeight="1" ht="21">
      <c r="A16" s="1087" t="s">
        <v>850</v>
      </c>
      <c r="B16" s="1088">
        <v>2014</v>
      </c>
      <c r="E16" s="1745" t="s">
        <v>851</v>
      </c>
      <c r="G16" s="1089" t="s">
        <v>852</v>
      </c>
      <c r="H16" s="1089" t="s">
        <v>853</v>
      </c>
      <c r="I16" s="1091" t="s">
        <v>854</v>
      </c>
      <c r="J16" s="1102" t="s">
        <v>628</v>
      </c>
      <c r="N16" s="1172" t="s">
        <v>855</v>
      </c>
      <c r="AW16" s="1134" t="s">
        <v>154</v>
      </c>
      <c r="AX16" s="1134" t="s">
        <v>154</v>
      </c>
      <c r="AZ16" s="1134" t="s">
        <v>780</v>
      </c>
      <c r="BB16" s="1134" t="s">
        <v>856</v>
      </c>
      <c r="BC16" s="1134" t="s">
        <v>830</v>
      </c>
      <c r="BE16" s="1134">
        <v>2014</v>
      </c>
      <c r="BH16" s="1081" t="s">
        <v>785</v>
      </c>
      <c r="BJ16" s="1235" t="s">
        <v>857</v>
      </c>
      <c r="BL16" s="1235" t="s">
        <v>857</v>
      </c>
      <c r="BN16" s="1081" t="s">
        <v>858</v>
      </c>
      <c r="BR16" s="1083"/>
      <c r="BS16" s="1467"/>
      <c r="BT16" s="1083"/>
      <c r="BU16" s="1083"/>
      <c r="BV16" s="1083"/>
      <c r="BW16" s="1740"/>
      <c r="BX16" s="1736"/>
    </row>
    <row customHeight="1" ht="21">
      <c r="A17" s="1087" t="s">
        <v>859</v>
      </c>
      <c r="B17" s="1088">
        <v>2015</v>
      </c>
      <c r="G17" s="1089" t="s">
        <v>805</v>
      </c>
      <c r="H17" s="1089" t="s">
        <v>805</v>
      </c>
      <c r="I17" s="1089" t="s">
        <v>860</v>
      </c>
      <c r="N17" s="1172" t="s">
        <v>861</v>
      </c>
      <c r="X17" s="1100"/>
      <c r="AW17" s="1134" t="s">
        <v>854</v>
      </c>
      <c r="AX17" s="1134" t="s">
        <v>854</v>
      </c>
      <c r="AZ17" s="1134" t="s">
        <v>862</v>
      </c>
      <c r="BB17" s="1134" t="s">
        <v>863</v>
      </c>
      <c r="BC17" s="1134" t="s">
        <v>714</v>
      </c>
      <c r="BE17" s="1134">
        <v>2015</v>
      </c>
      <c r="BH17" s="1081" t="s">
        <v>801</v>
      </c>
      <c r="BJ17" s="1235" t="s">
        <v>864</v>
      </c>
      <c r="BL17" s="1235" t="s">
        <v>864</v>
      </c>
      <c r="BN17" s="1081" t="s">
        <v>865</v>
      </c>
      <c r="BR17" s="1080" t="s">
        <v>656</v>
      </c>
      <c r="BS17" s="1464"/>
      <c r="BU17" s="1080" t="s">
        <v>866</v>
      </c>
      <c r="BV17" s="1083"/>
      <c r="BW17" s="1736"/>
      <c r="BX17" s="1738" t="s">
        <v>867</v>
      </c>
      <c r="CA17" s="1080" t="s">
        <v>868</v>
      </c>
      <c r="CD17" s="1080" t="s">
        <v>869</v>
      </c>
    </row>
    <row customHeight="1" ht="21">
      <c r="A18" s="1087" t="s">
        <v>870</v>
      </c>
      <c r="B18" s="1088">
        <v>2016</v>
      </c>
      <c r="I18" s="1089" t="s">
        <v>871</v>
      </c>
      <c r="N18" s="1172" t="s">
        <v>872</v>
      </c>
      <c r="X18" s="1100"/>
      <c r="AW18" s="1134" t="s">
        <v>860</v>
      </c>
      <c r="AX18" s="1134" t="s">
        <v>860</v>
      </c>
      <c r="BB18" s="1134" t="s">
        <v>873</v>
      </c>
      <c r="BC18" s="1134" t="s">
        <v>714</v>
      </c>
      <c r="BE18" s="1134">
        <v>2016</v>
      </c>
      <c r="BH18" s="1081" t="s">
        <v>815</v>
      </c>
      <c r="BJ18" s="1235" t="s">
        <v>874</v>
      </c>
      <c r="BL18" s="1235" t="s">
        <v>874</v>
      </c>
      <c r="BN18" s="1081" t="s">
        <v>875</v>
      </c>
      <c r="BQ18" s="1468" t="s">
        <v>686</v>
      </c>
      <c r="BR18" s="1173" t="s">
        <v>687</v>
      </c>
      <c r="BS18" s="260"/>
      <c r="BT18" s="1468" t="s">
        <v>876</v>
      </c>
      <c r="BU18" s="1173" t="s">
        <v>877</v>
      </c>
      <c r="BV18" s="1083"/>
      <c r="BW18" s="1743" t="s">
        <v>878</v>
      </c>
      <c r="BX18" s="1737" t="s">
        <v>879</v>
      </c>
      <c r="BZ18" s="1468" t="s">
        <v>880</v>
      </c>
      <c r="CA18" s="1173" t="s">
        <v>881</v>
      </c>
      <c r="CC18" s="1468" t="s">
        <v>882</v>
      </c>
      <c r="CD18" s="1173" t="s">
        <v>883</v>
      </c>
    </row>
    <row customHeight="1" ht="21">
      <c r="A19" s="1087" t="s">
        <v>884</v>
      </c>
      <c r="B19" s="1088">
        <v>2017</v>
      </c>
      <c r="I19" s="1089" t="s">
        <v>885</v>
      </c>
      <c r="N19" s="1172" t="s">
        <v>886</v>
      </c>
      <c r="X19" s="1100"/>
      <c r="AW19" s="1134" t="s">
        <v>871</v>
      </c>
      <c r="AX19" s="1134" t="s">
        <v>871</v>
      </c>
      <c r="AZ19" s="1080" t="s">
        <v>887</v>
      </c>
      <c r="BB19" s="1134" t="s">
        <v>888</v>
      </c>
      <c r="BC19" s="1134" t="s">
        <v>714</v>
      </c>
      <c r="BE19" s="1134">
        <v>2017</v>
      </c>
      <c r="BH19" s="1081" t="s">
        <v>889</v>
      </c>
      <c r="BJ19" s="1235" t="s">
        <v>890</v>
      </c>
      <c r="BL19" s="1235" t="s">
        <v>890</v>
      </c>
      <c r="BQ19" s="1317">
        <v>4190064</v>
      </c>
      <c r="BR19" s="1081" t="s">
        <v>891</v>
      </c>
      <c r="BS19" s="1465"/>
      <c r="BT19" s="1317">
        <v>4189671</v>
      </c>
      <c r="BU19" s="1081" t="s">
        <v>892</v>
      </c>
      <c r="BV19" s="1083"/>
      <c r="BW19" s="1741">
        <v>4189706</v>
      </c>
      <c r="BX19" s="1739" t="s">
        <v>893</v>
      </c>
      <c r="BZ19" s="1317">
        <v>4189714</v>
      </c>
      <c r="CA19" s="1081" t="s">
        <v>894</v>
      </c>
      <c r="CC19" s="1317">
        <v>4189708</v>
      </c>
      <c r="CD19" s="1081" t="s">
        <v>895</v>
      </c>
    </row>
    <row customHeight="1" ht="21">
      <c r="A20" s="1087" t="s">
        <v>896</v>
      </c>
      <c r="B20" s="1088">
        <v>2018</v>
      </c>
      <c r="I20" s="1089" t="s">
        <v>897</v>
      </c>
      <c r="N20" s="1172" t="s">
        <v>898</v>
      </c>
      <c r="AW20" s="1134" t="s">
        <v>885</v>
      </c>
      <c r="AX20" s="1134" t="s">
        <v>885</v>
      </c>
      <c r="AZ20" s="1134" t="s">
        <v>899</v>
      </c>
      <c r="BB20" s="1134" t="s">
        <v>900</v>
      </c>
      <c r="BC20" s="1134" t="s">
        <v>830</v>
      </c>
      <c r="BE20" s="1134">
        <v>2018</v>
      </c>
      <c r="BH20" s="1081" t="s">
        <v>826</v>
      </c>
      <c r="BJ20" s="1081" t="s">
        <v>754</v>
      </c>
      <c r="BL20" s="1081" t="s">
        <v>754</v>
      </c>
      <c r="BQ20" s="1317">
        <v>4190065</v>
      </c>
      <c r="BR20" s="1081" t="s">
        <v>901</v>
      </c>
      <c r="BS20" s="1465"/>
      <c r="BT20" s="1317">
        <v>4189672</v>
      </c>
      <c r="BU20" s="1081" t="s">
        <v>902</v>
      </c>
      <c r="BV20" s="1083"/>
      <c r="BW20" s="1741">
        <v>4189705</v>
      </c>
      <c r="BX20" s="1739" t="s">
        <v>903</v>
      </c>
      <c r="BZ20" s="1317">
        <v>4189713</v>
      </c>
      <c r="CA20" s="1081" t="s">
        <v>903</v>
      </c>
      <c r="CC20" s="1317">
        <v>4189709</v>
      </c>
      <c r="CD20" s="1081" t="s">
        <v>904</v>
      </c>
    </row>
    <row customHeight="1" ht="21">
      <c r="A21" s="1087" t="s">
        <v>905</v>
      </c>
      <c r="B21" s="1088">
        <v>2019</v>
      </c>
      <c r="I21" s="1089" t="s">
        <v>906</v>
      </c>
      <c r="N21" s="1172" t="s">
        <v>907</v>
      </c>
      <c r="AW21" s="1134" t="s">
        <v>897</v>
      </c>
      <c r="AX21" s="1134" t="s">
        <v>897</v>
      </c>
      <c r="AZ21" s="1134" t="s">
        <v>908</v>
      </c>
      <c r="BB21" s="1134" t="s">
        <v>909</v>
      </c>
      <c r="BC21" s="1134" t="s">
        <v>714</v>
      </c>
      <c r="BE21" s="1134">
        <v>2019</v>
      </c>
      <c r="BH21" s="1081" t="s">
        <v>833</v>
      </c>
      <c r="BJ21" s="1081" t="s">
        <v>769</v>
      </c>
      <c r="BL21" s="1081" t="s">
        <v>769</v>
      </c>
      <c r="BQ21" s="1317">
        <v>4190066</v>
      </c>
      <c r="BR21" s="1081" t="s">
        <v>910</v>
      </c>
      <c r="BS21" s="1465"/>
      <c r="BT21" s="1317">
        <v>4189673</v>
      </c>
      <c r="BU21" s="1081" t="s">
        <v>911</v>
      </c>
      <c r="BV21" s="1083"/>
      <c r="BW21" s="1741">
        <v>4189707</v>
      </c>
      <c r="BX21" s="1739" t="s">
        <v>912</v>
      </c>
      <c r="BZ21" s="1317">
        <v>4189712</v>
      </c>
      <c r="CA21" s="1081" t="s">
        <v>913</v>
      </c>
      <c r="CC21" s="1317">
        <v>4189710</v>
      </c>
      <c r="CD21" s="1081" t="s">
        <v>914</v>
      </c>
    </row>
    <row customHeight="1" ht="21">
      <c r="A22" s="1087" t="s">
        <v>915</v>
      </c>
      <c r="B22" s="1088">
        <v>2020</v>
      </c>
      <c r="N22" s="1172" t="s">
        <v>916</v>
      </c>
      <c r="AW22" s="1134" t="s">
        <v>906</v>
      </c>
      <c r="AX22" s="1134" t="s">
        <v>906</v>
      </c>
      <c r="AZ22" s="1134" t="s">
        <v>917</v>
      </c>
      <c r="BB22" s="1134" t="s">
        <v>918</v>
      </c>
      <c r="BC22" s="1134" t="s">
        <v>714</v>
      </c>
      <c r="BE22" s="1134">
        <v>2020</v>
      </c>
      <c r="BH22" s="1081" t="s">
        <v>840</v>
      </c>
      <c r="BJ22" s="1081" t="s">
        <v>785</v>
      </c>
      <c r="BL22" s="1081" t="s">
        <v>785</v>
      </c>
      <c r="BQ22" s="1317">
        <v>4190067</v>
      </c>
      <c r="BR22" s="1081" t="s">
        <v>919</v>
      </c>
      <c r="BS22" s="1465"/>
      <c r="BT22" s="1317">
        <v>4189674</v>
      </c>
      <c r="BU22" s="1081" t="s">
        <v>920</v>
      </c>
      <c r="BV22" s="1083"/>
      <c r="BW22" s="1083"/>
      <c r="CC22" s="1317">
        <v>4189711</v>
      </c>
      <c r="CD22" s="1081" t="s">
        <v>280</v>
      </c>
    </row>
    <row customHeight="1" ht="21">
      <c r="A23" s="1087" t="s">
        <v>921</v>
      </c>
      <c r="B23" s="1088">
        <v>2021</v>
      </c>
      <c r="AW23" s="1134" t="s">
        <v>922</v>
      </c>
      <c r="AX23" s="1134" t="s">
        <v>922</v>
      </c>
      <c r="AZ23" s="1134" t="s">
        <v>923</v>
      </c>
      <c r="BB23" s="1134" t="s">
        <v>924</v>
      </c>
      <c r="BC23" s="1134" t="s">
        <v>621</v>
      </c>
      <c r="BE23" s="1134">
        <v>2021</v>
      </c>
      <c r="BH23" s="1081" t="s">
        <v>849</v>
      </c>
      <c r="BJ23" s="1081" t="s">
        <v>801</v>
      </c>
      <c r="BL23" s="1081" t="s">
        <v>801</v>
      </c>
      <c r="BQ23" s="1317">
        <v>4190068</v>
      </c>
      <c r="BR23" s="1081" t="s">
        <v>925</v>
      </c>
      <c r="BS23" s="1465"/>
      <c r="BT23" s="1317">
        <v>4189675</v>
      </c>
      <c r="BU23" s="1081" t="s">
        <v>926</v>
      </c>
      <c r="BV23" s="1083"/>
      <c r="BW23" s="1083"/>
      <c r="CC23" s="1317">
        <v>5110778</v>
      </c>
      <c r="CD23" s="1081" t="s">
        <v>927</v>
      </c>
    </row>
    <row customHeight="1" ht="21">
      <c r="A24" s="1087" t="s">
        <v>928</v>
      </c>
      <c r="B24" s="1088">
        <v>2022</v>
      </c>
      <c r="AW24" s="1134" t="s">
        <v>929</v>
      </c>
      <c r="AX24" s="1134" t="s">
        <v>929</v>
      </c>
      <c r="AZ24" s="1134" t="s">
        <v>930</v>
      </c>
      <c r="BB24" s="1134" t="s">
        <v>931</v>
      </c>
      <c r="BC24" s="1134" t="s">
        <v>932</v>
      </c>
      <c r="BE24" s="1134">
        <v>2022</v>
      </c>
      <c r="BH24" s="1081" t="s">
        <v>858</v>
      </c>
      <c r="BJ24" s="1081" t="s">
        <v>815</v>
      </c>
      <c r="BL24" s="1081" t="s">
        <v>815</v>
      </c>
      <c r="BQ24" s="1317">
        <v>4190069</v>
      </c>
      <c r="BR24" s="1081" t="s">
        <v>933</v>
      </c>
      <c r="BS24" s="1465"/>
      <c r="BT24" s="1317">
        <v>4189676</v>
      </c>
      <c r="BU24" s="1081" t="s">
        <v>934</v>
      </c>
      <c r="BV24" s="1083"/>
      <c r="BW24" s="1083"/>
      <c r="CC24" s="1317">
        <v>25575374</v>
      </c>
      <c r="CD24" s="1081" t="s">
        <v>935</v>
      </c>
    </row>
    <row customHeight="1" ht="11.25">
      <c r="A25" s="1087" t="s">
        <v>936</v>
      </c>
      <c r="B25" s="1088">
        <v>2023</v>
      </c>
      <c r="AW25" s="1134" t="s">
        <v>937</v>
      </c>
      <c r="AX25" s="1134" t="s">
        <v>937</v>
      </c>
      <c r="AZ25" s="1134" t="s">
        <v>938</v>
      </c>
      <c r="BB25" s="1134" t="s">
        <v>939</v>
      </c>
      <c r="BC25" s="1134" t="s">
        <v>932</v>
      </c>
      <c r="BE25" s="1134">
        <v>2023</v>
      </c>
      <c r="BH25" s="1081" t="s">
        <v>865</v>
      </c>
      <c r="BJ25" s="1081" t="s">
        <v>889</v>
      </c>
      <c r="BL25" s="1081" t="s">
        <v>889</v>
      </c>
      <c r="BQ25" s="1317">
        <v>4190070</v>
      </c>
      <c r="BR25" s="1081" t="s">
        <v>940</v>
      </c>
      <c r="BS25" s="1465"/>
      <c r="BT25" s="1317">
        <v>4189677</v>
      </c>
      <c r="BU25" s="1081" t="s">
        <v>941</v>
      </c>
      <c r="BV25" s="1083"/>
      <c r="BW25" s="1083"/>
    </row>
    <row customHeight="1" ht="11.25">
      <c r="A26" s="1087" t="s">
        <v>942</v>
      </c>
      <c r="B26" s="1088">
        <v>2024</v>
      </c>
      <c r="J26" s="1777" t="s">
        <v>943</v>
      </c>
      <c r="AX26" s="1134" t="s">
        <v>944</v>
      </c>
      <c r="AZ26" s="1134" t="s">
        <v>808</v>
      </c>
      <c r="BB26" s="1134" t="s">
        <v>945</v>
      </c>
      <c r="BC26" s="1134" t="s">
        <v>932</v>
      </c>
      <c r="BE26" s="1134">
        <v>2024</v>
      </c>
      <c r="BH26" s="1081" t="s">
        <v>875</v>
      </c>
      <c r="BJ26" s="1081" t="s">
        <v>826</v>
      </c>
      <c r="BL26" s="1081" t="s">
        <v>826</v>
      </c>
      <c r="BQ26" s="1317">
        <v>4190071</v>
      </c>
      <c r="BR26" s="1081" t="s">
        <v>946</v>
      </c>
      <c r="BS26" s="1465"/>
      <c r="BV26" s="1083"/>
      <c r="BW26" s="1083"/>
    </row>
    <row customHeight="1" ht="11.25">
      <c r="A27" s="1087" t="s">
        <v>947</v>
      </c>
      <c r="B27" s="1088">
        <v>2025</v>
      </c>
      <c r="J27" s="162" t="s">
        <v>388</v>
      </c>
      <c r="AX27" s="1134" t="s">
        <v>948</v>
      </c>
      <c r="BB27" s="1134" t="s">
        <v>949</v>
      </c>
      <c r="BC27" s="1134" t="s">
        <v>932</v>
      </c>
      <c r="BE27" s="1134">
        <v>2025</v>
      </c>
      <c r="BH27" s="1083" t="s">
        <v>18</v>
      </c>
      <c r="BJ27" s="1081" t="s">
        <v>833</v>
      </c>
      <c r="BL27" s="1081" t="s">
        <v>833</v>
      </c>
      <c r="BN27" s="1083" t="s">
        <v>18</v>
      </c>
      <c r="BQ27" s="1317">
        <v>4190072</v>
      </c>
      <c r="BR27" s="1081" t="s">
        <v>950</v>
      </c>
      <c r="BS27" s="1465"/>
      <c r="BV27" s="1083"/>
      <c r="BW27" s="1083"/>
    </row>
    <row customHeight="1" ht="11.25">
      <c r="A28" s="1087" t="s">
        <v>951</v>
      </c>
      <c r="D28" s="1114"/>
      <c r="E28" s="1115"/>
      <c r="F28" s="1115"/>
      <c r="H28" s="1116" t="s">
        <v>952</v>
      </c>
      <c r="AX28" s="1134" t="s">
        <v>953</v>
      </c>
      <c r="AZ28" s="1080" t="s">
        <v>954</v>
      </c>
      <c r="BB28" s="1134" t="s">
        <v>955</v>
      </c>
      <c r="BC28" s="1134" t="s">
        <v>956</v>
      </c>
      <c r="BE28" s="1134">
        <v>2026</v>
      </c>
      <c r="BH28" s="1083" t="s">
        <v>18</v>
      </c>
      <c r="BJ28" s="1081" t="s">
        <v>840</v>
      </c>
      <c r="BL28" s="1081" t="s">
        <v>840</v>
      </c>
      <c r="BN28" s="1083" t="s">
        <v>18</v>
      </c>
      <c r="BQ28" s="1317">
        <v>4190073</v>
      </c>
      <c r="BR28" s="1081" t="s">
        <v>957</v>
      </c>
      <c r="BS28" s="1465"/>
      <c r="BV28" s="1083"/>
      <c r="BW28" s="1083"/>
    </row>
    <row customHeight="1" ht="11.25">
      <c r="A29" s="1087" t="s">
        <v>958</v>
      </c>
      <c r="D29" s="1117" t="s">
        <v>959</v>
      </c>
      <c r="E29" s="1118" t="str">
        <f>IF(TEMPLATE_GROUP="","",INDEX(StartDateList,MATCH(TEMPLATE_GROUP,CodeTemplateList,0),1))</f>
        <v>01.01.2023</v>
      </c>
      <c r="F29" s="1118" t="str">
        <f>IF(TEMPLATE_GROUP="","",INDEX(EndDateList,MATCH(TEMPLATE_GROUP,CodeTemplateList,0),1))</f>
        <v>31.12.2023</v>
      </c>
      <c r="H29" s="1119" t="s">
        <v>960</v>
      </c>
      <c r="AX29" s="1134" t="s">
        <v>961</v>
      </c>
      <c r="AZ29" s="1134" t="s">
        <v>605</v>
      </c>
      <c r="BB29" s="1134" t="s">
        <v>808</v>
      </c>
      <c r="BC29" s="1104"/>
      <c r="BE29" s="1134">
        <v>2027</v>
      </c>
      <c r="BJ29" s="1081" t="s">
        <v>849</v>
      </c>
      <c r="BL29" s="1081" t="s">
        <v>849</v>
      </c>
    </row>
    <row customHeight="1" ht="11.25">
      <c r="A30" s="1087" t="s">
        <v>962</v>
      </c>
      <c r="D30" s="1120"/>
      <c r="E30" s="1121"/>
      <c r="F30" s="1121"/>
      <c r="AX30" s="1134" t="s">
        <v>963</v>
      </c>
      <c r="AZ30" s="1134" t="s">
        <v>634</v>
      </c>
      <c r="BE30" s="1134">
        <v>2028</v>
      </c>
      <c r="BJ30" s="1081" t="s">
        <v>964</v>
      </c>
      <c r="BL30" s="1081" t="s">
        <v>964</v>
      </c>
    </row>
    <row customHeight="1" ht="12.75">
      <c r="A31" s="1087" t="s">
        <v>965</v>
      </c>
      <c r="D31" s="1114"/>
      <c r="E31" s="1115"/>
      <c r="F31" s="1115"/>
      <c r="H31" s="1122"/>
      <c r="AX31" s="1134" t="s">
        <v>966</v>
      </c>
      <c r="AZ31" s="1134" t="s">
        <v>967</v>
      </c>
      <c r="BE31" s="1134">
        <v>2029</v>
      </c>
      <c r="BJ31" s="1081" t="s">
        <v>968</v>
      </c>
      <c r="BL31" s="1081" t="s">
        <v>968</v>
      </c>
    </row>
    <row customHeight="1" ht="11.25">
      <c r="A32" s="1087" t="s">
        <v>969</v>
      </c>
      <c r="D32" s="1117" t="s">
        <v>970</v>
      </c>
      <c r="E32" s="1118" t="str">
        <f>IF(TEMPLATE_GROUP="","",INDEX(StartDateList,MATCH(TEMPLATE_GROUP,CodeTemplateList,0),1))</f>
        <v>01.01.2023</v>
      </c>
      <c r="F32" s="1118" t="str">
        <f>IF(TEMPLATE_GROUP="","",INDEX(EndDateList,MATCH(TEMPLATE_GROUP,CodeTemplateList,0),1))</f>
        <v>31.12.2023</v>
      </c>
      <c r="H32" s="1123" t="s">
        <v>971</v>
      </c>
      <c r="O32" s="1087" t="s">
        <v>603</v>
      </c>
      <c r="AX32" s="1134" t="s">
        <v>972</v>
      </c>
      <c r="AZ32" s="1134" t="s">
        <v>702</v>
      </c>
      <c r="BE32" s="1134">
        <v>2030</v>
      </c>
      <c r="BJ32" s="1081" t="s">
        <v>858</v>
      </c>
      <c r="BL32" s="1081" t="s">
        <v>858</v>
      </c>
    </row>
    <row customHeight="1" ht="11.25">
      <c r="A33" s="1087" t="s">
        <v>973</v>
      </c>
      <c r="O33" s="1087" t="s">
        <v>631</v>
      </c>
      <c r="AX33" s="1134" t="s">
        <v>974</v>
      </c>
      <c r="AZ33" s="1134" t="s">
        <v>604</v>
      </c>
      <c r="BE33" s="1134">
        <v>2031</v>
      </c>
      <c r="BJ33" s="1081" t="s">
        <v>865</v>
      </c>
      <c r="BL33" s="1081" t="s">
        <v>865</v>
      </c>
    </row>
    <row customHeight="1" ht="11.25">
      <c r="A34" s="1087" t="s">
        <v>975</v>
      </c>
      <c r="O34" s="1087" t="s">
        <v>667</v>
      </c>
      <c r="AX34" s="1134" t="s">
        <v>976</v>
      </c>
      <c r="BE34" s="1134">
        <v>2032</v>
      </c>
      <c r="BJ34" s="1081" t="s">
        <v>875</v>
      </c>
      <c r="BL34" s="1081" t="s">
        <v>875</v>
      </c>
    </row>
    <row customHeight="1" ht="11.25">
      <c r="A35" s="1087" t="s">
        <v>977</v>
      </c>
      <c r="O35" s="1087" t="s">
        <v>700</v>
      </c>
      <c r="AX35" s="1134" t="s">
        <v>978</v>
      </c>
      <c r="AZ35" s="1080" t="s">
        <v>979</v>
      </c>
      <c r="BE35" s="1134">
        <v>2033</v>
      </c>
      <c r="BL35" s="1081" t="s">
        <v>980</v>
      </c>
    </row>
    <row customHeight="1" ht="11.25">
      <c r="A36" s="1087" t="s">
        <v>981</v>
      </c>
      <c r="D36" s="1124" t="s">
        <v>982</v>
      </c>
      <c r="E36" s="1125" t="s">
        <v>983</v>
      </c>
      <c r="F36" s="1126" t="str">
        <f>INDEX(E37:E41,MATCH(TEMPLATE_SPHERE,F37:F41,0))</f>
        <v>холодного водоснабжения</v>
      </c>
      <c r="G36" s="1126" t="str">
        <f>INDEX(G37:G41,MATCH(TEMPLATE_SPHERE,F37:F41,0))</f>
        <v>холодное водоснабжение</v>
      </c>
      <c r="O36" s="1087" t="s">
        <v>725</v>
      </c>
      <c r="AX36" s="1134" t="s">
        <v>984</v>
      </c>
      <c r="AZ36" s="1134" t="s">
        <v>604</v>
      </c>
      <c r="BE36" s="1134">
        <v>2034</v>
      </c>
      <c r="BL36" s="1081" t="s">
        <v>985</v>
      </c>
    </row>
    <row customHeight="1" ht="11.25">
      <c r="A37" s="1087" t="s">
        <v>986</v>
      </c>
      <c r="E37" s="414" t="s">
        <v>987</v>
      </c>
      <c r="F37" s="1127" t="s">
        <v>592</v>
      </c>
      <c r="G37" s="414" t="s">
        <v>988</v>
      </c>
      <c r="O37" s="1087" t="s">
        <v>744</v>
      </c>
      <c r="AX37" s="1134" t="s">
        <v>989</v>
      </c>
      <c r="AZ37" s="1134" t="s">
        <v>633</v>
      </c>
      <c r="BE37" s="1134">
        <v>2035</v>
      </c>
    </row>
    <row customHeight="1" ht="11.25">
      <c r="A38" s="1087" t="s">
        <v>990</v>
      </c>
      <c r="E38" s="414" t="s">
        <v>991</v>
      </c>
      <c r="F38" s="1128" t="s">
        <v>983</v>
      </c>
      <c r="G38" s="414" t="s">
        <v>992</v>
      </c>
      <c r="O38" s="1087" t="s">
        <v>760</v>
      </c>
      <c r="AX38" s="1134" t="s">
        <v>993</v>
      </c>
      <c r="AZ38" s="1134" t="s">
        <v>668</v>
      </c>
      <c r="BE38" s="1134">
        <v>2036</v>
      </c>
      <c r="BH38" s="1080" t="s">
        <v>994</v>
      </c>
      <c r="BJ38" s="1080" t="s">
        <v>995</v>
      </c>
      <c r="BL38" s="1080" t="s">
        <v>996</v>
      </c>
      <c r="BN38" s="1080" t="s">
        <v>997</v>
      </c>
    </row>
    <row customHeight="1" ht="11.25">
      <c r="A39" s="1087" t="s">
        <v>998</v>
      </c>
      <c r="E39" s="414" t="s">
        <v>999</v>
      </c>
      <c r="F39" s="1128" t="s">
        <v>594</v>
      </c>
      <c r="G39" s="414" t="s">
        <v>1000</v>
      </c>
      <c r="O39" s="1087" t="s">
        <v>776</v>
      </c>
      <c r="AX39" s="1134" t="s">
        <v>1001</v>
      </c>
      <c r="AZ39" s="1134" t="s">
        <v>701</v>
      </c>
      <c r="BE39" s="1134">
        <v>2037</v>
      </c>
      <c r="BH39" s="1081" t="s">
        <v>1002</v>
      </c>
      <c r="BJ39" s="1235" t="s">
        <v>1002</v>
      </c>
      <c r="BL39" s="1235" t="s">
        <v>1002</v>
      </c>
      <c r="BN39" s="1081" t="s">
        <v>1003</v>
      </c>
    </row>
    <row customHeight="1" ht="11.25">
      <c r="A40" s="1087" t="s">
        <v>1004</v>
      </c>
      <c r="E40" s="414" t="s">
        <v>1005</v>
      </c>
      <c r="F40" s="1128" t="s">
        <v>1006</v>
      </c>
      <c r="G40" s="414" t="s">
        <v>1007</v>
      </c>
      <c r="O40" s="1087" t="s">
        <v>792</v>
      </c>
      <c r="AX40" s="1134" t="s">
        <v>1008</v>
      </c>
      <c r="BE40" s="1134">
        <v>2038</v>
      </c>
      <c r="BH40" s="1081" t="s">
        <v>1009</v>
      </c>
      <c r="BJ40" s="1235" t="s">
        <v>1010</v>
      </c>
      <c r="BL40" s="1235" t="s">
        <v>1010</v>
      </c>
      <c r="BN40" s="1081" t="s">
        <v>1011</v>
      </c>
    </row>
    <row customHeight="1" ht="11.25">
      <c r="A41" s="1087" t="s">
        <v>1012</v>
      </c>
      <c r="E41" s="414" t="s">
        <v>1013</v>
      </c>
      <c r="F41" s="1128" t="s">
        <v>1014</v>
      </c>
      <c r="G41" s="414" t="s">
        <v>1013</v>
      </c>
      <c r="O41" s="1087" t="s">
        <v>808</v>
      </c>
      <c r="AX41" s="1134" t="s">
        <v>1015</v>
      </c>
      <c r="AZ41" s="1080" t="s">
        <v>1016</v>
      </c>
      <c r="BE41" s="1134">
        <v>2039</v>
      </c>
      <c r="BH41" s="1081" t="s">
        <v>1017</v>
      </c>
      <c r="BJ41" s="1235" t="s">
        <v>1018</v>
      </c>
      <c r="BL41" s="1235" t="s">
        <v>1018</v>
      </c>
      <c r="BN41" s="1081" t="s">
        <v>1019</v>
      </c>
    </row>
    <row customHeight="1" ht="11.25">
      <c r="A42" s="1087" t="s">
        <v>1020</v>
      </c>
      <c r="AX42" s="1134" t="s">
        <v>1021</v>
      </c>
      <c r="AZ42" s="1134" t="s">
        <v>603</v>
      </c>
      <c r="BE42" s="1134">
        <v>2040</v>
      </c>
      <c r="BH42" s="1081" t="s">
        <v>1022</v>
      </c>
      <c r="BJ42" s="1235" t="s">
        <v>1023</v>
      </c>
      <c r="BL42" s="1235" t="s">
        <v>1023</v>
      </c>
      <c r="BN42" s="1081" t="s">
        <v>1024</v>
      </c>
    </row>
    <row customHeight="1" ht="11.25">
      <c r="A43" s="1087" t="s">
        <v>1025</v>
      </c>
      <c r="AX43" s="1134" t="s">
        <v>1026</v>
      </c>
      <c r="AZ43" s="1134" t="s">
        <v>631</v>
      </c>
      <c r="BE43" s="1134">
        <v>2041</v>
      </c>
      <c r="BH43" s="1081" t="s">
        <v>1027</v>
      </c>
      <c r="BJ43" s="1235" t="s">
        <v>1017</v>
      </c>
      <c r="BL43" s="1235" t="s">
        <v>1017</v>
      </c>
      <c r="BN43" s="1081" t="s">
        <v>1028</v>
      </c>
    </row>
    <row customHeight="1" ht="11.25">
      <c r="A44" s="1087" t="s">
        <v>1029</v>
      </c>
      <c r="I44" s="809" t="s">
        <v>1030</v>
      </c>
      <c r="J44" s="1102" t="s">
        <v>1031</v>
      </c>
      <c r="K44" s="1102" t="s">
        <v>1032</v>
      </c>
      <c r="AX44" s="1134" t="s">
        <v>1033</v>
      </c>
      <c r="AZ44" s="1134" t="s">
        <v>667</v>
      </c>
      <c r="BE44" s="1134">
        <v>2042</v>
      </c>
      <c r="BH44" s="1081" t="s">
        <v>1034</v>
      </c>
      <c r="BJ44" s="1235" t="s">
        <v>1022</v>
      </c>
      <c r="BL44" s="1235" t="s">
        <v>1022</v>
      </c>
      <c r="BN44" s="1081" t="s">
        <v>1035</v>
      </c>
    </row>
    <row customHeight="1" ht="11.25">
      <c r="A45" s="1087" t="s">
        <v>1036</v>
      </c>
      <c r="D45" s="1124" t="s">
        <v>1037</v>
      </c>
      <c r="E45" s="1125" t="s">
        <v>1038</v>
      </c>
      <c r="F45" s="807" t="s">
        <v>1039</v>
      </c>
      <c r="G45" s="806" t="s">
        <v>1040</v>
      </c>
      <c r="H45" s="809" t="s">
        <v>1041</v>
      </c>
      <c r="I45" s="1787">
        <f>INDEX(PeriodIsEmptyList,MATCH(TEMPLATE_GROUP,CodeTemplateList,0),1)</f>
        <v>0</v>
      </c>
      <c r="J45" s="179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4" t="s">
        <v>1042</v>
      </c>
      <c r="AZ45" s="1134" t="s">
        <v>700</v>
      </c>
      <c r="BE45" s="1134">
        <v>2043</v>
      </c>
      <c r="BH45" s="1081" t="s">
        <v>1043</v>
      </c>
      <c r="BJ45" s="1235" t="s">
        <v>1044</v>
      </c>
      <c r="BL45" s="1235" t="s">
        <v>1044</v>
      </c>
      <c r="BN45" s="1081" t="s">
        <v>1045</v>
      </c>
    </row>
    <row customHeight="1" ht="11.25">
      <c r="A46" s="1087" t="s">
        <v>1046</v>
      </c>
      <c r="E46" s="414" t="s">
        <v>23</v>
      </c>
      <c r="F46" s="1127" t="s">
        <v>1047</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(холодного водоснабжения)</v>
      </c>
      <c r="K46" s="1792"/>
      <c r="AX46" s="1134" t="s">
        <v>1048</v>
      </c>
      <c r="AZ46" s="1134" t="s">
        <v>725</v>
      </c>
      <c r="BE46" s="1134">
        <v>2044</v>
      </c>
      <c r="BH46" s="1081" t="s">
        <v>1019</v>
      </c>
      <c r="BJ46" s="1235" t="s">
        <v>1049</v>
      </c>
      <c r="BL46" s="1235" t="s">
        <v>1049</v>
      </c>
      <c r="BN46" s="1081" t="s">
        <v>1050</v>
      </c>
    </row>
    <row customHeight="1" ht="11.25">
      <c r="A47" s="1087" t="s">
        <v>1051</v>
      </c>
      <c r="E47" s="414" t="s">
        <v>29</v>
      </c>
      <c r="F47" s="1128" t="s">
        <v>1052</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92"/>
      <c r="AX47" s="1134" t="s">
        <v>1053</v>
      </c>
      <c r="AZ47" s="1134" t="s">
        <v>744</v>
      </c>
      <c r="BE47" s="1134">
        <v>2045</v>
      </c>
      <c r="BH47" s="1081" t="s">
        <v>1024</v>
      </c>
      <c r="BJ47" s="1235" t="s">
        <v>1054</v>
      </c>
      <c r="BL47" s="1235" t="s">
        <v>1054</v>
      </c>
      <c r="BN47" s="1081" t="s">
        <v>1055</v>
      </c>
    </row>
    <row customHeight="1" ht="11.25">
      <c r="A48" s="1087" t="s">
        <v>1056</v>
      </c>
      <c r="E48" s="414" t="s">
        <v>1057</v>
      </c>
      <c r="F48" s="1128" t="s">
        <v>1038</v>
      </c>
      <c r="G48" s="1130" t="str">
        <f>IF(f_year="","","01.01."&amp;f_year)</f>
        <v>01.01.2023</v>
      </c>
      <c r="H48" s="1130" t="str">
        <f>IF(f_year="","","31.12."&amp;f_year)</f>
        <v>31.12.2023</v>
      </c>
      <c r="I48" s="1788">
        <f>IF(f_year="",TRUE,FALSE)</f>
        <v>0</v>
      </c>
      <c r="J48" s="1791" t="s">
        <v>1058</v>
      </c>
      <c r="K48" s="1792"/>
      <c r="AX48" s="1134" t="s">
        <v>1059</v>
      </c>
      <c r="AZ48" s="1134" t="s">
        <v>760</v>
      </c>
      <c r="BE48" s="1134">
        <v>2046</v>
      </c>
      <c r="BH48" s="1081" t="s">
        <v>1028</v>
      </c>
      <c r="BJ48" s="1235" t="s">
        <v>1060</v>
      </c>
      <c r="BL48" s="1235" t="s">
        <v>1060</v>
      </c>
      <c r="BN48" s="1081" t="s">
        <v>1061</v>
      </c>
    </row>
    <row customHeight="1" ht="11.25">
      <c r="A49" s="1087" t="s">
        <v>1062</v>
      </c>
      <c r="E49" s="414" t="s">
        <v>1063</v>
      </c>
      <c r="F49" s="1128" t="s">
        <v>1064</v>
      </c>
      <c r="G49" s="1130" t="str">
        <f>IF(f_year="","","01.01."&amp;f_year)</f>
        <v>01.01.2023</v>
      </c>
      <c r="H49" s="1130" t="str">
        <f>IF(f_year="","","31.12."&amp;f_year)</f>
        <v>31.12.2023</v>
      </c>
      <c r="I49" s="1788">
        <f>IF(f_year="",TRUE,FALSE)</f>
        <v>0</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92"/>
      <c r="AX49" s="1134" t="s">
        <v>1065</v>
      </c>
      <c r="AZ49" s="1134" t="s">
        <v>776</v>
      </c>
      <c r="BE49" s="1134">
        <v>2047</v>
      </c>
      <c r="BH49" s="1081" t="s">
        <v>1066</v>
      </c>
      <c r="BJ49" s="1235" t="s">
        <v>1067</v>
      </c>
      <c r="BL49" s="1235" t="s">
        <v>1067</v>
      </c>
    </row>
    <row customHeight="1" ht="11.25">
      <c r="A50" s="1087" t="s">
        <v>1068</v>
      </c>
      <c r="E50" s="414" t="s">
        <v>1069</v>
      </c>
      <c r="F50" s="1128" t="s">
        <v>1070</v>
      </c>
      <c r="G50" s="1130" t="str">
        <f>IF(f_year="","","01.01."&amp;f_year)</f>
        <v>01.01.2023</v>
      </c>
      <c r="H50" s="1130" t="str">
        <f>IF(f_year="","","31.12."&amp;f_year)</f>
        <v>31.12.2023</v>
      </c>
      <c r="I50" s="1788">
        <f>IF(f_year="",TRUE,FALSE)</f>
        <v>0</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92"/>
      <c r="AX50" s="1134" t="s">
        <v>1071</v>
      </c>
      <c r="AZ50" s="1134" t="s">
        <v>792</v>
      </c>
      <c r="BE50" s="1134">
        <v>2048</v>
      </c>
      <c r="BH50" s="1081" t="s">
        <v>1035</v>
      </c>
      <c r="BJ50" s="1235" t="s">
        <v>1072</v>
      </c>
      <c r="BL50" s="1235" t="s">
        <v>1072</v>
      </c>
    </row>
    <row customHeight="1" ht="11.25">
      <c r="A51" s="1087" t="s">
        <v>1073</v>
      </c>
      <c r="E51" s="414" t="s">
        <v>1074</v>
      </c>
      <c r="F51" s="1128" t="s">
        <v>1075</v>
      </c>
      <c r="G51" s="1130" t="str">
        <f>IF(TITLE_PERIOD_START="","",TITLE_PERIOD_START)</f>
        <v/>
      </c>
      <c r="H51" s="1130" t="str">
        <f>IF(TITLE_PERIOD_END="","",TITLE_PERIOD_END)</f>
        <v/>
      </c>
      <c r="I51" s="1789">
        <f>IF(OR(TITLE_PERIOD_START="",TITLE_PERIOD_END=""),TRUE,FALSE)</f>
        <v>1</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1076</v>
      </c>
      <c r="AZ51" s="1134" t="s">
        <v>808</v>
      </c>
      <c r="BE51" s="1134">
        <v>2049</v>
      </c>
      <c r="BH51" s="1081" t="s">
        <v>1045</v>
      </c>
      <c r="BJ51" s="1235" t="s">
        <v>1077</v>
      </c>
      <c r="BL51" s="1235" t="s">
        <v>1077</v>
      </c>
    </row>
    <row customHeight="1" ht="11.25">
      <c r="A52" s="1087" t="s">
        <v>1078</v>
      </c>
      <c r="E52" s="414" t="s">
        <v>1079</v>
      </c>
      <c r="F52" s="1128" t="s">
        <v>1080</v>
      </c>
      <c r="G52" s="1130" t="str">
        <f>IF(TITLE_PERIOD_START="","",TITLE_PERIOD_START)</f>
        <v/>
      </c>
      <c r="H52" s="1130" t="str">
        <f>IF(TITLE_PERIOD_END="","",TITLE_PERIOD_END)</f>
        <v/>
      </c>
      <c r="I52" s="1789">
        <f>IF(OR(TITLE_PERIOD_START="",TITLE_PERIOD_END=""),TRUE,FALSE)</f>
        <v>1</v>
      </c>
      <c r="J52" s="179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92"/>
      <c r="AX52" s="1134" t="s">
        <v>1081</v>
      </c>
      <c r="AZ52" s="1134" t="s">
        <v>604</v>
      </c>
      <c r="BE52" s="1134">
        <v>2050</v>
      </c>
      <c r="BH52" s="1081" t="s">
        <v>1050</v>
      </c>
      <c r="BJ52" s="1235" t="s">
        <v>1019</v>
      </c>
      <c r="BL52" s="1235" t="s">
        <v>1019</v>
      </c>
    </row>
    <row customHeight="1" ht="11.25">
      <c r="A53" s="1087" t="s">
        <v>1082</v>
      </c>
      <c r="E53" s="414" t="s">
        <v>1083</v>
      </c>
      <c r="F53" s="1128" t="s">
        <v>1083</v>
      </c>
      <c r="G53" s="1130" t="str">
        <f>IF(f_year="","","01.01."&amp;f_year)</f>
        <v>01.01.2023</v>
      </c>
      <c r="H53" s="1130" t="str">
        <f>IF(f_year="","","31.12."&amp;f_year)</f>
        <v>31.12.2023</v>
      </c>
      <c r="I53" s="1788">
        <f>IF(AND(f_year="",TITLE_DATE_FIL=""),TRUE,FALSE)</f>
        <v>0</v>
      </c>
      <c r="J53" s="1791" t="s">
        <v>1084</v>
      </c>
      <c r="K53" s="1792"/>
      <c r="AX53" s="1134" t="s">
        <v>1085</v>
      </c>
      <c r="BE53" s="1134">
        <v>2051</v>
      </c>
      <c r="BH53" s="1081" t="s">
        <v>1055</v>
      </c>
      <c r="BJ53" s="1235" t="s">
        <v>1024</v>
      </c>
      <c r="BL53" s="1235" t="s">
        <v>1024</v>
      </c>
    </row>
    <row customHeight="1" ht="11.25">
      <c r="A54" s="1087" t="s">
        <v>1086</v>
      </c>
      <c r="AX54" s="1134" t="s">
        <v>1087</v>
      </c>
      <c r="AZ54" s="1080" t="s">
        <v>1088</v>
      </c>
      <c r="BE54" s="1134">
        <v>2052</v>
      </c>
      <c r="BH54" s="1081" t="s">
        <v>1061</v>
      </c>
      <c r="BJ54" s="1235" t="s">
        <v>1028</v>
      </c>
      <c r="BL54" s="1235" t="s">
        <v>1028</v>
      </c>
    </row>
    <row customHeight="1" ht="11.25">
      <c r="A55" s="1087" t="s">
        <v>1089</v>
      </c>
      <c r="AX55" s="1134" t="s">
        <v>1090</v>
      </c>
      <c r="AZ55" s="1134" t="s">
        <v>606</v>
      </c>
      <c r="BE55" s="1134">
        <v>2053</v>
      </c>
      <c r="BH55" s="1083" t="s">
        <v>18</v>
      </c>
      <c r="BJ55" s="1235" t="s">
        <v>1066</v>
      </c>
      <c r="BL55" s="1235" t="s">
        <v>1066</v>
      </c>
    </row>
    <row customHeight="1" ht="11.25">
      <c r="A56" s="1087" t="s">
        <v>14</v>
      </c>
      <c r="D56" s="1132" t="s">
        <v>1091</v>
      </c>
      <c r="E56" s="1108">
        <v>55</v>
      </c>
      <c r="F56" s="1087" t="s">
        <v>1092</v>
      </c>
      <c r="AX56" s="1134" t="s">
        <v>1093</v>
      </c>
      <c r="AZ56" s="1134" t="s">
        <v>635</v>
      </c>
      <c r="BE56" s="1134">
        <v>2054</v>
      </c>
      <c r="BH56" s="1083" t="s">
        <v>18</v>
      </c>
      <c r="BJ56" s="1235" t="s">
        <v>1035</v>
      </c>
      <c r="BL56" s="1235" t="s">
        <v>1035</v>
      </c>
    </row>
    <row customHeight="1" ht="11.25">
      <c r="A57" s="1087" t="s">
        <v>1094</v>
      </c>
      <c r="D57" s="1132" t="s">
        <v>1095</v>
      </c>
      <c r="E57" s="1108">
        <v>66</v>
      </c>
      <c r="F57" s="1087" t="s">
        <v>1092</v>
      </c>
      <c r="AX57" s="1134" t="s">
        <v>1096</v>
      </c>
      <c r="AZ57" s="1134" t="s">
        <v>670</v>
      </c>
      <c r="BE57" s="1134">
        <v>2055</v>
      </c>
      <c r="BJ57" s="1235" t="s">
        <v>1045</v>
      </c>
      <c r="BL57" s="1235" t="s">
        <v>1045</v>
      </c>
    </row>
    <row customHeight="1" ht="11.25">
      <c r="A58" s="1087" t="s">
        <v>1097</v>
      </c>
      <c r="D58" s="1132" t="s">
        <v>1098</v>
      </c>
      <c r="E58" s="1108">
        <v>44</v>
      </c>
      <c r="F58" s="1087" t="s">
        <v>1092</v>
      </c>
      <c r="AX58" s="1134" t="s">
        <v>1099</v>
      </c>
      <c r="BE58" s="1134">
        <v>2056</v>
      </c>
      <c r="BJ58" s="1235" t="s">
        <v>1050</v>
      </c>
      <c r="BL58" s="1235" t="s">
        <v>1050</v>
      </c>
    </row>
    <row customHeight="1" ht="11.25">
      <c r="A59" s="1087" t="s">
        <v>1100</v>
      </c>
      <c r="D59" s="1132" t="s">
        <v>132</v>
      </c>
      <c r="E59" s="1108" t="s">
        <v>906</v>
      </c>
      <c r="F59" s="1087" t="s">
        <v>1101</v>
      </c>
      <c r="AX59" s="1134" t="s">
        <v>1102</v>
      </c>
      <c r="AZ59" s="1080" t="s">
        <v>1103</v>
      </c>
      <c r="BE59" s="1134">
        <v>2057</v>
      </c>
      <c r="BJ59" s="1235" t="s">
        <v>1055</v>
      </c>
      <c r="BL59" s="1235" t="s">
        <v>1055</v>
      </c>
    </row>
    <row customHeight="1" ht="11.25">
      <c r="A60" s="1087" t="s">
        <v>1104</v>
      </c>
      <c r="D60" s="1132" t="s">
        <v>1105</v>
      </c>
      <c r="E60" s="1108" t="s">
        <v>906</v>
      </c>
      <c r="F60" s="1087" t="s">
        <v>1101</v>
      </c>
      <c r="AX60" s="1134" t="s">
        <v>1106</v>
      </c>
      <c r="AZ60" s="1134" t="s">
        <v>607</v>
      </c>
      <c r="BE60" s="1134">
        <v>2058</v>
      </c>
      <c r="BJ60" s="1235" t="s">
        <v>1061</v>
      </c>
      <c r="BL60" s="1235" t="s">
        <v>1061</v>
      </c>
    </row>
    <row customHeight="1" ht="11.25">
      <c r="A61" s="1087" t="s">
        <v>1107</v>
      </c>
      <c r="D61" s="1132" t="s">
        <v>1108</v>
      </c>
      <c r="E61" s="1108">
        <v>26</v>
      </c>
      <c r="F61" s="1087" t="s">
        <v>1101</v>
      </c>
      <c r="AX61" s="1134" t="s">
        <v>1109</v>
      </c>
      <c r="AZ61" s="1134" t="s">
        <v>636</v>
      </c>
      <c r="BE61" s="1134">
        <v>2059</v>
      </c>
      <c r="BL61" s="1235" t="s">
        <v>1110</v>
      </c>
    </row>
    <row customHeight="1" ht="11.25">
      <c r="A62" s="1087" t="s">
        <v>1111</v>
      </c>
      <c r="D62" s="1132" t="s">
        <v>131</v>
      </c>
      <c r="E62" s="1108">
        <v>30</v>
      </c>
      <c r="F62" s="1087" t="s">
        <v>1101</v>
      </c>
      <c r="AZ62" s="1134" t="s">
        <v>671</v>
      </c>
      <c r="BE62" s="1134">
        <v>2060</v>
      </c>
      <c r="BL62" s="1235" t="s">
        <v>1112</v>
      </c>
    </row>
    <row customHeight="1" ht="11.25">
      <c r="A63" s="1087" t="s">
        <v>1113</v>
      </c>
      <c r="D63" s="1132" t="s">
        <v>1114</v>
      </c>
      <c r="E63" s="1108">
        <v>30</v>
      </c>
      <c r="F63" s="1087" t="s">
        <v>1101</v>
      </c>
      <c r="AZ63" s="1134" t="s">
        <v>703</v>
      </c>
      <c r="BE63" s="1134">
        <v>2061</v>
      </c>
    </row>
    <row customHeight="1" ht="11.25">
      <c r="A64" s="1087" t="s">
        <v>1115</v>
      </c>
      <c r="D64" s="1132" t="s">
        <v>1116</v>
      </c>
      <c r="E64" s="1108">
        <v>30</v>
      </c>
      <c r="F64" s="1087" t="s">
        <v>1101</v>
      </c>
      <c r="AZ64" s="1134" t="s">
        <v>726</v>
      </c>
      <c r="BE64" s="1134">
        <v>2062</v>
      </c>
    </row>
    <row customHeight="1" ht="11.25">
      <c r="A65" s="1087" t="s">
        <v>1117</v>
      </c>
      <c r="D65" s="1087"/>
      <c r="BE65" s="1134">
        <v>2063</v>
      </c>
    </row>
    <row customHeight="1" ht="11.25">
      <c r="A66" s="1087" t="s">
        <v>1118</v>
      </c>
      <c r="AZ66" s="1080" t="s">
        <v>1119</v>
      </c>
      <c r="BE66" s="1134">
        <v>2064</v>
      </c>
    </row>
    <row customHeight="1" ht="11.25">
      <c r="A67" s="1087" t="s">
        <v>1120</v>
      </c>
      <c r="AZ67" s="1134" t="s">
        <v>608</v>
      </c>
      <c r="BE67" s="1134">
        <v>2065</v>
      </c>
    </row>
    <row customHeight="1" ht="11.25">
      <c r="A68" s="1087" t="s">
        <v>1121</v>
      </c>
      <c r="AZ68" s="1134" t="s">
        <v>637</v>
      </c>
      <c r="BE68" s="1134">
        <v>2066</v>
      </c>
      <c r="BH68" s="1080" t="s">
        <v>1122</v>
      </c>
      <c r="BJ68" s="1080" t="s">
        <v>1123</v>
      </c>
      <c r="BL68" s="1080" t="s">
        <v>1124</v>
      </c>
      <c r="BN68" s="1080" t="s">
        <v>1125</v>
      </c>
    </row>
    <row customHeight="1" ht="11.25">
      <c r="A69" s="1087" t="s">
        <v>1126</v>
      </c>
      <c r="AZ69" s="1134" t="s">
        <v>672</v>
      </c>
      <c r="BE69" s="1134">
        <v>2067</v>
      </c>
      <c r="BH69" s="1081" t="s">
        <v>1127</v>
      </c>
      <c r="BI69" s="1131" t="s">
        <v>109</v>
      </c>
      <c r="BJ69" s="1081" t="s">
        <v>1128</v>
      </c>
      <c r="BK69" s="1131" t="s">
        <v>109</v>
      </c>
      <c r="BL69" s="1081" t="s">
        <v>1129</v>
      </c>
      <c r="BN69" s="1081" t="s">
        <v>1130</v>
      </c>
    </row>
    <row customHeight="1" ht="11.25">
      <c r="A70" s="1087" t="s">
        <v>1131</v>
      </c>
      <c r="AZ70" s="1134" t="s">
        <v>704</v>
      </c>
      <c r="BE70" s="1134">
        <v>2068</v>
      </c>
      <c r="BH70" s="1081" t="s">
        <v>1132</v>
      </c>
      <c r="BJ70" s="1081" t="s">
        <v>1133</v>
      </c>
      <c r="BL70" s="1081" t="s">
        <v>1134</v>
      </c>
      <c r="BN70" s="1081" t="s">
        <v>1135</v>
      </c>
    </row>
    <row customHeight="1" ht="11.25">
      <c r="A71" s="1087" t="s">
        <v>1136</v>
      </c>
      <c r="AZ71" s="1134" t="s">
        <v>706</v>
      </c>
      <c r="BE71" s="1134">
        <v>2069</v>
      </c>
      <c r="BH71" s="1081" t="s">
        <v>1137</v>
      </c>
      <c r="BI71" s="1131" t="s">
        <v>89</v>
      </c>
      <c r="BJ71" s="1081" t="s">
        <v>1138</v>
      </c>
      <c r="BK71" s="1131" t="s">
        <v>89</v>
      </c>
      <c r="BL71" s="1081" t="s">
        <v>1139</v>
      </c>
      <c r="BN71" s="1081" t="s">
        <v>1140</v>
      </c>
    </row>
    <row customHeight="1" ht="11.25">
      <c r="A72" s="1087" t="s">
        <v>1141</v>
      </c>
      <c r="AZ72" s="1134" t="s">
        <v>56</v>
      </c>
      <c r="BE72" s="1134">
        <v>2070</v>
      </c>
      <c r="BH72" s="1081" t="s">
        <v>1142</v>
      </c>
      <c r="BJ72" s="1081" t="s">
        <v>1142</v>
      </c>
      <c r="BL72" s="1081" t="s">
        <v>1142</v>
      </c>
      <c r="BN72" s="1081" t="s">
        <v>1143</v>
      </c>
    </row>
    <row customHeight="1" ht="11.25">
      <c r="A73" s="1087" t="s">
        <v>1144</v>
      </c>
      <c r="BH73" s="1081" t="s">
        <v>1145</v>
      </c>
      <c r="BI73" s="1131" t="s">
        <v>111</v>
      </c>
      <c r="BJ73" s="1081" t="s">
        <v>1146</v>
      </c>
      <c r="BK73" s="1131" t="s">
        <v>111</v>
      </c>
      <c r="BL73" s="1081" t="s">
        <v>1147</v>
      </c>
      <c r="BN73" s="1081" t="s">
        <v>1148</v>
      </c>
    </row>
    <row customHeight="1" ht="11.25">
      <c r="A74" s="1087" t="s">
        <v>1149</v>
      </c>
      <c r="BH74" s="1081" t="s">
        <v>1150</v>
      </c>
      <c r="BJ74" s="1081" t="s">
        <v>1151</v>
      </c>
      <c r="BL74" s="1081" t="s">
        <v>1152</v>
      </c>
      <c r="BN74" s="1081" t="s">
        <v>1153</v>
      </c>
    </row>
    <row customHeight="1" ht="11.25">
      <c r="A75" s="1087" t="s">
        <v>1154</v>
      </c>
      <c r="AZ75" s="1080" t="s">
        <v>1155</v>
      </c>
      <c r="BH75" s="1081" t="s">
        <v>1156</v>
      </c>
      <c r="BJ75" s="1081" t="s">
        <v>1156</v>
      </c>
      <c r="BL75" s="1081" t="s">
        <v>1156</v>
      </c>
    </row>
    <row customHeight="1" ht="11.25">
      <c r="A76" s="1087" t="s">
        <v>1157</v>
      </c>
      <c r="AZ76" s="1134" t="s">
        <v>617</v>
      </c>
      <c r="BH76" s="1081" t="s">
        <v>1158</v>
      </c>
      <c r="BJ76" s="1081" t="s">
        <v>1159</v>
      </c>
      <c r="BL76" s="1081" t="s">
        <v>1160</v>
      </c>
    </row>
    <row customHeight="1" ht="11.25">
      <c r="A77" s="1087" t="s">
        <v>1161</v>
      </c>
      <c r="AZ77" s="1134" t="s">
        <v>647</v>
      </c>
    </row>
    <row customHeight="1" ht="11.25">
      <c r="A78" s="1087" t="s">
        <v>1162</v>
      </c>
      <c r="AZ78" s="1134" t="s">
        <v>679</v>
      </c>
    </row>
    <row customHeight="1" ht="11.25">
      <c r="A79" s="1087" t="s">
        <v>1163</v>
      </c>
      <c r="AZ79" s="1134" t="s">
        <v>710</v>
      </c>
      <c r="BH79" s="1080" t="s">
        <v>1164</v>
      </c>
      <c r="BJ79" s="1080" t="s">
        <v>1165</v>
      </c>
      <c r="BL79" s="1080" t="s">
        <v>1166</v>
      </c>
    </row>
    <row customHeight="1" ht="11.25">
      <c r="A80" s="1087" t="s">
        <v>1167</v>
      </c>
      <c r="AZ80" s="1134" t="s">
        <v>731</v>
      </c>
      <c r="BH80" s="1081" t="s">
        <v>1168</v>
      </c>
      <c r="BJ80" s="1081" t="s">
        <v>1169</v>
      </c>
      <c r="BL80" s="1081" t="s">
        <v>1170</v>
      </c>
    </row>
    <row customHeight="1" ht="11.25">
      <c r="A81" s="1087" t="s">
        <v>1171</v>
      </c>
      <c r="AZ81" s="1134" t="s">
        <v>748</v>
      </c>
      <c r="BH81" s="1081" t="s">
        <v>1172</v>
      </c>
      <c r="BJ81" s="1081" t="s">
        <v>1173</v>
      </c>
      <c r="BL81" s="1081" t="s">
        <v>1174</v>
      </c>
    </row>
    <row customHeight="1" ht="11.25">
      <c r="A82" s="1087" t="s">
        <v>1175</v>
      </c>
      <c r="AZ82" s="1134" t="s">
        <v>762</v>
      </c>
      <c r="BH82" s="1081" t="s">
        <v>1176</v>
      </c>
      <c r="BJ82" s="1081" t="s">
        <v>1177</v>
      </c>
      <c r="BL82" s="1081" t="s">
        <v>1178</v>
      </c>
    </row>
    <row customHeight="1" ht="11.25">
      <c r="A83" s="1087" t="s">
        <v>1179</v>
      </c>
      <c r="BH83" s="1081" t="s">
        <v>1180</v>
      </c>
      <c r="BJ83" s="1081" t="s">
        <v>1181</v>
      </c>
      <c r="BL83" s="1081" t="s">
        <v>1182</v>
      </c>
    </row>
    <row customHeight="1" ht="11.25">
      <c r="A84" s="1087" t="s">
        <v>1183</v>
      </c>
      <c r="AZ84" s="1080" t="s">
        <v>1184</v>
      </c>
    </row>
    <row customHeight="1" ht="11.25">
      <c r="A85" s="1087" t="s">
        <v>1185</v>
      </c>
      <c r="AZ85" s="1134" t="s">
        <v>1186</v>
      </c>
    </row>
    <row customHeight="1" ht="11.25">
      <c r="A86" s="1087" t="s">
        <v>1187</v>
      </c>
      <c r="AZ86" s="1134" t="s">
        <v>1188</v>
      </c>
      <c r="BH86" s="1080" t="s">
        <v>1189</v>
      </c>
      <c r="BJ86" s="1080" t="s">
        <v>1190</v>
      </c>
      <c r="BL86" s="1080" t="s">
        <v>1191</v>
      </c>
    </row>
    <row customHeight="1" ht="11.25">
      <c r="A87" s="1087" t="s">
        <v>1192</v>
      </c>
      <c r="AZ87" s="1134" t="s">
        <v>1193</v>
      </c>
      <c r="BH87" s="1081" t="s">
        <v>1194</v>
      </c>
      <c r="BJ87" s="1081" t="s">
        <v>1195</v>
      </c>
      <c r="BL87" s="1081" t="s">
        <v>1196</v>
      </c>
    </row>
    <row customHeight="1" ht="11.25">
      <c r="AZ88" s="1652"/>
      <c r="BH88" s="1081" t="s">
        <v>1197</v>
      </c>
      <c r="BJ88" s="1081" t="s">
        <v>1198</v>
      </c>
      <c r="BL88" s="1081" t="s">
        <v>1199</v>
      </c>
    </row>
    <row customHeight="1" ht="11.25">
      <c r="AZ89" s="1080" t="s">
        <v>1200</v>
      </c>
    </row>
    <row customHeight="1" ht="11.25">
      <c r="AZ90" s="1134" t="s">
        <v>1070</v>
      </c>
    </row>
    <row customHeight="1" ht="11.25">
      <c r="AZ91" s="1134" t="s">
        <v>1201</v>
      </c>
      <c r="BH91" s="1080" t="s">
        <v>1202</v>
      </c>
      <c r="BJ91" s="1080" t="s">
        <v>1203</v>
      </c>
      <c r="BL91" s="1080" t="s">
        <v>1204</v>
      </c>
    </row>
    <row customHeight="1" ht="11.25">
      <c r="AZ92" s="1134" t="s">
        <v>1205</v>
      </c>
      <c r="BH92" s="1081" t="s">
        <v>1206</v>
      </c>
      <c r="BJ92" s="1081" t="s">
        <v>1207</v>
      </c>
      <c r="BL92" s="1081" t="s">
        <v>1208</v>
      </c>
    </row>
    <row customHeight="1" ht="11.25">
      <c r="AZ93" s="1134" t="s">
        <v>1209</v>
      </c>
      <c r="BH93" s="1081" t="s">
        <v>1210</v>
      </c>
      <c r="BJ93" s="1081" t="s">
        <v>1211</v>
      </c>
      <c r="BL93" s="1081" t="s">
        <v>1212</v>
      </c>
    </row>
    <row customHeight="1" ht="11.25">
      <c r="AZ94" s="1134" t="s">
        <v>1213</v>
      </c>
    </row>
    <row r="96" customHeight="1" ht="11.25">
      <c r="AZ96" s="1080" t="s">
        <v>1214</v>
      </c>
      <c r="BH96" s="1080" t="s">
        <v>1215</v>
      </c>
      <c r="BJ96" s="1080" t="s">
        <v>1216</v>
      </c>
      <c r="BL96" s="1080" t="s">
        <v>1217</v>
      </c>
      <c r="BN96" s="1080" t="s">
        <v>1218</v>
      </c>
    </row>
    <row customHeight="1" ht="11.25">
      <c r="AZ97" s="1134" t="s">
        <v>1219</v>
      </c>
      <c r="BH97" s="1081" t="s">
        <v>1220</v>
      </c>
      <c r="BJ97" s="1081" t="s">
        <v>1221</v>
      </c>
      <c r="BL97" s="1081" t="s">
        <v>1222</v>
      </c>
      <c r="BN97" s="1081" t="s">
        <v>1223</v>
      </c>
    </row>
    <row customHeight="1" ht="11.25">
      <c r="AZ98" s="1134" t="s">
        <v>1224</v>
      </c>
      <c r="BH98" s="1081" t="s">
        <v>1225</v>
      </c>
      <c r="BJ98" s="1081" t="s">
        <v>1226</v>
      </c>
      <c r="BL98" s="1081" t="s">
        <v>1227</v>
      </c>
      <c r="BN98" s="1081" t="s">
        <v>1228</v>
      </c>
    </row>
    <row customHeight="1" ht="11.25">
      <c r="AZ99" s="1134" t="s">
        <v>1229</v>
      </c>
      <c r="BH99" s="1081" t="s">
        <v>1230</v>
      </c>
      <c r="BJ99" s="1081" t="s">
        <v>1231</v>
      </c>
      <c r="BL99" s="1081" t="s">
        <v>1232</v>
      </c>
      <c r="BN99" s="1081" t="s">
        <v>1233</v>
      </c>
    </row>
    <row customHeight="1" ht="11.25">
      <c r="BJ100" s="1081" t="s">
        <v>808</v>
      </c>
      <c r="BL100" s="1081" t="s">
        <v>808</v>
      </c>
      <c r="BN100" s="1081" t="s">
        <v>1234</v>
      </c>
    </row>
    <row customHeight="1" ht="11.25">
      <c r="AZ101" s="1738" t="s">
        <v>1235</v>
      </c>
      <c r="BN101" s="1081" t="s">
        <v>1236</v>
      </c>
    </row>
    <row customHeight="1" ht="11.25">
      <c r="AZ102" s="1134" t="s">
        <v>1237</v>
      </c>
      <c r="BN102" s="1081" t="s">
        <v>1238</v>
      </c>
    </row>
    <row customHeight="1" ht="11.25">
      <c r="AZ103" s="1134" t="s">
        <v>1239</v>
      </c>
      <c r="BN103" s="1081" t="s">
        <v>1240</v>
      </c>
    </row>
    <row customHeight="1" ht="11.25">
      <c r="AZ104" s="1134" t="s">
        <v>1241</v>
      </c>
      <c r="BN104" s="1081" t="s">
        <v>1242</v>
      </c>
    </row>
    <row r="107" customHeight="1" ht="11.25">
      <c r="BH107" s="1080" t="s">
        <v>1243</v>
      </c>
      <c r="BJ107" s="1080" t="s">
        <v>1244</v>
      </c>
      <c r="BL107" s="1080" t="s">
        <v>1245</v>
      </c>
      <c r="BN107" s="1080" t="s">
        <v>1246</v>
      </c>
    </row>
    <row customHeight="1" ht="11.25">
      <c r="BH108" s="1081" t="s">
        <v>1247</v>
      </c>
      <c r="BJ108" s="1081" t="s">
        <v>1248</v>
      </c>
      <c r="BL108" s="1081" t="s">
        <v>894</v>
      </c>
      <c r="BN108" s="1081" t="s">
        <v>1249</v>
      </c>
    </row>
    <row customHeight="1" ht="11.25">
      <c r="BH109" s="1081" t="s">
        <v>1250</v>
      </c>
    </row>
    <row customHeight="1" ht="11.25">
      <c r="BH110" s="1081" t="s">
        <v>1250</v>
      </c>
    </row>
    <row r="114" customHeight="1" ht="11.25">
      <c r="BH114" s="1080" t="s">
        <v>1251</v>
      </c>
    </row>
    <row customHeight="1" ht="11.25">
      <c r="BH115" s="1081" t="s">
        <v>604</v>
      </c>
    </row>
    <row customHeight="1" ht="11.25">
      <c r="BH116" s="1081" t="s">
        <v>633</v>
      </c>
    </row>
    <row customHeight="1" ht="11.25">
      <c r="BH117" s="1081" t="s">
        <v>668</v>
      </c>
    </row>
    <row customHeight="1" ht="11.25">
      <c r="BH118" s="1081" t="s">
        <v>701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C9071-256D-D8DB-7A7A-19B627C3FC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937" width="43.140625"/>
    <col min="4" max="5" style="3937" width="36.421875" customWidth="1"/>
    <col min="6" max="8" style="3938" width="36.421875" customWidth="1"/>
  </cols>
  <sheetData>
    <row customHeight="1" ht="9">
      <c r="A1" s="856" t="s">
        <v>1252</v>
      </c>
      <c r="B1" s="856"/>
      <c r="C1" s="995" t="s">
        <v>1253</v>
      </c>
      <c r="D1" s="993" t="s">
        <v>592</v>
      </c>
      <c r="E1" s="993" t="s">
        <v>983</v>
      </c>
      <c r="F1" s="993" t="s">
        <v>594</v>
      </c>
      <c r="G1" s="993" t="s">
        <v>1006</v>
      </c>
      <c r="H1" s="993" t="s">
        <v>1014</v>
      </c>
    </row>
    <row customHeight="1" ht="9">
      <c r="A2" s="996" t="s">
        <v>1254</v>
      </c>
      <c r="B2" s="996"/>
      <c r="C2" s="997" t="str">
        <f>INDEX(TEMPLATE_NUMBER_FORM_LIST,MATCH(TEMPLATE_SPHERE,TEMPLATE_SPHERE_LIST,0))</f>
        <v>10</v>
      </c>
      <c r="D2" s="996" t="s">
        <v>860</v>
      </c>
      <c r="E2" s="996" t="s">
        <v>150</v>
      </c>
      <c r="F2" s="998" t="s">
        <v>150</v>
      </c>
      <c r="G2" s="996" t="s">
        <v>150</v>
      </c>
      <c r="H2" s="999"/>
    </row>
    <row customHeight="1" ht="63">
      <c r="A3" s="856"/>
      <c r="B3" s="856" t="s">
        <v>109</v>
      </c>
      <c r="C3" s="99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7" t="s">
        <v>1255</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8"/>
      <c r="G3" s="999"/>
      <c r="H3" s="856"/>
    </row>
    <row customHeight="1" ht="54">
      <c r="A4" s="856" t="s">
        <v>1256</v>
      </c>
      <c r="B4" s="856" t="s">
        <v>110</v>
      </c>
      <c r="C4" s="997"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96" t="s">
        <v>1257</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96"/>
      <c r="G4" s="996"/>
      <c r="H4" s="856" t="s">
        <v>1258</v>
      </c>
    </row>
    <row customHeight="1" ht="171">
      <c r="A5" s="856" t="s">
        <v>1259</v>
      </c>
      <c r="B5" s="856" t="s">
        <v>89</v>
      </c>
      <c r="C5" s="99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6" t="s">
        <v>1260</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9"/>
      <c r="G5" s="999"/>
      <c r="H5" s="856" t="s">
        <v>1261</v>
      </c>
    </row>
    <row customHeight="1" ht="90">
      <c r="A6" s="856" t="s">
        <v>1262</v>
      </c>
      <c r="B6" s="856" t="s">
        <v>90</v>
      </c>
      <c r="C6" s="99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56" t="s">
        <v>1263</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56"/>
      <c r="G6" s="856"/>
      <c r="H6" s="999"/>
    </row>
    <row customHeight="1" ht="45">
      <c r="A7" s="856" t="s">
        <v>1264</v>
      </c>
      <c r="B7" s="856" t="s">
        <v>111</v>
      </c>
      <c r="C7" s="99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1265</v>
      </c>
      <c r="E7" s="856" t="s">
        <v>1266</v>
      </c>
      <c r="F7" s="999"/>
      <c r="G7" s="999"/>
      <c r="H7" s="999"/>
    </row>
    <row customHeight="1" ht="108">
      <c r="A8" s="856" t="s">
        <v>1267</v>
      </c>
      <c r="B8" s="856" t="s">
        <v>91</v>
      </c>
      <c r="C8" s="99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56" t="s">
        <v>1268</v>
      </c>
      <c r="E8" s="856" t="s">
        <v>1269</v>
      </c>
      <c r="F8" s="999"/>
      <c r="G8" s="999"/>
      <c r="H8" s="999"/>
    </row>
    <row customHeight="1" ht="99">
      <c r="A9" s="856" t="s">
        <v>1270</v>
      </c>
      <c r="B9" s="856"/>
      <c r="C9" s="856" t="s">
        <v>1271</v>
      </c>
      <c r="D9" s="856"/>
      <c r="E9" s="856"/>
      <c r="F9" s="999"/>
      <c r="G9" s="999"/>
      <c r="H9" s="999"/>
    </row>
    <row customHeight="1" ht="126">
      <c r="A10" s="856" t="s">
        <v>1272</v>
      </c>
      <c r="B10" s="856"/>
      <c r="C10" s="856" t="s">
        <v>1273</v>
      </c>
      <c r="D10" s="856"/>
      <c r="E10" s="856"/>
      <c r="F10" s="999"/>
      <c r="G10" s="999"/>
      <c r="H10" s="999"/>
    </row>
    <row customHeight="1" ht="108">
      <c r="A11" s="856" t="s">
        <v>1274</v>
      </c>
      <c r="B11" s="856"/>
      <c r="C11" s="856" t="s">
        <v>1275</v>
      </c>
      <c r="D11" s="856"/>
      <c r="E11" s="856"/>
      <c r="F11" s="999"/>
      <c r="G11" s="999"/>
      <c r="H11" s="999"/>
    </row>
    <row customHeight="1" ht="54">
      <c r="A12" s="856" t="s">
        <v>1276</v>
      </c>
      <c r="B12" s="856"/>
      <c r="C12" s="856" t="s">
        <v>1277</v>
      </c>
      <c r="D12" s="856"/>
      <c r="E12" s="856"/>
      <c r="F12" s="999"/>
      <c r="G12" s="999"/>
      <c r="H12" s="999"/>
    </row>
    <row customHeight="1" ht="45">
      <c r="A13" s="856" t="s">
        <v>1278</v>
      </c>
      <c r="B13" s="856"/>
      <c r="C13" s="856" t="s">
        <v>1279</v>
      </c>
      <c r="D13" s="856"/>
      <c r="E13" s="856"/>
      <c r="F13" s="999"/>
      <c r="G13" s="999"/>
      <c r="H13" s="999"/>
    </row>
    <row customHeight="1" ht="117">
      <c r="A14" s="856" t="s">
        <v>1280</v>
      </c>
      <c r="B14" s="856"/>
      <c r="C14" s="856" t="s">
        <v>1281</v>
      </c>
      <c r="D14" s="856"/>
      <c r="E14" s="856"/>
      <c r="F14" s="999"/>
      <c r="G14" s="999"/>
      <c r="H14" s="999"/>
    </row>
    <row customHeight="1" ht="117">
      <c r="A15" s="856" t="s">
        <v>1282</v>
      </c>
      <c r="B15" s="856"/>
      <c r="C15" s="856" t="s">
        <v>1283</v>
      </c>
      <c r="D15" s="856"/>
      <c r="E15" s="856"/>
      <c r="F15" s="999"/>
      <c r="G15" s="999"/>
      <c r="H15" s="999"/>
    </row>
    <row customHeight="1" ht="63">
      <c r="A16" s="856" t="s">
        <v>1284</v>
      </c>
      <c r="B16" s="856"/>
      <c r="C16" s="856" t="s">
        <v>1285</v>
      </c>
      <c r="D16" s="856"/>
      <c r="E16" s="856"/>
      <c r="F16" s="999"/>
      <c r="G16" s="999"/>
      <c r="H16" s="999"/>
    </row>
    <row customHeight="1" ht="63">
      <c r="A17" s="856" t="s">
        <v>1286</v>
      </c>
      <c r="B17" s="856"/>
      <c r="C17" s="997" t="s">
        <v>1287</v>
      </c>
      <c r="D17" s="856"/>
      <c r="E17" s="856"/>
      <c r="F17" s="999"/>
      <c r="G17" s="999"/>
      <c r="H17" s="999"/>
    </row>
    <row customHeight="1" ht="27">
      <c r="A18" s="856" t="s">
        <v>1288</v>
      </c>
      <c r="B18" s="856"/>
      <c r="C18" s="997" t="s">
        <v>1289</v>
      </c>
      <c r="D18" s="856"/>
      <c r="E18" s="856"/>
      <c r="F18" s="999"/>
      <c r="G18" s="999"/>
      <c r="H18" s="999"/>
    </row>
    <row customHeight="1" ht="54">
      <c r="A19" s="856" t="s">
        <v>1290</v>
      </c>
      <c r="B19" s="856"/>
      <c r="C19" s="997" t="s">
        <v>1291</v>
      </c>
      <c r="D19" s="856"/>
      <c r="E19" s="856"/>
      <c r="F19" s="999"/>
      <c r="G19" s="999"/>
      <c r="H19" s="999"/>
    </row>
    <row customHeight="1" ht="36">
      <c r="A20" s="856" t="s">
        <v>1292</v>
      </c>
      <c r="B20" s="856"/>
      <c r="C20" s="997" t="s">
        <v>1293</v>
      </c>
      <c r="D20" s="856"/>
      <c r="E20" s="856"/>
      <c r="F20" s="999"/>
      <c r="G20" s="999"/>
      <c r="H20" s="999"/>
    </row>
    <row customHeight="1" ht="28.5">
      <c r="A21" s="856" t="s">
        <v>1294</v>
      </c>
      <c r="B21" s="856"/>
      <c r="C21" s="997" t="s">
        <v>1295</v>
      </c>
      <c r="D21" s="856"/>
      <c r="E21" s="856"/>
      <c r="F21" s="999"/>
      <c r="G21" s="999"/>
      <c r="H21" s="999"/>
    </row>
    <row customHeight="1" ht="28.5">
      <c r="A22" s="856" t="s">
        <v>1296</v>
      </c>
      <c r="B22" s="856"/>
      <c r="C22" s="997" t="s">
        <v>1297</v>
      </c>
      <c r="D22" s="856"/>
      <c r="E22" s="856"/>
      <c r="F22" s="999"/>
      <c r="G22" s="999"/>
      <c r="H22" s="999"/>
    </row>
    <row customHeight="1" ht="28.5">
      <c r="A23" s="856" t="s">
        <v>1298</v>
      </c>
      <c r="B23" s="856"/>
      <c r="C23" s="997" t="s">
        <v>1299</v>
      </c>
      <c r="D23" s="856"/>
      <c r="E23" s="856"/>
      <c r="F23" s="999"/>
      <c r="G23" s="999"/>
      <c r="H23" s="999"/>
    </row>
    <row customHeight="1" ht="28.5">
      <c r="A24" s="856" t="s">
        <v>1300</v>
      </c>
      <c r="B24" s="856"/>
      <c r="C24" s="997" t="s">
        <v>1301</v>
      </c>
      <c r="D24" s="856"/>
      <c r="E24" s="856"/>
      <c r="F24" s="999"/>
      <c r="G24" s="999"/>
      <c r="H24" s="999"/>
    </row>
    <row customHeight="1" ht="28.5">
      <c r="A25" s="856" t="s">
        <v>1302</v>
      </c>
      <c r="B25" s="856"/>
      <c r="C25" s="997" t="s">
        <v>1303</v>
      </c>
      <c r="D25" s="856"/>
      <c r="E25" s="856"/>
      <c r="F25" s="999"/>
      <c r="G25" s="999"/>
      <c r="H25" s="999"/>
    </row>
    <row customHeight="1" ht="28.5">
      <c r="A26" s="856" t="s">
        <v>1304</v>
      </c>
      <c r="B26" s="856"/>
      <c r="C26" s="997" t="s">
        <v>1305</v>
      </c>
      <c r="D26" s="856"/>
      <c r="E26" s="856"/>
      <c r="F26" s="999"/>
      <c r="G26" s="999"/>
      <c r="H26" s="999"/>
    </row>
    <row customHeight="1" ht="28.5">
      <c r="A27" s="856" t="s">
        <v>1306</v>
      </c>
      <c r="B27" s="856"/>
      <c r="C27" s="997" t="s">
        <v>1307</v>
      </c>
      <c r="D27" s="856"/>
      <c r="E27" s="856"/>
      <c r="F27" s="999"/>
      <c r="G27" s="999"/>
      <c r="H27" s="999"/>
    </row>
    <row customHeight="1" ht="28.5">
      <c r="A28" s="856" t="s">
        <v>1308</v>
      </c>
      <c r="B28" s="856"/>
      <c r="C28" s="997" t="s">
        <v>1309</v>
      </c>
      <c r="D28" s="856"/>
      <c r="E28" s="856"/>
      <c r="F28" s="999"/>
      <c r="G28" s="999"/>
      <c r="H28" s="999"/>
    </row>
    <row customHeight="1" ht="126">
      <c r="A29" s="856" t="s">
        <v>1310</v>
      </c>
      <c r="B29" s="856" t="s">
        <v>961</v>
      </c>
      <c r="C29" s="997"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56" t="s">
        <v>1311</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99"/>
      <c r="G29" s="999"/>
      <c r="H29" s="856" t="s">
        <v>1312</v>
      </c>
    </row>
    <row customHeight="1" ht="36">
      <c r="A30" s="856" t="s">
        <v>1313</v>
      </c>
      <c r="B30" s="856"/>
      <c r="C30" s="99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56" t="s">
        <v>1314</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897</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0ADB29-C45C-7C13-6155-A48FDCE0DF79}"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3937" width="9.140625"/>
    <col min="3" max="7" style="3981" width="8.00390625" customWidth="1"/>
    <col min="8" max="12" style="3981" width="8.57421875" customWidth="1"/>
    <col min="13" max="14" style="3981" width="27.7109375" customWidth="1"/>
    <col min="15" max="19" style="3981" width="5.140625" customWidth="1"/>
    <col min="20" max="24" style="3981" width="27.7109375" customWidth="1"/>
    <col min="25" max="25" style="3982" width="1.8515625" customWidth="1"/>
    <col min="26" max="26" style="3937" width="27.7109375" customWidth="1"/>
    <col min="27" max="27" style="3983" width="27.7109375" customWidth="1"/>
    <col min="28" max="29" style="3937" width="27.7109375" customWidth="1"/>
    <col min="30" max="30" style="3937" width="3.8515625" customWidth="1"/>
    <col min="31" max="34" style="3937" width="9.140625"/>
  </cols>
  <sheetData>
    <row s="3939" customFormat="1" customHeight="1" ht="18">
      <c r="A1" s="910"/>
      <c r="B1" s="910"/>
      <c r="C1" s="910" t="s">
        <v>1315</v>
      </c>
      <c r="D1" s="910"/>
      <c r="E1" s="910"/>
      <c r="F1" s="910"/>
      <c r="G1" s="910"/>
      <c r="H1" s="910" t="s">
        <v>1316</v>
      </c>
      <c r="I1" s="910"/>
      <c r="J1" s="910"/>
      <c r="K1" s="910"/>
      <c r="L1" s="910"/>
      <c r="M1" s="910" t="s">
        <v>1317</v>
      </c>
      <c r="N1" s="910" t="s">
        <v>1318</v>
      </c>
      <c r="O1" s="2273" t="s">
        <v>1319</v>
      </c>
      <c r="P1" s="2273"/>
      <c r="Q1" s="2273"/>
      <c r="R1" s="2273"/>
      <c r="S1" s="2273"/>
      <c r="T1" s="2273" t="s">
        <v>1317</v>
      </c>
      <c r="U1" s="2273"/>
      <c r="V1" s="2273"/>
      <c r="W1" s="2273"/>
      <c r="X1" s="2273"/>
      <c r="Y1" s="1012"/>
      <c r="Z1" s="2273" t="s">
        <v>1320</v>
      </c>
      <c r="AA1" s="2273"/>
      <c r="AB1" s="2273"/>
      <c r="AC1" s="2273"/>
      <c r="AD1" s="2273"/>
    </row>
    <row customHeight="1" ht="18">
      <c r="A2" s="856"/>
      <c r="B2" s="856"/>
      <c r="C2" s="851" t="s">
        <v>592</v>
      </c>
      <c r="D2" s="851" t="s">
        <v>983</v>
      </c>
      <c r="E2" s="851" t="s">
        <v>594</v>
      </c>
      <c r="F2" s="851" t="s">
        <v>1006</v>
      </c>
      <c r="G2" s="851" t="s">
        <v>1014</v>
      </c>
      <c r="H2" s="853"/>
      <c r="I2" s="853"/>
      <c r="J2" s="853"/>
      <c r="K2" s="853"/>
      <c r="L2" s="853"/>
      <c r="M2" s="853"/>
      <c r="N2" s="853"/>
      <c r="O2" s="851" t="s">
        <v>592</v>
      </c>
      <c r="P2" s="851" t="s">
        <v>983</v>
      </c>
      <c r="Q2" s="851" t="s">
        <v>1006</v>
      </c>
      <c r="R2" s="851" t="s">
        <v>594</v>
      </c>
      <c r="S2" s="851" t="s">
        <v>1014</v>
      </c>
      <c r="T2" s="851" t="s">
        <v>592</v>
      </c>
      <c r="U2" s="851" t="s">
        <v>983</v>
      </c>
      <c r="V2" s="851" t="s">
        <v>1006</v>
      </c>
      <c r="W2" s="851" t="s">
        <v>594</v>
      </c>
      <c r="X2" s="851" t="s">
        <v>1014</v>
      </c>
      <c r="Y2" s="851"/>
      <c r="Z2" s="851" t="s">
        <v>592</v>
      </c>
      <c r="AA2" s="860" t="s">
        <v>983</v>
      </c>
      <c r="AB2" s="851" t="s">
        <v>1006</v>
      </c>
      <c r="AC2" s="851" t="s">
        <v>594</v>
      </c>
      <c r="AD2" s="851" t="s">
        <v>1014</v>
      </c>
    </row>
    <row customHeight="1" ht="162">
      <c r="A3" s="855" t="s">
        <v>23</v>
      </c>
      <c r="B3" s="855"/>
      <c r="C3" s="2277" t="s">
        <v>1321</v>
      </c>
      <c r="D3" s="2278"/>
      <c r="E3" s="2278"/>
      <c r="F3" s="2279"/>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3"/>
      <c r="P3" s="853"/>
      <c r="Q3" s="853"/>
      <c r="R3" s="853"/>
      <c r="S3" s="853"/>
      <c r="T3" s="853"/>
      <c r="U3" s="853"/>
      <c r="V3" s="853"/>
      <c r="W3" s="853"/>
      <c r="X3" s="853"/>
      <c r="Y3" s="1013"/>
      <c r="Z3" s="856" t="s">
        <v>1322</v>
      </c>
      <c r="AA3" s="853" t="s">
        <v>1323</v>
      </c>
      <c r="AB3" s="856" t="s">
        <v>1324</v>
      </c>
      <c r="AC3" s="856" t="s">
        <v>1325</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274" t="s">
        <v>29</v>
      </c>
      <c r="B11" s="911">
        <v>1</v>
      </c>
      <c r="C11" s="2280" t="s">
        <v>948</v>
      </c>
      <c r="D11" s="2280" t="s">
        <v>944</v>
      </c>
      <c r="E11" s="2280" t="s">
        <v>1053</v>
      </c>
      <c r="F11" s="2280" t="s">
        <v>1326</v>
      </c>
      <c r="G11" s="2280"/>
      <c r="H11" s="910" t="s">
        <v>1327</v>
      </c>
      <c r="I11" s="910"/>
      <c r="J11" s="910"/>
      <c r="K11" s="910"/>
      <c r="L11" s="910"/>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3"/>
      <c r="P11" s="853"/>
      <c r="Q11" s="853"/>
      <c r="R11" s="853"/>
      <c r="S11" s="853"/>
      <c r="T11" s="853" t="s">
        <v>1328</v>
      </c>
      <c r="U11" s="853" t="s">
        <v>1329</v>
      </c>
      <c r="V11" s="853"/>
      <c r="W11" s="853"/>
      <c r="X11" s="853"/>
      <c r="Y11" s="1013"/>
      <c r="Z11" s="856" t="s">
        <v>1330</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6"/>
      <c r="AC11" s="856"/>
      <c r="AD11" s="856"/>
    </row>
    <row customHeight="1" ht="45">
      <c r="A12" s="2274"/>
      <c r="B12" s="911">
        <v>2</v>
      </c>
      <c r="C12" s="2281"/>
      <c r="D12" s="2281"/>
      <c r="E12" s="2281"/>
      <c r="F12" s="2281"/>
      <c r="G12" s="2281"/>
      <c r="H12" s="910" t="s">
        <v>1331</v>
      </c>
      <c r="I12" s="910"/>
      <c r="J12" s="910"/>
      <c r="K12" s="910"/>
      <c r="L12" s="910"/>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3"/>
      <c r="P12" s="853"/>
      <c r="Q12" s="853"/>
      <c r="R12" s="853"/>
      <c r="S12" s="853"/>
      <c r="T12" s="853" t="s">
        <v>1332</v>
      </c>
      <c r="U12" s="853" t="s">
        <v>1333</v>
      </c>
      <c r="V12" s="853"/>
      <c r="W12" s="853"/>
      <c r="X12" s="853"/>
      <c r="Y12" s="1013"/>
      <c r="Z12" s="856" t="s">
        <v>1334</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6"/>
      <c r="AC12" s="856"/>
      <c r="AD12" s="856"/>
    </row>
    <row customHeight="1" ht="72">
      <c r="A13" s="2274"/>
      <c r="B13" s="911">
        <v>3</v>
      </c>
      <c r="C13" s="2281"/>
      <c r="D13" s="2281"/>
      <c r="E13" s="2281"/>
      <c r="F13" s="2281"/>
      <c r="G13" s="2281"/>
      <c r="H13" s="2273" t="s">
        <v>1335</v>
      </c>
      <c r="I13" s="910"/>
      <c r="J13" s="910"/>
      <c r="K13" s="910"/>
      <c r="L13" s="910"/>
      <c r="M13" s="854" t="str">
        <f>IF(TEMPLATE_SPHERE="HEAT",T13,U13)</f>
        <v>Количество заявлений о заключении договоров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3"/>
      <c r="P13" s="854"/>
      <c r="Q13" s="854"/>
      <c r="R13" s="854"/>
      <c r="S13" s="853"/>
      <c r="T13" s="853" t="s">
        <v>1336</v>
      </c>
      <c r="U13" s="854" t="s">
        <v>1337</v>
      </c>
      <c r="V13" s="854"/>
      <c r="W13" s="854"/>
      <c r="X13" s="853"/>
      <c r="Y13" s="1013"/>
      <c r="Z13" s="856" t="s">
        <v>1338</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6"/>
      <c r="AC13" s="856"/>
      <c r="AD13" s="856"/>
    </row>
    <row customHeight="1" ht="45">
      <c r="A14" s="2274"/>
      <c r="B14" s="911">
        <v>4</v>
      </c>
      <c r="C14" s="2281"/>
      <c r="D14" s="2281"/>
      <c r="E14" s="2281"/>
      <c r="F14" s="2281"/>
      <c r="G14" s="2281"/>
      <c r="H14" s="2273"/>
      <c r="I14" s="913"/>
      <c r="J14" s="913"/>
      <c r="K14" s="913"/>
      <c r="L14" s="913"/>
      <c r="M14" s="85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1339</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4"/>
      <c r="W14" s="854"/>
      <c r="X14" s="853"/>
      <c r="Y14" s="1013"/>
      <c r="Z14" s="856" t="s">
        <v>1340</v>
      </c>
      <c r="AA14" s="859" t="s">
        <v>1340</v>
      </c>
      <c r="AB14" s="856"/>
      <c r="AC14" s="856"/>
      <c r="AD14" s="856"/>
    </row>
    <row customHeight="1" ht="108">
      <c r="A15" s="2274"/>
      <c r="B15" s="911">
        <v>5</v>
      </c>
      <c r="C15" s="2281"/>
      <c r="D15" s="2281"/>
      <c r="E15" s="2281"/>
      <c r="F15" s="2281"/>
      <c r="G15" s="2281"/>
      <c r="H15" s="2275" t="s">
        <v>1341</v>
      </c>
      <c r="I15" s="912"/>
      <c r="J15" s="912"/>
      <c r="K15" s="912"/>
      <c r="L15" s="912"/>
      <c r="M15" s="85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3"/>
      <c r="P15" s="854"/>
      <c r="Q15" s="854"/>
      <c r="R15" s="854"/>
      <c r="S15" s="853"/>
      <c r="T15" s="853" t="s">
        <v>1342</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4"/>
      <c r="W15" s="854"/>
      <c r="X15" s="853"/>
      <c r="Y15" s="1013"/>
      <c r="Z15" s="856" t="s">
        <v>1343</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6"/>
      <c r="AC15" s="856"/>
      <c r="AD15" s="856"/>
    </row>
    <row customHeight="1" ht="108">
      <c r="A16" s="911"/>
      <c r="B16" s="911">
        <v>6</v>
      </c>
      <c r="C16" s="2282"/>
      <c r="D16" s="2282"/>
      <c r="E16" s="2282"/>
      <c r="F16" s="2282"/>
      <c r="G16" s="2282"/>
      <c r="H16" s="2276"/>
      <c r="I16" s="975"/>
      <c r="J16" s="975"/>
      <c r="K16" s="975"/>
      <c r="L16" s="975"/>
      <c r="M16" s="904"/>
      <c r="N16" s="85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3"/>
      <c r="P16" s="854"/>
      <c r="Q16" s="854"/>
      <c r="R16" s="854"/>
      <c r="S16" s="853"/>
      <c r="T16" s="853"/>
      <c r="U16" s="854"/>
      <c r="V16" s="854"/>
      <c r="W16" s="854"/>
      <c r="X16" s="853"/>
      <c r="Y16" s="1013"/>
      <c r="Z16" s="856" t="s">
        <v>1343</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1057</v>
      </c>
      <c r="B18" s="911">
        <v>1</v>
      </c>
      <c r="C18" s="853" t="s">
        <v>1327</v>
      </c>
      <c r="D18" s="980" t="s">
        <v>1327</v>
      </c>
      <c r="E18" s="853" t="s">
        <v>1327</v>
      </c>
      <c r="F18" s="853" t="s">
        <v>1327</v>
      </c>
      <c r="G18" s="853"/>
      <c r="H18" s="1015"/>
      <c r="I18" s="1018">
        <f>INDEX(TEMPLATE_NUMBER_POINT_FHD,B18,MATCH(TEMPLATE_SPHERE,TEMPLATE_SPHERE_LIST_FOR_NOTE,0))</f>
        <v>1</v>
      </c>
      <c r="J18" s="1018" t="str">
        <f>INDEX(TEMPLATE_DATA_POINT_FHD,B18,MATCH(TEMPLATE_SPHERE,TEMPLATE_SPHERE_LIST_FOR_NOTE,0))</f>
        <v>Выручка от регулируемых видов деятельности в сфере холодного водоснабжения</v>
      </c>
      <c r="K18" s="1018"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холодного водоснабжения</v>
      </c>
      <c r="N18" s="854" t="str">
        <f>IF(K18=0,"",K18)</f>
        <v>Указывается выручка с распределением по видам деятельности.</v>
      </c>
      <c r="O18" s="970">
        <v>1</v>
      </c>
      <c r="P18" s="970">
        <v>1</v>
      </c>
      <c r="Q18" s="970">
        <v>1</v>
      </c>
      <c r="R18" s="970">
        <v>1</v>
      </c>
      <c r="S18" s="970"/>
      <c r="T18" s="977" t="s">
        <v>1344</v>
      </c>
      <c r="U18" s="856" t="s">
        <v>1345</v>
      </c>
      <c r="V18" s="856" t="s">
        <v>1346</v>
      </c>
      <c r="W18" s="856" t="s">
        <v>1347</v>
      </c>
      <c r="X18" s="853"/>
      <c r="Y18" s="1013"/>
      <c r="Z18" s="856" t="s">
        <v>1348</v>
      </c>
      <c r="AA18" s="859" t="s">
        <v>1349</v>
      </c>
      <c r="AB18" s="859" t="s">
        <v>1349</v>
      </c>
      <c r="AC18" s="859" t="s">
        <v>1349</v>
      </c>
      <c r="AD18" s="856"/>
    </row>
    <row customHeight="1" ht="36">
      <c r="A19" s="855"/>
      <c r="B19" s="911">
        <v>2</v>
      </c>
      <c r="C19" s="853" t="s">
        <v>1331</v>
      </c>
      <c r="D19" s="980" t="s">
        <v>1331</v>
      </c>
      <c r="E19" s="853" t="s">
        <v>1331</v>
      </c>
      <c r="F19" s="853" t="s">
        <v>1331</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холодного водоснабжения, включая:</v>
      </c>
      <c r="N19" s="854" t="str">
        <f>IF(K19=0,"",K19)</f>
        <v>Указывается суммарная себестоимость производимых товаров.</v>
      </c>
      <c r="O19" s="970">
        <v>2</v>
      </c>
      <c r="P19" s="970">
        <v>2</v>
      </c>
      <c r="Q19" s="970">
        <v>2</v>
      </c>
      <c r="R19" s="970">
        <v>2</v>
      </c>
      <c r="S19" s="970"/>
      <c r="T19" s="977" t="s">
        <v>1350</v>
      </c>
      <c r="U19" s="856" t="s">
        <v>1351</v>
      </c>
      <c r="V19" s="856" t="s">
        <v>1352</v>
      </c>
      <c r="W19" s="856" t="s">
        <v>1353</v>
      </c>
      <c r="X19" s="853"/>
      <c r="Y19" s="1013"/>
      <c r="Z19" s="856" t="s">
        <v>1354</v>
      </c>
      <c r="AA19" s="859" t="s">
        <v>1354</v>
      </c>
      <c r="AB19" s="859" t="s">
        <v>1354</v>
      </c>
      <c r="AC19" s="859" t="s">
        <v>1354</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8">
        <f>INDEX(TEMPLATE_NOTE_POINT_FHD,B20,MATCH(TEMPLATE_SPHERE,TEMPLATE_SPHERE_LIST_FOR_NOTE,0))</f>
        <v>0</v>
      </c>
      <c r="L20" s="854" t="str">
        <f>IF(I20=0,"",I20)</f>
        <v>2.1</v>
      </c>
      <c r="M20" s="854" t="str">
        <f>IF(J20=0,"",J20)</f>
        <v>Расходы на оплату холодной воды, приобретаемой у других организаций для последующей подачи потребителям</v>
      </c>
      <c r="N20" s="854" t="str">
        <f>IF(K20=0,"",K20)</f>
        <v/>
      </c>
      <c r="O20" s="970" t="s">
        <v>451</v>
      </c>
      <c r="P20" s="970" t="s">
        <v>451</v>
      </c>
      <c r="Q20" s="970" t="s">
        <v>451</v>
      </c>
      <c r="R20" s="970" t="s">
        <v>451</v>
      </c>
      <c r="S20" s="970"/>
      <c r="T20" s="977" t="s">
        <v>1355</v>
      </c>
      <c r="U20" s="856" t="s">
        <v>1356</v>
      </c>
      <c r="V20" s="856" t="s">
        <v>1357</v>
      </c>
      <c r="W20" s="856" t="s">
        <v>1358</v>
      </c>
      <c r="X20" s="853"/>
      <c r="Y20" s="1013"/>
      <c r="Z20" s="856"/>
      <c r="AA20" s="859"/>
      <c r="AB20" s="856"/>
      <c r="AC20" s="856"/>
      <c r="AD20" s="856"/>
    </row>
    <row customHeight="1" ht="36">
      <c r="A21" s="855"/>
      <c r="B21" s="911">
        <v>4</v>
      </c>
      <c r="C21" s="853">
        <v>2</v>
      </c>
      <c r="D21" s="980"/>
      <c r="E21" s="853"/>
      <c r="F21" s="853"/>
      <c r="G21" s="853"/>
      <c r="H21" s="1015"/>
      <c r="I21" s="1018">
        <f>INDEX(TEMPLATE_NUMBER_POINT_FHD,B21,MATCH(TEMPLATE_SPHERE,TEMPLATE_SPHERE_LIST_FOR_NOTE,0))</f>
        <v>0</v>
      </c>
      <c r="J21" s="1018">
        <f>INDEX(TEMPLATE_DATA_POINT_FHD,B21,MATCH(TEMPLATE_SPHERE,TEMPLATE_SPHERE_LIST_FOR_NOTE,0))</f>
        <v>0</v>
      </c>
      <c r="K21" s="1018">
        <f>INDEX(TEMPLATE_NOTE_POINT_FHD,B21,MATCH(TEMPLATE_SPHERE,TEMPLATE_SPHERE_LIST_FOR_NOTE,0))</f>
        <v>0</v>
      </c>
      <c r="L21" s="854" t="str">
        <f>IF(I21=0,"",I21)</f>
        <v/>
      </c>
      <c r="M21" s="854" t="str">
        <f>IF(J21=0,"",J21)</f>
        <v/>
      </c>
      <c r="N21" s="854" t="str">
        <f>IF(K21=0,"",K21)</f>
        <v/>
      </c>
      <c r="O21" s="970" t="s">
        <v>294</v>
      </c>
      <c r="P21" s="970"/>
      <c r="Q21" s="970"/>
      <c r="R21" s="970"/>
      <c r="S21" s="970"/>
      <c r="T21" s="977" t="s">
        <v>1359</v>
      </c>
      <c r="U21" s="856"/>
      <c r="V21" s="856"/>
      <c r="W21" s="856"/>
      <c r="X21" s="853"/>
      <c r="Y21" s="1013"/>
      <c r="Z21" s="856" t="s">
        <v>1360</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294</v>
      </c>
      <c r="R22" s="970"/>
      <c r="S22" s="970"/>
      <c r="T22" s="977"/>
      <c r="U22" s="856"/>
      <c r="V22" s="856" t="s">
        <v>1361</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297</v>
      </c>
      <c r="R23" s="970"/>
      <c r="S23" s="970"/>
      <c r="T23" s="977"/>
      <c r="U23" s="856"/>
      <c r="V23" s="856" t="s">
        <v>1362</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1363</v>
      </c>
      <c r="R24" s="970"/>
      <c r="S24" s="970"/>
      <c r="T24" s="977"/>
      <c r="U24" s="856"/>
      <c r="V24" s="856" t="s">
        <v>1364</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2.2</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70" t="s">
        <v>297</v>
      </c>
      <c r="P25" s="970" t="s">
        <v>294</v>
      </c>
      <c r="Q25" s="970" t="s">
        <v>1365</v>
      </c>
      <c r="R25" s="970" t="s">
        <v>294</v>
      </c>
      <c r="S25" s="970"/>
      <c r="T25" s="977" t="s">
        <v>1366</v>
      </c>
      <c r="U25" s="856" t="s">
        <v>1366</v>
      </c>
      <c r="V25" s="856" t="s">
        <v>1366</v>
      </c>
      <c r="W25" s="856" t="s">
        <v>1366</v>
      </c>
      <c r="X25" s="853"/>
      <c r="Y25" s="1013"/>
      <c r="Z25" s="856"/>
      <c r="AA25" s="859"/>
      <c r="AB25" s="856"/>
      <c r="AC25" s="856"/>
      <c r="AD25" s="856"/>
    </row>
    <row customHeight="1" ht="18">
      <c r="A26" s="855"/>
      <c r="B26" s="911">
        <v>9</v>
      </c>
      <c r="C26" s="853" t="s">
        <v>1367</v>
      </c>
      <c r="D26" s="980"/>
      <c r="E26" s="853"/>
      <c r="F26" s="853"/>
      <c r="G26" s="903"/>
      <c r="H26" s="971"/>
      <c r="I26" s="1018" t="str">
        <f>INDEX(TEMPLATE_NUMBER_POINT_FHD,B26,MATCH(TEMPLATE_SPHERE,TEMPLATE_SPHERE_LIST_FOR_NOTE,0))</f>
        <v>2.2.1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70" t="s">
        <v>1368</v>
      </c>
      <c r="P26" s="970" t="s">
        <v>1369</v>
      </c>
      <c r="Q26" s="970" t="s">
        <v>1370</v>
      </c>
      <c r="R26" s="970" t="s">
        <v>1369</v>
      </c>
      <c r="S26" s="970"/>
      <c r="T26" s="977" t="s">
        <v>1371</v>
      </c>
      <c r="U26" s="977" t="s">
        <v>1371</v>
      </c>
      <c r="V26" s="977" t="s">
        <v>1371</v>
      </c>
      <c r="W26" s="977" t="s">
        <v>1371</v>
      </c>
      <c r="X26" s="853"/>
      <c r="Y26" s="1013"/>
      <c r="Z26" s="856"/>
      <c r="AA26" s="859"/>
      <c r="AB26" s="856"/>
      <c r="AC26" s="856"/>
      <c r="AD26" s="856"/>
    </row>
    <row customHeight="1" ht="18">
      <c r="A27" s="855"/>
      <c r="B27" s="911">
        <v>10</v>
      </c>
      <c r="C27" s="853" t="s">
        <v>1372</v>
      </c>
      <c r="D27" s="980"/>
      <c r="E27" s="853"/>
      <c r="F27" s="853"/>
      <c r="G27" s="903"/>
      <c r="H27" s="971"/>
      <c r="I27" s="1018" t="str">
        <f>INDEX(TEMPLATE_NUMBER_POINT_FHD,B27,MATCH(TEMPLATE_SPHERE,TEMPLATE_SPHERE_LIST_FOR_NOTE,0))</f>
        <v>2.2.2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70" t="s">
        <v>1373</v>
      </c>
      <c r="P27" s="970" t="s">
        <v>1374</v>
      </c>
      <c r="Q27" s="970" t="s">
        <v>1375</v>
      </c>
      <c r="R27" s="970" t="s">
        <v>1374</v>
      </c>
      <c r="S27" s="970"/>
      <c r="T27" s="977" t="s">
        <v>1376</v>
      </c>
      <c r="U27" s="977" t="s">
        <v>1376</v>
      </c>
      <c r="V27" s="977" t="s">
        <v>1376</v>
      </c>
      <c r="W27" s="977" t="s">
        <v>1376</v>
      </c>
      <c r="X27" s="853"/>
      <c r="Y27" s="1013"/>
      <c r="Z27" s="856"/>
      <c r="AA27" s="859"/>
      <c r="AB27" s="856"/>
      <c r="AC27" s="856"/>
      <c r="AD27" s="856"/>
    </row>
    <row customHeight="1" ht="27">
      <c r="A28" s="855"/>
      <c r="B28" s="911">
        <v>11</v>
      </c>
      <c r="C28" s="853">
        <v>7</v>
      </c>
      <c r="D28" s="980"/>
      <c r="E28" s="853"/>
      <c r="F28" s="853"/>
      <c r="G28" s="903"/>
      <c r="H28" s="971"/>
      <c r="I28" s="1018">
        <f>INDEX(TEMPLATE_NUMBER_POINT_FHD,B28,MATCH(TEMPLATE_SPHERE,TEMPLATE_SPHERE_LIST_FOR_NOTE,0))</f>
        <v>0</v>
      </c>
      <c r="J28" s="1018">
        <f>INDEX(TEMPLATE_DATA_POINT_FHD,B28,MATCH(TEMPLATE_SPHERE,TEMPLATE_SPHERE_LIST_FOR_NOTE,0))</f>
        <v>0</v>
      </c>
      <c r="K28" s="1018">
        <f>INDEX(TEMPLATE_NOTE_POINT_FHD,B28,MATCH(TEMPLATE_SPHERE,TEMPLATE_SPHERE_LIST_FOR_NOTE,0))</f>
        <v>0</v>
      </c>
      <c r="L28" s="854" t="str">
        <f>IF(I28=0,"",I28)</f>
        <v/>
      </c>
      <c r="M28" s="854" t="str">
        <f>IF(J28=0,"",J28)</f>
        <v/>
      </c>
      <c r="N28" s="854" t="str">
        <f>IF(K28=0,"",K28)</f>
        <v/>
      </c>
      <c r="O28" s="970" t="s">
        <v>1363</v>
      </c>
      <c r="P28" s="970"/>
      <c r="Q28" s="970"/>
      <c r="R28" s="970"/>
      <c r="S28" s="970"/>
      <c r="T28" s="977" t="s">
        <v>1377</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2.3</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70" t="s">
        <v>1365</v>
      </c>
      <c r="P29" s="970" t="s">
        <v>297</v>
      </c>
      <c r="Q29" s="970"/>
      <c r="R29" s="970" t="s">
        <v>297</v>
      </c>
      <c r="S29" s="970"/>
      <c r="T29" s="977" t="s">
        <v>1378</v>
      </c>
      <c r="U29" s="856" t="s">
        <v>1378</v>
      </c>
      <c r="V29" s="856"/>
      <c r="W29" s="856" t="s">
        <v>1378</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2.4</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70" t="s">
        <v>1379</v>
      </c>
      <c r="P30" s="970" t="s">
        <v>1363</v>
      </c>
      <c r="Q30" s="970" t="s">
        <v>1379</v>
      </c>
      <c r="R30" s="970" t="s">
        <v>1363</v>
      </c>
      <c r="S30" s="970"/>
      <c r="T30" s="977" t="s">
        <v>1380</v>
      </c>
      <c r="U30" s="856" t="s">
        <v>1380</v>
      </c>
      <c r="V30" s="856" t="s">
        <v>1380</v>
      </c>
      <c r="W30" s="856" t="s">
        <v>1380</v>
      </c>
      <c r="X30" s="853"/>
      <c r="Y30" s="1013"/>
      <c r="Z30" s="856"/>
      <c r="AA30" s="859" t="s">
        <v>1381</v>
      </c>
      <c r="AB30" s="859" t="s">
        <v>1381</v>
      </c>
      <c r="AC30" s="859" t="s">
        <v>1381</v>
      </c>
      <c r="AD30" s="856"/>
    </row>
    <row customHeight="1" ht="18">
      <c r="A31" s="855"/>
      <c r="B31" s="911">
        <v>14</v>
      </c>
      <c r="C31" s="853" t="s">
        <v>1382</v>
      </c>
      <c r="D31" s="980"/>
      <c r="E31" s="853"/>
      <c r="F31" s="853"/>
      <c r="G31" s="903"/>
      <c r="H31" s="971"/>
      <c r="I31" s="1018" t="str">
        <f>INDEX(TEMPLATE_NUMBER_POINT_FHD,B31,MATCH(TEMPLATE_SPHERE,TEMPLATE_SPHERE_LIST_FOR_NOTE,0))</f>
        <v>2.4.1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70" t="s">
        <v>1383</v>
      </c>
      <c r="P31" s="970" t="s">
        <v>1384</v>
      </c>
      <c r="Q31" s="970" t="s">
        <v>1383</v>
      </c>
      <c r="R31" s="970" t="s">
        <v>1384</v>
      </c>
      <c r="S31" s="970"/>
      <c r="T31" s="978" t="s">
        <v>1385</v>
      </c>
      <c r="U31" s="856" t="s">
        <v>1385</v>
      </c>
      <c r="V31" s="856" t="s">
        <v>1385</v>
      </c>
      <c r="W31" s="856" t="s">
        <v>1385</v>
      </c>
      <c r="X31" s="853"/>
      <c r="Y31" s="1013"/>
      <c r="Z31" s="856"/>
      <c r="AA31" s="859"/>
      <c r="AB31" s="859"/>
      <c r="AC31" s="859"/>
      <c r="AD31" s="856"/>
    </row>
    <row customHeight="1" ht="36">
      <c r="A32" s="855"/>
      <c r="B32" s="911">
        <v>15</v>
      </c>
      <c r="C32" s="853" t="s">
        <v>1386</v>
      </c>
      <c r="D32" s="980"/>
      <c r="E32" s="853"/>
      <c r="F32" s="853"/>
      <c r="G32" s="903"/>
      <c r="H32" s="971"/>
      <c r="I32" s="1018" t="str">
        <f>INDEX(TEMPLATE_NUMBER_POINT_FHD,B32,MATCH(TEMPLATE_SPHERE,TEMPLATE_SPHERE_LIST_FOR_NOTE,0))</f>
        <v>2.4.2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1387</v>
      </c>
      <c r="P32" s="970" t="s">
        <v>1388</v>
      </c>
      <c r="Q32" s="970" t="s">
        <v>1387</v>
      </c>
      <c r="R32" s="970" t="s">
        <v>1388</v>
      </c>
      <c r="S32" s="970"/>
      <c r="T32" s="979" t="s">
        <v>1389</v>
      </c>
      <c r="U32" s="856" t="s">
        <v>1389</v>
      </c>
      <c r="V32" s="856" t="s">
        <v>1389</v>
      </c>
      <c r="W32" s="856" t="s">
        <v>1389</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2.5</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Указывается общая сумма расходов на оплату труда и отчислений на социальные нужды административно-управленческого персонала.</v>
      </c>
      <c r="O33" s="970" t="s">
        <v>1390</v>
      </c>
      <c r="P33" s="970" t="s">
        <v>1365</v>
      </c>
      <c r="Q33" s="970" t="s">
        <v>1390</v>
      </c>
      <c r="R33" s="970" t="s">
        <v>1365</v>
      </c>
      <c r="S33" s="970"/>
      <c r="T33" s="978" t="s">
        <v>1391</v>
      </c>
      <c r="U33" s="856" t="s">
        <v>1391</v>
      </c>
      <c r="V33" s="856" t="s">
        <v>1391</v>
      </c>
      <c r="W33" s="856" t="s">
        <v>1392</v>
      </c>
      <c r="X33" s="853"/>
      <c r="Y33" s="1013"/>
      <c r="Z33" s="856"/>
      <c r="AA33" s="859" t="s">
        <v>1393</v>
      </c>
      <c r="AB33" s="859" t="s">
        <v>1393</v>
      </c>
      <c r="AC33" s="859" t="s">
        <v>1393</v>
      </c>
      <c r="AD33" s="856"/>
    </row>
    <row customHeight="1" ht="27">
      <c r="A34" s="855"/>
      <c r="B34" s="911">
        <v>17</v>
      </c>
      <c r="C34" s="853" t="s">
        <v>1394</v>
      </c>
      <c r="D34" s="980"/>
      <c r="E34" s="853"/>
      <c r="F34" s="853"/>
      <c r="G34" s="903"/>
      <c r="H34" s="971"/>
      <c r="I34" s="1018" t="str">
        <f>INDEX(TEMPLATE_NUMBER_POINT_FHD,B34,MATCH(TEMPLATE_SPHERE,TEMPLATE_SPHERE_LIST_FOR_NOTE,0))</f>
        <v>2.5.1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v>
      </c>
      <c r="N34" s="854" t="str">
        <f>IF(K34=0,"",K34)</f>
        <v/>
      </c>
      <c r="O34" s="970" t="s">
        <v>1395</v>
      </c>
      <c r="P34" s="970" t="s">
        <v>1370</v>
      </c>
      <c r="Q34" s="970" t="s">
        <v>1395</v>
      </c>
      <c r="R34" s="970" t="s">
        <v>1370</v>
      </c>
      <c r="S34" s="970"/>
      <c r="T34" s="979" t="s">
        <v>1396</v>
      </c>
      <c r="U34" s="856" t="s">
        <v>1396</v>
      </c>
      <c r="V34" s="856" t="s">
        <v>1396</v>
      </c>
      <c r="W34" s="856" t="s">
        <v>1397</v>
      </c>
      <c r="X34" s="853"/>
      <c r="Y34" s="1013"/>
      <c r="Z34" s="856"/>
      <c r="AA34" s="859"/>
      <c r="AB34" s="856"/>
      <c r="AC34" s="856"/>
      <c r="AD34" s="856"/>
    </row>
    <row customHeight="1" ht="45">
      <c r="A35" s="855"/>
      <c r="B35" s="911">
        <v>18</v>
      </c>
      <c r="C35" s="853" t="s">
        <v>1398</v>
      </c>
      <c r="D35" s="980"/>
      <c r="E35" s="853"/>
      <c r="F35" s="853"/>
      <c r="G35" s="903"/>
      <c r="H35" s="971"/>
      <c r="I35" s="1018" t="str">
        <f>INDEX(TEMPLATE_NUMBER_POINT_FHD,B35,MATCH(TEMPLATE_SPHERE,TEMPLATE_SPHERE_LIST_FOR_NOTE,0))</f>
        <v>2.5.2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1399</v>
      </c>
      <c r="P35" s="970" t="s">
        <v>1375</v>
      </c>
      <c r="Q35" s="970" t="s">
        <v>1399</v>
      </c>
      <c r="R35" s="970" t="s">
        <v>1375</v>
      </c>
      <c r="S35" s="970"/>
      <c r="T35" s="977" t="s">
        <v>1400</v>
      </c>
      <c r="U35" s="856" t="s">
        <v>1400</v>
      </c>
      <c r="V35" s="856" t="s">
        <v>1400</v>
      </c>
      <c r="W35" s="856" t="s">
        <v>1400</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2.6</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70" t="s">
        <v>1401</v>
      </c>
      <c r="P36" s="970" t="s">
        <v>1379</v>
      </c>
      <c r="Q36" s="970" t="s">
        <v>1401</v>
      </c>
      <c r="R36" s="970" t="s">
        <v>1379</v>
      </c>
      <c r="S36" s="970"/>
      <c r="T36" s="977" t="s">
        <v>1402</v>
      </c>
      <c r="U36" s="856" t="s">
        <v>1402</v>
      </c>
      <c r="V36" s="856" t="s">
        <v>1402</v>
      </c>
      <c r="W36" s="856" t="s">
        <v>1402</v>
      </c>
      <c r="X36" s="853"/>
      <c r="Y36" s="1013"/>
      <c r="Z36" s="856"/>
      <c r="AA36" s="859"/>
      <c r="AB36" s="856"/>
      <c r="AC36" s="856"/>
      <c r="AD36" s="856"/>
    </row>
    <row customHeight="1" ht="18">
      <c r="A37" s="855"/>
      <c r="B37" s="911">
        <v>20</v>
      </c>
      <c r="C37" s="853" t="s">
        <v>1403</v>
      </c>
      <c r="D37" s="980"/>
      <c r="E37" s="853"/>
      <c r="F37" s="853"/>
      <c r="G37" s="903"/>
      <c r="H37" s="971"/>
      <c r="I37" s="1018" t="str">
        <f>INDEX(TEMPLATE_NUMBER_POINT_FHD,B37,MATCH(TEMPLATE_SPHERE,TEMPLATE_SPHERE_LIST_FOR_NOTE,0))</f>
        <v>2.6.1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2.6.1</v>
      </c>
      <c r="M37" s="854" t="str">
        <f>IF(J37=0,"",J37)</f>
        <v>Расходы на амортизацию основных средств</v>
      </c>
      <c r="N37" s="854" t="str">
        <f>IF(K37=0,"",K37)</f>
        <v/>
      </c>
      <c r="O37" s="970" t="s">
        <v>1404</v>
      </c>
      <c r="P37" s="970" t="s">
        <v>1383</v>
      </c>
      <c r="Q37" s="970" t="s">
        <v>1404</v>
      </c>
      <c r="R37" s="970" t="s">
        <v>1383</v>
      </c>
      <c r="S37" s="970"/>
      <c r="T37" s="977" t="s">
        <v>1405</v>
      </c>
      <c r="U37" s="856" t="s">
        <v>1405</v>
      </c>
      <c r="V37" s="856" t="s">
        <v>1405</v>
      </c>
      <c r="W37" s="856" t="s">
        <v>1405</v>
      </c>
      <c r="X37" s="853"/>
      <c r="Y37" s="1013"/>
      <c r="Z37" s="856"/>
      <c r="AA37" s="859"/>
      <c r="AB37" s="856"/>
      <c r="AC37" s="856"/>
      <c r="AD37" s="856"/>
    </row>
    <row customHeight="1" ht="18">
      <c r="A38" s="855"/>
      <c r="B38" s="911">
        <v>21</v>
      </c>
      <c r="C38" s="853" t="s">
        <v>1406</v>
      </c>
      <c r="D38" s="980"/>
      <c r="E38" s="853"/>
      <c r="F38" s="853"/>
      <c r="G38" s="903"/>
      <c r="H38" s="971"/>
      <c r="I38" s="1018" t="str">
        <f>INDEX(TEMPLATE_NUMBER_POINT_FHD,B38,MATCH(TEMPLATE_SPHERE,TEMPLATE_SPHERE_LIST_FOR_NOTE,0))</f>
        <v>2.6.2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70" t="s">
        <v>1407</v>
      </c>
      <c r="P38" s="970" t="s">
        <v>1387</v>
      </c>
      <c r="Q38" s="970" t="s">
        <v>1407</v>
      </c>
      <c r="R38" s="970" t="s">
        <v>1387</v>
      </c>
      <c r="S38" s="970"/>
      <c r="T38" s="977" t="s">
        <v>1408</v>
      </c>
      <c r="U38" s="856" t="s">
        <v>1408</v>
      </c>
      <c r="V38" s="856" t="s">
        <v>1408</v>
      </c>
      <c r="W38" s="856" t="s">
        <v>1408</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2.7</v>
      </c>
      <c r="J39" s="10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8">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холодного водоснабжения</v>
      </c>
      <c r="N39" s="854" t="str">
        <f>IF(K39=0,"",K39)</f>
        <v/>
      </c>
      <c r="O39" s="970" t="s">
        <v>1409</v>
      </c>
      <c r="P39" s="970" t="s">
        <v>1390</v>
      </c>
      <c r="Q39" s="970" t="s">
        <v>1409</v>
      </c>
      <c r="R39" s="970" t="s">
        <v>1390</v>
      </c>
      <c r="S39" s="970"/>
      <c r="T39" s="977" t="s">
        <v>1410</v>
      </c>
      <c r="U39" s="856" t="s">
        <v>1411</v>
      </c>
      <c r="V39" s="856" t="s">
        <v>1412</v>
      </c>
      <c r="W39" s="856" t="s">
        <v>1413</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2.8</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70" t="s">
        <v>1414</v>
      </c>
      <c r="P40" s="970" t="s">
        <v>1401</v>
      </c>
      <c r="Q40" s="970" t="s">
        <v>1414</v>
      </c>
      <c r="R40" s="970" t="s">
        <v>1401</v>
      </c>
      <c r="S40" s="970"/>
      <c r="T40" s="853" t="s">
        <v>1415</v>
      </c>
      <c r="U40" s="853" t="s">
        <v>1415</v>
      </c>
      <c r="V40" s="853" t="s">
        <v>1415</v>
      </c>
      <c r="W40" s="853" t="s">
        <v>1415</v>
      </c>
      <c r="X40" s="853"/>
      <c r="Y40" s="1013"/>
      <c r="Z40" s="856" t="s">
        <v>1416</v>
      </c>
      <c r="AA40" s="859" t="s">
        <v>1416</v>
      </c>
      <c r="AB40" s="859" t="s">
        <v>1416</v>
      </c>
      <c r="AC40" s="859" t="s">
        <v>1416</v>
      </c>
      <c r="AD40" s="856"/>
    </row>
    <row customHeight="1" ht="27">
      <c r="A41" s="855"/>
      <c r="B41" s="911">
        <v>24</v>
      </c>
      <c r="C41" s="853" t="s">
        <v>1417</v>
      </c>
      <c r="D41" s="980"/>
      <c r="E41" s="853"/>
      <c r="F41" s="853"/>
      <c r="G41" s="853"/>
      <c r="H41" s="903"/>
      <c r="I41" s="1018" t="str">
        <f>INDEX(TEMPLATE_NUMBER_POINT_FHD,B41,MATCH(TEMPLATE_SPHERE,TEMPLATE_SPHERE_LIST_FOR_NOTE,0))</f>
        <v>2.8.1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1418</v>
      </c>
      <c r="P41" s="970" t="s">
        <v>1404</v>
      </c>
      <c r="Q41" s="970" t="s">
        <v>1418</v>
      </c>
      <c r="R41" s="970" t="s">
        <v>1404</v>
      </c>
      <c r="S41" s="970"/>
      <c r="T41" s="853" t="s">
        <v>1419</v>
      </c>
      <c r="U41" s="853" t="s">
        <v>1419</v>
      </c>
      <c r="V41" s="853" t="s">
        <v>1419</v>
      </c>
      <c r="W41" s="853" t="s">
        <v>1419</v>
      </c>
      <c r="X41" s="853"/>
      <c r="Y41" s="1013"/>
      <c r="Z41" s="856" t="s">
        <v>1420</v>
      </c>
      <c r="AA41" s="856" t="s">
        <v>1420</v>
      </c>
      <c r="AB41" s="856" t="s">
        <v>1420</v>
      </c>
      <c r="AC41" s="856" t="s">
        <v>1420</v>
      </c>
      <c r="AD41" s="856"/>
    </row>
    <row customHeight="1" ht="27">
      <c r="A42" s="855"/>
      <c r="B42" s="911">
        <v>25</v>
      </c>
      <c r="C42" s="853" t="s">
        <v>1421</v>
      </c>
      <c r="D42" s="980"/>
      <c r="E42" s="853"/>
      <c r="F42" s="853"/>
      <c r="G42" s="853"/>
      <c r="H42" s="903"/>
      <c r="I42" s="1018" t="str">
        <f>INDEX(TEMPLATE_NUMBER_POINT_FHD,B42,MATCH(TEMPLATE_SPHERE,TEMPLATE_SPHERE_LIST_FOR_NOTE,0))</f>
        <v>2.8.2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1422</v>
      </c>
      <c r="P42" s="970" t="s">
        <v>1407</v>
      </c>
      <c r="Q42" s="970" t="s">
        <v>1422</v>
      </c>
      <c r="R42" s="970" t="s">
        <v>1407</v>
      </c>
      <c r="S42" s="970"/>
      <c r="T42" s="853" t="s">
        <v>1423</v>
      </c>
      <c r="U42" s="853" t="s">
        <v>1423</v>
      </c>
      <c r="V42" s="853" t="s">
        <v>1423</v>
      </c>
      <c r="W42" s="853" t="s">
        <v>1423</v>
      </c>
      <c r="X42" s="853"/>
      <c r="Y42" s="1013"/>
      <c r="Z42" s="856" t="s">
        <v>1424</v>
      </c>
      <c r="AA42" s="856" t="s">
        <v>1424</v>
      </c>
      <c r="AB42" s="856" t="s">
        <v>1424</v>
      </c>
      <c r="AC42" s="856" t="s">
        <v>1424</v>
      </c>
      <c r="AD42" s="856"/>
    </row>
    <row customHeight="1" ht="18">
      <c r="A43" s="855"/>
      <c r="B43" s="911">
        <v>26</v>
      </c>
      <c r="C43" s="853">
        <v>14</v>
      </c>
      <c r="D43" s="980"/>
      <c r="E43" s="853"/>
      <c r="F43" s="853"/>
      <c r="G43" s="853"/>
      <c r="H43" s="903"/>
      <c r="I43" s="1018" t="str">
        <f>INDEX(TEMPLATE_NUMBER_POINT_FHD,B43,MATCH(TEMPLATE_SPHERE,TEMPLATE_SPHERE_LIST_FOR_NOTE,0))</f>
        <v>2.9</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70" t="s">
        <v>1425</v>
      </c>
      <c r="P43" s="970" t="s">
        <v>1409</v>
      </c>
      <c r="Q43" s="970" t="s">
        <v>1425</v>
      </c>
      <c r="R43" s="970" t="s">
        <v>1409</v>
      </c>
      <c r="S43" s="970"/>
      <c r="T43" s="853" t="s">
        <v>1426</v>
      </c>
      <c r="U43" s="853" t="s">
        <v>1426</v>
      </c>
      <c r="V43" s="853" t="s">
        <v>1426</v>
      </c>
      <c r="W43" s="853" t="s">
        <v>1426</v>
      </c>
      <c r="X43" s="853"/>
      <c r="Y43" s="1013"/>
      <c r="Z43" s="856" t="s">
        <v>1427</v>
      </c>
      <c r="AA43" s="856" t="s">
        <v>1427</v>
      </c>
      <c r="AB43" s="856" t="s">
        <v>1427</v>
      </c>
      <c r="AC43" s="856" t="s">
        <v>1427</v>
      </c>
      <c r="AD43" s="856"/>
    </row>
    <row customHeight="1" ht="27">
      <c r="A44" s="855"/>
      <c r="B44" s="911">
        <v>27</v>
      </c>
      <c r="C44" s="853" t="s">
        <v>1428</v>
      </c>
      <c r="D44" s="980"/>
      <c r="E44" s="853"/>
      <c r="F44" s="853"/>
      <c r="G44" s="853"/>
      <c r="H44" s="903"/>
      <c r="I44" s="1018" t="str">
        <f>INDEX(TEMPLATE_NUMBER_POINT_FHD,B44,MATCH(TEMPLATE_SPHERE,TEMPLATE_SPHERE_LIST_FOR_NOTE,0))</f>
        <v>2.9.1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1429</v>
      </c>
      <c r="P44" s="970" t="s">
        <v>1430</v>
      </c>
      <c r="Q44" s="970" t="s">
        <v>1429</v>
      </c>
      <c r="R44" s="970" t="s">
        <v>1430</v>
      </c>
      <c r="S44" s="970"/>
      <c r="T44" s="853" t="s">
        <v>1419</v>
      </c>
      <c r="U44" s="853" t="s">
        <v>1419</v>
      </c>
      <c r="V44" s="853" t="s">
        <v>1419</v>
      </c>
      <c r="W44" s="853" t="s">
        <v>1419</v>
      </c>
      <c r="X44" s="853"/>
      <c r="Y44" s="1013"/>
      <c r="Z44" s="856" t="s">
        <v>1431</v>
      </c>
      <c r="AA44" s="856" t="s">
        <v>1431</v>
      </c>
      <c r="AB44" s="856" t="s">
        <v>1431</v>
      </c>
      <c r="AC44" s="856" t="s">
        <v>1431</v>
      </c>
      <c r="AD44" s="856"/>
    </row>
    <row customHeight="1" ht="27">
      <c r="A45" s="855"/>
      <c r="B45" s="911">
        <v>28</v>
      </c>
      <c r="C45" s="853" t="s">
        <v>1432</v>
      </c>
      <c r="D45" s="980"/>
      <c r="E45" s="853"/>
      <c r="F45" s="853"/>
      <c r="G45" s="853"/>
      <c r="H45" s="903"/>
      <c r="I45" s="1018" t="str">
        <f>INDEX(TEMPLATE_NUMBER_POINT_FHD,B45,MATCH(TEMPLATE_SPHERE,TEMPLATE_SPHERE_LIST_FOR_NOTE,0))</f>
        <v>2.9.2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1433</v>
      </c>
      <c r="P45" s="970" t="s">
        <v>1434</v>
      </c>
      <c r="Q45" s="970" t="s">
        <v>1433</v>
      </c>
      <c r="R45" s="970" t="s">
        <v>1434</v>
      </c>
      <c r="S45" s="970"/>
      <c r="T45" s="853" t="s">
        <v>1423</v>
      </c>
      <c r="U45" s="853" t="s">
        <v>1423</v>
      </c>
      <c r="V45" s="853" t="s">
        <v>1423</v>
      </c>
      <c r="W45" s="853" t="s">
        <v>1423</v>
      </c>
      <c r="X45" s="853"/>
      <c r="Y45" s="1013"/>
      <c r="Z45" s="856" t="s">
        <v>1435</v>
      </c>
      <c r="AA45" s="856" t="s">
        <v>1435</v>
      </c>
      <c r="AB45" s="856" t="s">
        <v>1435</v>
      </c>
      <c r="AC45" s="856" t="s">
        <v>1435</v>
      </c>
      <c r="AD45" s="856"/>
    </row>
    <row customHeight="1" ht="54">
      <c r="A46" s="855"/>
      <c r="B46" s="911">
        <v>29</v>
      </c>
      <c r="C46" s="853">
        <v>15</v>
      </c>
      <c r="D46" s="980"/>
      <c r="E46" s="853"/>
      <c r="F46" s="853"/>
      <c r="G46" s="853"/>
      <c r="H46" s="903"/>
      <c r="I46" s="1018" t="str">
        <f>INDEX(TEMPLATE_NUMBER_POINT_FHD,B46,MATCH(TEMPLATE_SPHERE,TEMPLATE_SPHERE_LIST_FOR_NOTE,0))</f>
        <v>2.10</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1436</v>
      </c>
      <c r="P46" s="970" t="s">
        <v>1414</v>
      </c>
      <c r="Q46" s="970" t="s">
        <v>1436</v>
      </c>
      <c r="R46" s="970" t="s">
        <v>1414</v>
      </c>
      <c r="S46" s="970"/>
      <c r="T46" s="853" t="s">
        <v>1437</v>
      </c>
      <c r="U46" s="853" t="s">
        <v>1437</v>
      </c>
      <c r="V46" s="853" t="s">
        <v>1437</v>
      </c>
      <c r="W46" s="853" t="s">
        <v>1437</v>
      </c>
      <c r="X46" s="853"/>
      <c r="Y46" s="1013"/>
      <c r="Z46" s="856" t="s">
        <v>1438</v>
      </c>
      <c r="AA46" s="856" t="s">
        <v>1439</v>
      </c>
      <c r="AB46" s="856" t="s">
        <v>1439</v>
      </c>
      <c r="AC46" s="856" t="s">
        <v>1439</v>
      </c>
      <c r="AD46" s="856"/>
    </row>
    <row customHeight="1" ht="54">
      <c r="A47" s="855"/>
      <c r="B47" s="911">
        <v>30</v>
      </c>
      <c r="C47" s="853" t="s">
        <v>1440</v>
      </c>
      <c r="D47" s="980"/>
      <c r="E47" s="853"/>
      <c r="F47" s="853"/>
      <c r="G47" s="853"/>
      <c r="H47" s="903"/>
      <c r="I47" s="1018" t="str">
        <f>INDEX(TEMPLATE_NUMBER_POINT_FHD,B47,MATCH(TEMPLATE_SPHERE,TEMPLATE_SPHERE_LIST_FOR_NOTE,0))</f>
        <v>2.10.1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1441</v>
      </c>
      <c r="P47" s="970" t="s">
        <v>1418</v>
      </c>
      <c r="Q47" s="970" t="s">
        <v>1441</v>
      </c>
      <c r="R47" s="970" t="s">
        <v>1418</v>
      </c>
      <c r="S47" s="970"/>
      <c r="T47" s="853" t="s">
        <v>1442</v>
      </c>
      <c r="U47" s="853" t="s">
        <v>1442</v>
      </c>
      <c r="V47" s="853" t="s">
        <v>1442</v>
      </c>
      <c r="W47" s="853" t="s">
        <v>1442</v>
      </c>
      <c r="X47" s="853"/>
      <c r="Y47" s="1013"/>
      <c r="Z47" s="856"/>
      <c r="AA47" s="859"/>
      <c r="AB47" s="859"/>
      <c r="AC47" s="859"/>
      <c r="AD47" s="856"/>
    </row>
    <row customHeight="1" ht="54">
      <c r="A48" s="855"/>
      <c r="B48" s="911">
        <v>31</v>
      </c>
      <c r="C48" s="853">
        <v>16</v>
      </c>
      <c r="D48" s="980"/>
      <c r="E48" s="853"/>
      <c r="F48" s="853"/>
      <c r="G48" s="853"/>
      <c r="H48" s="903"/>
      <c r="I48" s="1018" t="str">
        <f>INDEX(TEMPLATE_NUMBER_POINT_FHD,B48,MATCH(TEMPLATE_SPHERE,TEMPLATE_SPHERE_LIST_FOR_NOTE,0))</f>
        <v>2.11</v>
      </c>
      <c r="J48" s="10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0"/>
      <c r="P48" s="970" t="s">
        <v>1425</v>
      </c>
      <c r="Q48" s="970" t="s">
        <v>1443</v>
      </c>
      <c r="R48" s="970" t="s">
        <v>1425</v>
      </c>
      <c r="S48" s="970"/>
      <c r="T48" s="853"/>
      <c r="U48" s="853" t="s">
        <v>1444</v>
      </c>
      <c r="V48" s="853" t="s">
        <v>1445</v>
      </c>
      <c r="W48" s="853" t="s">
        <v>1445</v>
      </c>
      <c r="X48" s="853"/>
      <c r="Y48" s="1013"/>
      <c r="Z48" s="856"/>
      <c r="AA48" s="859" t="s">
        <v>1439</v>
      </c>
      <c r="AB48" s="859" t="s">
        <v>1439</v>
      </c>
      <c r="AC48" s="859" t="s">
        <v>1439</v>
      </c>
      <c r="AD48" s="856"/>
    </row>
    <row customHeight="1" ht="54">
      <c r="A49" s="855"/>
      <c r="B49" s="911">
        <v>32</v>
      </c>
      <c r="C49" s="853" t="s">
        <v>1446</v>
      </c>
      <c r="D49" s="980"/>
      <c r="E49" s="853"/>
      <c r="F49" s="853"/>
      <c r="G49" s="853"/>
      <c r="H49" s="903"/>
      <c r="I49" s="1018" t="str">
        <f>INDEX(TEMPLATE_NUMBER_POINT_FHD,B49,MATCH(TEMPLATE_SPHERE,TEMPLATE_SPHERE_LIST_FOR_NOTE,0))</f>
        <v>2.11.1</v>
      </c>
      <c r="J49" s="10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8">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70"/>
      <c r="P49" s="970" t="s">
        <v>1429</v>
      </c>
      <c r="Q49" s="970" t="s">
        <v>1447</v>
      </c>
      <c r="R49" s="970" t="s">
        <v>1429</v>
      </c>
      <c r="S49" s="970"/>
      <c r="T49" s="853"/>
      <c r="U49" s="853" t="s">
        <v>1442</v>
      </c>
      <c r="V49" s="853" t="s">
        <v>1442</v>
      </c>
      <c r="W49" s="853" t="s">
        <v>1442</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2.12</v>
      </c>
      <c r="J50" s="10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0" t="s">
        <v>1443</v>
      </c>
      <c r="P50" s="970" t="s">
        <v>1436</v>
      </c>
      <c r="Q50" s="970" t="s">
        <v>1448</v>
      </c>
      <c r="R50" s="970" t="s">
        <v>1436</v>
      </c>
      <c r="S50" s="970"/>
      <c r="T50" s="853" t="s">
        <v>1449</v>
      </c>
      <c r="U50" s="853" t="s">
        <v>1450</v>
      </c>
      <c r="V50" s="853" t="s">
        <v>1451</v>
      </c>
      <c r="W50" s="853" t="s">
        <v>1452</v>
      </c>
      <c r="X50" s="853"/>
      <c r="Y50" s="1013"/>
      <c r="Z50" s="856" t="s">
        <v>1453</v>
      </c>
      <c r="AA50" s="859" t="s">
        <v>1454</v>
      </c>
      <c r="AB50" s="859" t="s">
        <v>1454</v>
      </c>
      <c r="AC50" s="859" t="s">
        <v>1454</v>
      </c>
      <c r="AD50" s="856"/>
    </row>
    <row customHeight="1" ht="27">
      <c r="A51" s="855"/>
      <c r="B51" s="911">
        <v>34</v>
      </c>
      <c r="C51" s="853" t="s">
        <v>1455</v>
      </c>
      <c r="D51" s="980"/>
      <c r="E51" s="853"/>
      <c r="F51" s="853"/>
      <c r="G51" s="853"/>
      <c r="H51" s="903"/>
      <c r="I51" s="1018">
        <f>INDEX(TEMPLATE_NUMBER_POINT_FHD,B51,MATCH(TEMPLATE_SPHERE,TEMPLATE_SPHERE_LIST_FOR_NOTE,0))</f>
        <v>0</v>
      </c>
      <c r="J51" s="1018">
        <f>INDEX(TEMPLATE_DATA_POINT_FHD,B51,MATCH(TEMPLATE_SPHERE,TEMPLATE_SPHERE_LIST_FOR_NOTE,0))</f>
        <v>0</v>
      </c>
      <c r="K51" s="1018">
        <f>INDEX(TEMPLATE_NOTE_POINT_FHD,B51,MATCH(TEMPLATE_SPHERE,TEMPLATE_SPHERE_LIST_FOR_NOTE,0))</f>
        <v>0</v>
      </c>
      <c r="L51" s="854" t="str">
        <f>IF(I51=0,"",I51)</f>
        <v/>
      </c>
      <c r="M51" s="854" t="str">
        <f>IF(J51=0,"",J51)</f>
        <v/>
      </c>
      <c r="N51" s="854" t="str">
        <f>IF(K51=0,"",K51)</f>
        <v/>
      </c>
      <c r="O51" s="970" t="s">
        <v>89</v>
      </c>
      <c r="P51" s="970"/>
      <c r="Q51" s="970"/>
      <c r="R51" s="970"/>
      <c r="S51" s="970"/>
      <c r="T51" s="853" t="s">
        <v>1456</v>
      </c>
      <c r="U51" s="853"/>
      <c r="V51" s="853"/>
      <c r="W51" s="853"/>
      <c r="X51" s="853"/>
      <c r="Y51" s="1013"/>
      <c r="Z51" s="856"/>
      <c r="AA51" s="859"/>
      <c r="AB51" s="859"/>
      <c r="AC51" s="859"/>
      <c r="AD51" s="856"/>
    </row>
    <row customHeight="1" ht="36">
      <c r="A52" s="855"/>
      <c r="B52" s="911">
        <v>35</v>
      </c>
      <c r="C52" s="853" t="s">
        <v>1335</v>
      </c>
      <c r="D52" s="980" t="s">
        <v>1335</v>
      </c>
      <c r="E52" s="853" t="s">
        <v>1335</v>
      </c>
      <c r="F52" s="853" t="s">
        <v>1335</v>
      </c>
      <c r="G52" s="853"/>
      <c r="H52" s="903"/>
      <c r="I52" s="1018" t="str">
        <f>INDEX(TEMPLATE_NUMBER_POINT_FHD,B52,MATCH(TEMPLATE_SPHERE,TEMPLATE_SPHERE_LIST_FOR_NOTE,0))</f>
        <v>3</v>
      </c>
      <c r="J52" s="10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холодного водоснабжения, в том числе:</v>
      </c>
      <c r="N52" s="854" t="str">
        <f>IF(K52=0,"",K52)</f>
        <v>Указывается общая сумма чистой прибыли, полученной от регулируемого вида деятельности.</v>
      </c>
      <c r="O52" s="970" t="s">
        <v>90</v>
      </c>
      <c r="P52" s="970" t="s">
        <v>89</v>
      </c>
      <c r="Q52" s="970" t="s">
        <v>89</v>
      </c>
      <c r="R52" s="970" t="s">
        <v>89</v>
      </c>
      <c r="S52" s="970"/>
      <c r="T52" s="853" t="s">
        <v>1457</v>
      </c>
      <c r="U52" s="853" t="s">
        <v>1458</v>
      </c>
      <c r="V52" s="853" t="s">
        <v>1459</v>
      </c>
      <c r="W52" s="853" t="s">
        <v>1460</v>
      </c>
      <c r="X52" s="853"/>
      <c r="Y52" s="1013"/>
      <c r="Z52" s="856" t="s">
        <v>1461</v>
      </c>
      <c r="AA52" s="859" t="s">
        <v>1461</v>
      </c>
      <c r="AB52" s="859" t="s">
        <v>1461</v>
      </c>
      <c r="AC52" s="859" t="s">
        <v>1461</v>
      </c>
      <c r="AD52" s="856"/>
    </row>
    <row customHeight="1" ht="36">
      <c r="A53" s="855"/>
      <c r="B53" s="911">
        <v>36</v>
      </c>
      <c r="C53" s="853">
        <v>1</v>
      </c>
      <c r="D53" s="980"/>
      <c r="E53" s="853"/>
      <c r="F53" s="853"/>
      <c r="G53" s="853"/>
      <c r="H53" s="903"/>
      <c r="I53" s="1018" t="str">
        <f>INDEX(TEMPLATE_NUMBER_POINT_FHD,B53,MATCH(TEMPLATE_SPHERE,TEMPLATE_SPHERE_LIST_FOR_NOTE,0))</f>
        <v>3.1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1462</v>
      </c>
      <c r="P53" s="970" t="s">
        <v>313</v>
      </c>
      <c r="Q53" s="970" t="s">
        <v>313</v>
      </c>
      <c r="R53" s="970" t="s">
        <v>313</v>
      </c>
      <c r="S53" s="970"/>
      <c r="T53" s="853" t="s">
        <v>1463</v>
      </c>
      <c r="U53" s="853" t="s">
        <v>1463</v>
      </c>
      <c r="V53" s="853" t="s">
        <v>1463</v>
      </c>
      <c r="W53" s="853" t="s">
        <v>1463</v>
      </c>
      <c r="X53" s="853"/>
      <c r="Y53" s="1013"/>
      <c r="Z53" s="856"/>
      <c r="AA53" s="859"/>
      <c r="AB53" s="856"/>
      <c r="AC53" s="856"/>
      <c r="AD53" s="856"/>
    </row>
    <row customHeight="1" ht="18">
      <c r="A54" s="855"/>
      <c r="B54" s="911">
        <v>37</v>
      </c>
      <c r="C54" s="853" t="s">
        <v>1341</v>
      </c>
      <c r="D54" s="980" t="s">
        <v>1341</v>
      </c>
      <c r="E54" s="853" t="s">
        <v>1341</v>
      </c>
      <c r="F54" s="853" t="s">
        <v>1341</v>
      </c>
      <c r="G54" s="853"/>
      <c r="H54" s="903"/>
      <c r="I54" s="1018" t="str">
        <f>INDEX(TEMPLATE_NUMBER_POINT_FHD,B54,MATCH(TEMPLATE_SPHERE,TEMPLATE_SPHERE_LIST_FOR_NOTE,0))</f>
        <v>4</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70" t="s">
        <v>111</v>
      </c>
      <c r="P54" s="970" t="s">
        <v>90</v>
      </c>
      <c r="Q54" s="970" t="s">
        <v>90</v>
      </c>
      <c r="R54" s="970" t="s">
        <v>90</v>
      </c>
      <c r="S54" s="970"/>
      <c r="T54" s="853" t="s">
        <v>1464</v>
      </c>
      <c r="U54" s="853" t="s">
        <v>1464</v>
      </c>
      <c r="V54" s="853" t="s">
        <v>1464</v>
      </c>
      <c r="W54" s="853" t="s">
        <v>1464</v>
      </c>
      <c r="X54" s="853"/>
      <c r="Y54" s="1013"/>
      <c r="Z54" s="856" t="s">
        <v>1465</v>
      </c>
      <c r="AA54" s="856" t="s">
        <v>1465</v>
      </c>
      <c r="AB54" s="856" t="s">
        <v>1465</v>
      </c>
      <c r="AC54" s="856" t="s">
        <v>1465</v>
      </c>
      <c r="AD54" s="856"/>
    </row>
    <row customHeight="1" ht="36">
      <c r="A55" s="855"/>
      <c r="B55" s="911">
        <v>38</v>
      </c>
      <c r="C55" s="853">
        <v>1</v>
      </c>
      <c r="D55" s="980"/>
      <c r="E55" s="853"/>
      <c r="F55" s="853"/>
      <c r="G55" s="853"/>
      <c r="H55" s="903"/>
      <c r="I55" s="1018" t="str">
        <f>INDEX(TEMPLATE_NUMBER_POINT_FHD,B55,MATCH(TEMPLATE_SPHERE,TEMPLATE_SPHERE_LIST_FOR_NOTE,0))</f>
        <v>4.1</v>
      </c>
      <c r="J55" s="1018" t="str">
        <f>INDEX(TEMPLATE_DATA_POINT_FHD,B55,MATCH(TEMPLATE_SPHERE,TEMPLATE_SPHERE_LIST_FOR_NOTE,0))</f>
        <v>Изменение стоимости основных фондов за счет их ввода в эксплуатацию (вывода из эксплуатации)</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70" t="s">
        <v>302</v>
      </c>
      <c r="P55" s="970" t="s">
        <v>1462</v>
      </c>
      <c r="Q55" s="970" t="s">
        <v>1462</v>
      </c>
      <c r="R55" s="970" t="s">
        <v>1462</v>
      </c>
      <c r="S55" s="970"/>
      <c r="T55" s="853" t="s">
        <v>1466</v>
      </c>
      <c r="U55" s="853" t="s">
        <v>1467</v>
      </c>
      <c r="V55" s="853" t="s">
        <v>1467</v>
      </c>
      <c r="W55" s="853" t="s">
        <v>1467</v>
      </c>
      <c r="X55" s="853"/>
      <c r="Y55" s="1013"/>
      <c r="Z55" s="856" t="s">
        <v>1468</v>
      </c>
      <c r="AA55" s="856" t="s">
        <v>1468</v>
      </c>
      <c r="AB55" s="856" t="s">
        <v>1468</v>
      </c>
      <c r="AC55" s="856" t="s">
        <v>1468</v>
      </c>
      <c r="AD55" s="856"/>
    </row>
    <row customHeight="1" ht="27">
      <c r="A56" s="855"/>
      <c r="B56" s="911">
        <v>39</v>
      </c>
      <c r="C56" s="853" t="s">
        <v>426</v>
      </c>
      <c r="D56" s="980"/>
      <c r="E56" s="853"/>
      <c r="F56" s="853"/>
      <c r="G56" s="853"/>
      <c r="H56" s="903"/>
      <c r="I56" s="1018" t="str">
        <f>INDEX(TEMPLATE_NUMBER_POINT_FHD,B56,MATCH(TEMPLATE_SPHERE,TEMPLATE_SPHERE_LIST_FOR_NOTE,0))</f>
        <v>4.1.1</v>
      </c>
      <c r="J56" s="1018" t="str">
        <f>INDEX(TEMPLATE_DATA_POINT_FHD,B56,MATCH(TEMPLATE_SPHERE,TEMPLATE_SPHERE_LIST_FOR_NOTE,0))</f>
        <v>Изменение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1469</v>
      </c>
      <c r="P56" s="970" t="s">
        <v>1470</v>
      </c>
      <c r="Q56" s="970" t="s">
        <v>1470</v>
      </c>
      <c r="R56" s="970" t="s">
        <v>1470</v>
      </c>
      <c r="S56" s="970"/>
      <c r="T56" s="853" t="s">
        <v>1471</v>
      </c>
      <c r="U56" s="853" t="s">
        <v>1472</v>
      </c>
      <c r="V56" s="853" t="s">
        <v>1472</v>
      </c>
      <c r="W56" s="853" t="s">
        <v>1472</v>
      </c>
      <c r="X56" s="853"/>
      <c r="Y56" s="1013"/>
      <c r="Z56" s="856" t="s">
        <v>1473</v>
      </c>
      <c r="AA56" s="856" t="s">
        <v>1473</v>
      </c>
      <c r="AB56" s="856" t="s">
        <v>1473</v>
      </c>
      <c r="AC56" s="856" t="s">
        <v>1473</v>
      </c>
      <c r="AD56" s="856"/>
    </row>
    <row customHeight="1" ht="27">
      <c r="A57" s="855"/>
      <c r="B57" s="911">
        <v>40</v>
      </c>
      <c r="C57" s="853" t="s">
        <v>441</v>
      </c>
      <c r="D57" s="980"/>
      <c r="E57" s="853"/>
      <c r="F57" s="853"/>
      <c r="G57" s="853"/>
      <c r="H57" s="903"/>
      <c r="I57" s="1018" t="str">
        <f>INDEX(TEMPLATE_NUMBER_POINT_FHD,B57,MATCH(TEMPLATE_SPHERE,TEMPLATE_SPHERE_LIST_FOR_NOTE,0))</f>
        <v>4.1.2</v>
      </c>
      <c r="J57" s="1018" t="str">
        <f>INDEX(TEMPLATE_DATA_POINT_FHD,B57,MATCH(TEMPLATE_SPHERE,TEMPLATE_SPHERE_LIST_FOR_NOTE,0))</f>
        <v>Изменение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1474</v>
      </c>
      <c r="P57" s="970" t="s">
        <v>1475</v>
      </c>
      <c r="Q57" s="970" t="s">
        <v>1475</v>
      </c>
      <c r="R57" s="970" t="s">
        <v>1475</v>
      </c>
      <c r="S57" s="970"/>
      <c r="T57" s="853" t="s">
        <v>1476</v>
      </c>
      <c r="U57" s="853" t="s">
        <v>1477</v>
      </c>
      <c r="V57" s="853" t="s">
        <v>1477</v>
      </c>
      <c r="W57" s="853" t="s">
        <v>1477</v>
      </c>
      <c r="X57" s="853"/>
      <c r="Y57" s="1013"/>
      <c r="Z57" s="856" t="s">
        <v>1478</v>
      </c>
      <c r="AA57" s="856" t="s">
        <v>1478</v>
      </c>
      <c r="AB57" s="856" t="s">
        <v>1478</v>
      </c>
      <c r="AC57" s="856" t="s">
        <v>1478</v>
      </c>
      <c r="AD57" s="856"/>
    </row>
    <row customHeight="1" ht="18">
      <c r="A58" s="855"/>
      <c r="B58" s="911">
        <v>41</v>
      </c>
      <c r="C58" s="853">
        <v>2</v>
      </c>
      <c r="D58" s="980"/>
      <c r="E58" s="853"/>
      <c r="F58" s="853"/>
      <c r="G58" s="853"/>
      <c r="H58" s="903"/>
      <c r="I58" s="1018" t="str">
        <f>INDEX(TEMPLATE_NUMBER_POINT_FHD,B58,MATCH(TEMPLATE_SPHERE,TEMPLATE_SPHERE_LIST_FOR_NOTE,0))</f>
        <v>4.2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70" t="s">
        <v>304</v>
      </c>
      <c r="P58" s="970" t="s">
        <v>1479</v>
      </c>
      <c r="Q58" s="970" t="s">
        <v>1479</v>
      </c>
      <c r="R58" s="970" t="s">
        <v>1479</v>
      </c>
      <c r="S58" s="970"/>
      <c r="T58" s="853" t="s">
        <v>1480</v>
      </c>
      <c r="U58" s="853" t="s">
        <v>1480</v>
      </c>
      <c r="V58" s="853" t="s">
        <v>1480</v>
      </c>
      <c r="W58" s="853" t="s">
        <v>1480</v>
      </c>
      <c r="X58" s="853"/>
      <c r="Y58" s="1013"/>
      <c r="Z58" s="856"/>
      <c r="AA58" s="859"/>
      <c r="AB58" s="856"/>
      <c r="AC58" s="856"/>
      <c r="AD58" s="856"/>
    </row>
    <row customHeight="1" ht="36">
      <c r="A59" s="855"/>
      <c r="B59" s="911">
        <v>42</v>
      </c>
      <c r="C59" s="853">
        <v>3</v>
      </c>
      <c r="D59" s="980" t="s">
        <v>1455</v>
      </c>
      <c r="E59" s="853" t="s">
        <v>1455</v>
      </c>
      <c r="F59" s="853" t="s">
        <v>1455</v>
      </c>
      <c r="G59" s="853"/>
      <c r="H59" s="903"/>
      <c r="I59" s="1018" t="str">
        <f>INDEX(TEMPLATE_NUMBER_POINT_FHD,B59,MATCH(TEMPLATE_SPHERE,TEMPLATE_SPHERE_LIST_FOR_NOTE,0))</f>
        <v>5</v>
      </c>
      <c r="J59" s="10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8">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холодного водоснабжения</v>
      </c>
      <c r="N59" s="854" t="str">
        <f>IF(K59=0,"",K59)</f>
        <v/>
      </c>
      <c r="O59" s="970"/>
      <c r="P59" s="970" t="s">
        <v>111</v>
      </c>
      <c r="Q59" s="970" t="s">
        <v>111</v>
      </c>
      <c r="R59" s="970" t="s">
        <v>111</v>
      </c>
      <c r="S59" s="970"/>
      <c r="T59" s="853"/>
      <c r="U59" s="853" t="s">
        <v>1481</v>
      </c>
      <c r="V59" s="853" t="s">
        <v>1482</v>
      </c>
      <c r="W59" s="853" t="s">
        <v>1483</v>
      </c>
      <c r="X59" s="853"/>
      <c r="Y59" s="1013"/>
      <c r="Z59" s="856"/>
      <c r="AA59" s="859"/>
      <c r="AB59" s="856"/>
      <c r="AC59" s="856"/>
      <c r="AD59" s="856"/>
    </row>
    <row customHeight="1" ht="81">
      <c r="A60" s="855"/>
      <c r="B60" s="911">
        <v>43</v>
      </c>
      <c r="C60" s="853" t="s">
        <v>1484</v>
      </c>
      <c r="D60" s="980" t="s">
        <v>1484</v>
      </c>
      <c r="E60" s="853" t="s">
        <v>1484</v>
      </c>
      <c r="F60" s="853" t="s">
        <v>1484</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0" t="s">
        <v>91</v>
      </c>
      <c r="P60" s="970" t="s">
        <v>91</v>
      </c>
      <c r="Q60" s="970" t="s">
        <v>91</v>
      </c>
      <c r="R60" s="970" t="s">
        <v>91</v>
      </c>
      <c r="S60" s="970"/>
      <c r="T60" s="853" t="s">
        <v>1485</v>
      </c>
      <c r="U60" s="853" t="s">
        <v>1485</v>
      </c>
      <c r="V60" s="853" t="s">
        <v>1485</v>
      </c>
      <c r="W60" s="853" t="s">
        <v>1485</v>
      </c>
      <c r="X60" s="853"/>
      <c r="Y60" s="1013"/>
      <c r="Z60" s="856" t="s">
        <v>1486</v>
      </c>
      <c r="AA60" s="859" t="s">
        <v>1487</v>
      </c>
      <c r="AB60" s="856" t="s">
        <v>1488</v>
      </c>
      <c r="AC60" s="856" t="s">
        <v>1487</v>
      </c>
      <c r="AD60" s="856"/>
    </row>
    <row customHeight="1" ht="9">
      <c r="A61" s="855"/>
      <c r="B61" s="911">
        <v>44</v>
      </c>
      <c r="C61" s="853"/>
      <c r="D61" s="980" t="s">
        <v>1489</v>
      </c>
      <c r="E61" s="853"/>
      <c r="F61" s="853"/>
      <c r="G61" s="853"/>
      <c r="H61" s="903"/>
      <c r="I61" s="1018" t="str">
        <f>INDEX(TEMPLATE_NUMBER_POINT_FHD,B61,MATCH(TEMPLATE_SPHERE,TEMPLATE_SPHERE_LIST_FOR_NOTE,0))</f>
        <v>7</v>
      </c>
      <c r="J61" s="1018" t="str">
        <f>INDEX(TEMPLATE_DATA_POINT_FHD,B61,MATCH(TEMPLATE_SPHERE,TEMPLATE_SPHERE_LIST_FOR_NOTE,0))</f>
        <v>Объём поднятой воды</v>
      </c>
      <c r="K61" s="1018">
        <f>INDEX(TEMPLATE_NOTE_POINT_FHD,B61,MATCH(TEMPLATE_SPHERE,TEMPLATE_SPHERE_LIST_FOR_NOTE,0))</f>
        <v>0</v>
      </c>
      <c r="L61" s="854" t="str">
        <f>IF(I61=0,"",I61)</f>
        <v>7</v>
      </c>
      <c r="M61" s="854" t="str">
        <f>IF(J61=0,"",J61)</f>
        <v>Объём поднятой воды</v>
      </c>
      <c r="N61" s="854" t="str">
        <f>IF(K61=0,"",K61)</f>
        <v/>
      </c>
      <c r="O61" s="970"/>
      <c r="P61" s="970" t="s">
        <v>92</v>
      </c>
      <c r="Q61" s="970"/>
      <c r="R61" s="970"/>
      <c r="S61" s="970"/>
      <c r="T61" s="853"/>
      <c r="U61" s="853" t="s">
        <v>1490</v>
      </c>
      <c r="V61" s="853"/>
      <c r="W61" s="853"/>
      <c r="X61" s="853"/>
      <c r="Y61" s="1013"/>
      <c r="Z61" s="856"/>
      <c r="AA61" s="859"/>
      <c r="AB61" s="856"/>
      <c r="AC61" s="856"/>
      <c r="AD61" s="856"/>
    </row>
    <row customHeight="1" ht="9">
      <c r="A62" s="855"/>
      <c r="B62" s="911">
        <v>45</v>
      </c>
      <c r="C62" s="853"/>
      <c r="D62" s="980" t="s">
        <v>1491</v>
      </c>
      <c r="E62" s="853"/>
      <c r="F62" s="853"/>
      <c r="G62" s="853"/>
      <c r="H62" s="903"/>
      <c r="I62" s="1018" t="str">
        <f>INDEX(TEMPLATE_NUMBER_POINT_FHD,B62,MATCH(TEMPLATE_SPHERE,TEMPLATE_SPHERE_LIST_FOR_NOTE,0))</f>
        <v>8</v>
      </c>
      <c r="J62" s="1018" t="str">
        <f>INDEX(TEMPLATE_DATA_POINT_FHD,B62,MATCH(TEMPLATE_SPHERE,TEMPLATE_SPHERE_LIST_FOR_NOTE,0))</f>
        <v>Объём покупной воды</v>
      </c>
      <c r="K62" s="1018">
        <f>INDEX(TEMPLATE_NOTE_POINT_FHD,B62,MATCH(TEMPLATE_SPHERE,TEMPLATE_SPHERE_LIST_FOR_NOTE,0))</f>
        <v>0</v>
      </c>
      <c r="L62" s="854" t="str">
        <f>IF(I62=0,"",I62)</f>
        <v>8</v>
      </c>
      <c r="M62" s="854" t="str">
        <f>IF(J62=0,"",J62)</f>
        <v>Объём покупной воды</v>
      </c>
      <c r="N62" s="854" t="str">
        <f>IF(K62=0,"",K62)</f>
        <v/>
      </c>
      <c r="O62" s="970"/>
      <c r="P62" s="970" t="s">
        <v>112</v>
      </c>
      <c r="Q62" s="970"/>
      <c r="R62" s="970"/>
      <c r="S62" s="970"/>
      <c r="T62" s="853"/>
      <c r="U62" s="853" t="s">
        <v>1492</v>
      </c>
      <c r="V62" s="853"/>
      <c r="W62" s="853"/>
      <c r="X62" s="853"/>
      <c r="Y62" s="1013"/>
      <c r="Z62" s="856"/>
      <c r="AA62" s="859"/>
      <c r="AB62" s="856"/>
      <c r="AC62" s="856"/>
      <c r="AD62" s="856"/>
    </row>
    <row customHeight="1" ht="18">
      <c r="A63" s="855"/>
      <c r="B63" s="911">
        <v>46</v>
      </c>
      <c r="C63" s="853"/>
      <c r="D63" s="980" t="s">
        <v>1493</v>
      </c>
      <c r="E63" s="853"/>
      <c r="F63" s="853"/>
      <c r="G63" s="853"/>
      <c r="H63" s="903"/>
      <c r="I63" s="1018" t="str">
        <f>INDEX(TEMPLATE_NUMBER_POINT_FHD,B63,MATCH(TEMPLATE_SPHERE,TEMPLATE_SPHERE_LIST_FOR_NOTE,0))</f>
        <v>9</v>
      </c>
      <c r="J63" s="1018" t="str">
        <f>INDEX(TEMPLATE_DATA_POINT_FHD,B63,MATCH(TEMPLATE_SPHERE,TEMPLATE_SPHERE_LIST_FOR_NOTE,0))</f>
        <v>Объём воды, пропущенной через очистные сооружения</v>
      </c>
      <c r="K63" s="1018">
        <f>INDEX(TEMPLATE_NOTE_POINT_FHD,B63,MATCH(TEMPLATE_SPHERE,TEMPLATE_SPHERE_LIST_FOR_NOTE,0))</f>
        <v>0</v>
      </c>
      <c r="L63" s="854" t="str">
        <f>IF(I63=0,"",I63)</f>
        <v>9</v>
      </c>
      <c r="M63" s="854" t="str">
        <f>IF(J63=0,"",J63)</f>
        <v>Объём воды, пропущенной через очистные сооружения</v>
      </c>
      <c r="N63" s="854" t="str">
        <f>IF(K63=0,"",K63)</f>
        <v/>
      </c>
      <c r="O63" s="970"/>
      <c r="P63" s="970" t="s">
        <v>149</v>
      </c>
      <c r="Q63" s="970"/>
      <c r="R63" s="970"/>
      <c r="S63" s="970"/>
      <c r="T63" s="853"/>
      <c r="U63" s="853" t="s">
        <v>1494</v>
      </c>
      <c r="V63" s="853"/>
      <c r="W63" s="853"/>
      <c r="X63" s="853"/>
      <c r="Y63" s="1013"/>
      <c r="Z63" s="856"/>
      <c r="AA63" s="859"/>
      <c r="AB63" s="856"/>
      <c r="AC63" s="856"/>
      <c r="AD63" s="856"/>
    </row>
    <row customHeight="1" ht="18">
      <c r="A64" s="855"/>
      <c r="B64" s="911">
        <v>47</v>
      </c>
      <c r="C64" s="853"/>
      <c r="D64" s="980" t="s">
        <v>1495</v>
      </c>
      <c r="E64" s="853"/>
      <c r="F64" s="853"/>
      <c r="G64" s="853"/>
      <c r="H64" s="903"/>
      <c r="I64" s="1018" t="str">
        <f>INDEX(TEMPLATE_NUMBER_POINT_FHD,B64,MATCH(TEMPLATE_SPHERE,TEMPLATE_SPHERE_LIST_FOR_NOTE,0))</f>
        <v>10</v>
      </c>
      <c r="J64" s="1018" t="str">
        <f>INDEX(TEMPLATE_DATA_POINT_FHD,B64,MATCH(TEMPLATE_SPHERE,TEMPLATE_SPHERE_LIST_FOR_NOTE,0))</f>
        <v>Объём отпущенной потребителям воды, в том числе:</v>
      </c>
      <c r="K64" s="1018" t="str">
        <f>INDEX(TEMPLATE_NOTE_POINT_FHD,B64,MATCH(TEMPLATE_SPHERE,TEMPLATE_SPHERE_LIST_FOR_NOTE,0))</f>
        <v>Указывается общий объем отпущенной потребителям воды.</v>
      </c>
      <c r="L64" s="854" t="str">
        <f>IF(I64=0,"",I64)</f>
        <v>10</v>
      </c>
      <c r="M64" s="854" t="str">
        <f>IF(J64=0,"",J64)</f>
        <v>Объём отпущенной потребителям воды, в том числе:</v>
      </c>
      <c r="N64" s="854" t="str">
        <f>IF(K64=0,"",K64)</f>
        <v>Указывается общий объем отпущенной потребителям воды.</v>
      </c>
      <c r="O64" s="970"/>
      <c r="P64" s="970" t="s">
        <v>150</v>
      </c>
      <c r="Q64" s="970"/>
      <c r="R64" s="970"/>
      <c r="S64" s="970"/>
      <c r="T64" s="853"/>
      <c r="U64" s="853" t="s">
        <v>1496</v>
      </c>
      <c r="V64" s="853"/>
      <c r="W64" s="853"/>
      <c r="X64" s="853"/>
      <c r="Y64" s="1013"/>
      <c r="Z64" s="856"/>
      <c r="AA64" s="859" t="s">
        <v>1497</v>
      </c>
      <c r="AB64" s="856"/>
      <c r="AC64" s="856"/>
      <c r="AD64" s="856"/>
    </row>
    <row customHeight="1" ht="18">
      <c r="A65" s="855"/>
      <c r="B65" s="911">
        <v>48</v>
      </c>
      <c r="C65" s="853"/>
      <c r="D65" s="980"/>
      <c r="E65" s="853"/>
      <c r="F65" s="853"/>
      <c r="G65" s="853"/>
      <c r="H65" s="903"/>
      <c r="I65" s="1018" t="str">
        <f>INDEX(TEMPLATE_NUMBER_POINT_FHD,B65,MATCH(TEMPLATE_SPHERE,TEMPLATE_SPHERE_LIST_FOR_NOTE,0))</f>
        <v>10.1</v>
      </c>
      <c r="J65" s="1018" t="str">
        <f>INDEX(TEMPLATE_DATA_POINT_FHD,B65,MATCH(TEMPLATE_SPHERE,TEMPLATE_SPHERE_LIST_FOR_NOTE,0))</f>
        <v>Объём отпущенной потребителям воды, определенный по приборам учета</v>
      </c>
      <c r="K65" s="1018">
        <f>INDEX(TEMPLATE_NOTE_POINT_FHD,B65,MATCH(TEMPLATE_SPHERE,TEMPLATE_SPHERE_LIST_FOR_NOTE,0))</f>
        <v>0</v>
      </c>
      <c r="L65" s="854" t="str">
        <f>IF(I65=0,"",I65)</f>
        <v>10.1</v>
      </c>
      <c r="M65" s="854" t="str">
        <f>IF(J65=0,"",J65)</f>
        <v>Объём отпущенной потребителям воды, определенный по приборам учета</v>
      </c>
      <c r="N65" s="854" t="str">
        <f>IF(K65=0,"",K65)</f>
        <v/>
      </c>
      <c r="O65" s="970"/>
      <c r="P65" s="970" t="s">
        <v>1394</v>
      </c>
      <c r="Q65" s="970"/>
      <c r="R65" s="970"/>
      <c r="S65" s="970"/>
      <c r="T65" s="853"/>
      <c r="U65" s="853" t="s">
        <v>1498</v>
      </c>
      <c r="V65" s="853"/>
      <c r="W65" s="853"/>
      <c r="X65" s="853"/>
      <c r="Y65" s="1013"/>
      <c r="Z65" s="856"/>
      <c r="AA65" s="859"/>
      <c r="AB65" s="856"/>
      <c r="AC65" s="856"/>
      <c r="AD65" s="856"/>
    </row>
    <row customHeight="1" ht="18">
      <c r="A66" s="855"/>
      <c r="B66" s="911">
        <v>49</v>
      </c>
      <c r="C66" s="853"/>
      <c r="D66" s="980"/>
      <c r="E66" s="853"/>
      <c r="F66" s="853"/>
      <c r="G66" s="853"/>
      <c r="H66" s="903"/>
      <c r="I66" s="1018" t="str">
        <f>INDEX(TEMPLATE_NUMBER_POINT_FHD,B66,MATCH(TEMPLATE_SPHERE,TEMPLATE_SPHERE_LIST_FOR_NOTE,0))</f>
        <v>10.2</v>
      </c>
      <c r="J66" s="1018" t="str">
        <f>INDEX(TEMPLATE_DATA_POINT_FHD,B66,MATCH(TEMPLATE_SPHERE,TEMPLATE_SPHERE_LIST_FOR_NOTE,0))</f>
        <v>Объём отпущенной потребителям воды, определенный расчетным способом</v>
      </c>
      <c r="K66" s="1018">
        <f>INDEX(TEMPLATE_NOTE_POINT_FHD,B66,MATCH(TEMPLATE_SPHERE,TEMPLATE_SPHERE_LIST_FOR_NOTE,0))</f>
        <v>0</v>
      </c>
      <c r="L66" s="854" t="str">
        <f>IF(I66=0,"",I66)</f>
        <v>10.2</v>
      </c>
      <c r="M66" s="854" t="str">
        <f>IF(J66=0,"",J66)</f>
        <v>Объём отпущенной потребителям воды, определенный расчетным способом</v>
      </c>
      <c r="N66" s="854" t="str">
        <f>IF(K66=0,"",K66)</f>
        <v/>
      </c>
      <c r="O66" s="970"/>
      <c r="P66" s="970" t="s">
        <v>1398</v>
      </c>
      <c r="Q66" s="970"/>
      <c r="R66" s="970"/>
      <c r="S66" s="970"/>
      <c r="T66" s="853"/>
      <c r="U66" s="853" t="s">
        <v>1499</v>
      </c>
      <c r="V66" s="853"/>
      <c r="W66" s="853"/>
      <c r="X66" s="853"/>
      <c r="Y66" s="1013"/>
      <c r="Z66" s="856"/>
      <c r="AA66" s="859"/>
      <c r="AB66" s="856"/>
      <c r="AC66" s="856"/>
      <c r="AD66" s="856"/>
    </row>
    <row customHeight="1" ht="27">
      <c r="A67" s="855"/>
      <c r="B67" s="911">
        <v>50</v>
      </c>
      <c r="C67" s="853"/>
      <c r="D67" s="980"/>
      <c r="E67" s="853"/>
      <c r="F67" s="853"/>
      <c r="G67" s="853"/>
      <c r="H67" s="903"/>
      <c r="I67" s="1018" t="str">
        <f>INDEX(TEMPLATE_NUMBER_POINT_FHD,B67,MATCH(TEMPLATE_SPHERE,TEMPLATE_SPHERE_LIST_FOR_NOTE,0))</f>
        <v>10.2.1</v>
      </c>
      <c r="J67" s="10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8">
        <f>INDEX(TEMPLATE_NOTE_POINT_FHD,B67,MATCH(TEMPLATE_SPHERE,TEMPLATE_SPHERE_LIST_FOR_NOTE,0))</f>
        <v>0</v>
      </c>
      <c r="L67" s="854" t="str">
        <f>IF(I67=0,"",I67)</f>
        <v>10.2.1</v>
      </c>
      <c r="M67" s="854" t="str">
        <f>IF(J67=0,"",J67)</f>
        <v>Объём отпущенной потребителям воды, определенный по нормативам потребления коммунальных услуг</v>
      </c>
      <c r="N67" s="854" t="str">
        <f>IF(K67=0,"",K67)</f>
        <v/>
      </c>
      <c r="O67" s="970"/>
      <c r="P67" s="970" t="s">
        <v>1500</v>
      </c>
      <c r="Q67" s="970"/>
      <c r="R67" s="970"/>
      <c r="S67" s="970"/>
      <c r="T67" s="853"/>
      <c r="U67" s="853" t="s">
        <v>1501</v>
      </c>
      <c r="V67" s="853"/>
      <c r="W67" s="853"/>
      <c r="X67" s="853"/>
      <c r="Y67" s="1013"/>
      <c r="Z67" s="856"/>
      <c r="AA67" s="859"/>
      <c r="AB67" s="856"/>
      <c r="AC67" s="856"/>
      <c r="AD67" s="856"/>
    </row>
    <row customHeight="1" ht="27">
      <c r="A68" s="855"/>
      <c r="B68" s="911">
        <v>51</v>
      </c>
      <c r="C68" s="853"/>
      <c r="D68" s="980"/>
      <c r="E68" s="853"/>
      <c r="F68" s="853"/>
      <c r="G68" s="853"/>
      <c r="H68" s="903"/>
      <c r="I68" s="1018" t="str">
        <f>INDEX(TEMPLATE_NUMBER_POINT_FHD,B68,MATCH(TEMPLATE_SPHERE,TEMPLATE_SPHERE_LIST_FOR_NOTE,0))</f>
        <v>10.2.2</v>
      </c>
      <c r="J68" s="10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8">
        <f>INDEX(TEMPLATE_NOTE_POINT_FHD,B68,MATCH(TEMPLATE_SPHERE,TEMPLATE_SPHERE_LIST_FOR_NOTE,0))</f>
        <v>0</v>
      </c>
      <c r="L68" s="854" t="str">
        <f>IF(I68=0,"",I68)</f>
        <v>10.2.2</v>
      </c>
      <c r="M68" s="854" t="str">
        <f>IF(J68=0,"",J68)</f>
        <v>Объём отпущенной потребителям воды, определенный по нормативам потребления коммунальных ресурсов </v>
      </c>
      <c r="N68" s="854" t="str">
        <f>IF(K68=0,"",K68)</f>
        <v/>
      </c>
      <c r="O68" s="970"/>
      <c r="P68" s="970" t="s">
        <v>1502</v>
      </c>
      <c r="Q68" s="970"/>
      <c r="R68" s="970"/>
      <c r="S68" s="970"/>
      <c r="T68" s="853"/>
      <c r="U68" s="853" t="s">
        <v>1503</v>
      </c>
      <c r="V68" s="853"/>
      <c r="W68" s="853"/>
      <c r="X68" s="853"/>
      <c r="Y68" s="1013"/>
      <c r="Z68" s="856"/>
      <c r="AA68" s="859"/>
      <c r="AB68" s="856"/>
      <c r="AC68" s="856"/>
      <c r="AD68" s="856"/>
    </row>
    <row customHeight="1" ht="9">
      <c r="A69" s="855"/>
      <c r="B69" s="911">
        <v>52</v>
      </c>
      <c r="C69" s="853"/>
      <c r="D69" s="980" t="s">
        <v>1504</v>
      </c>
      <c r="E69" s="853"/>
      <c r="F69" s="853"/>
      <c r="G69" s="853"/>
      <c r="H69" s="903"/>
      <c r="I69" s="1018" t="str">
        <f>INDEX(TEMPLATE_NUMBER_POINT_FHD,B69,MATCH(TEMPLATE_SPHERE,TEMPLATE_SPHERE_LIST_FOR_NOTE,0))</f>
        <v>11</v>
      </c>
      <c r="J69" s="1018" t="str">
        <f>INDEX(TEMPLATE_DATA_POINT_FHD,B69,MATCH(TEMPLATE_SPHERE,TEMPLATE_SPHERE_LIST_FOR_NOTE,0))</f>
        <v>Потери воды в сетях</v>
      </c>
      <c r="K69" s="1018">
        <f>INDEX(TEMPLATE_NOTE_POINT_FHD,B69,MATCH(TEMPLATE_SPHERE,TEMPLATE_SPHERE_LIST_FOR_NOTE,0))</f>
        <v>0</v>
      </c>
      <c r="L69" s="854" t="str">
        <f>IF(I69=0,"",I69)</f>
        <v>11</v>
      </c>
      <c r="M69" s="854" t="str">
        <f>IF(J69=0,"",J69)</f>
        <v>Потери воды в сетях</v>
      </c>
      <c r="N69" s="854" t="str">
        <f>IF(K69=0,"",K69)</f>
        <v/>
      </c>
      <c r="O69" s="970"/>
      <c r="P69" s="970" t="s">
        <v>151</v>
      </c>
      <c r="Q69" s="970"/>
      <c r="R69" s="970"/>
      <c r="S69" s="970"/>
      <c r="T69" s="853"/>
      <c r="U69" s="853" t="s">
        <v>1505</v>
      </c>
      <c r="V69" s="853"/>
      <c r="W69" s="853"/>
      <c r="X69" s="853"/>
      <c r="Y69" s="1013"/>
      <c r="Z69" s="856"/>
      <c r="AA69" s="859"/>
      <c r="AB69" s="856"/>
      <c r="AC69" s="856"/>
      <c r="AD69" s="856"/>
    </row>
    <row customHeight="1" ht="27">
      <c r="A70" s="855"/>
      <c r="B70" s="911">
        <v>53</v>
      </c>
      <c r="C70" s="853"/>
      <c r="D70" s="980"/>
      <c r="E70" s="853" t="s">
        <v>1489</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92</v>
      </c>
      <c r="R70" s="970"/>
      <c r="S70" s="970"/>
      <c r="T70" s="853"/>
      <c r="U70" s="853"/>
      <c r="V70" s="853" t="s">
        <v>1506</v>
      </c>
      <c r="W70" s="853"/>
      <c r="X70" s="853"/>
      <c r="Y70" s="1013"/>
      <c r="Z70" s="856"/>
      <c r="AA70" s="859"/>
      <c r="AB70" s="856"/>
      <c r="AC70" s="856"/>
      <c r="AD70" s="856"/>
    </row>
    <row customHeight="1" ht="36">
      <c r="A71" s="855"/>
      <c r="B71" s="911">
        <v>54</v>
      </c>
      <c r="C71" s="853"/>
      <c r="D71" s="980"/>
      <c r="E71" s="853" t="s">
        <v>1491</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112</v>
      </c>
      <c r="R71" s="970"/>
      <c r="S71" s="970"/>
      <c r="T71" s="853"/>
      <c r="U71" s="853"/>
      <c r="V71" s="853" t="s">
        <v>1507</v>
      </c>
      <c r="W71" s="853"/>
      <c r="X71" s="853"/>
      <c r="Y71" s="1013"/>
      <c r="Z71" s="856"/>
      <c r="AA71" s="859"/>
      <c r="AB71" s="856"/>
      <c r="AC71" s="856"/>
      <c r="AD71" s="856"/>
    </row>
    <row customHeight="1" ht="27">
      <c r="A72" s="855"/>
      <c r="B72" s="911">
        <v>55</v>
      </c>
      <c r="C72" s="853"/>
      <c r="D72" s="980"/>
      <c r="E72" s="853" t="s">
        <v>1493</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149</v>
      </c>
      <c r="R72" s="970"/>
      <c r="S72" s="970"/>
      <c r="T72" s="853"/>
      <c r="U72" s="853"/>
      <c r="V72" s="853" t="s">
        <v>1508</v>
      </c>
      <c r="W72" s="853"/>
      <c r="X72" s="853"/>
      <c r="Y72" s="1013"/>
      <c r="Z72" s="856"/>
      <c r="AA72" s="859"/>
      <c r="AB72" s="856"/>
      <c r="AC72" s="856"/>
      <c r="AD72" s="856"/>
    </row>
    <row customHeight="1" ht="36">
      <c r="A73" s="855"/>
      <c r="B73" s="911">
        <v>56</v>
      </c>
      <c r="C73" s="853"/>
      <c r="D73" s="980"/>
      <c r="E73" s="853" t="s">
        <v>1495</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150</v>
      </c>
      <c r="R73" s="970"/>
      <c r="S73" s="970"/>
      <c r="T73" s="853"/>
      <c r="U73" s="853"/>
      <c r="V73" s="853" t="s">
        <v>1509</v>
      </c>
      <c r="W73" s="853"/>
      <c r="X73" s="853"/>
      <c r="Y73" s="1013"/>
      <c r="Z73" s="856"/>
      <c r="AA73" s="859"/>
      <c r="AB73" s="856"/>
      <c r="AC73" s="856"/>
      <c r="AD73" s="856"/>
    </row>
    <row customHeight="1" ht="18">
      <c r="A74" s="855"/>
      <c r="B74" s="911">
        <v>57</v>
      </c>
      <c r="C74" s="853"/>
      <c r="D74" s="980"/>
      <c r="E74" s="853" t="s">
        <v>1504</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151</v>
      </c>
      <c r="R74" s="970"/>
      <c r="S74" s="970"/>
      <c r="T74" s="853"/>
      <c r="U74" s="853"/>
      <c r="V74" s="853" t="s">
        <v>1510</v>
      </c>
      <c r="W74" s="853"/>
      <c r="X74" s="853"/>
      <c r="Y74" s="1013"/>
      <c r="Z74" s="856"/>
      <c r="AA74" s="859"/>
      <c r="AB74" s="856"/>
      <c r="AC74" s="856"/>
      <c r="AD74" s="856"/>
    </row>
    <row customHeight="1" ht="18">
      <c r="A75" s="855"/>
      <c r="B75" s="911">
        <v>58</v>
      </c>
      <c r="C75" s="853"/>
      <c r="D75" s="980"/>
      <c r="E75" s="853"/>
      <c r="F75" s="853" t="s">
        <v>1489</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92</v>
      </c>
      <c r="S75" s="970"/>
      <c r="T75" s="853"/>
      <c r="U75" s="853"/>
      <c r="V75" s="853"/>
      <c r="W75" s="853" t="s">
        <v>1511</v>
      </c>
      <c r="X75" s="853"/>
      <c r="Y75" s="1013"/>
      <c r="Z75" s="856"/>
      <c r="AA75" s="859"/>
      <c r="AB75" s="856"/>
      <c r="AC75" s="856"/>
      <c r="AD75" s="856"/>
    </row>
    <row customHeight="1" ht="36">
      <c r="A76" s="855"/>
      <c r="B76" s="911">
        <v>59</v>
      </c>
      <c r="C76" s="853"/>
      <c r="D76" s="980"/>
      <c r="E76" s="853"/>
      <c r="F76" s="853" t="s">
        <v>1491</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112</v>
      </c>
      <c r="S76" s="970"/>
      <c r="T76" s="853"/>
      <c r="U76" s="853"/>
      <c r="V76" s="853"/>
      <c r="W76" s="853" t="s">
        <v>1512</v>
      </c>
      <c r="X76" s="853"/>
      <c r="Y76" s="1013"/>
      <c r="Z76" s="856"/>
      <c r="AA76" s="859"/>
      <c r="AB76" s="856"/>
      <c r="AC76" s="856"/>
      <c r="AD76" s="856"/>
    </row>
    <row customHeight="1" ht="18">
      <c r="A77" s="855"/>
      <c r="B77" s="911">
        <v>60</v>
      </c>
      <c r="C77" s="853"/>
      <c r="D77" s="980"/>
      <c r="E77" s="853"/>
      <c r="F77" s="853" t="s">
        <v>1493</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149</v>
      </c>
      <c r="S77" s="970"/>
      <c r="T77" s="853"/>
      <c r="U77" s="853"/>
      <c r="V77" s="853"/>
      <c r="W77" s="853" t="s">
        <v>1513</v>
      </c>
      <c r="X77" s="853"/>
      <c r="Y77" s="1013"/>
      <c r="Z77" s="856"/>
      <c r="AA77" s="859"/>
      <c r="AB77" s="856"/>
      <c r="AC77" s="856"/>
      <c r="AD77" s="856"/>
    </row>
    <row customHeight="1" ht="72">
      <c r="A78" s="855"/>
      <c r="B78" s="911">
        <v>61</v>
      </c>
      <c r="C78" s="853" t="s">
        <v>1489</v>
      </c>
      <c r="D78" s="980"/>
      <c r="E78" s="853"/>
      <c r="F78" s="853"/>
      <c r="G78" s="853"/>
      <c r="H78" s="903"/>
      <c r="I78" s="1018">
        <f>INDEX(TEMPLATE_NUMBER_POINT_FHD,B78,MATCH(TEMPLATE_SPHERE,TEMPLATE_SPHERE_LIST_FOR_NOTE,0))</f>
        <v>0</v>
      </c>
      <c r="J78" s="1018">
        <f>INDEX(TEMPLATE_DATA_POINT_FHD,B78,MATCH(TEMPLATE_SPHERE,TEMPLATE_SPHERE_LIST_FOR_NOTE,0))</f>
        <v>0</v>
      </c>
      <c r="K78" s="1018">
        <f>INDEX(TEMPLATE_NOTE_POINT_FHD,B78,MATCH(TEMPLATE_SPHERE,TEMPLATE_SPHERE_LIST_FOR_NOTE,0))</f>
        <v>0</v>
      </c>
      <c r="L78" s="854" t="str">
        <f>IF(I78=0,"",I78)</f>
        <v/>
      </c>
      <c r="M78" s="854" t="str">
        <f>IF(J78=0,"",J78)</f>
        <v/>
      </c>
      <c r="N78" s="854" t="str">
        <f>IF(K78=0,"",K78)</f>
        <v/>
      </c>
      <c r="O78" s="970" t="s">
        <v>92</v>
      </c>
      <c r="P78" s="970"/>
      <c r="Q78" s="970"/>
      <c r="R78" s="970"/>
      <c r="S78" s="970"/>
      <c r="T78" s="853" t="s">
        <v>1514</v>
      </c>
      <c r="U78" s="853"/>
      <c r="V78" s="853"/>
      <c r="W78" s="853"/>
      <c r="X78" s="853"/>
      <c r="Y78" s="1013"/>
      <c r="Z78" s="856" t="s">
        <v>1515</v>
      </c>
      <c r="AA78" s="859"/>
      <c r="AB78" s="856"/>
      <c r="AC78" s="856"/>
      <c r="AD78" s="856"/>
    </row>
    <row customHeight="1" ht="36">
      <c r="A79" s="855"/>
      <c r="B79" s="911">
        <v>62</v>
      </c>
      <c r="C79" s="853" t="s">
        <v>1491</v>
      </c>
      <c r="D79" s="980"/>
      <c r="E79" s="853"/>
      <c r="F79" s="853"/>
      <c r="G79" s="853"/>
      <c r="H79" s="903"/>
      <c r="I79" s="1018">
        <f>INDEX(TEMPLATE_NUMBER_POINT_FHD,B79,MATCH(TEMPLATE_SPHERE,TEMPLATE_SPHERE_LIST_FOR_NOTE,0))</f>
        <v>0</v>
      </c>
      <c r="J79" s="1018">
        <f>INDEX(TEMPLATE_DATA_POINT_FHD,B79,MATCH(TEMPLATE_SPHERE,TEMPLATE_SPHERE_LIST_FOR_NOTE,0))</f>
        <v>0</v>
      </c>
      <c r="K79" s="1018">
        <f>INDEX(TEMPLATE_NOTE_POINT_FHD,B79,MATCH(TEMPLATE_SPHERE,TEMPLATE_SPHERE_LIST_FOR_NOTE,0))</f>
        <v>0</v>
      </c>
      <c r="L79" s="854" t="str">
        <f>IF(I79=0,"",I79)</f>
        <v/>
      </c>
      <c r="M79" s="854" t="str">
        <f>IF(J79=0,"",J79)</f>
        <v/>
      </c>
      <c r="N79" s="854" t="str">
        <f>IF(K79=0,"",K79)</f>
        <v/>
      </c>
      <c r="O79" s="970" t="s">
        <v>112</v>
      </c>
      <c r="P79" s="970"/>
      <c r="Q79" s="970"/>
      <c r="R79" s="970"/>
      <c r="S79" s="970"/>
      <c r="T79" s="853" t="s">
        <v>1516</v>
      </c>
      <c r="U79" s="853"/>
      <c r="V79" s="853"/>
      <c r="W79" s="853"/>
      <c r="X79" s="853"/>
      <c r="Y79" s="1013"/>
      <c r="Z79" s="856" t="s">
        <v>1517</v>
      </c>
      <c r="AA79" s="859"/>
      <c r="AB79" s="856"/>
      <c r="AC79" s="856"/>
      <c r="AD79" s="856"/>
    </row>
    <row customHeight="1" ht="45">
      <c r="A80" s="855"/>
      <c r="B80" s="911">
        <v>63</v>
      </c>
      <c r="C80" s="853" t="s">
        <v>1493</v>
      </c>
      <c r="D80" s="980"/>
      <c r="E80" s="853"/>
      <c r="F80" s="853"/>
      <c r="G80" s="853"/>
      <c r="H80" s="903"/>
      <c r="I80" s="1018">
        <f>INDEX(TEMPLATE_NUMBER_POINT_FHD,B80,MATCH(TEMPLATE_SPHERE,TEMPLATE_SPHERE_LIST_FOR_NOTE,0))</f>
        <v>0</v>
      </c>
      <c r="J80" s="1018">
        <f>INDEX(TEMPLATE_DATA_POINT_FHD,B80,MATCH(TEMPLATE_SPHERE,TEMPLATE_SPHERE_LIST_FOR_NOTE,0))</f>
        <v>0</v>
      </c>
      <c r="K80" s="1018">
        <f>INDEX(TEMPLATE_NOTE_POINT_FHD,B80,MATCH(TEMPLATE_SPHERE,TEMPLATE_SPHERE_LIST_FOR_NOTE,0))</f>
        <v>0</v>
      </c>
      <c r="L80" s="854" t="str">
        <f>IF(I80=0,"",I80)</f>
        <v/>
      </c>
      <c r="M80" s="854" t="str">
        <f>IF(J80=0,"",J80)</f>
        <v/>
      </c>
      <c r="N80" s="854" t="str">
        <f>IF(K80=0,"",K80)</f>
        <v/>
      </c>
      <c r="O80" s="970" t="s">
        <v>149</v>
      </c>
      <c r="P80" s="970"/>
      <c r="Q80" s="970"/>
      <c r="R80" s="970"/>
      <c r="S80" s="970"/>
      <c r="T80" s="853" t="s">
        <v>1518</v>
      </c>
      <c r="U80" s="853"/>
      <c r="V80" s="853"/>
      <c r="W80" s="853"/>
      <c r="X80" s="853"/>
      <c r="Y80" s="1013"/>
      <c r="Z80" s="856" t="s">
        <v>1519</v>
      </c>
      <c r="AA80" s="859"/>
      <c r="AB80" s="856"/>
      <c r="AC80" s="856"/>
      <c r="AD80" s="856"/>
    </row>
    <row customHeight="1" ht="36">
      <c r="A81" s="855"/>
      <c r="B81" s="911">
        <v>64</v>
      </c>
      <c r="C81" s="853" t="s">
        <v>1495</v>
      </c>
      <c r="D81" s="980"/>
      <c r="E81" s="853"/>
      <c r="F81" s="853"/>
      <c r="G81" s="853"/>
      <c r="H81" s="903"/>
      <c r="I81" s="1018">
        <f>INDEX(TEMPLATE_NUMBER_POINT_FHD,B81,MATCH(TEMPLATE_SPHERE,TEMPLATE_SPHERE_LIST_FOR_NOTE,0))</f>
        <v>0</v>
      </c>
      <c r="J81" s="1018">
        <f>INDEX(TEMPLATE_DATA_POINT_FHD,B81,MATCH(TEMPLATE_SPHERE,TEMPLATE_SPHERE_LIST_FOR_NOTE,0))</f>
        <v>0</v>
      </c>
      <c r="K81" s="1018">
        <f>INDEX(TEMPLATE_NOTE_POINT_FHD,B81,MATCH(TEMPLATE_SPHERE,TEMPLATE_SPHERE_LIST_FOR_NOTE,0))</f>
        <v>0</v>
      </c>
      <c r="L81" s="854" t="str">
        <f>IF(I81=0,"",I81)</f>
        <v/>
      </c>
      <c r="M81" s="854" t="str">
        <f>IF(J81=0,"",J81)</f>
        <v/>
      </c>
      <c r="N81" s="854" t="str">
        <f>IF(K81=0,"",K81)</f>
        <v/>
      </c>
      <c r="O81" s="970" t="s">
        <v>1382</v>
      </c>
      <c r="P81" s="970"/>
      <c r="Q81" s="970"/>
      <c r="R81" s="970"/>
      <c r="S81" s="970"/>
      <c r="T81" s="853" t="s">
        <v>1520</v>
      </c>
      <c r="U81" s="853"/>
      <c r="V81" s="853"/>
      <c r="W81" s="853"/>
      <c r="X81" s="853"/>
      <c r="Y81" s="1013"/>
      <c r="Z81" s="856" t="s">
        <v>1521</v>
      </c>
      <c r="AA81" s="859"/>
      <c r="AB81" s="856"/>
      <c r="AC81" s="856"/>
      <c r="AD81" s="856"/>
    </row>
    <row customHeight="1" ht="90">
      <c r="A82" s="855"/>
      <c r="B82" s="911">
        <v>65</v>
      </c>
      <c r="C82" s="853" t="s">
        <v>1504</v>
      </c>
      <c r="D82" s="980"/>
      <c r="E82" s="853"/>
      <c r="F82" s="853"/>
      <c r="G82" s="853"/>
      <c r="H82" s="903"/>
      <c r="I82" s="1018">
        <f>INDEX(TEMPLATE_NUMBER_POINT_FHD,B82,MATCH(TEMPLATE_SPHERE,TEMPLATE_SPHERE_LIST_FOR_NOTE,0))</f>
        <v>0</v>
      </c>
      <c r="J82" s="1018">
        <f>INDEX(TEMPLATE_DATA_POINT_FHD,B82,MATCH(TEMPLATE_SPHERE,TEMPLATE_SPHERE_LIST_FOR_NOTE,0))</f>
        <v>0</v>
      </c>
      <c r="K82" s="1018">
        <f>INDEX(TEMPLATE_NOTE_POINT_FHD,B82,MATCH(TEMPLATE_SPHERE,TEMPLATE_SPHERE_LIST_FOR_NOTE,0))</f>
        <v>0</v>
      </c>
      <c r="L82" s="854" t="str">
        <f>IF(I82=0,"",I82)</f>
        <v/>
      </c>
      <c r="M82" s="854" t="str">
        <f>IF(J82=0,"",J82)</f>
        <v/>
      </c>
      <c r="N82" s="854" t="str">
        <f>IF(K82=0,"",K82)</f>
        <v/>
      </c>
      <c r="O82" s="970" t="s">
        <v>150</v>
      </c>
      <c r="P82" s="970"/>
      <c r="Q82" s="970"/>
      <c r="R82" s="970"/>
      <c r="S82" s="970"/>
      <c r="T82" s="853" t="s">
        <v>1522</v>
      </c>
      <c r="U82" s="853"/>
      <c r="V82" s="853"/>
      <c r="W82" s="853"/>
      <c r="X82" s="853"/>
      <c r="Y82" s="1013"/>
      <c r="Z82" s="856" t="s">
        <v>1523</v>
      </c>
      <c r="AA82" s="859"/>
      <c r="AB82" s="856"/>
      <c r="AC82" s="856"/>
      <c r="AD82" s="856"/>
    </row>
    <row customHeight="1" ht="9">
      <c r="A83" s="855"/>
      <c r="B83" s="911">
        <v>66</v>
      </c>
      <c r="C83" s="853"/>
      <c r="D83" s="980"/>
      <c r="E83" s="853"/>
      <c r="F83" s="853"/>
      <c r="G83" s="853"/>
      <c r="H83" s="903"/>
      <c r="I83" s="1018">
        <f>INDEX(TEMPLATE_NUMBER_POINT_FHD,B83,MATCH(TEMPLATE_SPHERE,TEMPLATE_SPHERE_LIST_FOR_NOTE,0))</f>
        <v>0</v>
      </c>
      <c r="J83" s="1018">
        <f>INDEX(TEMPLATE_DATA_POINT_FHD,B83,MATCH(TEMPLATE_SPHERE,TEMPLATE_SPHERE_LIST_FOR_NOTE,0))</f>
        <v>0</v>
      </c>
      <c r="K83" s="1018">
        <f>INDEX(TEMPLATE_NOTE_POINT_FHD,B83,MATCH(TEMPLATE_SPHERE,TEMPLATE_SPHERE_LIST_FOR_NOTE,0))</f>
        <v>0</v>
      </c>
      <c r="L83" s="854" t="str">
        <f>IF(I83=0,"",I83)</f>
        <v/>
      </c>
      <c r="M83" s="854" t="str">
        <f>IF(J83=0,"",J83)</f>
        <v/>
      </c>
      <c r="N83" s="854" t="str">
        <f>IF(K83=0,"",K83)</f>
        <v/>
      </c>
      <c r="O83" s="970" t="s">
        <v>1394</v>
      </c>
      <c r="P83" s="970"/>
      <c r="Q83" s="970"/>
      <c r="R83" s="970"/>
      <c r="S83" s="970"/>
      <c r="T83" s="853" t="s">
        <v>1524</v>
      </c>
      <c r="U83" s="853"/>
      <c r="V83" s="853"/>
      <c r="W83" s="853"/>
      <c r="X83" s="853"/>
      <c r="Y83" s="1013"/>
      <c r="Z83" s="856"/>
      <c r="AA83" s="859"/>
      <c r="AB83" s="856"/>
      <c r="AC83" s="856"/>
      <c r="AD83" s="856"/>
    </row>
    <row customHeight="1" ht="54">
      <c r="A84" s="855"/>
      <c r="B84" s="911">
        <v>67</v>
      </c>
      <c r="C84" s="853"/>
      <c r="D84" s="980"/>
      <c r="E84" s="853"/>
      <c r="F84" s="853"/>
      <c r="G84" s="853"/>
      <c r="H84" s="903"/>
      <c r="I84" s="1018">
        <f>INDEX(TEMPLATE_NUMBER_POINT_FHD,B84,MATCH(TEMPLATE_SPHERE,TEMPLATE_SPHERE_LIST_FOR_NOTE,0))</f>
        <v>0</v>
      </c>
      <c r="J84" s="1018">
        <f>INDEX(TEMPLATE_DATA_POINT_FHD,B84,MATCH(TEMPLATE_SPHERE,TEMPLATE_SPHERE_LIST_FOR_NOTE,0))</f>
        <v>0</v>
      </c>
      <c r="K84" s="1018">
        <f>INDEX(TEMPLATE_NOTE_POINT_FHD,B84,MATCH(TEMPLATE_SPHERE,TEMPLATE_SPHERE_LIST_FOR_NOTE,0))</f>
        <v>0</v>
      </c>
      <c r="L84" s="854" t="str">
        <f>IF(I84=0,"",I84)</f>
        <v/>
      </c>
      <c r="M84" s="854" t="str">
        <f>IF(J84=0,"",J84)</f>
        <v/>
      </c>
      <c r="N84" s="854" t="str">
        <f>IF(K84=0,"",K84)</f>
        <v/>
      </c>
      <c r="O84" s="970" t="s">
        <v>1525</v>
      </c>
      <c r="P84" s="970"/>
      <c r="Q84" s="970"/>
      <c r="R84" s="970"/>
      <c r="S84" s="970"/>
      <c r="T84" s="853" t="s">
        <v>1526</v>
      </c>
      <c r="U84" s="853"/>
      <c r="V84" s="853"/>
      <c r="W84" s="853"/>
      <c r="X84" s="853"/>
      <c r="Y84" s="1013"/>
      <c r="Z84" s="856"/>
      <c r="AA84" s="859"/>
      <c r="AB84" s="856"/>
      <c r="AC84" s="856"/>
      <c r="AD84" s="856"/>
    </row>
    <row customHeight="1" ht="9">
      <c r="A85" s="855"/>
      <c r="B85" s="911">
        <v>68</v>
      </c>
      <c r="C85" s="853"/>
      <c r="D85" s="980"/>
      <c r="E85" s="853"/>
      <c r="F85" s="853"/>
      <c r="G85" s="853"/>
      <c r="H85" s="903"/>
      <c r="I85" s="1018">
        <f>INDEX(TEMPLATE_NUMBER_POINT_FHD,B85,MATCH(TEMPLATE_SPHERE,TEMPLATE_SPHERE_LIST_FOR_NOTE,0))</f>
        <v>0</v>
      </c>
      <c r="J85" s="1018">
        <f>INDEX(TEMPLATE_DATA_POINT_FHD,B85,MATCH(TEMPLATE_SPHERE,TEMPLATE_SPHERE_LIST_FOR_NOTE,0))</f>
        <v>0</v>
      </c>
      <c r="K85" s="1018">
        <f>INDEX(TEMPLATE_NOTE_POINT_FHD,B85,MATCH(TEMPLATE_SPHERE,TEMPLATE_SPHERE_LIST_FOR_NOTE,0))</f>
        <v>0</v>
      </c>
      <c r="L85" s="854" t="str">
        <f>IF(I85=0,"",I85)</f>
        <v/>
      </c>
      <c r="M85" s="854" t="str">
        <f>IF(J85=0,"",J85)</f>
        <v/>
      </c>
      <c r="N85" s="854" t="str">
        <f>IF(K85=0,"",K85)</f>
        <v/>
      </c>
      <c r="O85" s="970" t="s">
        <v>1398</v>
      </c>
      <c r="P85" s="970"/>
      <c r="Q85" s="970"/>
      <c r="R85" s="970"/>
      <c r="S85" s="970"/>
      <c r="T85" s="853" t="s">
        <v>1527</v>
      </c>
      <c r="U85" s="853"/>
      <c r="V85" s="853"/>
      <c r="W85" s="853"/>
      <c r="X85" s="853"/>
      <c r="Y85" s="1013"/>
      <c r="Z85" s="856"/>
      <c r="AA85" s="859"/>
      <c r="AB85" s="856"/>
      <c r="AC85" s="856"/>
      <c r="AD85" s="856"/>
    </row>
    <row customHeight="1" ht="27">
      <c r="A86" s="855"/>
      <c r="B86" s="911">
        <v>69</v>
      </c>
      <c r="C86" s="853"/>
      <c r="D86" s="980"/>
      <c r="E86" s="853"/>
      <c r="F86" s="853"/>
      <c r="G86" s="853"/>
      <c r="H86" s="903"/>
      <c r="I86" s="1018">
        <f>INDEX(TEMPLATE_NUMBER_POINT_FHD,B86,MATCH(TEMPLATE_SPHERE,TEMPLATE_SPHERE_LIST_FOR_NOTE,0))</f>
        <v>0</v>
      </c>
      <c r="J86" s="1018">
        <f>INDEX(TEMPLATE_DATA_POINT_FHD,B86,MATCH(TEMPLATE_SPHERE,TEMPLATE_SPHERE_LIST_FOR_NOTE,0))</f>
        <v>0</v>
      </c>
      <c r="K86" s="1018">
        <f>INDEX(TEMPLATE_NOTE_POINT_FHD,B86,MATCH(TEMPLATE_SPHERE,TEMPLATE_SPHERE_LIST_FOR_NOTE,0))</f>
        <v>0</v>
      </c>
      <c r="L86" s="854" t="str">
        <f>IF(I86=0,"",I86)</f>
        <v/>
      </c>
      <c r="M86" s="854" t="str">
        <f>IF(J86=0,"",J86)</f>
        <v/>
      </c>
      <c r="N86" s="854" t="str">
        <f>IF(K86=0,"",K86)</f>
        <v/>
      </c>
      <c r="O86" s="970" t="s">
        <v>1528</v>
      </c>
      <c r="P86" s="970"/>
      <c r="Q86" s="970"/>
      <c r="R86" s="970"/>
      <c r="S86" s="970"/>
      <c r="T86" s="853" t="s">
        <v>1529</v>
      </c>
      <c r="U86" s="853"/>
      <c r="V86" s="853"/>
      <c r="W86" s="853"/>
      <c r="X86" s="853"/>
      <c r="Y86" s="1013"/>
      <c r="Z86" s="856"/>
      <c r="AA86" s="859"/>
      <c r="AB86" s="856"/>
      <c r="AC86" s="856"/>
      <c r="AD86" s="856"/>
    </row>
    <row customHeight="1" ht="36">
      <c r="A87" s="855"/>
      <c r="B87" s="911">
        <v>70</v>
      </c>
      <c r="C87" s="853" t="s">
        <v>1530</v>
      </c>
      <c r="D87" s="980"/>
      <c r="E87" s="853"/>
      <c r="F87" s="853"/>
      <c r="G87" s="853"/>
      <c r="H87" s="903"/>
      <c r="I87" s="1018">
        <f>INDEX(TEMPLATE_NUMBER_POINT_FHD,B87,MATCH(TEMPLATE_SPHERE,TEMPLATE_SPHERE_LIST_FOR_NOTE,0))</f>
        <v>0</v>
      </c>
      <c r="J87" s="1018">
        <f>INDEX(TEMPLATE_DATA_POINT_FHD,B87,MATCH(TEMPLATE_SPHERE,TEMPLATE_SPHERE_LIST_FOR_NOTE,0))</f>
        <v>0</v>
      </c>
      <c r="K87" s="1018">
        <f>INDEX(TEMPLATE_NOTE_POINT_FHD,B87,MATCH(TEMPLATE_SPHERE,TEMPLATE_SPHERE_LIST_FOR_NOTE,0))</f>
        <v>0</v>
      </c>
      <c r="L87" s="854" t="str">
        <f>IF(I87=0,"",I87)</f>
        <v/>
      </c>
      <c r="M87" s="854" t="str">
        <f>IF(J87=0,"",J87)</f>
        <v/>
      </c>
      <c r="N87" s="854" t="str">
        <f>IF(K87=0,"",K87)</f>
        <v/>
      </c>
      <c r="O87" s="970" t="s">
        <v>151</v>
      </c>
      <c r="P87" s="970"/>
      <c r="Q87" s="970"/>
      <c r="R87" s="970"/>
      <c r="S87" s="970"/>
      <c r="T87" s="853" t="s">
        <v>1531</v>
      </c>
      <c r="U87" s="853"/>
      <c r="V87" s="853"/>
      <c r="W87" s="853"/>
      <c r="X87" s="853"/>
      <c r="Y87" s="1013"/>
      <c r="Z87" s="856"/>
      <c r="AA87" s="859"/>
      <c r="AB87" s="856"/>
      <c r="AC87" s="856"/>
      <c r="AD87" s="856"/>
    </row>
    <row customHeight="1" ht="18">
      <c r="A88" s="855"/>
      <c r="B88" s="911">
        <v>71</v>
      </c>
      <c r="C88" s="853" t="s">
        <v>1532</v>
      </c>
      <c r="D88" s="980"/>
      <c r="E88" s="853"/>
      <c r="F88" s="853"/>
      <c r="G88" s="853"/>
      <c r="H88" s="903"/>
      <c r="I88" s="1018">
        <f>INDEX(TEMPLATE_NUMBER_POINT_FHD,B88,MATCH(TEMPLATE_SPHERE,TEMPLATE_SPHERE_LIST_FOR_NOTE,0))</f>
        <v>0</v>
      </c>
      <c r="J88" s="1018">
        <f>INDEX(TEMPLATE_DATA_POINT_FHD,B88,MATCH(TEMPLATE_SPHERE,TEMPLATE_SPHERE_LIST_FOR_NOTE,0))</f>
        <v>0</v>
      </c>
      <c r="K88" s="1018">
        <f>INDEX(TEMPLATE_NOTE_POINT_FHD,B88,MATCH(TEMPLATE_SPHERE,TEMPLATE_SPHERE_LIST_FOR_NOTE,0))</f>
        <v>0</v>
      </c>
      <c r="L88" s="854" t="str">
        <f>IF(I88=0,"",I88)</f>
        <v/>
      </c>
      <c r="M88" s="854" t="str">
        <f>IF(J88=0,"",J88)</f>
        <v/>
      </c>
      <c r="N88" s="854" t="str">
        <f>IF(K88=0,"",K88)</f>
        <v/>
      </c>
      <c r="O88" s="970" t="s">
        <v>152</v>
      </c>
      <c r="P88" s="970"/>
      <c r="Q88" s="970"/>
      <c r="R88" s="970"/>
      <c r="S88" s="970"/>
      <c r="T88" s="853" t="s">
        <v>1533</v>
      </c>
      <c r="U88" s="853"/>
      <c r="V88" s="853"/>
      <c r="W88" s="853"/>
      <c r="X88" s="853"/>
      <c r="Y88" s="1013"/>
      <c r="Z88" s="856"/>
      <c r="AA88" s="859"/>
      <c r="AB88" s="856"/>
      <c r="AC88" s="856"/>
      <c r="AD88" s="856"/>
    </row>
    <row customHeight="1" ht="18">
      <c r="A89" s="855"/>
      <c r="B89" s="911">
        <v>72</v>
      </c>
      <c r="C89" s="853" t="s">
        <v>1534</v>
      </c>
      <c r="D89" s="980" t="s">
        <v>1530</v>
      </c>
      <c r="E89" s="853" t="s">
        <v>1530</v>
      </c>
      <c r="F89" s="853" t="s">
        <v>1495</v>
      </c>
      <c r="G89" s="853"/>
      <c r="H89" s="903"/>
      <c r="I89" s="1018" t="str">
        <f>INDEX(TEMPLATE_NUMBER_POINT_FHD,B89,MATCH(TEMPLATE_SPHERE,TEMPLATE_SPHERE_LIST_FOR_NOTE,0))</f>
        <v>12</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12</v>
      </c>
      <c r="M89" s="854" t="str">
        <f>IF(J89=0,"",J89)</f>
        <v>Среднесписочная численность основного производственного персонала</v>
      </c>
      <c r="N89" s="854" t="str">
        <f>IF(K89=0,"",K89)</f>
        <v/>
      </c>
      <c r="O89" s="970" t="s">
        <v>153</v>
      </c>
      <c r="P89" s="970" t="s">
        <v>152</v>
      </c>
      <c r="Q89" s="970" t="s">
        <v>152</v>
      </c>
      <c r="R89" s="970" t="s">
        <v>150</v>
      </c>
      <c r="S89" s="970"/>
      <c r="T89" s="853" t="s">
        <v>1535</v>
      </c>
      <c r="U89" s="853" t="s">
        <v>1535</v>
      </c>
      <c r="V89" s="853" t="s">
        <v>1535</v>
      </c>
      <c r="W89" s="853" t="s">
        <v>1535</v>
      </c>
      <c r="X89" s="853"/>
      <c r="Y89" s="1013"/>
      <c r="Z89" s="856"/>
      <c r="AA89" s="859"/>
      <c r="AB89" s="856"/>
      <c r="AC89" s="856"/>
      <c r="AD89" s="856"/>
    </row>
    <row customHeight="1" ht="27">
      <c r="A90" s="855"/>
      <c r="B90" s="911">
        <v>73</v>
      </c>
      <c r="C90" s="853" t="s">
        <v>1536</v>
      </c>
      <c r="D90" s="980"/>
      <c r="E90" s="853"/>
      <c r="F90" s="853"/>
      <c r="G90" s="853"/>
      <c r="H90" s="903"/>
      <c r="I90" s="1018">
        <f>INDEX(TEMPLATE_NUMBER_POINT_FHD,B90,MATCH(TEMPLATE_SPHERE,TEMPLATE_SPHERE_LIST_FOR_NOTE,0))</f>
        <v>0</v>
      </c>
      <c r="J90" s="1018">
        <f>INDEX(TEMPLATE_DATA_POINT_FHD,B90,MATCH(TEMPLATE_SPHERE,TEMPLATE_SPHERE_LIST_FOR_NOTE,0))</f>
        <v>0</v>
      </c>
      <c r="K90" s="1018">
        <f>INDEX(TEMPLATE_NOTE_POINT_FHD,B90,MATCH(TEMPLATE_SPHERE,TEMPLATE_SPHERE_LIST_FOR_NOTE,0))</f>
        <v>0</v>
      </c>
      <c r="L90" s="854" t="str">
        <f>IF(I90=0,"",I90)</f>
        <v/>
      </c>
      <c r="M90" s="854" t="str">
        <f>IF(J90=0,"",J90)</f>
        <v/>
      </c>
      <c r="N90" s="854" t="str">
        <f>IF(K90=0,"",K90)</f>
        <v/>
      </c>
      <c r="O90" s="970" t="s">
        <v>154</v>
      </c>
      <c r="P90" s="970"/>
      <c r="Q90" s="970"/>
      <c r="R90" s="970"/>
      <c r="S90" s="970"/>
      <c r="T90" s="853" t="s">
        <v>1537</v>
      </c>
      <c r="U90" s="853"/>
      <c r="V90" s="853"/>
      <c r="W90" s="853"/>
      <c r="X90" s="853"/>
      <c r="Y90" s="1013"/>
      <c r="Z90" s="856"/>
      <c r="AA90" s="859"/>
      <c r="AB90" s="856"/>
      <c r="AC90" s="856"/>
      <c r="AD90" s="856"/>
    </row>
    <row customHeight="1" ht="18">
      <c r="A91" s="855"/>
      <c r="B91" s="911">
        <v>74</v>
      </c>
      <c r="C91" s="853"/>
      <c r="D91" s="980" t="s">
        <v>1532</v>
      </c>
      <c r="E91" s="853" t="s">
        <v>1532</v>
      </c>
      <c r="F91" s="853"/>
      <c r="G91" s="853"/>
      <c r="H91" s="903"/>
      <c r="I91" s="1018" t="str">
        <f>INDEX(TEMPLATE_NUMBER_POINT_FHD,B91,MATCH(TEMPLATE_SPHERE,TEMPLATE_SPHERE_LIST_FOR_NOTE,0))</f>
        <v>13</v>
      </c>
      <c r="J91" s="1018" t="str">
        <f>INDEX(TEMPLATE_DATA_POINT_FHD,B91,MATCH(TEMPLATE_SPHERE,TEMPLATE_SPHERE_LIST_FOR_NOTE,0))</f>
        <v>Удельный расход электрической энергии на подачу воды в сеть</v>
      </c>
      <c r="K91" s="1018">
        <f>INDEX(TEMPLATE_NOTE_POINT_FHD,B91,MATCH(TEMPLATE_SPHERE,TEMPLATE_SPHERE_LIST_FOR_NOTE,0))</f>
        <v>0</v>
      </c>
      <c r="L91" s="854" t="str">
        <f>IF(I91=0,"",I91)</f>
        <v>13</v>
      </c>
      <c r="M91" s="854" t="str">
        <f>IF(J91=0,"",J91)</f>
        <v>Удельный расход электрической энергии на подачу воды в сеть</v>
      </c>
      <c r="N91" s="854" t="str">
        <f>IF(K91=0,"",K91)</f>
        <v/>
      </c>
      <c r="O91" s="970"/>
      <c r="P91" s="970" t="s">
        <v>153</v>
      </c>
      <c r="Q91" s="970" t="s">
        <v>153</v>
      </c>
      <c r="R91" s="970"/>
      <c r="S91" s="970"/>
      <c r="T91" s="853"/>
      <c r="U91" s="853" t="s">
        <v>1538</v>
      </c>
      <c r="V91" s="853" t="s">
        <v>1538</v>
      </c>
      <c r="W91" s="853"/>
      <c r="X91" s="853"/>
      <c r="Y91" s="1013"/>
      <c r="Z91" s="856"/>
      <c r="AA91" s="859"/>
      <c r="AB91" s="856"/>
      <c r="AC91" s="856"/>
      <c r="AD91" s="856"/>
    </row>
    <row customHeight="1" ht="27">
      <c r="A92" s="855"/>
      <c r="B92" s="911">
        <v>75</v>
      </c>
      <c r="C92" s="853"/>
      <c r="D92" s="980" t="s">
        <v>1534</v>
      </c>
      <c r="E92" s="853"/>
      <c r="F92" s="853"/>
      <c r="G92" s="853"/>
      <c r="H92" s="903"/>
      <c r="I92" s="1018" t="str">
        <f>INDEX(TEMPLATE_NUMBER_POINT_FHD,B92,MATCH(TEMPLATE_SPHERE,TEMPLATE_SPHERE_LIST_FOR_NOTE,0))</f>
        <v>14</v>
      </c>
      <c r="J92" s="1018" t="str">
        <f>INDEX(TEMPLATE_DATA_POINT_FHD,B92,MATCH(TEMPLATE_SPHERE,TEMPLATE_SPHERE_LIST_FOR_NOTE,0))</f>
        <v>Расход воды на собственные нужды, в том числе:</v>
      </c>
      <c r="K92" s="1018" t="str">
        <f>INDEX(TEMPLATE_NOTE_POINT_FHD,B92,MATCH(TEMPLATE_SPHERE,TEMPLATE_SPHERE_LIST_FOR_NOTE,0))</f>
        <v>Указывается доля общего расхода воды на собственные нужны от объема отпуска воды потребителям.</v>
      </c>
      <c r="L92" s="854" t="str">
        <f>IF(I92=0,"",I92)</f>
        <v>14</v>
      </c>
      <c r="M92" s="854" t="str">
        <f>IF(J92=0,"",J92)</f>
        <v>Расход воды на собственные нужды, в том числе:</v>
      </c>
      <c r="N92" s="854" t="str">
        <f>IF(K92=0,"",K92)</f>
        <v>Указывается доля общего расхода воды на собственные нужны от объема отпуска воды потребителям.</v>
      </c>
      <c r="O92" s="970"/>
      <c r="P92" s="970" t="s">
        <v>154</v>
      </c>
      <c r="Q92" s="970"/>
      <c r="R92" s="970"/>
      <c r="S92" s="970"/>
      <c r="T92" s="853"/>
      <c r="U92" s="853" t="s">
        <v>1539</v>
      </c>
      <c r="V92" s="853"/>
      <c r="W92" s="853"/>
      <c r="X92" s="853"/>
      <c r="Y92" s="1013"/>
      <c r="Z92" s="856"/>
      <c r="AA92" s="859" t="s">
        <v>1540</v>
      </c>
      <c r="AB92" s="856"/>
      <c r="AC92" s="856"/>
      <c r="AD92" s="856"/>
    </row>
    <row customHeight="1" ht="27">
      <c r="A93" s="855"/>
      <c r="B93" s="911">
        <v>76</v>
      </c>
      <c r="C93" s="853"/>
      <c r="D93" s="980"/>
      <c r="E93" s="853"/>
      <c r="F93" s="853"/>
      <c r="G93" s="853"/>
      <c r="H93" s="903"/>
      <c r="I93" s="1018" t="str">
        <f>INDEX(TEMPLATE_NUMBER_POINT_FHD,B93,MATCH(TEMPLATE_SPHERE,TEMPLATE_SPHERE_LIST_FOR_NOTE,0))</f>
        <v>14.1</v>
      </c>
      <c r="J93" s="1018" t="str">
        <f>INDEX(TEMPLATE_DATA_POINT_FHD,B93,MATCH(TEMPLATE_SPHERE,TEMPLATE_SPHERE_LIST_FOR_NOTE,0))</f>
        <v>Расход воды на хозяйственно-бытовые нужды</v>
      </c>
      <c r="K93" s="10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4" t="str">
        <f>IF(I93=0,"",I93)</f>
        <v>14.1</v>
      </c>
      <c r="M93" s="854" t="str">
        <f>IF(J93=0,"",J93)</f>
        <v>Расход воды на хозяйственно-бытовые нужды</v>
      </c>
      <c r="N93" s="854" t="str">
        <f>IF(K93=0,"",K93)</f>
        <v>Указывается доля расхода воды на хозяйственно-бытовые нужны от объема отпуска воды потребителям.</v>
      </c>
      <c r="O93" s="970"/>
      <c r="P93" s="970" t="s">
        <v>1428</v>
      </c>
      <c r="Q93" s="970"/>
      <c r="R93" s="970"/>
      <c r="S93" s="970"/>
      <c r="T93" s="853"/>
      <c r="U93" s="853" t="s">
        <v>1541</v>
      </c>
      <c r="V93" s="853"/>
      <c r="W93" s="853"/>
      <c r="X93" s="853"/>
      <c r="Y93" s="1013"/>
      <c r="Z93" s="856"/>
      <c r="AA93" s="859" t="s">
        <v>1542</v>
      </c>
      <c r="AB93" s="856"/>
      <c r="AC93" s="856"/>
      <c r="AD93" s="856"/>
    </row>
    <row customHeight="1" ht="45">
      <c r="A94" s="855"/>
      <c r="B94" s="911">
        <v>77</v>
      </c>
      <c r="C94" s="853"/>
      <c r="D94" s="980" t="s">
        <v>1536</v>
      </c>
      <c r="E94" s="853"/>
      <c r="F94" s="853"/>
      <c r="G94" s="853"/>
      <c r="H94" s="903"/>
      <c r="I94" s="1018" t="str">
        <f>INDEX(TEMPLATE_NUMBER_POINT_FHD,B94,MATCH(TEMPLATE_SPHERE,TEMPLATE_SPHERE_LIST_FOR_NOTE,0))</f>
        <v>15</v>
      </c>
      <c r="J94" s="1018" t="str">
        <f>INDEX(TEMPLATE_DATA_POINT_FHD,B94,MATCH(TEMPLATE_SPHERE,TEMPLATE_SPHERE_LIST_FOR_NOTE,0))</f>
        <v>Показатель использования производственных объектов (по объему перекачки), в том числе:</v>
      </c>
      <c r="K94" s="10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4" t="str">
        <f>IF(I94=0,"",I94)</f>
        <v>15</v>
      </c>
      <c r="M94" s="854" t="str">
        <f>IF(J94=0,"",J94)</f>
        <v>Показатель использования производственных объектов (по объему перекачки), в том числе:</v>
      </c>
      <c r="N94" s="85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70"/>
      <c r="P94" s="970" t="s">
        <v>854</v>
      </c>
      <c r="Q94" s="970"/>
      <c r="R94" s="970"/>
      <c r="S94" s="970"/>
      <c r="T94" s="853"/>
      <c r="U94" s="853" t="s">
        <v>1543</v>
      </c>
      <c r="V94" s="853"/>
      <c r="W94" s="853"/>
      <c r="X94" s="853"/>
      <c r="Y94" s="1013"/>
      <c r="Z94" s="856"/>
      <c r="AA94" s="859" t="s">
        <v>1544</v>
      </c>
      <c r="AB94" s="856"/>
      <c r="AC94" s="856"/>
      <c r="AD94" s="856"/>
    </row>
    <row customHeight="1" ht="99">
      <c r="A95" s="855"/>
      <c r="B95" s="911">
        <v>78</v>
      </c>
      <c r="C95" s="853" t="s">
        <v>1545</v>
      </c>
      <c r="D95" s="980"/>
      <c r="E95" s="853"/>
      <c r="F95" s="853"/>
      <c r="G95" s="853"/>
      <c r="H95" s="903"/>
      <c r="I95" s="1018">
        <f>INDEX(TEMPLATE_NUMBER_POINT_FHD,B95,MATCH(TEMPLATE_SPHERE,TEMPLATE_SPHERE_LIST_FOR_NOTE,0))</f>
        <v>0</v>
      </c>
      <c r="J95" s="1018">
        <f>INDEX(TEMPLATE_DATA_POINT_FHD,B95,MATCH(TEMPLATE_SPHERE,TEMPLATE_SPHERE_LIST_FOR_NOTE,0))</f>
        <v>0</v>
      </c>
      <c r="K95" s="1018">
        <f>INDEX(TEMPLATE_NOTE_POINT_FHD,B95,MATCH(TEMPLATE_SPHERE,TEMPLATE_SPHERE_LIST_FOR_NOTE,0))</f>
        <v>0</v>
      </c>
      <c r="L95" s="854" t="str">
        <f>IF(I95=0,"",I95)</f>
        <v/>
      </c>
      <c r="M95" s="854" t="str">
        <f>IF(J95=0,"",J95)</f>
        <v/>
      </c>
      <c r="N95" s="854" t="str">
        <f>IF(K95=0,"",K95)</f>
        <v/>
      </c>
      <c r="O95" s="970" t="s">
        <v>854</v>
      </c>
      <c r="P95" s="970"/>
      <c r="Q95" s="970"/>
      <c r="R95" s="970"/>
      <c r="S95" s="970"/>
      <c r="T95" s="853" t="s">
        <v>1546</v>
      </c>
      <c r="U95" s="853"/>
      <c r="V95" s="853"/>
      <c r="W95" s="853"/>
      <c r="X95" s="853"/>
      <c r="Y95" s="1013"/>
      <c r="Z95" s="856"/>
      <c r="AA95" s="859"/>
      <c r="AB95" s="856"/>
      <c r="AC95" s="856"/>
      <c r="AD95" s="856"/>
    </row>
    <row customHeight="1" ht="99">
      <c r="A96" s="855"/>
      <c r="B96" s="911">
        <v>79</v>
      </c>
      <c r="C96" s="853" t="s">
        <v>1547</v>
      </c>
      <c r="D96" s="980"/>
      <c r="E96" s="853"/>
      <c r="F96" s="853"/>
      <c r="G96" s="853"/>
      <c r="H96" s="903"/>
      <c r="I96" s="1018">
        <f>INDEX(TEMPLATE_NUMBER_POINT_FHD,B96,MATCH(TEMPLATE_SPHERE,TEMPLATE_SPHERE_LIST_FOR_NOTE,0))</f>
        <v>0</v>
      </c>
      <c r="J96" s="1018">
        <f>INDEX(TEMPLATE_DATA_POINT_FHD,B96,MATCH(TEMPLATE_SPHERE,TEMPLATE_SPHERE_LIST_FOR_NOTE,0))</f>
        <v>0</v>
      </c>
      <c r="K96" s="1018">
        <f>INDEX(TEMPLATE_NOTE_POINT_FHD,B96,MATCH(TEMPLATE_SPHERE,TEMPLATE_SPHERE_LIST_FOR_NOTE,0))</f>
        <v>0</v>
      </c>
      <c r="L96" s="854" t="str">
        <f>IF(I96=0,"",I96)</f>
        <v/>
      </c>
      <c r="M96" s="854" t="str">
        <f>IF(J96=0,"",J96)</f>
        <v/>
      </c>
      <c r="N96" s="854" t="str">
        <f>IF(K96=0,"",K96)</f>
        <v/>
      </c>
      <c r="O96" s="970" t="s">
        <v>860</v>
      </c>
      <c r="P96" s="970"/>
      <c r="Q96" s="970"/>
      <c r="R96" s="970"/>
      <c r="S96" s="970"/>
      <c r="T96" s="853" t="s">
        <v>1548</v>
      </c>
      <c r="U96" s="853"/>
      <c r="V96" s="853"/>
      <c r="W96" s="853"/>
      <c r="X96" s="853"/>
      <c r="Y96" s="1013"/>
      <c r="Z96" s="856" t="s">
        <v>1549</v>
      </c>
      <c r="AA96" s="859"/>
      <c r="AB96" s="856"/>
      <c r="AC96" s="856"/>
      <c r="AD96" s="856"/>
    </row>
    <row customHeight="1" ht="63">
      <c r="A97" s="855"/>
      <c r="B97" s="911">
        <v>80</v>
      </c>
      <c r="C97" s="853" t="s">
        <v>1550</v>
      </c>
      <c r="D97" s="980"/>
      <c r="E97" s="853"/>
      <c r="F97" s="853"/>
      <c r="G97" s="853"/>
      <c r="H97" s="903"/>
      <c r="I97" s="1018">
        <f>INDEX(TEMPLATE_NUMBER_POINT_FHD,B97,MATCH(TEMPLATE_SPHERE,TEMPLATE_SPHERE_LIST_FOR_NOTE,0))</f>
        <v>0</v>
      </c>
      <c r="J97" s="1018">
        <f>INDEX(TEMPLATE_DATA_POINT_FHD,B97,MATCH(TEMPLATE_SPHERE,TEMPLATE_SPHERE_LIST_FOR_NOTE,0))</f>
        <v>0</v>
      </c>
      <c r="K97" s="1018">
        <f>INDEX(TEMPLATE_NOTE_POINT_FHD,B97,MATCH(TEMPLATE_SPHERE,TEMPLATE_SPHERE_LIST_FOR_NOTE,0))</f>
        <v>0</v>
      </c>
      <c r="L97" s="854" t="str">
        <f>IF(I97=0,"",I97)</f>
        <v/>
      </c>
      <c r="M97" s="854" t="str">
        <f>IF(J97=0,"",J97)</f>
        <v/>
      </c>
      <c r="N97" s="854" t="str">
        <f>IF(K97=0,"",K97)</f>
        <v/>
      </c>
      <c r="O97" s="970" t="s">
        <v>871</v>
      </c>
      <c r="P97" s="970"/>
      <c r="Q97" s="970"/>
      <c r="R97" s="970"/>
      <c r="S97" s="970"/>
      <c r="T97" s="853" t="s">
        <v>1551</v>
      </c>
      <c r="U97" s="853"/>
      <c r="V97" s="853"/>
      <c r="W97" s="853"/>
      <c r="X97" s="853"/>
      <c r="Y97" s="1013"/>
      <c r="Z97" s="856" t="s">
        <v>1552</v>
      </c>
      <c r="AA97" s="859"/>
      <c r="AB97" s="856"/>
      <c r="AC97" s="856"/>
      <c r="AD97" s="856"/>
    </row>
    <row customHeight="1" ht="63">
      <c r="A98" s="855"/>
      <c r="B98" s="911">
        <v>81</v>
      </c>
      <c r="C98" s="853" t="s">
        <v>1553</v>
      </c>
      <c r="D98" s="980"/>
      <c r="E98" s="853"/>
      <c r="F98" s="853"/>
      <c r="G98" s="853"/>
      <c r="H98" s="903"/>
      <c r="I98" s="1018">
        <f>INDEX(TEMPLATE_NUMBER_POINT_FHD,B98,MATCH(TEMPLATE_SPHERE,TEMPLATE_SPHERE_LIST_FOR_NOTE,0))</f>
        <v>0</v>
      </c>
      <c r="J98" s="1018">
        <f>INDEX(TEMPLATE_DATA_POINT_FHD,B98,MATCH(TEMPLATE_SPHERE,TEMPLATE_SPHERE_LIST_FOR_NOTE,0))</f>
        <v>0</v>
      </c>
      <c r="K98" s="1018">
        <f>INDEX(TEMPLATE_NOTE_POINT_FHD,B98,MATCH(TEMPLATE_SPHERE,TEMPLATE_SPHERE_LIST_FOR_NOTE,0))</f>
        <v>0</v>
      </c>
      <c r="L98" s="854" t="str">
        <f>IF(I98=0,"",I98)</f>
        <v/>
      </c>
      <c r="M98" s="854" t="str">
        <f>IF(J98=0,"",J98)</f>
        <v/>
      </c>
      <c r="N98" s="854" t="str">
        <f>IF(K98=0,"",K98)</f>
        <v/>
      </c>
      <c r="O98" s="970" t="s">
        <v>885</v>
      </c>
      <c r="P98" s="970"/>
      <c r="Q98" s="970"/>
      <c r="R98" s="970"/>
      <c r="S98" s="970"/>
      <c r="T98" s="853" t="s">
        <v>1554</v>
      </c>
      <c r="U98" s="853"/>
      <c r="V98" s="853"/>
      <c r="W98" s="853"/>
      <c r="X98" s="853"/>
      <c r="Y98" s="1013"/>
      <c r="Z98" s="856" t="s">
        <v>1552</v>
      </c>
      <c r="AA98" s="859"/>
      <c r="AB98" s="856"/>
      <c r="AC98" s="856"/>
      <c r="AD98" s="856"/>
    </row>
    <row customHeight="1" ht="90">
      <c r="A99" s="855"/>
      <c r="B99" s="911">
        <v>82</v>
      </c>
      <c r="C99" s="853" t="s">
        <v>1555</v>
      </c>
      <c r="D99" s="980"/>
      <c r="E99" s="853"/>
      <c r="F99" s="853"/>
      <c r="G99" s="853"/>
      <c r="H99" s="903"/>
      <c r="I99" s="1018">
        <f>INDEX(TEMPLATE_NUMBER_POINT_FHD,B99,MATCH(TEMPLATE_SPHERE,TEMPLATE_SPHERE_LIST_FOR_NOTE,0))</f>
        <v>0</v>
      </c>
      <c r="J99" s="1018">
        <f>INDEX(TEMPLATE_DATA_POINT_FHD,B99,MATCH(TEMPLATE_SPHERE,TEMPLATE_SPHERE_LIST_FOR_NOTE,0))</f>
        <v>0</v>
      </c>
      <c r="K99" s="1018">
        <f>INDEX(TEMPLATE_NOTE_POINT_FHD,B99,MATCH(TEMPLATE_SPHERE,TEMPLATE_SPHERE_LIST_FOR_NOTE,0))</f>
        <v>0</v>
      </c>
      <c r="L99" s="854" t="str">
        <f>IF(I99=0,"",I99)</f>
        <v/>
      </c>
      <c r="M99" s="854" t="str">
        <f>IF(J99=0,"",J99)</f>
        <v/>
      </c>
      <c r="N99" s="854" t="str">
        <f>IF(K99=0,"",K99)</f>
        <v/>
      </c>
      <c r="O99" s="970" t="s">
        <v>897</v>
      </c>
      <c r="P99" s="970"/>
      <c r="Q99" s="970"/>
      <c r="R99" s="970"/>
      <c r="S99" s="970"/>
      <c r="T99" s="853" t="s">
        <v>1556</v>
      </c>
      <c r="U99" s="853"/>
      <c r="V99" s="853"/>
      <c r="W99" s="853"/>
      <c r="X99" s="853"/>
      <c r="Y99" s="1013"/>
      <c r="Z99" s="856" t="s">
        <v>1557</v>
      </c>
      <c r="AA99" s="859"/>
      <c r="AB99" s="856"/>
      <c r="AC99" s="856"/>
      <c r="AD99" s="856"/>
    </row>
    <row customHeight="1" ht="27">
      <c r="A100" s="855"/>
      <c r="B100" s="911">
        <v>83</v>
      </c>
      <c r="C100" s="853"/>
      <c r="D100" s="980"/>
      <c r="E100" s="853"/>
      <c r="F100" s="853"/>
      <c r="G100" s="853"/>
      <c r="H100" s="903"/>
      <c r="I100" s="1018">
        <f>INDEX(TEMPLATE_NUMBER_POINT_FHD,B100,MATCH(TEMPLATE_SPHERE,TEMPLATE_SPHERE_LIST_FOR_NOTE,0))</f>
        <v>0</v>
      </c>
      <c r="J100" s="1018">
        <f>INDEX(TEMPLATE_DATA_POINT_FHD,B100,MATCH(TEMPLATE_SPHERE,TEMPLATE_SPHERE_LIST_FOR_NOTE,0))</f>
        <v>0</v>
      </c>
      <c r="K100" s="1018">
        <f>INDEX(TEMPLATE_NOTE_POINT_FHD,B100,MATCH(TEMPLATE_SPHERE,TEMPLATE_SPHERE_LIST_FOR_NOTE,0))</f>
        <v>0</v>
      </c>
      <c r="L100" s="854" t="str">
        <f>IF(I100=0,"",I100)</f>
        <v/>
      </c>
      <c r="M100" s="854" t="str">
        <f>IF(J100=0,"",J100)</f>
        <v/>
      </c>
      <c r="N100" s="854" t="str">
        <f>IF(K100=0,"",K100)</f>
        <v/>
      </c>
      <c r="O100" s="970" t="s">
        <v>1558</v>
      </c>
      <c r="P100" s="970"/>
      <c r="Q100" s="970"/>
      <c r="R100" s="970"/>
      <c r="S100" s="970"/>
      <c r="T100" s="853" t="s">
        <v>1559</v>
      </c>
      <c r="U100" s="853"/>
      <c r="V100" s="853"/>
      <c r="W100" s="853"/>
      <c r="X100" s="853"/>
      <c r="Y100" s="1013"/>
      <c r="Z100" s="856" t="s">
        <v>1557</v>
      </c>
      <c r="AA100" s="859"/>
      <c r="AB100" s="856"/>
      <c r="AC100" s="856"/>
      <c r="AD100" s="856"/>
    </row>
    <row customHeight="1" ht="27">
      <c r="A101" s="855"/>
      <c r="B101" s="911">
        <v>84</v>
      </c>
      <c r="C101" s="853"/>
      <c r="D101" s="980"/>
      <c r="E101" s="853"/>
      <c r="F101" s="853"/>
      <c r="G101" s="853"/>
      <c r="H101" s="903"/>
      <c r="I101" s="1018">
        <f>INDEX(TEMPLATE_NUMBER_POINT_FHD,B101,MATCH(TEMPLATE_SPHERE,TEMPLATE_SPHERE_LIST_FOR_NOTE,0))</f>
        <v>0</v>
      </c>
      <c r="J101" s="1018">
        <f>INDEX(TEMPLATE_DATA_POINT_FHD,B101,MATCH(TEMPLATE_SPHERE,TEMPLATE_SPHERE_LIST_FOR_NOTE,0))</f>
        <v>0</v>
      </c>
      <c r="K101" s="1018">
        <f>INDEX(TEMPLATE_NOTE_POINT_FHD,B101,MATCH(TEMPLATE_SPHERE,TEMPLATE_SPHERE_LIST_FOR_NOTE,0))</f>
        <v>0</v>
      </c>
      <c r="L101" s="854" t="str">
        <f>IF(I101=0,"",I101)</f>
        <v/>
      </c>
      <c r="M101" s="854" t="str">
        <f>IF(J101=0,"",J101)</f>
        <v/>
      </c>
      <c r="N101" s="854" t="str">
        <f>IF(K101=0,"",K101)</f>
        <v/>
      </c>
      <c r="O101" s="970" t="s">
        <v>1560</v>
      </c>
      <c r="P101" s="970"/>
      <c r="Q101" s="970"/>
      <c r="R101" s="970"/>
      <c r="S101" s="970"/>
      <c r="T101" s="853" t="s">
        <v>1561</v>
      </c>
      <c r="U101" s="853"/>
      <c r="V101" s="853"/>
      <c r="W101" s="853"/>
      <c r="X101" s="853"/>
      <c r="Y101" s="1013"/>
      <c r="Z101" s="856" t="s">
        <v>1557</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1063</v>
      </c>
      <c r="B148" s="855"/>
      <c r="C148" s="853" t="s">
        <v>1562</v>
      </c>
      <c r="D148" s="853" t="s">
        <v>953</v>
      </c>
      <c r="E148" s="853" t="s">
        <v>1065</v>
      </c>
      <c r="F148" s="853" t="s">
        <v>1563</v>
      </c>
      <c r="G148" s="853"/>
      <c r="H148" s="853"/>
      <c r="I148" s="976"/>
      <c r="J148" s="976"/>
      <c r="K148" s="976"/>
      <c r="L148" s="976"/>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8"/>
      <c r="O148" s="853"/>
      <c r="P148" s="854"/>
      <c r="Q148" s="854"/>
      <c r="R148" s="854"/>
      <c r="S148" s="853"/>
      <c r="T148" s="853" t="s">
        <v>1564</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4"/>
      <c r="W148" s="854"/>
      <c r="X148" s="853" t="s">
        <v>1565</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1069</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1074</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1079</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4D03F-AF2B-9B04-5C59-8062B508F7A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2.28125" hidden="1" customWidth="1"/>
    <col min="6" max="8" style="3618" width="12.28125" hidden="1"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A8" s="1404"/>
      <c r="B8" s="1404"/>
      <c r="C8" s="1404"/>
      <c r="D8" s="1404"/>
      <c r="E8" s="1404"/>
      <c r="F8" s="1404"/>
      <c r="G8" s="1404"/>
      <c r="H8" s="1404"/>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A9" s="1404"/>
      <c r="B9" s="1404"/>
      <c r="C9" s="1404"/>
      <c r="D9" s="1404"/>
      <c r="E9" s="1404"/>
      <c r="F9" s="1404"/>
      <c r="G9" s="1404"/>
      <c r="H9" s="1404"/>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A10" s="1404"/>
      <c r="B10" s="1404"/>
      <c r="C10" s="1404"/>
      <c r="D10" s="1404"/>
      <c r="E10" s="1404"/>
      <c r="F10" s="1404"/>
      <c r="G10" s="1404"/>
      <c r="H10" s="1404"/>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A11" s="1404"/>
      <c r="B11" s="1404"/>
      <c r="C11" s="1404"/>
      <c r="D11" s="1404"/>
      <c r="E11" s="1404"/>
      <c r="F11" s="1404"/>
      <c r="G11" s="1404"/>
      <c r="H11" s="1404"/>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A12" s="1404"/>
      <c r="B12" s="1404"/>
      <c r="C12" s="1404"/>
      <c r="D12" s="1404"/>
      <c r="E12" s="1404"/>
      <c r="F12" s="1404"/>
      <c r="G12" s="1404"/>
      <c r="H12" s="1404"/>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406" t="s">
        <v>135</v>
      </c>
      <c r="B17" s="1406" t="s">
        <v>136</v>
      </c>
      <c r="C17" s="1406" t="s">
        <v>137</v>
      </c>
      <c r="D17" s="1406" t="s">
        <v>138</v>
      </c>
      <c r="E17" s="1406"/>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406"/>
      <c r="B18" s="1406"/>
      <c r="C18" s="1406"/>
      <c r="D18" s="1406"/>
      <c r="E18" s="1406"/>
      <c r="F18" s="1398"/>
      <c r="G18" s="1398"/>
      <c r="H18" s="1398"/>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99" t="s">
        <v>169</v>
      </c>
      <c r="B19" s="1399" t="s">
        <v>170</v>
      </c>
      <c r="C19" s="1399" t="s">
        <v>171</v>
      </c>
      <c r="D19" s="1399" t="s">
        <v>172</v>
      </c>
      <c r="E19" s="1399"/>
      <c r="F19" s="1401"/>
      <c r="G19" s="1401"/>
      <c r="H19" s="1401"/>
      <c r="I19" s="357"/>
      <c r="J19" s="356"/>
      <c r="K19" s="351"/>
      <c r="L19" s="1329">
        <f>INDEX(PT_DIFFERENTIATION_NUM_NTAR,MATCH(A19,PT_DIFFERENTIATION_NTAR_ID,0))</f>
        <v>0</v>
      </c>
      <c r="M19" s="286" t="s">
        <v>124</v>
      </c>
      <c r="N19" s="288"/>
      <c r="O19" s="2287" t="str">
        <f>INDEX(PT_DIFFERENTIATION_NTAR,MATCH(A19,PT_DIFFERENTIATION_NTAR_ID,0))</f>
        <v/>
      </c>
      <c r="P19" s="2287"/>
      <c r="Q19" s="2287"/>
      <c r="R19" s="2287"/>
      <c r="S19" s="2287"/>
      <c r="T19" s="2287"/>
      <c r="U19" s="2287"/>
      <c r="V19" s="2287"/>
      <c r="W19" s="2287"/>
      <c r="X19" s="1292" t="s">
        <v>456</v>
      </c>
      <c r="Z19" s="508"/>
      <c r="AA19" s="508" t="str">
        <f>IF(M19="","",M19)</f>
        <v>Наименование тарифа</v>
      </c>
      <c r="AB19" s="508"/>
      <c r="AC19" s="508"/>
    </row>
    <row customHeight="1" ht="21">
      <c r="A20" s="1399" t="s">
        <v>169</v>
      </c>
      <c r="B20" s="1399" t="s">
        <v>170</v>
      </c>
      <c r="C20" s="1399" t="s">
        <v>171</v>
      </c>
      <c r="D20" s="1399" t="s">
        <v>172</v>
      </c>
      <c r="E20" s="1399"/>
      <c r="F20" s="1401"/>
      <c r="G20" s="1401"/>
      <c r="H20" s="1401"/>
      <c r="I20" s="1326"/>
      <c r="J20" s="348"/>
      <c r="K20" s="349"/>
      <c r="L20" s="1329" t="str">
        <f>INDEX(PT_DIFFERENTIATION_NUM_TER,MATCH(B19,PT_DIFFERENTIATION_TER_ID,0))</f>
        <v>.</v>
      </c>
      <c r="M20" s="298" t="s">
        <v>457</v>
      </c>
      <c r="N20" s="288"/>
      <c r="O20" s="2287" t="str">
        <f>INDEX(PT_DIFFERENTIATION_TER,MATCH(B19,PT_DIFFERENTIATION_TER_ID,0))</f>
        <v/>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99" t="s">
        <v>169</v>
      </c>
      <c r="B21" s="1399" t="s">
        <v>170</v>
      </c>
      <c r="C21" s="1399" t="s">
        <v>171</v>
      </c>
      <c r="D21" s="1399" t="s">
        <v>172</v>
      </c>
      <c r="E21" s="1399"/>
      <c r="F21" s="1401"/>
      <c r="G21" s="1401"/>
      <c r="H21" s="1401"/>
      <c r="I21" s="350"/>
      <c r="J21" s="348"/>
      <c r="K21" s="349"/>
      <c r="L21" s="1329" t="str">
        <f>INDEX(PT_DIFFERENTIATION_NUM_CS,MATCH(C19,PT_DIFFERENTIATION_CS_ID,0))</f>
        <v>..</v>
      </c>
      <c r="M21" s="299" t="s">
        <v>459</v>
      </c>
      <c r="N21" s="288"/>
      <c r="O21" s="2287" t="str">
        <f>INDEX(PT_DIFFERENTIATION_CS,MATCH(C19,PT_DIFFERENTIATION_CS_ID,0))</f>
        <v/>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99" t="s">
        <v>169</v>
      </c>
      <c r="B22" s="1399" t="s">
        <v>170</v>
      </c>
      <c r="C22" s="1399" t="s">
        <v>171</v>
      </c>
      <c r="D22" s="1399" t="s">
        <v>172</v>
      </c>
      <c r="E22" s="1399"/>
      <c r="F22" s="1401"/>
      <c r="G22" s="1401"/>
      <c r="H22" s="1401"/>
      <c r="I22" s="350"/>
      <c r="J22" s="348"/>
      <c r="K22" s="349"/>
      <c r="L22" s="1329" t="str">
        <f>INDEX(PT_DIFFERENTIATION_NUM_IST_TE,MATCH(D19,PT_DIFFERENTIATION_IST_TE_ID,0))</f>
        <v>...</v>
      </c>
      <c r="M22" s="300" t="s">
        <v>461</v>
      </c>
      <c r="N22" s="288"/>
      <c r="O22" s="2287" t="str">
        <f>INDEX(PT_DIFFERENTIATION_IST_TE,MATCH(D19,PT_DIFFERENTIATION_IST_TE_ID,0))</f>
        <v/>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99" t="s">
        <v>169</v>
      </c>
      <c r="B23" s="1399" t="s">
        <v>170</v>
      </c>
      <c r="C23" s="1399" t="s">
        <v>171</v>
      </c>
      <c r="D23" s="1399" t="s">
        <v>172</v>
      </c>
      <c r="E23" s="1399"/>
      <c r="F23" s="2288" t="str">
        <f>L22&amp;".1"</f>
        <v>....1</v>
      </c>
      <c r="I23" s="2190">
        <v>1</v>
      </c>
      <c r="J23" s="1327"/>
      <c r="K23" s="352"/>
      <c r="L23" s="1329" t="str">
        <f>$F$23</f>
        <v>....1</v>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169</v>
      </c>
      <c r="B24" s="1399" t="s">
        <v>170</v>
      </c>
      <c r="C24" s="1399" t="s">
        <v>171</v>
      </c>
      <c r="D24" s="1399" t="s">
        <v>172</v>
      </c>
      <c r="E24" s="1399"/>
      <c r="F24" s="2288"/>
      <c r="G24" s="2056" t="str">
        <f>F23&amp;".1"</f>
        <v>....1.1</v>
      </c>
      <c r="I24" s="2190"/>
      <c r="J24" s="2190">
        <v>1</v>
      </c>
      <c r="K24" s="353"/>
      <c r="L24" s="1329" t="str">
        <f>$G$24</f>
        <v>....1.1</v>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99" t="s">
        <v>169</v>
      </c>
      <c r="B25" s="1399" t="s">
        <v>170</v>
      </c>
      <c r="C25" s="1399" t="s">
        <v>171</v>
      </c>
      <c r="D25" s="1399" t="s">
        <v>172</v>
      </c>
      <c r="E25" s="1399"/>
      <c r="F25" s="2288"/>
      <c r="G25" s="2056"/>
      <c r="H25" s="2056" t="str">
        <f>G24&amp;".1"</f>
        <v>....1.1.1</v>
      </c>
      <c r="I25" s="2190"/>
      <c r="J25" s="2190"/>
      <c r="K25" s="353">
        <v>1</v>
      </c>
      <c r="L25" s="1329" t="str">
        <f>$H$25</f>
        <v>....1.1.1</v>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99" t="s">
        <v>169</v>
      </c>
      <c r="B26" s="1399" t="s">
        <v>170</v>
      </c>
      <c r="C26" s="1399" t="s">
        <v>171</v>
      </c>
      <c r="D26" s="1399" t="s">
        <v>172</v>
      </c>
      <c r="E26" s="1399"/>
      <c r="F26" s="2288"/>
      <c r="G26" s="2056"/>
      <c r="H26" s="2056"/>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99" t="s">
        <v>169</v>
      </c>
      <c r="B27" s="1399" t="s">
        <v>170</v>
      </c>
      <c r="C27" s="1399" t="s">
        <v>171</v>
      </c>
      <c r="D27" s="1399" t="s">
        <v>172</v>
      </c>
      <c r="E27" s="1399"/>
      <c r="F27" s="2288"/>
      <c r="G27" s="2056"/>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99" t="s">
        <v>169</v>
      </c>
      <c r="B28" s="1399" t="s">
        <v>170</v>
      </c>
      <c r="C28" s="1399" t="s">
        <v>171</v>
      </c>
      <c r="D28" s="1399" t="s">
        <v>172</v>
      </c>
      <c r="E28" s="1399"/>
      <c r="F28" s="2288"/>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169</v>
      </c>
      <c r="B29" s="1399" t="s">
        <v>170</v>
      </c>
      <c r="C29" s="1399" t="s">
        <v>171</v>
      </c>
      <c r="D29" s="1399" t="s">
        <v>172</v>
      </c>
      <c r="E29" s="1399"/>
      <c r="F29" s="1401"/>
      <c r="G29" s="1401"/>
      <c r="H29" s="545"/>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169</v>
      </c>
      <c r="B30" s="1399" t="s">
        <v>170</v>
      </c>
      <c r="C30" s="1399" t="s">
        <v>171</v>
      </c>
      <c r="D30" s="1399"/>
      <c r="E30" s="1399" t="s">
        <v>1569</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169</v>
      </c>
      <c r="B31" s="1399" t="s">
        <v>170</v>
      </c>
      <c r="C31" s="1399"/>
      <c r="D31" s="1399"/>
      <c r="E31" s="1399" t="s">
        <v>1570</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1571</v>
      </c>
      <c r="B32" s="1399"/>
      <c r="C32" s="1399"/>
      <c r="D32" s="1399"/>
      <c r="E32" s="1399" t="s">
        <v>104</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99"/>
      <c r="B33" s="1399"/>
      <c r="C33" s="1399"/>
      <c r="D33" s="1399"/>
      <c r="E33" s="1399" t="s">
        <v>433</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505</v>
      </c>
      <c r="M35" s="2218" t="s">
        <v>512</v>
      </c>
      <c r="N35" s="2218"/>
      <c r="O35" s="2218"/>
      <c r="P35" s="2218"/>
      <c r="Q35" s="2218"/>
      <c r="R35" s="2218"/>
      <c r="S35" s="2218"/>
      <c r="T35" s="2218"/>
      <c r="U35" s="2218"/>
      <c r="V35" s="2218"/>
      <c r="W35" s="2218"/>
      <c r="X35" s="2218"/>
    </row>
    <row customHeight="1" ht="104.25">
      <c r="H36" s="545"/>
      <c r="I36" s="1339"/>
      <c r="M36" s="2218" t="s">
        <v>507</v>
      </c>
      <c r="N36" s="2218"/>
      <c r="O36" s="2218"/>
      <c r="P36" s="2218"/>
      <c r="Q36" s="2218"/>
      <c r="R36" s="2218"/>
      <c r="S36" s="2218"/>
      <c r="T36" s="2218"/>
      <c r="U36" s="2218"/>
      <c r="V36" s="2218"/>
      <c r="W36" s="2218"/>
      <c r="X36" s="2218"/>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D23A8-F708-2692-ECC7-E3B2085A469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1.57421875" customWidth="1"/>
    <col min="2" max="2" style="2862" width="10.7109375" customWidth="1"/>
    <col min="3" max="3" style="2862" width="10.00390625" customWidth="1"/>
    <col min="4" max="4" style="2862" width="12.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1572</v>
      </c>
      <c r="B19" s="1302" t="s">
        <v>1573</v>
      </c>
      <c r="C19" s="1302" t="s">
        <v>1574</v>
      </c>
      <c r="D19" s="1302" t="s">
        <v>1575</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1572</v>
      </c>
      <c r="B20" s="1302" t="s">
        <v>1573</v>
      </c>
      <c r="C20" s="1302" t="s">
        <v>1574</v>
      </c>
      <c r="D20" s="1302" t="s">
        <v>1575</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1572</v>
      </c>
      <c r="B21" s="1302" t="s">
        <v>1573</v>
      </c>
      <c r="C21" s="1302" t="s">
        <v>1574</v>
      </c>
      <c r="D21" s="1302" t="s">
        <v>1575</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1572</v>
      </c>
      <c r="B22" s="1302" t="s">
        <v>1573</v>
      </c>
      <c r="C22" s="1302" t="s">
        <v>1574</v>
      </c>
      <c r="D22" s="1302" t="s">
        <v>1575</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1572</v>
      </c>
      <c r="B23" s="1302" t="s">
        <v>1573</v>
      </c>
      <c r="C23" s="1302" t="s">
        <v>1574</v>
      </c>
      <c r="D23" s="1302" t="s">
        <v>1575</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1572</v>
      </c>
      <c r="B24" s="1302" t="s">
        <v>1573</v>
      </c>
      <c r="C24" s="1302" t="s">
        <v>1574</v>
      </c>
      <c r="D24" s="1302" t="s">
        <v>1575</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1572</v>
      </c>
      <c r="B25" s="1302" t="s">
        <v>1573</v>
      </c>
      <c r="C25" s="1302" t="s">
        <v>1574</v>
      </c>
      <c r="D25" s="1302" t="s">
        <v>1575</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02" t="s">
        <v>1572</v>
      </c>
      <c r="B26" s="1302" t="s">
        <v>1573</v>
      </c>
      <c r="C26" s="1302" t="s">
        <v>1574</v>
      </c>
      <c r="D26" s="1302" t="s">
        <v>1575</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1572</v>
      </c>
      <c r="B27" s="1302" t="s">
        <v>1573</v>
      </c>
      <c r="C27" s="1302" t="s">
        <v>1574</v>
      </c>
      <c r="D27" s="1302" t="s">
        <v>1575</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1572</v>
      </c>
      <c r="B28" s="1302" t="s">
        <v>1573</v>
      </c>
      <c r="C28" s="1302" t="s">
        <v>1574</v>
      </c>
      <c r="D28" s="1302" t="s">
        <v>1575</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1572</v>
      </c>
      <c r="B29" s="1302" t="s">
        <v>1573</v>
      </c>
      <c r="C29" s="1302" t="s">
        <v>1574</v>
      </c>
      <c r="D29" s="1302" t="s">
        <v>1575</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1572</v>
      </c>
      <c r="B30" s="1302" t="s">
        <v>1573</v>
      </c>
      <c r="C30" s="1302" t="s">
        <v>1574</v>
      </c>
      <c r="D30" s="1302"/>
      <c r="E30" s="1302" t="s">
        <v>1569</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1572</v>
      </c>
      <c r="B31" s="1302" t="s">
        <v>1573</v>
      </c>
      <c r="C31" s="1302"/>
      <c r="D31" s="1302"/>
      <c r="E31" s="1302" t="s">
        <v>1570</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1576</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163C1-BED7-4EF6-50C2-F672BCFC597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0.57421875"/>
    <col min="2" max="2" style="2862" width="11.00390625" customWidth="1"/>
    <col min="3" max="3" style="2862" width="10.57421875"/>
    <col min="4" max="4" style="2862" width="11.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1577</v>
      </c>
      <c r="B19" s="1302" t="s">
        <v>1578</v>
      </c>
      <c r="C19" s="1302" t="s">
        <v>1579</v>
      </c>
      <c r="D19" s="1302" t="s">
        <v>1580</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1577</v>
      </c>
      <c r="B20" s="1302" t="s">
        <v>1578</v>
      </c>
      <c r="C20" s="1302" t="s">
        <v>1579</v>
      </c>
      <c r="D20" s="1302" t="s">
        <v>1580</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1577</v>
      </c>
      <c r="B21" s="1302" t="s">
        <v>1578</v>
      </c>
      <c r="C21" s="1302" t="s">
        <v>1579</v>
      </c>
      <c r="D21" s="1302" t="s">
        <v>1580</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1577</v>
      </c>
      <c r="B22" s="1302" t="s">
        <v>1578</v>
      </c>
      <c r="C22" s="1302" t="s">
        <v>1579</v>
      </c>
      <c r="D22" s="1302" t="s">
        <v>1580</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1577</v>
      </c>
      <c r="B23" s="1302" t="s">
        <v>1578</v>
      </c>
      <c r="C23" s="1302" t="s">
        <v>1579</v>
      </c>
      <c r="D23" s="1302" t="s">
        <v>1580</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1577</v>
      </c>
      <c r="B24" s="1302" t="s">
        <v>1578</v>
      </c>
      <c r="C24" s="1302" t="s">
        <v>1579</v>
      </c>
      <c r="D24" s="1302" t="s">
        <v>1580</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1577</v>
      </c>
      <c r="B25" s="1302" t="s">
        <v>1578</v>
      </c>
      <c r="C25" s="1302" t="s">
        <v>1579</v>
      </c>
      <c r="D25" s="1302" t="s">
        <v>1580</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02" t="s">
        <v>1577</v>
      </c>
      <c r="B26" s="1302" t="s">
        <v>1578</v>
      </c>
      <c r="C26" s="1302" t="s">
        <v>1579</v>
      </c>
      <c r="D26" s="1302" t="s">
        <v>1580</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1577</v>
      </c>
      <c r="B27" s="1302" t="s">
        <v>1578</v>
      </c>
      <c r="C27" s="1302" t="s">
        <v>1579</v>
      </c>
      <c r="D27" s="1302" t="s">
        <v>1580</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1577</v>
      </c>
      <c r="B28" s="1302" t="s">
        <v>1578</v>
      </c>
      <c r="C28" s="1302" t="s">
        <v>1579</v>
      </c>
      <c r="D28" s="1302" t="s">
        <v>1580</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1577</v>
      </c>
      <c r="B29" s="1302" t="s">
        <v>1578</v>
      </c>
      <c r="C29" s="1302" t="s">
        <v>1579</v>
      </c>
      <c r="D29" s="1302" t="s">
        <v>1580</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1577</v>
      </c>
      <c r="B30" s="1302" t="s">
        <v>1578</v>
      </c>
      <c r="C30" s="1302" t="s">
        <v>1579</v>
      </c>
      <c r="D30" s="1302"/>
      <c r="E30" s="1302" t="s">
        <v>1569</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1577</v>
      </c>
      <c r="B31" s="1302" t="s">
        <v>1578</v>
      </c>
      <c r="C31" s="1302"/>
      <c r="D31" s="1302"/>
      <c r="E31" s="1302" t="s">
        <v>1570</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1581</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7B937-AA51-2583-7DC6-FAAFB3AB115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587" width="10.57421875"/>
    <col min="7" max="8" style="3722" width="9.140625" customWidth="1"/>
    <col min="9" max="9" style="3692" width="3.7109375" customWidth="1"/>
    <col min="10" max="11" style="3693" width="3.7109375" customWidth="1"/>
    <col min="12" max="12" style="2862" width="12.7109375" customWidth="1"/>
    <col min="13" max="13" style="2862" width="47.421875" customWidth="1"/>
    <col min="14" max="14" style="2862" width="2.7109375" hidden="1" customWidth="1"/>
    <col min="15" max="18" style="2862" width="23.7109375" customWidth="1"/>
    <col min="19" max="19" style="2862" width="11.7109375" customWidth="1"/>
    <col min="20" max="20" style="2862" width="3.7109375" customWidth="1"/>
    <col min="21" max="21" style="2862" width="11.7109375" customWidth="1"/>
    <col min="22" max="22" style="2862" width="8.57421875" hidden="1" customWidth="1"/>
    <col min="23" max="23" style="2862" width="4.7109375" customWidth="1"/>
    <col min="24" max="24" style="2862" width="115.7109375" customWidth="1"/>
    <col min="25" max="29" style="2587"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3" t="s">
        <v>1582</v>
      </c>
      <c r="M5" s="2293"/>
      <c r="N5" s="2293"/>
      <c r="O5" s="2293"/>
      <c r="P5" s="2293"/>
      <c r="Q5" s="2293"/>
      <c r="R5" s="2293"/>
      <c r="S5" s="2293"/>
      <c r="T5" s="2293"/>
      <c r="U5" s="264"/>
      <c r="V5" s="264"/>
    </row>
    <row customHeight="1" ht="14.25">
      <c r="J6" s="377"/>
      <c r="K6" s="377"/>
      <c r="L6" s="361"/>
      <c r="M6" s="361"/>
      <c r="N6" s="361"/>
      <c r="O6" s="316"/>
      <c r="P6" s="316"/>
      <c r="Q6" s="316"/>
      <c r="R6" s="316"/>
      <c r="S6" s="316"/>
      <c r="T6" s="316"/>
      <c r="U6" s="361"/>
    </row>
    <row s="3627" customFormat="1" customHeight="1" ht="22.5">
      <c r="A7" s="368"/>
      <c r="B7" s="368"/>
      <c r="C7" s="368"/>
      <c r="D7" s="368"/>
      <c r="E7" s="368"/>
      <c r="F7" s="368"/>
      <c r="G7" s="368"/>
      <c r="H7" s="368"/>
      <c r="L7" s="265"/>
      <c r="M7" s="283" t="s">
        <v>39</v>
      </c>
      <c r="N7" s="292"/>
      <c r="O7" s="2294">
        <f>IF(NameOrPr_ch="",IF(NameOrPr="","",NameOrPr),NameOrPr_ch)</f>
      </c>
      <c r="P7" s="2295"/>
      <c r="Q7" s="2295"/>
      <c r="R7" s="2295"/>
      <c r="S7" s="2295"/>
      <c r="T7" s="2296"/>
      <c r="U7" s="1272"/>
      <c r="Y7" s="368"/>
      <c r="Z7" s="368"/>
      <c r="AA7" s="368"/>
      <c r="AB7" s="368"/>
      <c r="AC7" s="368"/>
    </row>
    <row s="3627" customFormat="1" customHeight="1" ht="18.75">
      <c r="A8" s="368"/>
      <c r="B8" s="368"/>
      <c r="C8" s="368"/>
      <c r="D8" s="368"/>
      <c r="E8" s="368"/>
      <c r="F8" s="368"/>
      <c r="G8" s="368"/>
      <c r="H8" s="368"/>
      <c r="L8" s="265"/>
      <c r="M8" s="283" t="s">
        <v>480</v>
      </c>
      <c r="N8" s="292"/>
      <c r="O8" s="2294">
        <f>IF(datePr_ch="",IF(datePr="","",datePr),datePr_ch)</f>
      </c>
      <c r="P8" s="2295"/>
      <c r="Q8" s="2295"/>
      <c r="R8" s="2295"/>
      <c r="S8" s="2295"/>
      <c r="T8" s="2296"/>
      <c r="U8" s="1272"/>
      <c r="Y8" s="368"/>
      <c r="Z8" s="368"/>
      <c r="AA8" s="368"/>
      <c r="AB8" s="368"/>
      <c r="AC8" s="368"/>
    </row>
    <row s="3627" customFormat="1" customHeight="1" ht="18.75">
      <c r="A9" s="368"/>
      <c r="B9" s="368"/>
      <c r="C9" s="368"/>
      <c r="D9" s="368"/>
      <c r="E9" s="368"/>
      <c r="F9" s="368"/>
      <c r="G9" s="368"/>
      <c r="H9" s="368"/>
      <c r="L9" s="318"/>
      <c r="M9" s="283" t="s">
        <v>481</v>
      </c>
      <c r="N9" s="292"/>
      <c r="O9" s="2294">
        <f>IF(numberPr_ch="",IF(numberPr="","",numberPr),numberPr_ch)</f>
      </c>
      <c r="P9" s="2295"/>
      <c r="Q9" s="2295"/>
      <c r="R9" s="2295"/>
      <c r="S9" s="2295"/>
      <c r="T9" s="2296"/>
      <c r="U9" s="1272"/>
      <c r="Y9" s="368"/>
      <c r="Z9" s="368"/>
      <c r="AA9" s="368"/>
      <c r="AB9" s="368"/>
      <c r="AC9" s="368"/>
    </row>
    <row s="3627" customFormat="1" customHeight="1" ht="18.75">
      <c r="A10" s="368"/>
      <c r="B10" s="368"/>
      <c r="C10" s="368"/>
      <c r="D10" s="368"/>
      <c r="E10" s="368"/>
      <c r="F10" s="368"/>
      <c r="G10" s="368"/>
      <c r="H10" s="368"/>
      <c r="L10" s="318"/>
      <c r="M10" s="283" t="s">
        <v>40</v>
      </c>
      <c r="N10" s="292"/>
      <c r="O10" s="2294">
        <f>IF(IstPub_ch="",IF(IstPub="","",IstPub),IstPub_ch)</f>
      </c>
      <c r="P10" s="2295"/>
      <c r="Q10" s="2295"/>
      <c r="R10" s="2295"/>
      <c r="S10" s="2295"/>
      <c r="T10" s="2296"/>
      <c r="U10" s="1272"/>
      <c r="Y10" s="368"/>
      <c r="Z10" s="368"/>
      <c r="AA10" s="368"/>
      <c r="AB10" s="368"/>
      <c r="AC10" s="368"/>
    </row>
    <row s="2820" customFormat="1" customHeight="1" ht="18.75" hidden="1">
      <c r="A11" s="1276"/>
      <c r="B11" s="1276"/>
      <c r="C11" s="1276"/>
      <c r="D11" s="1276"/>
      <c r="E11" s="1276"/>
      <c r="F11" s="1276"/>
      <c r="G11" s="1276"/>
      <c r="H11" s="1276"/>
      <c r="L11" s="318"/>
      <c r="M11" s="315"/>
      <c r="O11" s="1277"/>
      <c r="P11" s="1277"/>
      <c r="Q11" s="368" t="s">
        <v>1583</v>
      </c>
      <c r="R11" s="368" t="s">
        <v>1584</v>
      </c>
      <c r="S11" s="1277"/>
      <c r="T11" s="1277"/>
      <c r="U11" s="1272"/>
      <c r="Y11" s="1276"/>
      <c r="Z11" s="1276"/>
      <c r="AA11" s="1276"/>
      <c r="AB11" s="1276"/>
      <c r="AC11" s="1276"/>
    </row>
    <row s="3627" customFormat="1" customHeight="1" ht="11.25" hidden="1">
      <c r="A12" s="368"/>
      <c r="B12" s="368"/>
      <c r="C12" s="368"/>
      <c r="D12" s="368"/>
      <c r="E12" s="368"/>
      <c r="F12" s="368"/>
      <c r="G12" s="368"/>
      <c r="H12" s="368"/>
      <c r="L12" s="2286"/>
      <c r="M12" s="2286"/>
      <c r="N12" s="1239"/>
      <c r="O12" s="322"/>
      <c r="P12" s="322"/>
      <c r="Q12" s="322"/>
      <c r="R12" s="322"/>
      <c r="S12" s="322"/>
      <c r="T12" s="322"/>
      <c r="U12" s="1275"/>
      <c r="V12" s="266" t="s">
        <v>484</v>
      </c>
      <c r="Y12" s="368"/>
      <c r="Z12" s="368"/>
      <c r="AA12" s="368"/>
      <c r="AB12" s="368"/>
      <c r="AC12" s="368"/>
    </row>
    <row customHeight="1" ht="14.25">
      <c r="J13" s="377"/>
      <c r="K13" s="377"/>
      <c r="L13" s="361"/>
      <c r="M13" s="361"/>
      <c r="N13" s="361"/>
      <c r="O13" s="1278"/>
      <c r="P13" s="1278"/>
      <c r="Q13" s="2297"/>
      <c r="R13" s="2297"/>
      <c r="S13" s="2297"/>
      <c r="T13" s="2297"/>
      <c r="U13" s="2297"/>
      <c r="V13" s="2297"/>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047" t="s">
        <v>87</v>
      </c>
      <c r="M15" s="2047" t="s">
        <v>1585</v>
      </c>
      <c r="N15" s="1238"/>
      <c r="O15" s="2047" t="s">
        <v>1586</v>
      </c>
      <c r="P15" s="2046" t="s">
        <v>1587</v>
      </c>
      <c r="Q15" s="2046" t="s">
        <v>1567</v>
      </c>
      <c r="R15" s="2046"/>
      <c r="S15" s="2046"/>
      <c r="T15" s="2046"/>
      <c r="U15" s="2046"/>
      <c r="V15" s="2047" t="s">
        <v>487</v>
      </c>
      <c r="W15" s="2298" t="s">
        <v>1568</v>
      </c>
      <c r="X15" s="1966"/>
    </row>
    <row customHeight="1" ht="25.5">
      <c r="J16" s="377"/>
      <c r="K16" s="377"/>
      <c r="L16" s="2047"/>
      <c r="M16" s="2047"/>
      <c r="N16" s="1238"/>
      <c r="O16" s="2047"/>
      <c r="P16" s="2046"/>
      <c r="Q16" s="2046" t="s">
        <v>1588</v>
      </c>
      <c r="R16" s="2046"/>
      <c r="S16" s="2237" t="s">
        <v>511</v>
      </c>
      <c r="T16" s="2237"/>
      <c r="U16" s="2237"/>
      <c r="V16" s="2047"/>
      <c r="W16" s="2298"/>
      <c r="X16" s="1966"/>
    </row>
    <row customHeight="1" ht="14.25">
      <c r="J17" s="377"/>
      <c r="K17" s="377"/>
      <c r="L17" s="2047"/>
      <c r="M17" s="2047"/>
      <c r="N17" s="1238"/>
      <c r="O17" s="2047"/>
      <c r="P17" s="2046"/>
      <c r="Q17" s="1238" t="s">
        <v>548</v>
      </c>
      <c r="R17" s="1238" t="s">
        <v>549</v>
      </c>
      <c r="S17" s="1242" t="s">
        <v>503</v>
      </c>
      <c r="T17" s="2300" t="s">
        <v>504</v>
      </c>
      <c r="U17" s="2300"/>
      <c r="V17" s="2047"/>
      <c r="W17" s="2298"/>
      <c r="X17" s="1966"/>
    </row>
    <row customHeight="1" ht="14.25">
      <c r="J18" s="377"/>
      <c r="K18" s="279">
        <v>1</v>
      </c>
      <c r="L18" s="456" t="s">
        <v>109</v>
      </c>
      <c r="M18" s="456" t="s">
        <v>110</v>
      </c>
      <c r="N18" s="1274" t="s">
        <v>110</v>
      </c>
      <c r="O18" s="1240">
        <f>OFFSET(O18,0,-1)+1</f>
        <v>3</v>
      </c>
      <c r="P18" s="1240">
        <f>OFFSET(P18,0,-1)+1</f>
        <v>4</v>
      </c>
      <c r="Q18" s="1240">
        <f>OFFSET(Q18,0,-1)+1</f>
        <v>5</v>
      </c>
      <c r="R18" s="1240">
        <f>OFFSET(R18,0,-1)+1</f>
        <v>6</v>
      </c>
      <c r="S18" s="1240">
        <f>OFFSET(S18,0,-1)+1</f>
        <v>7</v>
      </c>
      <c r="T18" s="2301">
        <f>OFFSET(T18,0,-1)+1</f>
        <v>8</v>
      </c>
      <c r="U18" s="2301"/>
      <c r="V18" s="1240">
        <f>OFFSET(V18,0,-2)+1</f>
        <v>9</v>
      </c>
      <c r="X18" s="1240">
        <f>OFFSET(X18,0,-2)+1</f>
        <v>10</v>
      </c>
    </row>
    <row customHeight="1" ht="22.5">
      <c r="A19" s="2190">
        <v>1</v>
      </c>
      <c r="B19" s="526"/>
      <c r="C19" s="526"/>
      <c r="D19" s="526"/>
      <c r="E19" s="526"/>
      <c r="F19" s="526"/>
      <c r="G19" s="384"/>
      <c r="H19" s="384"/>
      <c r="I19" s="357"/>
      <c r="J19" s="377"/>
      <c r="K19" s="377"/>
      <c r="L19" s="1247">
        <f>MERGEVALUE(A19)</f>
      </c>
      <c r="M19" s="286" t="s">
        <v>124</v>
      </c>
      <c r="N19" s="305"/>
      <c r="O19" s="2299"/>
      <c r="P19" s="2299"/>
      <c r="Q19" s="2299"/>
      <c r="R19" s="2299"/>
      <c r="S19" s="2299"/>
      <c r="T19" s="2299"/>
      <c r="U19" s="2299"/>
      <c r="V19" s="2299"/>
      <c r="W19" s="2299"/>
      <c r="X19" s="341" t="s">
        <v>456</v>
      </c>
    </row>
    <row customHeight="1" ht="22.5">
      <c r="A20" s="2190"/>
      <c r="B20" s="2190">
        <v>1</v>
      </c>
      <c r="C20" s="526"/>
      <c r="D20" s="526"/>
      <c r="E20" s="526"/>
      <c r="F20" s="526"/>
      <c r="G20" s="386"/>
      <c r="H20" s="1241"/>
      <c r="I20" s="359"/>
      <c r="J20" s="1248"/>
      <c r="K20" s="1169"/>
      <c r="L20" s="1247">
        <f>MERGEVALUE(A20)&amp;"."&amp;MERGEVALUE(B20)</f>
      </c>
      <c r="M20" s="298" t="s">
        <v>457</v>
      </c>
      <c r="N20" s="305"/>
      <c r="O20" s="2299"/>
      <c r="P20" s="2299"/>
      <c r="Q20" s="2299"/>
      <c r="R20" s="2299"/>
      <c r="S20" s="2299"/>
      <c r="T20" s="2299"/>
      <c r="U20" s="2299"/>
      <c r="V20" s="2299"/>
      <c r="W20" s="2299"/>
      <c r="X20" s="341" t="s">
        <v>458</v>
      </c>
    </row>
    <row customHeight="1" ht="22.5">
      <c r="A21" s="2190"/>
      <c r="B21" s="2190"/>
      <c r="C21" s="2190">
        <v>1</v>
      </c>
      <c r="D21" s="526"/>
      <c r="E21" s="526"/>
      <c r="F21" s="526"/>
      <c r="G21" s="386"/>
      <c r="H21" s="1241"/>
      <c r="I21" s="360"/>
      <c r="J21" s="1248"/>
      <c r="K21" s="1169"/>
      <c r="L21" s="1247">
        <f>MERGEVALUE(A21)&amp;"."&amp;MERGEVALUE(B21)&amp;"."&amp;MERGEVALUE(C21)</f>
      </c>
      <c r="M21" s="299" t="s">
        <v>459</v>
      </c>
      <c r="N21" s="305"/>
      <c r="O21" s="2299"/>
      <c r="P21" s="2299"/>
      <c r="Q21" s="2299"/>
      <c r="R21" s="2299"/>
      <c r="S21" s="2299"/>
      <c r="T21" s="2299"/>
      <c r="U21" s="2299"/>
      <c r="V21" s="2299"/>
      <c r="W21" s="2299"/>
      <c r="X21" s="341" t="s">
        <v>460</v>
      </c>
    </row>
    <row customHeight="1" ht="14.25">
      <c r="A22" s="2190"/>
      <c r="B22" s="2190"/>
      <c r="C22" s="2190"/>
      <c r="D22" s="2190">
        <v>1</v>
      </c>
      <c r="E22" s="526"/>
      <c r="F22" s="526"/>
      <c r="G22" s="386"/>
      <c r="H22" s="1241"/>
      <c r="I22" s="360"/>
      <c r="J22" s="358"/>
      <c r="K22" s="1169"/>
      <c r="L22" s="1247">
        <f>MERGEVALUE(A22)&amp;"."&amp;MERGEVALUE(B22)&amp;"."&amp;MERGEVALUE(C22)&amp;"."&amp;MERGEVALUE(D22)</f>
      </c>
      <c r="M22" s="300" t="s">
        <v>461</v>
      </c>
      <c r="N22" s="305"/>
      <c r="O22" s="2299"/>
      <c r="P22" s="2299"/>
      <c r="Q22" s="2299"/>
      <c r="R22" s="2299"/>
      <c r="S22" s="2299"/>
      <c r="T22" s="2299"/>
      <c r="U22" s="2299"/>
      <c r="V22" s="2299"/>
      <c r="W22" s="2299"/>
      <c r="X22" s="333" t="s">
        <v>1589</v>
      </c>
    </row>
    <row customHeight="1" ht="22.5">
      <c r="A23" s="2190"/>
      <c r="B23" s="2190"/>
      <c r="C23" s="2190"/>
      <c r="D23" s="2190"/>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56</v>
      </c>
      <c r="U23" s="1280"/>
      <c r="V23" s="1236" t="s">
        <v>56</v>
      </c>
      <c r="W23" s="1281"/>
      <c r="X23" s="2006" t="s">
        <v>1590</v>
      </c>
      <c r="Y23" s="519">
        <f>STRCHECKDATETWO(N23:W23)</f>
      </c>
    </row>
    <row customHeight="1" ht="14.25" hidden="1">
      <c r="A24" s="2190"/>
      <c r="B24" s="2190"/>
      <c r="C24" s="2190"/>
      <c r="D24" s="2190"/>
      <c r="E24" s="526"/>
      <c r="F24" s="526"/>
      <c r="G24" s="386"/>
      <c r="H24" s="1241"/>
      <c r="I24" s="360"/>
      <c r="J24" s="358"/>
      <c r="K24" s="459"/>
      <c r="L24" s="1246"/>
      <c r="M24" s="301"/>
      <c r="N24" s="288"/>
      <c r="O24" s="288"/>
      <c r="P24" s="288"/>
      <c r="Q24" s="288"/>
      <c r="R24" s="324" t="str">
        <f>S23&amp;"-"&amp;U23</f>
        <v>-</v>
      </c>
      <c r="S24" s="309"/>
      <c r="T24" s="306"/>
      <c r="U24" s="309"/>
      <c r="V24" s="288"/>
      <c r="W24" s="1282"/>
      <c r="X24" s="2007"/>
    </row>
    <row customHeight="1" ht="14.25">
      <c r="A25" s="2190"/>
      <c r="B25" s="2190"/>
      <c r="C25" s="2190"/>
      <c r="D25" s="2190"/>
      <c r="E25" s="526"/>
      <c r="F25" s="526"/>
      <c r="G25" s="386"/>
      <c r="H25" s="1241"/>
      <c r="I25" s="360"/>
      <c r="J25" s="358"/>
      <c r="K25" s="459"/>
      <c r="L25" s="297"/>
      <c r="M25" s="364" t="s">
        <v>537</v>
      </c>
      <c r="N25" s="363"/>
      <c r="O25" s="317"/>
      <c r="P25" s="317"/>
      <c r="Q25" s="317"/>
      <c r="R25" s="317"/>
      <c r="S25" s="321"/>
      <c r="T25" s="367"/>
      <c r="U25" s="366"/>
      <c r="V25" s="363"/>
      <c r="W25" s="363"/>
      <c r="X25" s="2008"/>
    </row>
    <row s="4016" customFormat="1" customHeight="1" ht="14.25">
      <c r="A26" s="2190"/>
      <c r="B26" s="2190"/>
      <c r="C26" s="2190"/>
      <c r="D26" s="385"/>
      <c r="E26" s="385"/>
      <c r="F26" s="385"/>
      <c r="G26" s="386"/>
      <c r="H26" s="385"/>
      <c r="I26" s="360"/>
      <c r="J26" s="376"/>
      <c r="K26" s="378"/>
      <c r="L26" s="297"/>
      <c r="M26" s="372" t="s">
        <v>1569</v>
      </c>
      <c r="N26" s="363"/>
      <c r="O26" s="317"/>
      <c r="P26" s="317"/>
      <c r="Q26" s="317"/>
      <c r="R26" s="317"/>
      <c r="S26" s="321"/>
      <c r="T26" s="367"/>
      <c r="U26" s="366"/>
      <c r="V26" s="363"/>
      <c r="W26" s="367"/>
      <c r="X26" s="1283"/>
      <c r="Y26" s="383"/>
      <c r="Z26" s="383"/>
      <c r="AA26" s="383"/>
      <c r="AB26" s="383"/>
      <c r="AC26" s="383"/>
    </row>
    <row s="4016" customFormat="1" customHeight="1" ht="14.25">
      <c r="A27" s="2190"/>
      <c r="B27" s="2190"/>
      <c r="C27" s="385"/>
      <c r="D27" s="385"/>
      <c r="E27" s="385"/>
      <c r="F27" s="385"/>
      <c r="G27" s="386"/>
      <c r="H27" s="385"/>
      <c r="I27" s="356"/>
      <c r="J27" s="376"/>
      <c r="K27" s="378"/>
      <c r="L27" s="297"/>
      <c r="M27" s="363" t="s">
        <v>1570</v>
      </c>
      <c r="N27" s="363"/>
      <c r="O27" s="317"/>
      <c r="P27" s="317"/>
      <c r="Q27" s="317"/>
      <c r="R27" s="317"/>
      <c r="S27" s="321"/>
      <c r="T27" s="367"/>
      <c r="U27" s="366"/>
      <c r="V27" s="363"/>
      <c r="W27" s="367"/>
      <c r="X27" s="319"/>
      <c r="Y27" s="383"/>
      <c r="Z27" s="383"/>
      <c r="AA27" s="383"/>
      <c r="AB27" s="383"/>
      <c r="AC27" s="383"/>
    </row>
    <row s="4016" customFormat="1" customHeight="1" ht="14.25">
      <c r="A28" s="2190"/>
      <c r="B28" s="385"/>
      <c r="C28" s="385"/>
      <c r="D28" s="385"/>
      <c r="E28" s="385"/>
      <c r="F28" s="385"/>
      <c r="G28" s="386"/>
      <c r="H28" s="385"/>
      <c r="I28" s="356"/>
      <c r="J28" s="376"/>
      <c r="K28" s="378"/>
      <c r="L28" s="297"/>
      <c r="M28" s="422" t="s">
        <v>104</v>
      </c>
      <c r="N28" s="363"/>
      <c r="O28" s="317"/>
      <c r="P28" s="317"/>
      <c r="Q28" s="317"/>
      <c r="R28" s="317"/>
      <c r="S28" s="321"/>
      <c r="T28" s="367"/>
      <c r="U28" s="366"/>
      <c r="V28" s="363"/>
      <c r="W28" s="367"/>
      <c r="X28" s="319"/>
      <c r="Y28" s="383"/>
      <c r="Z28" s="383"/>
      <c r="AA28" s="383"/>
      <c r="AB28" s="383"/>
      <c r="AC28" s="383"/>
    </row>
    <row s="4016" customFormat="1" customHeight="1" ht="14.25">
      <c r="G29" s="365"/>
      <c r="H29" s="378"/>
      <c r="I29" s="375"/>
      <c r="J29" s="376"/>
      <c r="L29" s="297"/>
      <c r="M29" s="423" t="s">
        <v>433</v>
      </c>
      <c r="N29" s="363"/>
      <c r="O29" s="317"/>
      <c r="P29" s="317"/>
      <c r="Q29" s="317"/>
      <c r="R29" s="317"/>
      <c r="S29" s="321"/>
      <c r="T29" s="367"/>
      <c r="U29" s="366"/>
      <c r="V29" s="363"/>
      <c r="W29" s="367"/>
      <c r="X29" s="319"/>
      <c r="Y29" s="383"/>
      <c r="Z29" s="383"/>
      <c r="AA29" s="383"/>
      <c r="AB29" s="383"/>
      <c r="AC29" s="383"/>
    </row>
    <row r="31" customHeight="1" ht="14.25">
      <c r="L31" s="49">
        <v>1</v>
      </c>
      <c r="M31" s="2218" t="s">
        <v>1591</v>
      </c>
      <c r="N31" s="2218"/>
      <c r="O31" s="2218"/>
      <c r="P31" s="2218"/>
      <c r="Q31" s="2218"/>
      <c r="R31" s="2218"/>
      <c r="S31" s="2218"/>
      <c r="T31" s="2218"/>
      <c r="U31" s="2218"/>
      <c r="V31" s="2218"/>
      <c r="W31" s="2218"/>
      <c r="X31" s="2218"/>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EC4B-02E1-9DC9-3F11-B0E7B8AF3122}"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618" width="9.140625" hidden="1" customWidth="1"/>
    <col min="2" max="2" style="3519" width="9.140625" hidden="1" customWidth="1"/>
    <col min="3" max="3" style="3542" width="3.7109375" customWidth="1"/>
    <col min="4" max="4" style="2663" width="6.28125" customWidth="1"/>
    <col min="5" max="5" style="2663" width="63.421875" customWidth="1"/>
    <col min="6" max="6" style="2663" width="1.7109375" hidden="1" customWidth="1"/>
    <col min="7" max="8" style="2663" width="35.7109375" customWidth="1"/>
    <col min="9" max="9" style="2663" width="91.57421875" customWidth="1"/>
    <col min="10" max="10" style="2663" width="68.8515625" customWidth="1"/>
    <col min="11" max="12" style="2605" width="10.57421875"/>
  </cols>
  <sheetData>
    <row customHeight="1" ht="14.25" hidden="1"/>
    <row s="2871" customFormat="1" customHeight="1" ht="18.75" hidden="1">
      <c r="A2" s="1729"/>
      <c r="B2" s="1174"/>
      <c r="C2" s="1776" t="s">
        <v>388</v>
      </c>
      <c r="D2" s="1719"/>
      <c r="E2" s="185"/>
      <c r="F2" s="1716"/>
      <c r="G2" s="1716" t="s">
        <v>293</v>
      </c>
      <c r="H2" s="1175"/>
      <c r="K2" s="1670"/>
      <c r="L2" s="1670"/>
    </row>
    <row s="2871" customFormat="1" customHeight="1" ht="14.25" hidden="1">
      <c r="A3" s="1398"/>
      <c r="B3" s="1174"/>
      <c r="C3" s="340"/>
      <c r="K3" s="1670"/>
      <c r="L3" s="1670"/>
    </row>
    <row s="2871" customFormat="1" customHeight="1" ht="18.75" hidden="1">
      <c r="A4" s="1729"/>
      <c r="B4" s="1174"/>
      <c r="C4" s="1776" t="s">
        <v>388</v>
      </c>
      <c r="D4" s="1719"/>
      <c r="E4" s="191" t="s">
        <v>1592</v>
      </c>
      <c r="F4" s="1716"/>
      <c r="G4" s="243"/>
      <c r="H4" s="1716" t="s">
        <v>293</v>
      </c>
      <c r="K4" s="1670"/>
      <c r="L4" s="1670"/>
    </row>
    <row s="2871" customFormat="1" customHeight="1" ht="14.25" hidden="1">
      <c r="A5" s="1398"/>
      <c r="B5" s="1174"/>
      <c r="C5" s="340"/>
      <c r="K5" s="1670"/>
      <c r="L5" s="1670"/>
    </row>
    <row s="2871" customFormat="1" customHeight="1" ht="18.75" hidden="1">
      <c r="A6" s="1729"/>
      <c r="B6" s="1174"/>
      <c r="C6" s="1776" t="s">
        <v>388</v>
      </c>
      <c r="D6" s="1719"/>
      <c r="E6" s="192" t="s">
        <v>1593</v>
      </c>
      <c r="F6" s="1716"/>
      <c r="G6" s="243"/>
      <c r="H6" s="1716" t="s">
        <v>293</v>
      </c>
      <c r="K6" s="1670"/>
      <c r="L6" s="1670"/>
    </row>
    <row s="2871" customFormat="1" customHeight="1" ht="14.25" hidden="1">
      <c r="A7" s="1398"/>
      <c r="B7" s="1174"/>
      <c r="C7" s="340"/>
      <c r="K7" s="1670"/>
      <c r="L7" s="1670"/>
    </row>
    <row s="2871" customFormat="1" customHeight="1" ht="18.75" hidden="1">
      <c r="A8" s="1729"/>
      <c r="B8" s="1174"/>
      <c r="C8" s="1776" t="s">
        <v>388</v>
      </c>
      <c r="D8" s="1719"/>
      <c r="E8" s="192" t="s">
        <v>1594</v>
      </c>
      <c r="F8" s="1716"/>
      <c r="G8" s="243"/>
      <c r="H8" s="1716" t="s">
        <v>293</v>
      </c>
      <c r="K8" s="1670"/>
      <c r="L8" s="1670"/>
    </row>
    <row s="2871" customFormat="1" customHeight="1" ht="14.25" hidden="1">
      <c r="A9" s="1398"/>
      <c r="B9" s="1174"/>
      <c r="C9" s="340"/>
      <c r="K9" s="1670"/>
      <c r="L9" s="1670"/>
    </row>
    <row s="2871" customFormat="1" customHeight="1" ht="18.75" hidden="1">
      <c r="A10" s="1729"/>
      <c r="B10" s="1174"/>
      <c r="C10" s="1776" t="s">
        <v>388</v>
      </c>
      <c r="D10" s="1719"/>
      <c r="E10" s="192" t="s">
        <v>1595</v>
      </c>
      <c r="F10" s="1716"/>
      <c r="G10" s="1720"/>
      <c r="H10" s="1716" t="s">
        <v>293</v>
      </c>
      <c r="K10" s="1670"/>
      <c r="L10" s="1670" t="s">
        <v>1596</v>
      </c>
    </row>
    <row customHeight="1" ht="14.25" hidden="1"/>
    <row customHeight="1" ht="14.25" hidden="1"/>
    <row customHeight="1" ht="14.25">
      <c r="C13" s="82"/>
      <c r="D13" s="69"/>
      <c r="E13" s="69"/>
      <c r="F13" s="69"/>
      <c r="G13" s="69"/>
      <c r="H13" s="70"/>
      <c r="I13" s="70"/>
    </row>
    <row customHeight="1" ht="30">
      <c r="C14" s="82"/>
      <c r="D14" s="216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69"/>
      <c r="F14" s="2169"/>
      <c r="G14" s="2169"/>
      <c r="H14" s="2170"/>
      <c r="J14" s="1677"/>
    </row>
    <row s="2871" customFormat="1" customHeight="1" ht="14.25">
      <c r="A15" s="1398"/>
      <c r="B15" s="1174"/>
      <c r="C15" s="377"/>
      <c r="D15" s="2171" t="str">
        <f>IF(org=0,"Не определено",org)</f>
        <v>Филиал "Печорская ГРЭС" АО "Интер РАО-Электрогенерация"</v>
      </c>
      <c r="E15" s="2172"/>
      <c r="F15" s="2172"/>
      <c r="G15" s="2172"/>
      <c r="H15" s="2173"/>
      <c r="J15" s="862"/>
      <c r="K15" s="1670"/>
      <c r="L15" s="1670"/>
    </row>
    <row customHeight="1" ht="14.25">
      <c r="C16" s="82"/>
      <c r="D16" s="69"/>
      <c r="E16" s="81"/>
      <c r="F16" s="81"/>
      <c r="G16" s="81"/>
      <c r="H16" s="762"/>
      <c r="I16" s="179"/>
    </row>
    <row s="2871" customFormat="1" customHeight="1" ht="14.25" hidden="1">
      <c r="A17" s="1398"/>
      <c r="B17" s="1174"/>
      <c r="C17" s="377"/>
      <c r="D17" s="361"/>
      <c r="E17" s="395"/>
      <c r="F17" s="395"/>
      <c r="G17" s="395"/>
      <c r="H17" s="762"/>
      <c r="I17" s="179"/>
      <c r="K17" s="1670"/>
      <c r="L17" s="1670"/>
    </row>
    <row customHeight="1" ht="21">
      <c r="C18" s="82"/>
      <c r="D18" s="2047" t="s">
        <v>287</v>
      </c>
      <c r="E18" s="2047"/>
      <c r="F18" s="2047"/>
      <c r="G18" s="2047"/>
      <c r="H18" s="2047"/>
      <c r="I18" s="2174" t="s">
        <v>288</v>
      </c>
    </row>
    <row customHeight="1" ht="21">
      <c r="C19" s="82"/>
      <c r="D19" s="91" t="s">
        <v>87</v>
      </c>
      <c r="E19" s="94" t="s">
        <v>289</v>
      </c>
      <c r="F19" s="94"/>
      <c r="G19" s="94" t="s">
        <v>290</v>
      </c>
      <c r="H19" s="94" t="s">
        <v>379</v>
      </c>
      <c r="I19" s="2174"/>
    </row>
    <row customHeight="1" ht="12">
      <c r="C20" s="82"/>
      <c r="D20" s="72" t="s">
        <v>109</v>
      </c>
      <c r="E20" s="72" t="s">
        <v>110</v>
      </c>
      <c r="F20" s="72"/>
      <c r="G20" s="72" t="s">
        <v>89</v>
      </c>
      <c r="H20" s="72" t="s">
        <v>90</v>
      </c>
      <c r="I20" s="72" t="s">
        <v>111</v>
      </c>
    </row>
    <row customHeight="1" ht="14.25">
      <c r="A21" s="1729"/>
      <c r="C21" s="82"/>
      <c r="D21" s="133">
        <v>1</v>
      </c>
      <c r="E21" s="2304" t="s">
        <v>1597</v>
      </c>
      <c r="F21" s="2304"/>
      <c r="G21" s="2304"/>
      <c r="H21" s="2304"/>
      <c r="I21" s="194"/>
    </row>
    <row customHeight="1" ht="20.25">
      <c r="A22" s="1729"/>
      <c r="C22" s="82"/>
      <c r="D22" s="133" t="s">
        <v>426</v>
      </c>
      <c r="E22" s="180" t="s">
        <v>1598</v>
      </c>
      <c r="F22" s="184"/>
      <c r="G22" s="1783"/>
      <c r="H22" s="184" t="s">
        <v>293</v>
      </c>
      <c r="I22" s="137" t="s">
        <v>1599</v>
      </c>
    </row>
    <row customHeight="1" ht="45">
      <c r="A23" s="1729"/>
      <c r="C23" s="82"/>
      <c r="D23" s="133" t="s">
        <v>441</v>
      </c>
      <c r="E23" s="180" t="s">
        <v>1600</v>
      </c>
      <c r="F23" s="184"/>
      <c r="G23" s="243"/>
      <c r="H23" s="199"/>
      <c r="I23" s="244" t="s">
        <v>1601</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293</v>
      </c>
      <c r="H24" s="199"/>
      <c r="I24" s="245" t="s">
        <v>1557</v>
      </c>
    </row>
    <row customHeight="1" ht="46.5">
      <c r="A25" s="1729"/>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14.25">
      <c r="A26" s="1729"/>
      <c r="C26" s="82"/>
      <c r="D26" s="133" t="s">
        <v>313</v>
      </c>
      <c r="E26" s="185"/>
      <c r="F26" s="184"/>
      <c r="G26" s="184" t="s">
        <v>293</v>
      </c>
      <c r="H26" s="199"/>
      <c r="I26" s="2006" t="s">
        <v>1602</v>
      </c>
    </row>
    <row customHeight="1" ht="15">
      <c r="A27" s="1729" t="s">
        <v>109</v>
      </c>
      <c r="C27" s="82"/>
      <c r="D27" s="95"/>
      <c r="E27" s="189" t="s">
        <v>449</v>
      </c>
      <c r="F27" s="190"/>
      <c r="G27" s="190"/>
      <c r="H27" s="187"/>
      <c r="I27" s="2008"/>
    </row>
    <row customHeight="1" ht="38.25">
      <c r="A28" s="1729"/>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3"/>
      <c r="G28" s="2303"/>
      <c r="H28" s="2303"/>
      <c r="I28" s="242"/>
    </row>
    <row customHeight="1" ht="20.25">
      <c r="A29" s="1729"/>
      <c r="C29" s="82"/>
      <c r="D29" s="133" t="s">
        <v>1462</v>
      </c>
      <c r="E29" s="191" t="s">
        <v>1592</v>
      </c>
      <c r="F29" s="184"/>
      <c r="G29" s="243"/>
      <c r="H29" s="184" t="s">
        <v>293</v>
      </c>
      <c r="I29" s="2006" t="s">
        <v>1603</v>
      </c>
    </row>
    <row customHeight="1" ht="15">
      <c r="A30" s="1729" t="s">
        <v>110</v>
      </c>
      <c r="C30" s="82"/>
      <c r="D30" s="95"/>
      <c r="E30" s="189" t="s">
        <v>449</v>
      </c>
      <c r="F30" s="190"/>
      <c r="G30" s="190"/>
      <c r="H30" s="187"/>
      <c r="I30" s="2008"/>
    </row>
    <row customHeight="1" ht="30">
      <c r="A31" s="1729"/>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3"/>
      <c r="G31" s="2303"/>
      <c r="H31" s="2303"/>
      <c r="I31" s="242"/>
    </row>
    <row customHeight="1" ht="26.25">
      <c r="A32" s="1729"/>
      <c r="C32" s="82"/>
      <c r="D32" s="133" t="s">
        <v>302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242"/>
    </row>
    <row customHeight="1" ht="14.25">
      <c r="A33" s="1729"/>
      <c r="C33" s="82"/>
      <c r="D33" s="133" t="s">
        <v>1469</v>
      </c>
      <c r="E33" s="192" t="s">
        <v>1593</v>
      </c>
      <c r="F33" s="184"/>
      <c r="G33" s="243"/>
      <c r="H33" s="184" t="s">
        <v>293</v>
      </c>
      <c r="I33" s="2006" t="s">
        <v>1604</v>
      </c>
    </row>
    <row customHeight="1" ht="15">
      <c r="A34" s="1729" t="s">
        <v>89</v>
      </c>
      <c r="C34" s="82"/>
      <c r="D34" s="95"/>
      <c r="E34" s="190" t="s">
        <v>449</v>
      </c>
      <c r="F34" s="186"/>
      <c r="G34" s="186"/>
      <c r="H34" s="187"/>
      <c r="I34" s="2008"/>
    </row>
    <row customHeight="1" ht="24">
      <c r="A35" s="1729"/>
      <c r="C35" s="82"/>
      <c r="D35" s="133" t="s">
        <v>304</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242"/>
    </row>
    <row customHeight="1" ht="14.25">
      <c r="A36" s="1729"/>
      <c r="C36" s="82"/>
      <c r="D36" s="133" t="s">
        <v>1605</v>
      </c>
      <c r="E36" s="192" t="s">
        <v>1594</v>
      </c>
      <c r="F36" s="184"/>
      <c r="G36" s="243"/>
      <c r="H36" s="184" t="s">
        <v>293</v>
      </c>
      <c r="I36" s="1982" t="s">
        <v>1606</v>
      </c>
    </row>
    <row customHeight="1" ht="15">
      <c r="A37" s="1729" t="s">
        <v>90</v>
      </c>
      <c r="C37" s="82"/>
      <c r="D37" s="95"/>
      <c r="E37" s="190" t="s">
        <v>449</v>
      </c>
      <c r="F37" s="186"/>
      <c r="G37" s="186"/>
      <c r="H37" s="187"/>
      <c r="I37" s="1982"/>
    </row>
    <row customHeight="1" ht="26.25">
      <c r="A38" s="1729"/>
      <c r="C38" s="82"/>
      <c r="D38" s="133" t="s">
        <v>307</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242"/>
    </row>
    <row customHeight="1" ht="14.25">
      <c r="A39" s="1729"/>
      <c r="C39" s="82"/>
      <c r="D39" s="133" t="s">
        <v>1607</v>
      </c>
      <c r="E39" s="192" t="s">
        <v>1595</v>
      </c>
      <c r="F39" s="184"/>
      <c r="G39" s="193"/>
      <c r="H39" s="184" t="s">
        <v>293</v>
      </c>
      <c r="I39" s="2006" t="s">
        <v>1608</v>
      </c>
      <c r="L39" s="141" t="s">
        <v>1596</v>
      </c>
    </row>
    <row customHeight="1" ht="15">
      <c r="A40" s="1729" t="s">
        <v>111</v>
      </c>
      <c r="C40" s="82"/>
      <c r="D40" s="95"/>
      <c r="E40" s="190" t="s">
        <v>449</v>
      </c>
      <c r="F40" s="186"/>
      <c r="G40" s="186"/>
      <c r="H40" s="187"/>
      <c r="I40" s="2008"/>
    </row>
    <row s="4096" customFormat="1" customHeight="1" ht="3">
      <c r="A41" s="1729"/>
      <c r="K41" s="182"/>
      <c r="L41" s="182"/>
    </row>
    <row customHeight="1" ht="24.75">
      <c r="D42" s="1727" t="s">
        <v>505</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8"/>
      <c r="G42" s="2218"/>
      <c r="H42" s="2218"/>
      <c r="I42" s="221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B8AB3-B6B1-BD34-C0B5-5C17FBF2EF5C}"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13" width="9.140625" hidden="1" customWidth="1"/>
    <col min="2" max="2" style="3519" width="9.140625" hidden="1" customWidth="1"/>
    <col min="3" max="3" style="3693" width="3.7109375" customWidth="1"/>
    <col min="4" max="4" style="4101" width="6.28125" customWidth="1"/>
    <col min="5" max="5" style="4101" width="38.140625" customWidth="1"/>
    <col min="6" max="7" style="4101" width="35.7109375" customWidth="1"/>
    <col min="8" max="8" style="4101" width="89.57421875" customWidth="1"/>
    <col min="9" max="9" style="4101" width="10.57421875"/>
    <col min="10" max="11" style="3522" width="10.57421875"/>
    <col min="12" max="17" style="4101" width="10.57421875"/>
  </cols>
  <sheetData>
    <row customHeight="1" ht="14.25" hidden="1">
      <c r="N1" s="241"/>
      <c r="O1" s="241"/>
      <c r="Q1" s="241"/>
    </row>
    <row s="2871" customFormat="1" customHeight="1" ht="18.75" hidden="1">
      <c r="A2" s="88"/>
      <c r="B2" s="1174"/>
      <c r="C2" s="1776" t="s">
        <v>388</v>
      </c>
      <c r="D2" s="1719"/>
      <c r="E2" s="1728"/>
      <c r="F2" s="243"/>
      <c r="G2" s="1175"/>
      <c r="H2" s="374"/>
      <c r="I2" s="1670"/>
      <c r="J2" s="1670"/>
    </row>
    <row customHeight="1" ht="14.25" hidden="1"/>
    <row customHeight="1" ht="6">
      <c r="C4" s="377"/>
      <c r="D4" s="361"/>
      <c r="E4" s="361"/>
      <c r="F4" s="361"/>
      <c r="G4" s="70"/>
      <c r="H4" s="70"/>
    </row>
    <row customHeight="1" ht="54.75">
      <c r="C5" s="377"/>
      <c r="D5" s="2168"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69"/>
      <c r="F5" s="2169"/>
      <c r="G5" s="2170"/>
      <c r="H5" s="252"/>
    </row>
    <row s="2871" customFormat="1" customHeight="1" ht="17.25">
      <c r="A6" s="1715"/>
      <c r="B6" s="1174"/>
      <c r="C6" s="377"/>
      <c r="D6" s="2171" t="str">
        <f>IF(org=0,"Не определено",org)</f>
        <v>Филиал "Печорская ГРЭС" АО "Интер РАО-Электрогенерация"</v>
      </c>
      <c r="E6" s="2172"/>
      <c r="F6" s="2172"/>
      <c r="G6" s="2173"/>
      <c r="H6" s="252"/>
      <c r="J6" s="1670"/>
      <c r="K6" s="1670"/>
    </row>
    <row customHeight="1" ht="14.25">
      <c r="C7" s="377"/>
      <c r="D7" s="361"/>
      <c r="E7" s="395"/>
      <c r="F7" s="395"/>
      <c r="G7" s="762"/>
      <c r="H7" s="179"/>
    </row>
    <row customHeight="1" ht="14.25">
      <c r="C8" s="377"/>
      <c r="D8" s="2047" t="s">
        <v>287</v>
      </c>
      <c r="E8" s="2047"/>
      <c r="F8" s="2047"/>
      <c r="G8" s="2047"/>
      <c r="H8" s="2174" t="s">
        <v>288</v>
      </c>
    </row>
    <row customHeight="1" ht="14.25">
      <c r="C9" s="377"/>
      <c r="D9" s="392" t="s">
        <v>87</v>
      </c>
      <c r="E9" s="94" t="s">
        <v>289</v>
      </c>
      <c r="F9" s="94" t="s">
        <v>290</v>
      </c>
      <c r="G9" s="94" t="s">
        <v>379</v>
      </c>
      <c r="H9" s="2174"/>
    </row>
    <row customHeight="1" ht="14.25">
      <c r="A10" s="339"/>
      <c r="C10" s="377"/>
      <c r="D10" s="133" t="s">
        <v>109</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06" t="s">
        <v>1609</v>
      </c>
    </row>
    <row customHeight="1" ht="14.25">
      <c r="A11" s="339"/>
      <c r="C11" s="377"/>
      <c r="D11" s="133" t="s">
        <v>110</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07"/>
    </row>
    <row customHeight="1" ht="2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2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07"/>
      <c r="I13" s="346"/>
      <c r="K13" s="374"/>
    </row>
    <row customHeight="1" ht="14.25">
      <c r="A14" s="339"/>
      <c r="C14" s="377"/>
      <c r="D14" s="343"/>
      <c r="E14" s="401" t="s">
        <v>449</v>
      </c>
      <c r="F14" s="345"/>
      <c r="G14" s="187"/>
      <c r="H14" s="2008"/>
    </row>
    <row s="2871" customFormat="1" customHeight="1" ht="14.25">
      <c r="A15" s="339"/>
      <c r="B15" s="1174"/>
      <c r="C15" s="377"/>
      <c r="D15" s="402"/>
      <c r="E15" s="1723"/>
      <c r="F15" s="1724"/>
      <c r="G15" s="1725"/>
      <c r="H15" s="1726"/>
      <c r="J15" s="1670"/>
      <c r="K15" s="1670"/>
    </row>
    <row customHeight="1" ht="21.75">
      <c r="D16" s="1727" t="s">
        <v>505</v>
      </c>
      <c r="E16" s="2305" t="s">
        <v>1610</v>
      </c>
      <c r="F16" s="2305"/>
      <c r="G16" s="2305"/>
      <c r="H16" s="230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5610E-3A1B-4063-D74E-A48633CF91BB}"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599" width="8.00390625" hidden="1" customWidth="1"/>
    <col min="2" max="2" style="2600" width="6.00390625" hidden="1" customWidth="1"/>
    <col min="3" max="3" style="2599" width="3.7109375" customWidth="1"/>
    <col min="4" max="4" style="2661" width="3.7109375" customWidth="1"/>
    <col min="5" max="5" style="2663" width="6.28125" customWidth="1"/>
    <col min="6" max="6" style="2599" width="2.7109375" hidden="1" customWidth="1"/>
    <col min="7" max="7" style="2663" width="46.7109375" customWidth="1"/>
    <col min="8" max="8" style="2663" width="43.140625" customWidth="1"/>
    <col min="9" max="9" style="2663" width="14.8515625" customWidth="1"/>
    <col min="10" max="10" style="2605" width="3.7109375" customWidth="1"/>
    <col min="11" max="13" style="2605" width="9.140625" hidden="1"/>
    <col min="14" max="14" style="2606" width="25.7109375" hidden="1" customWidth="1"/>
    <col min="15" max="15" style="2605" width="14.421875" hidden="1" customWidth="1"/>
    <col min="16" max="19" style="2607" width="9.140625" hidden="1"/>
    <col min="20" max="27" style="2663" width="9.140625" hidden="1"/>
    <col min="28" max="28" style="2663" width="9.140625"/>
  </cols>
  <sheetData>
    <row s="2585" customFormat="1" customHeight="1" ht="5.25" hidden="1">
      <c r="A1" s="504"/>
      <c r="B1" s="519"/>
      <c r="C1" s="519"/>
      <c r="D1" s="207"/>
      <c r="F1" s="519"/>
      <c r="G1" s="233" t="s">
        <v>82</v>
      </c>
      <c r="H1" s="502" t="s">
        <v>83</v>
      </c>
      <c r="I1" s="213" t="s">
        <v>84</v>
      </c>
      <c r="J1" s="233" t="s">
        <v>82</v>
      </c>
      <c r="K1" s="233"/>
      <c r="L1" s="233"/>
      <c r="M1" s="233"/>
      <c r="N1" s="234"/>
      <c r="O1" s="233"/>
      <c r="P1" s="233"/>
      <c r="Q1" s="233"/>
      <c r="R1" s="233"/>
      <c r="S1" s="233"/>
      <c r="T1" s="213"/>
      <c r="U1" s="213"/>
      <c r="V1" s="213"/>
      <c r="W1" s="213"/>
      <c r="X1" s="213"/>
      <c r="Y1" s="213"/>
      <c r="Z1" s="213"/>
      <c r="AA1" s="213"/>
      <c r="AB1" s="213"/>
    </row>
    <row s="2593"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8" customFormat="1" customHeight="1" ht="3">
      <c r="A3" s="768"/>
      <c r="B3" s="424"/>
      <c r="C3" s="768"/>
      <c r="D3" s="150"/>
      <c r="E3" s="89"/>
      <c r="F3" s="517"/>
      <c r="G3" s="89"/>
      <c r="H3" s="89"/>
      <c r="I3" s="152"/>
      <c r="J3" s="233"/>
      <c r="K3" s="141"/>
      <c r="L3" s="141"/>
      <c r="M3" s="141"/>
      <c r="N3" s="212"/>
      <c r="O3" s="141"/>
      <c r="P3" s="211"/>
      <c r="Q3" s="211"/>
      <c r="R3" s="211"/>
      <c r="S3" s="211"/>
    </row>
    <row s="2598" customFormat="1" customHeight="1" ht="25.5">
      <c r="A4" s="768"/>
      <c r="B4" s="424"/>
      <c r="C4" s="768"/>
      <c r="D4" s="150"/>
      <c r="E4" s="1939" t="str">
        <f>NameTemplatesInListMO</f>
        <v>Перечень муниципальных районов и муниципальных образований (территорий оказания услуг)</v>
      </c>
      <c r="F4" s="1939"/>
      <c r="G4" s="1939"/>
      <c r="H4" s="1939"/>
      <c r="I4" s="1939"/>
      <c r="J4" s="233"/>
      <c r="K4" s="141"/>
      <c r="L4" s="141"/>
      <c r="M4" s="141"/>
      <c r="N4" s="212"/>
      <c r="O4" s="141"/>
      <c r="P4" s="211"/>
      <c r="Q4" s="211"/>
      <c r="R4" s="211"/>
      <c r="S4" s="211"/>
    </row>
    <row s="2598" customFormat="1" customHeight="1" ht="3">
      <c r="A5" s="768"/>
      <c r="B5" s="424"/>
      <c r="C5" s="768"/>
      <c r="D5" s="150"/>
      <c r="E5" s="89"/>
      <c r="F5" s="517"/>
      <c r="G5" s="153"/>
      <c r="H5" s="153"/>
      <c r="I5" s="154"/>
      <c r="J5" s="141"/>
      <c r="K5" s="141"/>
      <c r="L5" s="141"/>
      <c r="M5" s="141"/>
      <c r="N5" s="212"/>
      <c r="O5" s="141"/>
      <c r="P5" s="211"/>
      <c r="Q5" s="211"/>
      <c r="R5" s="211"/>
      <c r="S5" s="211"/>
    </row>
    <row s="2598"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8" customFormat="1" customHeight="1" ht="14.25">
      <c r="A8" s="768"/>
      <c r="B8" s="424"/>
      <c r="C8" s="768"/>
      <c r="D8" s="150"/>
      <c r="E8" s="1940" t="s">
        <v>85</v>
      </c>
      <c r="F8" s="1941"/>
      <c r="G8" s="1942"/>
      <c r="H8" s="1943" t="s">
        <v>86</v>
      </c>
      <c r="I8" s="1943"/>
      <c r="J8" s="141"/>
      <c r="K8" s="141"/>
      <c r="L8" s="141"/>
      <c r="M8" s="141"/>
      <c r="N8" s="212"/>
      <c r="O8" s="141"/>
      <c r="P8" s="211"/>
      <c r="Q8" s="211"/>
      <c r="R8" s="211"/>
      <c r="S8" s="211"/>
    </row>
    <row s="2598" customFormat="1" customHeight="1" ht="20.25">
      <c r="A9" s="768"/>
      <c r="B9" s="424"/>
      <c r="C9" s="768"/>
      <c r="D9" s="150"/>
      <c r="E9" s="787" t="s">
        <v>87</v>
      </c>
      <c r="F9" s="787"/>
      <c r="G9" s="158" t="s">
        <v>88</v>
      </c>
      <c r="H9" s="158" t="s">
        <v>88</v>
      </c>
      <c r="I9" s="158" t="s">
        <v>84</v>
      </c>
      <c r="J9" s="141"/>
      <c r="K9" s="141"/>
      <c r="L9" s="141"/>
      <c r="M9" s="141"/>
      <c r="N9" s="212"/>
      <c r="O9" s="141"/>
      <c r="P9" s="211"/>
      <c r="Q9" s="211"/>
      <c r="R9" s="211"/>
      <c r="S9" s="211"/>
    </row>
    <row customHeight="1" ht="11.25">
      <c r="D10" s="162"/>
      <c r="E10" s="788" t="s">
        <v>89</v>
      </c>
      <c r="F10" s="788"/>
      <c r="G10" s="209" t="s">
        <v>90</v>
      </c>
      <c r="H10" s="209" t="s">
        <v>91</v>
      </c>
      <c r="I10" s="209" t="s">
        <v>92</v>
      </c>
      <c r="J10" s="172"/>
      <c r="K10" s="172"/>
      <c r="L10" s="172"/>
      <c r="M10" s="172"/>
      <c r="N10" s="157"/>
      <c r="O10" s="172"/>
      <c r="P10" s="210"/>
      <c r="Q10" s="210"/>
      <c r="R10" s="210"/>
      <c r="S10" s="210"/>
    </row>
    <row s="2598" customFormat="1" customHeight="1" ht="0.75">
      <c r="A11" s="768"/>
      <c r="B11" s="424"/>
      <c r="C11" s="768"/>
      <c r="D11" s="150"/>
      <c r="E11" s="800"/>
      <c r="F11" s="800"/>
      <c r="G11" s="159"/>
      <c r="H11" s="159"/>
      <c r="I11" s="161"/>
      <c r="J11" s="235" t="s">
        <v>93</v>
      </c>
      <c r="K11" s="141"/>
      <c r="L11" s="141"/>
      <c r="M11" s="141" t="s">
        <v>94</v>
      </c>
      <c r="N11" s="212" t="s">
        <v>95</v>
      </c>
      <c r="O11" s="141" t="s">
        <v>96</v>
      </c>
      <c r="P11" s="211"/>
      <c r="Q11" s="211"/>
      <c r="R11" s="211"/>
      <c r="S11" s="211"/>
    </row>
    <row s="2632" customFormat="1" customHeight="1" ht="14.25">
      <c r="A12" s="1938">
        <v>1</v>
      </c>
      <c r="B12" s="424"/>
      <c r="C12" s="768"/>
      <c r="D12" s="792"/>
      <c r="E12" s="205">
        <f>A12</f>
        <v>1</v>
      </c>
      <c r="F12" s="812" t="s">
        <v>97</v>
      </c>
      <c r="G12" s="548" t="str">
        <f>"Территория "&amp;E12</f>
        <v>Территория 1</v>
      </c>
      <c r="H12" s="802"/>
      <c r="I12" s="802"/>
      <c r="J12" s="799"/>
      <c r="K12" s="508"/>
      <c r="L12" s="508"/>
      <c r="M12" s="508"/>
      <c r="N12" s="212"/>
      <c r="O12" s="508"/>
      <c r="P12" s="211"/>
      <c r="Q12" s="211"/>
      <c r="R12" s="211"/>
      <c r="S12" s="211"/>
    </row>
    <row s="2641" customFormat="1" customHeight="1" ht="15">
      <c r="A13" s="1938"/>
      <c r="B13" s="424">
        <v>1</v>
      </c>
      <c r="C13" s="424"/>
      <c r="D13" s="810"/>
      <c r="E13" s="790" t="str">
        <f>A12&amp;"."&amp;B13</f>
        <v>1.1</v>
      </c>
      <c r="F13" s="805" t="s">
        <v>98</v>
      </c>
      <c r="G13" s="803" t="s">
        <v>99</v>
      </c>
      <c r="H13" s="803" t="s">
        <v>100</v>
      </c>
      <c r="I13" s="801" t="s">
        <v>101</v>
      </c>
      <c r="J13" s="508">
        <f>MERGEVALUE(G13)</f>
      </c>
      <c r="K13" s="519"/>
      <c r="L13" s="519"/>
      <c r="M13" s="508" t="str">
        <f t="array" ref="M13:M13">IF(ISERROR(MATCH(MID(N13,1,250),MID(note_ter,1,250),0)),"n","y")</f>
        <v>n</v>
      </c>
      <c r="N13" s="519"/>
      <c r="O13" s="508" t="str">
        <f>H13&amp;"("&amp;I13&amp;")"</f>
        <v>Печора(87620101)</v>
      </c>
      <c r="P13" s="424"/>
      <c r="Q13" s="424"/>
      <c r="R13" s="427"/>
      <c r="S13" s="424"/>
      <c r="T13" s="424"/>
      <c r="U13" s="424"/>
      <c r="V13" s="429"/>
      <c r="W13" s="429"/>
      <c r="X13" s="426"/>
      <c r="Y13" s="426"/>
      <c r="Z13" s="426"/>
      <c r="AA13" s="426"/>
      <c r="AB13" s="426"/>
    </row>
    <row s="2641" customFormat="1" customHeight="1" ht="15">
      <c r="A14" s="1938"/>
      <c r="B14" s="424"/>
      <c r="C14" s="419"/>
      <c r="D14" s="811"/>
      <c r="E14" s="428"/>
      <c r="F14" s="163"/>
      <c r="G14" s="422" t="s">
        <v>102</v>
      </c>
      <c r="H14" s="173"/>
      <c r="I14" s="431"/>
      <c r="J14" s="519"/>
      <c r="K14" s="519"/>
      <c r="L14" s="519"/>
      <c r="M14" s="519"/>
      <c r="N14" s="508"/>
      <c r="O14" s="519"/>
      <c r="P14" s="424"/>
      <c r="Q14" s="424"/>
      <c r="R14" s="427"/>
      <c r="S14" s="424"/>
      <c r="T14" s="424"/>
      <c r="U14" s="424"/>
      <c r="V14" s="429"/>
      <c r="W14" s="429"/>
      <c r="X14" s="426"/>
      <c r="Y14" s="426"/>
      <c r="Z14" s="426"/>
      <c r="AA14" s="426"/>
      <c r="AB14" s="426"/>
    </row>
    <row s="2598" customFormat="1" customHeight="1" ht="14.25">
      <c r="A15" s="768"/>
      <c r="B15" s="424"/>
      <c r="C15" s="768"/>
      <c r="D15" s="792"/>
      <c r="E15" s="804"/>
      <c r="F15" s="164"/>
      <c r="G15" s="423" t="s">
        <v>103</v>
      </c>
      <c r="H15" s="164"/>
      <c r="I15" s="165"/>
      <c r="J15" s="235"/>
      <c r="K15" s="141"/>
      <c r="L15" s="141"/>
      <c r="M15" s="141"/>
      <c r="N15" s="212" t="s">
        <v>104</v>
      </c>
      <c r="O15" s="141"/>
      <c r="P15" s="211"/>
      <c r="Q15" s="211"/>
      <c r="R15" s="211"/>
      <c r="S15" s="211"/>
    </row>
    <row s="2598" customFormat="1" customHeight="1" ht="21">
      <c r="A16" s="768"/>
      <c r="B16" s="424"/>
      <c r="C16" s="768"/>
      <c r="D16" s="151"/>
      <c r="E16" s="166"/>
      <c r="F16" s="166"/>
      <c r="G16" s="166"/>
      <c r="H16" s="166"/>
      <c r="I16" s="166"/>
      <c r="J16" s="141"/>
      <c r="K16" s="141"/>
      <c r="L16" s="141"/>
      <c r="M16" s="141"/>
      <c r="N16" s="212"/>
      <c r="O16" s="141"/>
      <c r="P16" s="211"/>
      <c r="Q16" s="211"/>
      <c r="R16" s="211"/>
      <c r="S16" s="211"/>
    </row>
    <row s="2598" customFormat="1" customHeight="1" ht="14.25">
      <c r="A17" s="768"/>
      <c r="B17" s="424"/>
      <c r="C17" s="768"/>
      <c r="D17" s="151"/>
      <c r="E17" s="68"/>
      <c r="F17" s="768"/>
      <c r="G17" s="68"/>
      <c r="H17" s="68"/>
      <c r="I17" s="68"/>
      <c r="J17" s="141"/>
      <c r="K17" s="141"/>
      <c r="L17" s="141"/>
      <c r="M17" s="141"/>
      <c r="N17" s="212"/>
      <c r="O17" s="141"/>
      <c r="P17" s="211"/>
      <c r="Q17" s="211"/>
      <c r="R17" s="211"/>
      <c r="S17" s="211"/>
    </row>
    <row s="2598" customFormat="1" customHeight="1" ht="0.75">
      <c r="A18" s="768"/>
      <c r="B18" s="424"/>
      <c r="C18" s="768"/>
      <c r="D18" s="151"/>
      <c r="E18" s="68"/>
      <c r="F18" s="768"/>
      <c r="G18" s="68"/>
      <c r="H18" s="68"/>
      <c r="I18" s="68"/>
      <c r="J18" s="141"/>
      <c r="K18" s="141"/>
      <c r="L18" s="141"/>
      <c r="M18" s="141"/>
      <c r="N18" s="212"/>
      <c r="O18" s="141"/>
      <c r="P18" s="211"/>
      <c r="Q18" s="211"/>
      <c r="R18" s="211"/>
      <c r="S18" s="211"/>
    </row>
    <row s="2664" customFormat="1" customHeight="1" ht="10.5">
      <c r="B19" s="844"/>
      <c r="D19" s="168"/>
      <c r="J19" s="141"/>
      <c r="K19" s="141"/>
      <c r="L19" s="141"/>
      <c r="M19" s="141"/>
      <c r="N19" s="212"/>
      <c r="O19" s="141"/>
      <c r="P19" s="211"/>
      <c r="Q19" s="211"/>
      <c r="R19" s="211"/>
      <c r="S19" s="211"/>
    </row>
    <row s="2664"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41351-CE16-C0C4-4558-47E3D951F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3552E-4BFF-2219-426D-585CD7D51E75}"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47.8515625" customWidth="1"/>
    <col min="6" max="6" style="3076" width="9.57421875" customWidth="1"/>
    <col min="7" max="7" style="2599" width="25.7109375" hidden="1" customWidth="1"/>
    <col min="8" max="8" style="2599" width="34.00390625" hidden="1" customWidth="1"/>
    <col min="9" max="9" style="3076" width="25.7109375" customWidth="1"/>
    <col min="10" max="10" style="3076" width="34.00390625" customWidth="1"/>
    <col min="11" max="11" style="2600" width="50.8515625" customWidth="1"/>
    <col min="12" max="20" style="3076" width="10.57421875"/>
    <col min="21" max="21" style="4119" width="10.57421875"/>
  </cols>
  <sheetData>
    <row s="2600" customFormat="1" customHeight="1" ht="15" hidden="1">
      <c r="C1" s="680"/>
      <c r="G1" s="424">
        <v>4</v>
      </c>
      <c r="I1" s="424">
        <v>4</v>
      </c>
      <c r="U1" s="427"/>
    </row>
    <row s="2603" customFormat="1" customHeight="1" ht="15" hidden="1">
      <c r="A2" s="360"/>
      <c r="C2" s="162"/>
      <c r="D2" s="342"/>
      <c r="E2" s="681"/>
      <c r="F2" s="530"/>
      <c r="G2" s="624"/>
      <c r="H2" s="624"/>
      <c r="I2" s="624"/>
      <c r="J2" s="624"/>
      <c r="U2" s="682"/>
    </row>
    <row s="2600" customFormat="1" customHeight="1" ht="15" hidden="1">
      <c r="C3" s="680"/>
      <c r="U3" s="427"/>
    </row>
    <row customHeight="1" ht="15">
      <c r="C4" s="162"/>
      <c r="D4" s="517"/>
      <c r="E4" s="517"/>
      <c r="F4" s="517"/>
      <c r="G4" s="517"/>
      <c r="H4" s="517"/>
      <c r="I4" s="517"/>
      <c r="J4" s="517"/>
    </row>
    <row customHeight="1" ht="63">
      <c r="C5" s="162"/>
      <c r="D5" s="1996" t="s">
        <v>1611</v>
      </c>
      <c r="E5" s="1997"/>
      <c r="F5" s="1997"/>
      <c r="G5" s="1997"/>
      <c r="H5" s="1997"/>
      <c r="I5" s="1997"/>
      <c r="J5" s="1998"/>
    </row>
    <row customHeight="1" ht="15">
      <c r="C6" s="162"/>
      <c r="D6" s="2053" t="str">
        <f>IF(org=0,"Не определено",org)</f>
        <v>Филиал "Печорская ГРЭС" АО "Интер РАО-Электрогенерация"</v>
      </c>
      <c r="E6" s="2054"/>
      <c r="F6" s="2054"/>
      <c r="G6" s="2054"/>
      <c r="H6" s="2054"/>
      <c r="I6" s="2054"/>
      <c r="J6" s="2055"/>
      <c r="K6" s="545"/>
    </row>
    <row customHeight="1" ht="15">
      <c r="C7" s="162"/>
      <c r="D7" s="762"/>
      <c r="E7" s="517"/>
      <c r="F7" s="517"/>
      <c r="G7" s="545">
        <v>22</v>
      </c>
      <c r="I7" s="545">
        <v>1</v>
      </c>
      <c r="J7" s="762"/>
    </row>
    <row s="2599" customFormat="1" customHeight="1" ht="0.75">
      <c r="A8" s="769"/>
      <c r="C8" s="162"/>
      <c r="D8" s="517"/>
      <c r="E8" s="517"/>
      <c r="F8" s="517"/>
      <c r="G8" s="545"/>
      <c r="H8" s="762"/>
      <c r="I8" s="545" t="s">
        <v>117</v>
      </c>
      <c r="J8" s="762"/>
      <c r="K8" s="424"/>
      <c r="U8" s="683"/>
    </row>
    <row customHeight="1" ht="15">
      <c r="C9" s="162"/>
      <c r="D9" s="719"/>
      <c r="E9" s="2308" t="s">
        <v>105</v>
      </c>
      <c r="F9" s="2309"/>
      <c r="G9" s="2306" t="str">
        <f>IF(G8="","",INDEX(DIFFERENTIATION_UNMERGE_VD,MATCH(G8,DIFFERENTIATION_ID_DIFF,0)))</f>
        <v/>
      </c>
      <c r="H9" s="2307"/>
      <c r="I9" s="2306" t="str">
        <f>IF(I8="","",INDEX(DIFFERENTIATION_UNMERGE_VD,MATCH(I8,DIFFERENTIATION_ID_DIFF,0)))</f>
        <v>Транспортировка. Питьевая вода</v>
      </c>
      <c r="J9" s="2307"/>
      <c r="K9" s="2012" t="s">
        <v>288</v>
      </c>
    </row>
    <row s="2599" customFormat="1" customHeight="1" ht="15">
      <c r="A10" s="769"/>
      <c r="C10" s="162"/>
      <c r="D10" s="719"/>
      <c r="E10" s="2308" t="s">
        <v>413</v>
      </c>
      <c r="F10" s="2309"/>
      <c r="G10" s="2306" t="str">
        <f>IF(G8="","",INDEX(DIFFERENTIATION_UNMERGE_AREA,MATCH(G8,DIFFERENTIATION_ID_DIFF,0)))</f>
        <v/>
      </c>
      <c r="H10" s="2307"/>
      <c r="I10" s="2306" t="str">
        <f>IF(I8="","",INDEX(DIFFERENTIATION_UNMERGE_AREA,MATCH(I8,DIFFERENTIATION_ID_DIFF,0)))</f>
        <v>без дифференциации</v>
      </c>
      <c r="J10" s="2307"/>
      <c r="K10" s="2036"/>
      <c r="U10" s="683"/>
    </row>
    <row s="2599" customFormat="1" customHeight="1" ht="15">
      <c r="A11" s="769"/>
      <c r="C11" s="162"/>
      <c r="D11" s="719"/>
      <c r="E11" s="2308" t="s">
        <v>414</v>
      </c>
      <c r="F11" s="2309"/>
      <c r="G11" s="2306" t="str">
        <f>IF(G8="","",INDEX(DIFFERENTIATION_UNMERGE_SYSTEM,MATCH(G8,DIFFERENTIATION_ID_DIFF,0)))</f>
        <v/>
      </c>
      <c r="H11" s="2307"/>
      <c r="I11" s="2306" t="str">
        <f>IF(I8="","",INDEX(DIFFERENTIATION_UNMERGE_SYSTEM,MATCH(I8,DIFFERENTIATION_ID_DIFF,0)))</f>
        <v>без дифференциации</v>
      </c>
      <c r="J11" s="2307"/>
      <c r="K11" s="2036"/>
      <c r="U11" s="683"/>
    </row>
    <row s="2599" customFormat="1" customHeight="1" ht="15">
      <c r="A12" s="769"/>
      <c r="C12" s="162"/>
      <c r="D12" s="2310" t="s">
        <v>287</v>
      </c>
      <c r="E12" s="2311"/>
      <c r="F12" s="2311"/>
      <c r="G12" s="898"/>
      <c r="H12" s="898"/>
      <c r="I12" s="898"/>
      <c r="J12" s="898"/>
      <c r="K12" s="2036"/>
      <c r="U12" s="683"/>
    </row>
    <row customHeight="1" ht="33.75">
      <c r="C13" s="162"/>
      <c r="D13" s="815" t="s">
        <v>87</v>
      </c>
      <c r="E13" s="817" t="s">
        <v>289</v>
      </c>
      <c r="F13" s="817" t="s">
        <v>1612</v>
      </c>
      <c r="G13" s="818" t="s">
        <v>290</v>
      </c>
      <c r="H13" s="817" t="s">
        <v>379</v>
      </c>
      <c r="I13" s="818" t="s">
        <v>290</v>
      </c>
      <c r="J13" s="817" t="s">
        <v>379</v>
      </c>
      <c r="K13" s="2071"/>
    </row>
    <row customHeight="1" ht="15" hidden="1">
      <c r="C14" s="162"/>
      <c r="D14" s="601" t="s">
        <v>109</v>
      </c>
      <c r="E14" s="601" t="s">
        <v>110</v>
      </c>
      <c r="F14" s="601" t="s">
        <v>89</v>
      </c>
      <c r="G14" s="667" t="str">
        <f>G1&amp;".1"</f>
        <v>4.1</v>
      </c>
      <c r="H14" s="667"/>
      <c r="I14" s="667" t="str">
        <f>I1&amp;".1"</f>
        <v>4.1</v>
      </c>
      <c r="J14" s="667"/>
      <c r="K14" s="277"/>
    </row>
    <row customHeight="1" ht="22.5" hidden="1">
      <c r="A15" s="513"/>
      <c r="C15" s="534"/>
      <c r="D15" s="529">
        <v>1</v>
      </c>
      <c r="E15" s="685" t="s">
        <v>1613</v>
      </c>
      <c r="F15" s="529" t="s">
        <v>1614</v>
      </c>
      <c r="G15" s="686"/>
      <c r="H15" s="686"/>
      <c r="I15" s="686"/>
      <c r="J15" s="686"/>
      <c r="K15" s="277" t="s">
        <v>1615</v>
      </c>
    </row>
    <row customHeight="1" ht="22.5" hidden="1">
      <c r="A16" s="513"/>
      <c r="C16" s="534"/>
      <c r="D16" s="529">
        <v>2</v>
      </c>
      <c r="E16" s="267" t="s">
        <v>1616</v>
      </c>
      <c r="F16" s="529" t="s">
        <v>1617</v>
      </c>
      <c r="G16" s="686"/>
      <c r="H16" s="686"/>
      <c r="I16" s="686"/>
      <c r="J16" s="686"/>
      <c r="K16" s="277" t="s">
        <v>1618</v>
      </c>
    </row>
    <row customHeight="1" ht="123.75" hidden="1">
      <c r="A17" s="513"/>
      <c r="C17" s="534"/>
      <c r="D17" s="529">
        <v>3</v>
      </c>
      <c r="E17" s="267" t="s">
        <v>1619</v>
      </c>
      <c r="F17" s="529" t="s">
        <v>293</v>
      </c>
      <c r="G17" s="686"/>
      <c r="H17" s="686"/>
      <c r="I17" s="686"/>
      <c r="J17" s="686"/>
      <c r="K17" s="277" t="s">
        <v>1620</v>
      </c>
    </row>
    <row customHeight="1" ht="45">
      <c r="A18" s="513"/>
      <c r="C18" s="534"/>
      <c r="D18" s="529">
        <v>4</v>
      </c>
      <c r="E18" s="267" t="s">
        <v>1621</v>
      </c>
      <c r="F18" s="529" t="s">
        <v>293</v>
      </c>
      <c r="G18" s="819" t="s">
        <v>293</v>
      </c>
      <c r="H18" s="820" t="s">
        <v>293</v>
      </c>
      <c r="I18" s="529" t="s">
        <v>293</v>
      </c>
      <c r="J18" s="586" t="s">
        <v>293</v>
      </c>
      <c r="K18" s="277" t="s">
        <v>1622</v>
      </c>
    </row>
    <row customHeight="1" ht="33.75">
      <c r="A19" s="513"/>
      <c r="C19" s="534"/>
      <c r="D19" s="547" t="s">
        <v>1462</v>
      </c>
      <c r="E19" s="567" t="s">
        <v>1623</v>
      </c>
      <c r="F19" s="529" t="s">
        <v>1624</v>
      </c>
      <c r="G19" s="827"/>
      <c r="H19" s="92"/>
      <c r="I19" s="827"/>
      <c r="J19" s="828"/>
      <c r="K19" s="687"/>
    </row>
    <row customHeight="1" ht="33.75">
      <c r="A20" s="513"/>
      <c r="C20" s="534"/>
      <c r="D20" s="547" t="s">
        <v>1479</v>
      </c>
      <c r="E20" s="567" t="s">
        <v>1625</v>
      </c>
      <c r="F20" s="529" t="s">
        <v>1626</v>
      </c>
      <c r="G20" s="827"/>
      <c r="H20" s="92"/>
      <c r="I20" s="827"/>
      <c r="J20" s="92"/>
      <c r="K20" s="687"/>
    </row>
    <row customHeight="1" ht="45">
      <c r="A21" s="513"/>
      <c r="C21" s="534"/>
      <c r="D21" s="547" t="s">
        <v>1627</v>
      </c>
      <c r="E21" s="567" t="s">
        <v>1628</v>
      </c>
      <c r="F21" s="529" t="s">
        <v>1241</v>
      </c>
      <c r="G21" s="688"/>
      <c r="H21" s="92"/>
      <c r="I21" s="688"/>
      <c r="J21" s="92"/>
      <c r="K21" s="687"/>
    </row>
    <row customHeight="1" ht="67.5" hidden="1">
      <c r="A22" s="513"/>
      <c r="C22" s="534"/>
      <c r="D22" s="529">
        <v>5</v>
      </c>
      <c r="E22" s="267" t="s">
        <v>1629</v>
      </c>
      <c r="F22" s="529" t="s">
        <v>1630</v>
      </c>
      <c r="G22" s="689"/>
      <c r="H22" s="690"/>
      <c r="I22" s="689"/>
      <c r="J22" s="690"/>
      <c r="K22" s="277" t="s">
        <v>1631</v>
      </c>
    </row>
    <row customHeight="1" ht="33.75" hidden="1">
      <c r="C23" s="459"/>
      <c r="D23" s="529">
        <v>6</v>
      </c>
      <c r="E23" s="267" t="s">
        <v>1632</v>
      </c>
      <c r="F23" s="529" t="s">
        <v>1633</v>
      </c>
      <c r="G23" s="689"/>
      <c r="H23" s="689"/>
      <c r="I23" s="689"/>
      <c r="J23" s="689"/>
      <c r="K23" s="277" t="s">
        <v>1634</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A3507-83FD-5C75-9CF3-9FCA9EEEB93F}"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36.7109375" customWidth="1"/>
    <col min="6" max="6" style="3076" width="9.57421875" customWidth="1"/>
    <col min="7" max="7" style="2599" width="42.421875" hidden="1" customWidth="1"/>
    <col min="8" max="8" style="3076" width="40.7109375" customWidth="1"/>
    <col min="9" max="9" style="2600" width="93.421875" customWidth="1"/>
    <col min="10" max="17" style="3076" width="10.57421875"/>
    <col min="18" max="18" style="4119" width="10.57421875"/>
  </cols>
  <sheetData>
    <row s="2600" customFormat="1" customHeight="1" ht="15" hidden="1">
      <c r="C1" s="680"/>
      <c r="H1" s="424">
        <v>4</v>
      </c>
      <c r="R1" s="427"/>
    </row>
    <row customHeight="1" ht="22.5" hidden="1">
      <c r="D2" s="547"/>
      <c r="E2" s="671"/>
      <c r="F2" s="1807" t="str">
        <f>IF(TEMPLATE_SPHERE="HEAT","Гкал/час","тыс. куб. м/сутки")</f>
        <v>тыс. куб. м/сутки</v>
      </c>
      <c r="G2" s="688"/>
      <c r="H2" s="688"/>
      <c r="I2" s="277"/>
    </row>
    <row s="2600" customFormat="1" customHeight="1" ht="15" hidden="1">
      <c r="C3" s="680"/>
      <c r="R3" s="427"/>
    </row>
    <row customHeight="1" ht="15">
      <c r="C4" s="162"/>
      <c r="D4" s="517"/>
      <c r="E4" s="517"/>
      <c r="F4" s="517"/>
      <c r="G4" s="517"/>
      <c r="H4" s="517"/>
    </row>
    <row customHeight="1" ht="47.25">
      <c r="C5" s="162"/>
      <c r="D5" s="2312"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12"/>
      <c r="F5" s="2312"/>
      <c r="G5" s="2312"/>
      <c r="H5" s="2312"/>
      <c r="I5" s="545"/>
    </row>
    <row customHeight="1" ht="15">
      <c r="C6" s="162"/>
      <c r="D6" s="2049" t="str">
        <f>IF(org=0,"Не определено",org)</f>
        <v>Филиал "Печорская ГРЭС" АО "Интер РАО-Электрогенерация"</v>
      </c>
      <c r="E6" s="2049"/>
      <c r="F6" s="2049"/>
      <c r="G6" s="2049"/>
      <c r="H6" s="2049"/>
      <c r="I6" s="545"/>
    </row>
    <row s="2599" customFormat="1" customHeight="1" ht="15">
      <c r="A7" s="769"/>
      <c r="C7" s="162"/>
      <c r="D7" s="684"/>
      <c r="E7" s="684"/>
      <c r="F7" s="684"/>
      <c r="G7" s="684"/>
      <c r="H7" s="762"/>
      <c r="I7" s="545"/>
      <c r="R7" s="683"/>
    </row>
    <row customHeight="1" ht="0.75">
      <c r="C8" s="162"/>
      <c r="D8" s="517"/>
      <c r="E8" s="517"/>
      <c r="F8" s="517"/>
      <c r="G8" s="517"/>
      <c r="H8" s="545" t="s">
        <v>117</v>
      </c>
    </row>
    <row customHeight="1" ht="15">
      <c r="C9" s="162"/>
      <c r="D9" s="719"/>
      <c r="E9" s="2308" t="s">
        <v>105</v>
      </c>
      <c r="F9" s="2309"/>
      <c r="G9" s="826" t="str">
        <f>IF(G8="","",INDEX(DIFFERENTIATION_UNMERGE_VD,MATCH(G8,DIFFERENTIATION_ID_DIFF,0)))</f>
        <v/>
      </c>
      <c r="H9" s="826" t="str">
        <f>IF(H8="","",INDEX(DIFFERENTIATION_UNMERGE_VD,MATCH(H8,DIFFERENTIATION_ID_DIFF,0)))</f>
        <v>Транспортировка. Питьевая вода</v>
      </c>
      <c r="I9" s="1966" t="s">
        <v>288</v>
      </c>
    </row>
    <row s="2599" customFormat="1" customHeight="1" ht="15">
      <c r="A10" s="769"/>
      <c r="C10" s="162"/>
      <c r="D10" s="719"/>
      <c r="E10" s="2308" t="s">
        <v>413</v>
      </c>
      <c r="F10" s="2309"/>
      <c r="G10" s="826" t="str">
        <f>IF(G8="","",INDEX(DIFFERENTIATION_UNMERGE_AREA,MATCH(G8,DIFFERENTIATION_ID_DIFF,0)))</f>
        <v/>
      </c>
      <c r="H10" s="826" t="str">
        <f>IF(H8="","",INDEX(DIFFERENTIATION_UNMERGE_AREA,MATCH(H8,DIFFERENTIATION_ID_DIFF,0)))</f>
        <v>без дифференциации</v>
      </c>
      <c r="I10" s="1966"/>
      <c r="R10" s="683"/>
    </row>
    <row s="2599" customFormat="1" customHeight="1" ht="15">
      <c r="A11" s="769"/>
      <c r="C11" s="162"/>
      <c r="D11" s="719"/>
      <c r="E11" s="2308" t="s">
        <v>414</v>
      </c>
      <c r="F11" s="2309"/>
      <c r="G11" s="826" t="str">
        <f>IF(G8="","",INDEX(DIFFERENTIATION_UNMERGE_SYSTEM,MATCH(G8,DIFFERENTIATION_ID_DIFF,0)))</f>
        <v/>
      </c>
      <c r="H11" s="826" t="str">
        <f>IF(H8="","",INDEX(DIFFERENTIATION_UNMERGE_SYSTEM,MATCH(H8,DIFFERENTIATION_ID_DIFF,0)))</f>
        <v>без дифференциации</v>
      </c>
      <c r="I11" s="1966"/>
      <c r="R11" s="683"/>
    </row>
    <row s="2599" customFormat="1" customHeight="1" ht="15">
      <c r="A12" s="769"/>
      <c r="C12" s="162"/>
      <c r="D12" s="2310" t="s">
        <v>287</v>
      </c>
      <c r="E12" s="2311"/>
      <c r="F12" s="2311"/>
      <c r="G12" s="898"/>
      <c r="H12" s="898"/>
      <c r="I12" s="1966"/>
      <c r="R12" s="683"/>
    </row>
    <row customHeight="1" ht="33.75">
      <c r="C13" s="162"/>
      <c r="D13" s="771" t="s">
        <v>87</v>
      </c>
      <c r="E13" s="770" t="s">
        <v>289</v>
      </c>
      <c r="F13" s="770" t="s">
        <v>1612</v>
      </c>
      <c r="G13" s="818" t="s">
        <v>290</v>
      </c>
      <c r="H13" s="764" t="s">
        <v>290</v>
      </c>
      <c r="I13" s="1966"/>
    </row>
    <row customHeight="1" ht="15" hidden="1">
      <c r="C14" s="162"/>
      <c r="D14" s="601" t="s">
        <v>109</v>
      </c>
      <c r="E14" s="601" t="s">
        <v>110</v>
      </c>
      <c r="F14" s="601" t="s">
        <v>89</v>
      </c>
      <c r="G14" s="667" t="str">
        <f>G1&amp;".1"</f>
        <v>.1</v>
      </c>
      <c r="H14" s="667" t="str">
        <f>H1&amp;".1"</f>
        <v>4.1</v>
      </c>
      <c r="I14" s="277"/>
    </row>
    <row customHeight="1" ht="15">
      <c r="A15" s="513"/>
      <c r="C15" s="534"/>
      <c r="D15" s="529">
        <v>1</v>
      </c>
      <c r="E15" s="685" t="str">
        <f>TP_P_A</f>
        <v>Количество поданных заявлений </v>
      </c>
      <c r="F15" s="529" t="s">
        <v>1635</v>
      </c>
      <c r="G15" s="693"/>
      <c r="H15" s="693"/>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3"/>
      <c r="C16" s="534"/>
      <c r="D16" s="529">
        <v>2</v>
      </c>
      <c r="E16" s="267" t="str">
        <f>TP_P_B</f>
        <v>Количество исполненных заявлений </v>
      </c>
      <c r="F16" s="529" t="s">
        <v>1635</v>
      </c>
      <c r="G16" s="693"/>
      <c r="H16" s="693"/>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3"/>
      <c r="C17" s="534"/>
      <c r="D17" s="529">
        <v>3</v>
      </c>
      <c r="E17" s="267" t="str">
        <f>TP_P_V</f>
        <v>Количество заявлений о заключении договоров о подключении (технологическом присоединении)</v>
      </c>
      <c r="F17" s="529" t="s">
        <v>1635</v>
      </c>
      <c r="G17" s="693"/>
      <c r="H17" s="693"/>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293</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7" t="s">
        <v>1636</v>
      </c>
      <c r="E20" s="696"/>
      <c r="F20" s="517"/>
      <c r="G20" s="517"/>
      <c r="H20" s="517"/>
      <c r="I20" s="1809"/>
    </row>
    <row customHeight="1" ht="27.75">
      <c r="C21" s="459"/>
      <c r="D21" s="547" t="s">
        <v>302</v>
      </c>
      <c r="E21" s="678"/>
      <c r="F21" s="1807" t="str">
        <f>IF(TEMPLATE_SPHERE="HEAT","Гкал/час","тыс. куб. м/сутки")</f>
        <v>тыс. куб. м/сутки</v>
      </c>
      <c r="G21" s="688"/>
      <c r="H21" s="688"/>
      <c r="I21" s="200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13"/>
      <c r="C22" s="513"/>
      <c r="D22" s="343"/>
      <c r="E22" s="588" t="s">
        <v>1637</v>
      </c>
      <c r="F22" s="580"/>
      <c r="G22" s="580"/>
      <c r="H22" s="580"/>
      <c r="I22" s="2008"/>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9E01A-5D35-CA13-FA0C-6E8134E9BC0B}"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36.7109375" customWidth="1"/>
    <col min="6" max="6" style="3076" width="9.57421875" customWidth="1"/>
    <col min="7" max="7" style="2599" width="25.7109375" hidden="1" customWidth="1"/>
    <col min="8" max="8" style="2599" width="33.7109375" hidden="1" customWidth="1"/>
    <col min="9" max="9" style="3076" width="25.7109375" customWidth="1"/>
    <col min="10" max="10" style="3076" width="33.7109375" customWidth="1"/>
    <col min="11" max="11" style="2600" width="93.421875" customWidth="1"/>
    <col min="12" max="20" style="3076" width="10.57421875"/>
    <col min="21" max="21" style="4119" width="10.57421875"/>
  </cols>
  <sheetData>
    <row s="2600" customFormat="1" customHeight="1" ht="15" hidden="1">
      <c r="C1" s="680"/>
      <c r="G1" s="424">
        <v>4</v>
      </c>
      <c r="I1" s="424">
        <v>4</v>
      </c>
      <c r="U1" s="427"/>
    </row>
    <row s="2600" customFormat="1" customHeight="1" ht="15" hidden="1">
      <c r="C2" s="680"/>
      <c r="U2" s="427"/>
    </row>
    <row customHeight="1" ht="22.5" hidden="1">
      <c r="A3" s="513"/>
      <c r="B3" s="2313"/>
      <c r="C3" s="2314"/>
      <c r="D3" s="697" t="str">
        <f>B3&amp;".1"</f>
        <v>.1</v>
      </c>
      <c r="E3" s="698" t="s">
        <v>1638</v>
      </c>
      <c r="F3" s="699" t="s">
        <v>293</v>
      </c>
      <c r="G3" s="694"/>
      <c r="H3" s="408"/>
      <c r="I3" s="694"/>
      <c r="J3" s="408"/>
      <c r="K3" s="277" t="s">
        <v>1639</v>
      </c>
    </row>
    <row customHeight="1" ht="15" hidden="1">
      <c r="A4" s="513"/>
      <c r="B4" s="2313"/>
      <c r="C4" s="2314"/>
      <c r="D4" s="697" t="str">
        <f>B3&amp;".2"</f>
        <v>.2</v>
      </c>
      <c r="E4" s="698" t="s">
        <v>1640</v>
      </c>
      <c r="F4" s="699" t="s">
        <v>293</v>
      </c>
      <c r="G4" s="1784" t="s">
        <v>18</v>
      </c>
      <c r="H4" s="408"/>
      <c r="I4" s="1784" t="s">
        <v>18</v>
      </c>
      <c r="J4" s="408"/>
      <c r="K4" s="277" t="s">
        <v>1641</v>
      </c>
    </row>
    <row s="2600" customFormat="1" customHeight="1" ht="15" hidden="1">
      <c r="C5" s="680"/>
      <c r="U5" s="427"/>
    </row>
    <row customHeight="1" ht="22.5" hidden="1">
      <c r="A6" s="513"/>
      <c r="B6" s="2313"/>
      <c r="C6" s="2314"/>
      <c r="D6" s="697" t="str">
        <f>B6&amp;".1"</f>
        <v>.1</v>
      </c>
      <c r="E6" s="698" t="s">
        <v>1642</v>
      </c>
      <c r="F6" s="699" t="s">
        <v>293</v>
      </c>
      <c r="G6" s="694"/>
      <c r="H6" s="408"/>
      <c r="I6" s="694"/>
      <c r="J6" s="408"/>
      <c r="K6" s="277" t="s">
        <v>1643</v>
      </c>
    </row>
    <row customHeight="1" ht="15" hidden="1">
      <c r="A7" s="513"/>
      <c r="B7" s="2313"/>
      <c r="C7" s="2314"/>
      <c r="D7" s="697" t="str">
        <f>B6&amp;".2"</f>
        <v>.2</v>
      </c>
      <c r="E7" s="698" t="s">
        <v>1640</v>
      </c>
      <c r="F7" s="699" t="s">
        <v>293</v>
      </c>
      <c r="G7" s="1784" t="s">
        <v>18</v>
      </c>
      <c r="H7" s="408"/>
      <c r="I7" s="1784" t="s">
        <v>18</v>
      </c>
      <c r="J7" s="408"/>
      <c r="K7" s="277" t="s">
        <v>1641</v>
      </c>
    </row>
    <row s="2600" customFormat="1" customHeight="1" ht="15" hidden="1">
      <c r="C8" s="680"/>
      <c r="U8" s="427"/>
    </row>
    <row customHeight="1" ht="22.5" hidden="1">
      <c r="A9" s="513"/>
      <c r="B9" s="2313"/>
      <c r="C9" s="2314"/>
      <c r="D9" s="697" t="str">
        <f>B9&amp;".1"</f>
        <v>.1</v>
      </c>
      <c r="E9" s="698" t="s">
        <v>1644</v>
      </c>
      <c r="F9" s="699" t="s">
        <v>293</v>
      </c>
      <c r="G9" s="705" t="s">
        <v>18</v>
      </c>
      <c r="H9" s="408" t="s">
        <v>18</v>
      </c>
      <c r="I9" s="705" t="s">
        <v>18</v>
      </c>
      <c r="J9" s="408" t="s">
        <v>18</v>
      </c>
      <c r="K9" s="277"/>
    </row>
    <row customHeight="1" ht="15" hidden="1">
      <c r="A10" s="513"/>
      <c r="B10" s="2313"/>
      <c r="C10" s="2314"/>
      <c r="D10" s="697" t="str">
        <f>B9&amp;".2"</f>
        <v>.2</v>
      </c>
      <c r="E10" s="698" t="s">
        <v>1645</v>
      </c>
      <c r="F10" s="699" t="s">
        <v>293</v>
      </c>
      <c r="G10" s="1778" t="s">
        <v>18</v>
      </c>
      <c r="H10" s="408" t="s">
        <v>18</v>
      </c>
      <c r="I10" s="1778" t="s">
        <v>18</v>
      </c>
      <c r="J10" s="408" t="s">
        <v>18</v>
      </c>
      <c r="K10" s="277" t="s">
        <v>1646</v>
      </c>
    </row>
    <row customHeight="1" ht="15" hidden="1">
      <c r="A11" s="513"/>
      <c r="B11" s="2313"/>
      <c r="C11" s="2314"/>
      <c r="D11" s="697" t="str">
        <f>B9&amp;".3"</f>
        <v>.3</v>
      </c>
      <c r="E11" s="698" t="s">
        <v>1647</v>
      </c>
      <c r="F11" s="699" t="s">
        <v>293</v>
      </c>
      <c r="G11" s="1778" t="s">
        <v>18</v>
      </c>
      <c r="H11" s="408" t="s">
        <v>18</v>
      </c>
      <c r="I11" s="1778" t="s">
        <v>18</v>
      </c>
      <c r="J11" s="408" t="s">
        <v>18</v>
      </c>
      <c r="K11" s="277" t="s">
        <v>1648</v>
      </c>
    </row>
    <row s="2600" customFormat="1" customHeight="1" ht="15" hidden="1">
      <c r="C12" s="680"/>
      <c r="U12" s="427"/>
    </row>
    <row customHeight="1" ht="33.75" hidden="1">
      <c r="A13" s="513"/>
      <c r="B13" s="2313"/>
      <c r="C13" s="2314"/>
      <c r="D13" s="697" t="str">
        <f>B13&amp;".1"</f>
        <v>.1</v>
      </c>
      <c r="E13" s="698" t="s">
        <v>1649</v>
      </c>
      <c r="F13" s="699" t="s">
        <v>293</v>
      </c>
      <c r="G13" s="705" t="s">
        <v>18</v>
      </c>
      <c r="H13" s="408" t="s">
        <v>18</v>
      </c>
      <c r="I13" s="705" t="s">
        <v>18</v>
      </c>
      <c r="J13" s="408" t="s">
        <v>18</v>
      </c>
      <c r="K13" s="277" t="s">
        <v>1650</v>
      </c>
    </row>
    <row customHeight="1" ht="15" hidden="1">
      <c r="B14" s="2313"/>
      <c r="C14" s="2314"/>
      <c r="D14" s="697" t="str">
        <f>B13&amp;".2"</f>
        <v>.2</v>
      </c>
      <c r="E14" s="698" t="s">
        <v>1651</v>
      </c>
      <c r="F14" s="699" t="s">
        <v>293</v>
      </c>
      <c r="G14" s="1778" t="s">
        <v>18</v>
      </c>
      <c r="H14" s="408" t="s">
        <v>18</v>
      </c>
      <c r="I14" s="1778" t="s">
        <v>18</v>
      </c>
      <c r="J14" s="408" t="s">
        <v>18</v>
      </c>
      <c r="K14" s="277" t="s">
        <v>1652</v>
      </c>
    </row>
    <row s="2600" customFormat="1" customHeight="1" ht="15" hidden="1">
      <c r="C15" s="680"/>
      <c r="U15" s="427"/>
    </row>
    <row s="2600" customFormat="1" customHeight="1" ht="15" hidden="1">
      <c r="C16" s="680"/>
      <c r="U16" s="427"/>
    </row>
    <row s="2600" customFormat="1" customHeight="1" ht="15" hidden="1">
      <c r="C17" s="680"/>
      <c r="U17" s="427"/>
    </row>
    <row s="2600" customFormat="1" customHeight="1" ht="15" hidden="1">
      <c r="C18" s="680"/>
      <c r="U18" s="427"/>
    </row>
    <row s="2600" customFormat="1" customHeight="1" ht="15" hidden="1">
      <c r="C19" s="680"/>
      <c r="U19" s="427"/>
    </row>
    <row s="2600" customFormat="1" customHeight="1" ht="15" hidden="1">
      <c r="C20" s="680"/>
      <c r="U20" s="427"/>
    </row>
    <row customHeight="1" ht="15">
      <c r="C21" s="162"/>
      <c r="D21" s="517"/>
      <c r="E21" s="517"/>
      <c r="F21" s="517"/>
      <c r="G21" s="517"/>
      <c r="H21" s="517"/>
      <c r="I21" s="517"/>
      <c r="J21" s="517"/>
    </row>
    <row customHeight="1" ht="27.75">
      <c r="C22" s="162"/>
      <c r="D22" s="2312" t="s">
        <v>1653</v>
      </c>
      <c r="E22" s="2312"/>
      <c r="F22" s="2312"/>
      <c r="G22" s="2312"/>
      <c r="H22" s="2312"/>
      <c r="I22" s="2312"/>
      <c r="J22" s="684"/>
      <c r="K22" s="545"/>
    </row>
    <row customHeight="1" ht="15">
      <c r="C23" s="162"/>
      <c r="D23" s="2049" t="str">
        <f>IF(org=0,"Не определено",org)</f>
        <v>Филиал "Печорская ГРЭС" АО "Интер РАО-Электрогенерация"</v>
      </c>
      <c r="E23" s="2049"/>
      <c r="F23" s="2049"/>
      <c r="G23" s="2049"/>
      <c r="H23" s="2049"/>
      <c r="I23" s="2049"/>
      <c r="J23" s="684"/>
      <c r="K23" s="545"/>
    </row>
    <row customHeight="1" ht="15">
      <c r="C24" s="162"/>
      <c r="D24" s="517"/>
      <c r="E24" s="517"/>
      <c r="F24" s="517"/>
      <c r="G24" s="545">
        <v>22</v>
      </c>
      <c r="H24" s="762"/>
      <c r="I24" s="545">
        <v>22</v>
      </c>
      <c r="J24" s="762"/>
    </row>
    <row s="2599" customFormat="1" customHeight="1" ht="0.75">
      <c r="A25" s="769"/>
      <c r="C25" s="162"/>
      <c r="D25" s="517"/>
      <c r="E25" s="517"/>
      <c r="F25" s="517"/>
      <c r="G25" s="545"/>
      <c r="H25" s="762"/>
      <c r="I25" s="545" t="s">
        <v>117</v>
      </c>
      <c r="J25" s="762"/>
      <c r="K25" s="424"/>
      <c r="U25" s="683"/>
    </row>
    <row customHeight="1" ht="15">
      <c r="C26" s="162"/>
      <c r="D26" s="719"/>
      <c r="E26" s="2308" t="s">
        <v>105</v>
      </c>
      <c r="F26" s="2309"/>
      <c r="G26" s="2306" t="str">
        <f>IF(G25="","",INDEX(DIFFERENTIATION_UNMERGE_VD,MATCH(G25,DIFFERENTIATION_ID_DIFF,0)))</f>
        <v/>
      </c>
      <c r="H26" s="2307"/>
      <c r="I26" s="2306" t="str">
        <f>IF(I25="","",INDEX(DIFFERENTIATION_UNMERGE_VD,MATCH(I25,DIFFERENTIATION_ID_DIFF,0)))</f>
        <v>Транспортировка. Питьевая вода</v>
      </c>
      <c r="J26" s="2307"/>
      <c r="K26" s="2012" t="s">
        <v>288</v>
      </c>
    </row>
    <row s="2599" customFormat="1" customHeight="1" ht="15">
      <c r="A27" s="769"/>
      <c r="C27" s="162"/>
      <c r="D27" s="719"/>
      <c r="E27" s="2308" t="s">
        <v>413</v>
      </c>
      <c r="F27" s="2309"/>
      <c r="G27" s="2306" t="str">
        <f>IF(G25="","",INDEX(DIFFERENTIATION_UNMERGE_AREA,MATCH(G25,DIFFERENTIATION_ID_DIFF,0)))</f>
        <v/>
      </c>
      <c r="H27" s="2307"/>
      <c r="I27" s="2306" t="str">
        <f>IF(I25="","",INDEX(DIFFERENTIATION_UNMERGE_AREA,MATCH(I25,DIFFERENTIATION_ID_DIFF,0)))</f>
        <v>без дифференциации</v>
      </c>
      <c r="J27" s="2307"/>
      <c r="K27" s="2032"/>
      <c r="U27" s="683"/>
    </row>
    <row s="2599" customFormat="1" customHeight="1" ht="15">
      <c r="A28" s="769"/>
      <c r="C28" s="162"/>
      <c r="D28" s="719"/>
      <c r="E28" s="2308" t="s">
        <v>414</v>
      </c>
      <c r="F28" s="2309"/>
      <c r="G28" s="2306" t="str">
        <f>IF(G25="","",INDEX(DIFFERENTIATION_UNMERGE_SYSTEM,MATCH(G25,DIFFERENTIATION_ID_DIFF,0)))</f>
        <v/>
      </c>
      <c r="H28" s="2307"/>
      <c r="I28" s="2306" t="str">
        <f>IF(I25="","",INDEX(DIFFERENTIATION_UNMERGE_SYSTEM,MATCH(I25,DIFFERENTIATION_ID_DIFF,0)))</f>
        <v>без дифференциации</v>
      </c>
      <c r="J28" s="2307"/>
      <c r="K28" s="2032"/>
      <c r="U28" s="683"/>
    </row>
    <row s="2599" customFormat="1" customHeight="1" ht="15">
      <c r="A29" s="769"/>
      <c r="C29" s="162"/>
      <c r="D29" s="2310" t="s">
        <v>287</v>
      </c>
      <c r="E29" s="2311"/>
      <c r="F29" s="2311"/>
      <c r="G29" s="898"/>
      <c r="H29" s="898"/>
      <c r="I29" s="898"/>
      <c r="J29" s="899"/>
      <c r="K29" s="2032"/>
      <c r="U29" s="683"/>
    </row>
    <row customHeight="1" ht="33.75">
      <c r="C30" s="162"/>
      <c r="D30" s="771" t="s">
        <v>87</v>
      </c>
      <c r="E30" s="770" t="s">
        <v>289</v>
      </c>
      <c r="F30" s="770" t="s">
        <v>1612</v>
      </c>
      <c r="G30" s="818" t="s">
        <v>290</v>
      </c>
      <c r="H30" s="817" t="s">
        <v>379</v>
      </c>
      <c r="I30" s="692" t="s">
        <v>290</v>
      </c>
      <c r="J30" s="473" t="s">
        <v>379</v>
      </c>
      <c r="K30" s="2038"/>
    </row>
    <row customHeight="1" ht="15" hidden="1">
      <c r="C31" s="162"/>
      <c r="D31" s="601"/>
      <c r="E31" s="601"/>
      <c r="F31" s="601"/>
      <c r="G31" s="667"/>
      <c r="H31" s="667"/>
      <c r="I31" s="667"/>
      <c r="J31" s="667"/>
      <c r="K31" s="277"/>
    </row>
    <row customHeight="1" ht="22.5">
      <c r="A32" s="513"/>
      <c r="B32" s="513" t="s">
        <v>1654</v>
      </c>
      <c r="C32" s="534"/>
      <c r="D32" s="700">
        <v>1</v>
      </c>
      <c r="E32" s="701" t="s">
        <v>1655</v>
      </c>
      <c r="F32" s="699" t="s">
        <v>293</v>
      </c>
      <c r="G32" s="823" t="s">
        <v>293</v>
      </c>
      <c r="H32" s="823" t="s">
        <v>293</v>
      </c>
      <c r="I32" s="699" t="s">
        <v>293</v>
      </c>
      <c r="J32" s="699" t="s">
        <v>293</v>
      </c>
      <c r="K32" s="277"/>
    </row>
    <row customHeight="1" ht="11.25">
      <c r="A33" s="513"/>
      <c r="C33" s="513"/>
      <c r="D33" s="343"/>
      <c r="E33" s="588" t="s">
        <v>1569</v>
      </c>
      <c r="F33" s="580"/>
      <c r="G33" s="580"/>
      <c r="H33" s="580"/>
      <c r="I33" s="580"/>
      <c r="J33" s="580"/>
      <c r="K33" s="581"/>
      <c r="U33" s="513"/>
    </row>
    <row customHeight="1" ht="22.5">
      <c r="A34" s="513"/>
      <c r="B34" s="589" t="s">
        <v>448</v>
      </c>
      <c r="C34" s="534"/>
      <c r="D34" s="700">
        <v>2</v>
      </c>
      <c r="E34" s="701" t="s">
        <v>1656</v>
      </c>
      <c r="F34" s="830" t="s">
        <v>293</v>
      </c>
      <c r="G34" s="830" t="s">
        <v>293</v>
      </c>
      <c r="H34" s="830" t="s">
        <v>293</v>
      </c>
      <c r="I34" s="699"/>
      <c r="J34" s="699"/>
      <c r="K34" s="277"/>
    </row>
    <row customHeight="1" ht="11.25">
      <c r="A35" s="513"/>
      <c r="C35" s="513"/>
      <c r="D35" s="343"/>
      <c r="E35" s="588" t="s">
        <v>1657</v>
      </c>
      <c r="F35" s="580"/>
      <c r="G35" s="702"/>
      <c r="H35" s="580"/>
      <c r="I35" s="702"/>
      <c r="J35" s="580"/>
      <c r="K35" s="581"/>
      <c r="U35" s="513"/>
    </row>
    <row customHeight="1" ht="67.5">
      <c r="A36" s="513"/>
      <c r="B36" s="513" t="s">
        <v>1658</v>
      </c>
      <c r="C36" s="534"/>
      <c r="D36" s="700">
        <v>3</v>
      </c>
      <c r="E36" s="701" t="s">
        <v>1659</v>
      </c>
      <c r="F36" s="703" t="s">
        <v>293</v>
      </c>
      <c r="G36" s="824" t="s">
        <v>1660</v>
      </c>
      <c r="H36" s="823" t="s">
        <v>293</v>
      </c>
      <c r="I36" s="532" t="s">
        <v>1660</v>
      </c>
      <c r="J36" s="699" t="s">
        <v>293</v>
      </c>
      <c r="K36" s="277" t="s">
        <v>1661</v>
      </c>
    </row>
    <row customHeight="1" ht="11.25">
      <c r="A37" s="513"/>
      <c r="C37" s="513"/>
      <c r="D37" s="343"/>
      <c r="E37" s="588" t="s">
        <v>1662</v>
      </c>
      <c r="F37" s="580"/>
      <c r="G37" s="702"/>
      <c r="H37" s="702"/>
      <c r="I37" s="702"/>
      <c r="J37" s="702"/>
      <c r="K37" s="581"/>
      <c r="U37" s="513"/>
    </row>
    <row customHeight="1" ht="67.5">
      <c r="A38" s="513"/>
      <c r="B38" s="513" t="s">
        <v>1663</v>
      </c>
      <c r="C38" s="534"/>
      <c r="D38" s="700">
        <v>4</v>
      </c>
      <c r="E38" s="701" t="s">
        <v>1664</v>
      </c>
      <c r="F38" s="703" t="s">
        <v>293</v>
      </c>
      <c r="G38" s="824" t="s">
        <v>1660</v>
      </c>
      <c r="H38" s="825" t="s">
        <v>293</v>
      </c>
      <c r="I38" s="532" t="s">
        <v>1660</v>
      </c>
      <c r="J38" s="529" t="s">
        <v>293</v>
      </c>
      <c r="K38" s="687" t="s">
        <v>1665</v>
      </c>
    </row>
    <row customHeight="1" ht="11.25">
      <c r="A39" s="513"/>
      <c r="C39" s="513"/>
      <c r="D39" s="343"/>
      <c r="E39" s="588" t="s">
        <v>1666</v>
      </c>
      <c r="F39" s="580"/>
      <c r="G39" s="580"/>
      <c r="H39" s="704"/>
      <c r="I39" s="580"/>
      <c r="J39" s="704"/>
      <c r="K39" s="581"/>
      <c r="U39" s="51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5C1B7-CF4E-758A-556E-840F8814FC4A}"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4185" width="25.140625" hidden="1" customWidth="1"/>
    <col min="2" max="2" style="4074" width="9.140625" hidden="1" customWidth="1"/>
    <col min="3" max="3" style="3693" width="3.7109375" customWidth="1"/>
    <col min="4" max="4" style="4101" width="6.28125" customWidth="1"/>
    <col min="5" max="5" style="4101" width="46.7109375" customWidth="1"/>
    <col min="6" max="6" style="4101" width="35.7109375" customWidth="1"/>
    <col min="7" max="7" style="4101" width="3.7109375" customWidth="1"/>
    <col min="8" max="9" style="4101" width="11.7109375" customWidth="1"/>
    <col min="10" max="11" style="4101" width="35.7109375" customWidth="1"/>
    <col min="12" max="12" style="4101" width="84.8515625" customWidth="1"/>
    <col min="13" max="13" style="4101" width="10.57421875"/>
    <col min="14" max="15" style="3522" width="10.57421875"/>
    <col min="16" max="32" style="4101" width="10.57421875"/>
  </cols>
  <sheetData>
    <row s="2871" customFormat="1" customHeight="1" ht="14.25" hidden="1">
      <c r="A1" s="1829"/>
      <c r="B1" s="369"/>
      <c r="C1" s="340"/>
      <c r="N1" s="1670"/>
      <c r="O1" s="1670"/>
      <c r="S1" s="841"/>
      <c r="AF1" s="241"/>
    </row>
    <row s="2871" customFormat="1" customHeight="1" ht="56.25" hidden="1">
      <c r="A2" s="1830"/>
      <c r="B2" s="369"/>
      <c r="C2" s="340"/>
      <c r="D2" s="1044"/>
      <c r="E2" s="1044"/>
      <c r="F2" s="1044"/>
      <c r="G2" s="1820"/>
      <c r="H2" s="1785"/>
      <c r="I2" s="1823"/>
      <c r="J2" s="1822"/>
      <c r="K2" s="1820" t="s">
        <v>293</v>
      </c>
      <c r="M2" s="330"/>
      <c r="N2" s="1670"/>
      <c r="O2" s="1670"/>
    </row>
    <row customHeight="1" ht="14.25" hidden="1">
      <c r="S3" s="403"/>
      <c r="AF3" s="241"/>
    </row>
    <row s="2871" customFormat="1" customHeight="1" ht="56.25" hidden="1">
      <c r="A4" s="1830"/>
      <c r="B4" s="369"/>
      <c r="C4" s="340"/>
      <c r="D4" s="1044"/>
      <c r="E4" s="1044"/>
      <c r="F4" s="1044"/>
      <c r="G4" s="1819"/>
      <c r="H4" s="1785"/>
      <c r="I4" s="1823"/>
      <c r="J4" s="1828"/>
      <c r="K4" s="1820" t="s">
        <v>293</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93"/>
      <c r="F8" s="2293"/>
      <c r="G8" s="2293"/>
      <c r="H8" s="2293"/>
      <c r="I8" s="2293"/>
      <c r="J8" s="2293"/>
      <c r="K8" s="2293"/>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84" t="str">
        <f>IF(TITLE_DATE_CHANGE_PERIOD="",IF(TITLE_DATE_PR="","",TITLE_DATE_PR),TITLE_DATE_CHANGE_PERIOD)</f>
        <v/>
      </c>
      <c r="G10" s="2184"/>
      <c r="H10" s="2184"/>
      <c r="I10" s="2184"/>
      <c r="J10" s="2184"/>
      <c r="K10" s="2184"/>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84" t="str">
        <f>IF(TITLE_NUMBER_PR_CHANGE="",IF(TITLE_NUMBER_PR="","",TITLE_NUMBER_PR),TITLE_NUMBER_PR_CHANGE)</f>
        <v/>
      </c>
      <c r="G11" s="2184"/>
      <c r="H11" s="2184"/>
      <c r="I11" s="2184"/>
      <c r="J11" s="2184"/>
      <c r="K11" s="2184"/>
      <c r="L11" s="404"/>
      <c r="M11" s="322"/>
    </row>
    <row customHeight="1" ht="14.25">
      <c r="C12" s="377"/>
      <c r="D12" s="361"/>
      <c r="E12" s="395"/>
      <c r="F12" s="395"/>
      <c r="G12" s="395"/>
      <c r="H12" s="395"/>
      <c r="I12" s="395"/>
      <c r="J12" s="395"/>
      <c r="K12" s="762"/>
      <c r="L12" s="179"/>
    </row>
    <row customHeight="1" ht="21">
      <c r="C13" s="377"/>
      <c r="D13" s="2047" t="s">
        <v>287</v>
      </c>
      <c r="E13" s="2047"/>
      <c r="F13" s="2047"/>
      <c r="G13" s="2047"/>
      <c r="H13" s="2047"/>
      <c r="I13" s="2047"/>
      <c r="J13" s="2047"/>
      <c r="K13" s="2047"/>
      <c r="L13" s="2174" t="s">
        <v>288</v>
      </c>
    </row>
    <row customHeight="1" ht="21">
      <c r="C14" s="377"/>
      <c r="D14" s="2210" t="s">
        <v>87</v>
      </c>
      <c r="E14" s="2063" t="s">
        <v>123</v>
      </c>
      <c r="F14" s="2063" t="s">
        <v>124</v>
      </c>
      <c r="G14" s="2317" t="s">
        <v>1667</v>
      </c>
      <c r="H14" s="2318"/>
      <c r="I14" s="2319"/>
      <c r="J14" s="2063" t="s">
        <v>290</v>
      </c>
      <c r="K14" s="2063" t="s">
        <v>379</v>
      </c>
      <c r="L14" s="2174"/>
    </row>
    <row customHeight="1" ht="21">
      <c r="C15" s="377"/>
      <c r="D15" s="2212"/>
      <c r="E15" s="2064"/>
      <c r="F15" s="2064"/>
      <c r="G15" s="2057" t="s">
        <v>1547</v>
      </c>
      <c r="H15" s="2059"/>
      <c r="I15" s="94" t="s">
        <v>1668</v>
      </c>
      <c r="J15" s="2064"/>
      <c r="K15" s="2064"/>
      <c r="L15" s="2174"/>
    </row>
    <row customHeight="1" ht="12" hidden="1">
      <c r="C16" s="377"/>
      <c r="D16" s="269"/>
      <c r="E16" s="269"/>
      <c r="F16" s="269"/>
      <c r="G16" s="2320"/>
      <c r="H16" s="2320"/>
      <c r="I16" s="269"/>
      <c r="J16" s="269"/>
      <c r="K16" s="269"/>
      <c r="L16" s="269"/>
    </row>
    <row customHeight="1" ht="18.75">
      <c r="A17" s="1830"/>
      <c r="C17" s="377"/>
      <c r="D17" s="1818" t="s">
        <v>109</v>
      </c>
      <c r="E17" s="2303" t="str">
        <f>"Предлагаемый метод регулирования"&amp;IF(TEMPLATE_SPHERE="HEAT"," в сфере "&amp;TEMPLATE_SPHERE_RUS,"")</f>
        <v>Предлагаемый метод регулирования</v>
      </c>
      <c r="F17" s="2304"/>
      <c r="G17" s="2304"/>
      <c r="H17" s="2304"/>
      <c r="I17" s="2304"/>
      <c r="J17" s="2316" t="s">
        <v>293</v>
      </c>
      <c r="K17" s="2304"/>
      <c r="L17" s="1817"/>
      <c r="M17" s="330"/>
    </row>
    <row customHeight="1" ht="56.25" hidden="1">
      <c r="A18" s="1830" t="s">
        <v>156</v>
      </c>
      <c r="C18" s="2315"/>
      <c r="D18" s="2041"/>
      <c r="E18" s="2145"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45" t="str">
        <f>INDEX(PT_DIFFERENTIATION_VDET,MATCH(A18,PT_DIFFERENTIATION_VTAR_ID,0))</f>
        <v/>
      </c>
      <c r="G18" s="184"/>
      <c r="H18" s="1785"/>
      <c r="I18" s="1823"/>
      <c r="J18" s="1822"/>
      <c r="K18" s="1815" t="s">
        <v>293</v>
      </c>
      <c r="L1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1669</v>
      </c>
      <c r="C19" s="2315"/>
      <c r="D19" s="2041"/>
      <c r="E19" s="2145"/>
      <c r="F19" s="2145"/>
      <c r="G19" s="406"/>
      <c r="H19" s="401" t="s">
        <v>1568</v>
      </c>
      <c r="I19" s="345"/>
      <c r="J19" s="407"/>
      <c r="K19" s="187"/>
      <c r="L19" s="2007"/>
      <c r="M19" s="330"/>
    </row>
    <row s="2871" customFormat="1" customHeight="1" ht="26.25" hidden="1">
      <c r="A20" s="1830" t="s">
        <v>162</v>
      </c>
      <c r="B20" s="369"/>
      <c r="C20" s="2315"/>
      <c r="D20" s="2041"/>
      <c r="E20" s="2145"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45" t="str">
        <f>INDEX(PT_DIFFERENTIATION_VDET,MATCH(A20,PT_DIFFERENTIATION_VTAR_ID,0))</f>
        <v/>
      </c>
      <c r="G20" s="1816"/>
      <c r="H20" s="1785"/>
      <c r="I20" s="1823"/>
      <c r="J20" s="1822"/>
      <c r="K20" s="1815" t="s">
        <v>293</v>
      </c>
      <c r="L20" s="2007"/>
      <c r="M20" s="330"/>
      <c r="N20" s="1670"/>
      <c r="O20" s="1670"/>
    </row>
    <row s="2871" customFormat="1" customHeight="1" ht="18.75" hidden="1">
      <c r="A21" s="1830"/>
      <c r="B21" s="369" t="s">
        <v>1669</v>
      </c>
      <c r="C21" s="2315"/>
      <c r="D21" s="2041"/>
      <c r="E21" s="2145"/>
      <c r="F21" s="2145"/>
      <c r="G21" s="406"/>
      <c r="H21" s="401" t="s">
        <v>1568</v>
      </c>
      <c r="I21" s="345"/>
      <c r="J21" s="407"/>
      <c r="K21" s="187"/>
      <c r="L21" s="2007"/>
      <c r="M21" s="330"/>
      <c r="N21" s="1670"/>
      <c r="O21" s="1670"/>
    </row>
    <row s="2871" customFormat="1" customHeight="1" ht="18.75" hidden="1">
      <c r="A22" s="1830" t="s">
        <v>168</v>
      </c>
      <c r="B22" s="369"/>
      <c r="C22" s="2315"/>
      <c r="D22" s="2041"/>
      <c r="E22" s="2145"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45" t="str">
        <f>INDEX(PT_DIFFERENTIATION_VDET,MATCH(A22,PT_DIFFERENTIATION_VTAR_ID,0))</f>
        <v/>
      </c>
      <c r="G22" s="1816"/>
      <c r="H22" s="1785"/>
      <c r="I22" s="1823"/>
      <c r="J22" s="1822"/>
      <c r="K22" s="1815" t="s">
        <v>293</v>
      </c>
      <c r="L22" s="2007"/>
      <c r="M22" s="330"/>
      <c r="N22" s="1670"/>
      <c r="O22" s="1670"/>
    </row>
    <row s="2871" customFormat="1" customHeight="1" ht="18.75" hidden="1">
      <c r="A23" s="1830"/>
      <c r="B23" s="369" t="s">
        <v>1669</v>
      </c>
      <c r="C23" s="2315"/>
      <c r="D23" s="2041"/>
      <c r="E23" s="2145"/>
      <c r="F23" s="2145"/>
      <c r="G23" s="406"/>
      <c r="H23" s="401" t="s">
        <v>1568</v>
      </c>
      <c r="I23" s="345"/>
      <c r="J23" s="407"/>
      <c r="K23" s="187"/>
      <c r="L23" s="2007"/>
      <c r="M23" s="330"/>
      <c r="N23" s="1670"/>
      <c r="O23" s="1670"/>
    </row>
    <row s="2871" customFormat="1" customHeight="1" ht="41.25" hidden="1">
      <c r="A24" s="1830" t="s">
        <v>174</v>
      </c>
      <c r="B24" s="369"/>
      <c r="C24" s="2315"/>
      <c r="D24" s="2041"/>
      <c r="E24" s="2145"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45" t="str">
        <f>INDEX(PT_DIFFERENTIATION_VDET,MATCH(A24,PT_DIFFERENTIATION_VTAR_ID,0))</f>
        <v/>
      </c>
      <c r="G24" s="1816"/>
      <c r="H24" s="1785"/>
      <c r="I24" s="1823"/>
      <c r="J24" s="1822"/>
      <c r="K24" s="1815" t="s">
        <v>293</v>
      </c>
      <c r="L24" s="2007"/>
      <c r="M24" s="330"/>
      <c r="N24" s="1670"/>
      <c r="O24" s="1670"/>
    </row>
    <row s="2871" customFormat="1" customHeight="1" ht="18.75" hidden="1">
      <c r="A25" s="1830"/>
      <c r="B25" s="369" t="s">
        <v>1669</v>
      </c>
      <c r="C25" s="2315"/>
      <c r="D25" s="2041"/>
      <c r="E25" s="2145"/>
      <c r="F25" s="2145"/>
      <c r="G25" s="406"/>
      <c r="H25" s="401" t="s">
        <v>1568</v>
      </c>
      <c r="I25" s="345"/>
      <c r="J25" s="407"/>
      <c r="K25" s="187"/>
      <c r="L25" s="2007"/>
      <c r="M25" s="330"/>
      <c r="N25" s="1670"/>
      <c r="O25" s="1670"/>
    </row>
    <row s="2871" customFormat="1" customHeight="1" ht="18.75" hidden="1">
      <c r="A26" s="1830" t="s">
        <v>180</v>
      </c>
      <c r="B26" s="369"/>
      <c r="C26" s="2315"/>
      <c r="D26" s="2041"/>
      <c r="E26" s="2145" t="str">
        <f>INDEX(PT_DIFFERENTIATION_VTAR,MATCH(A26,PT_DIFFERENTIATION_VTAR_ID,0))</f>
        <v>Тарифы на услуги по передаче тепловой энергии</v>
      </c>
      <c r="F26" s="2145" t="str">
        <f>INDEX(PT_DIFFERENTIATION_VDET,MATCH(A26,PT_DIFFERENTIATION_VTAR_ID,0))</f>
        <v/>
      </c>
      <c r="G26" s="1816"/>
      <c r="H26" s="1785"/>
      <c r="I26" s="1823"/>
      <c r="J26" s="1822"/>
      <c r="K26" s="1815" t="s">
        <v>293</v>
      </c>
      <c r="L26" s="2007"/>
      <c r="M26" s="330"/>
      <c r="N26" s="1670"/>
      <c r="O26" s="1670"/>
    </row>
    <row s="2871" customFormat="1" customHeight="1" ht="18.75" hidden="1">
      <c r="A27" s="1830"/>
      <c r="B27" s="369" t="s">
        <v>1669</v>
      </c>
      <c r="C27" s="2315"/>
      <c r="D27" s="2041"/>
      <c r="E27" s="2145"/>
      <c r="F27" s="2145"/>
      <c r="G27" s="406"/>
      <c r="H27" s="401" t="s">
        <v>1568</v>
      </c>
      <c r="I27" s="345"/>
      <c r="J27" s="407"/>
      <c r="K27" s="187"/>
      <c r="L27" s="2007"/>
      <c r="M27" s="330"/>
      <c r="N27" s="1670"/>
      <c r="O27" s="1670"/>
    </row>
    <row s="2871" customFormat="1" customHeight="1" ht="18.75" hidden="1">
      <c r="A28" s="1830" t="s">
        <v>186</v>
      </c>
      <c r="B28" s="369"/>
      <c r="C28" s="2315"/>
      <c r="D28" s="2041"/>
      <c r="E28" s="2145" t="str">
        <f>INDEX(PT_DIFFERENTIATION_VTAR,MATCH(A28,PT_DIFFERENTIATION_VTAR_ID,0))</f>
        <v>Тарифы на услуги по передаче теплоносителя</v>
      </c>
      <c r="F28" s="2145" t="str">
        <f>INDEX(PT_DIFFERENTIATION_VDET,MATCH(A28,PT_DIFFERENTIATION_VTAR_ID,0))</f>
        <v/>
      </c>
      <c r="G28" s="1816"/>
      <c r="H28" s="1785"/>
      <c r="I28" s="1823"/>
      <c r="J28" s="1822"/>
      <c r="K28" s="1815" t="s">
        <v>293</v>
      </c>
      <c r="L28" s="2007"/>
      <c r="M28" s="330"/>
      <c r="N28" s="1670"/>
      <c r="O28" s="1670"/>
    </row>
    <row s="2871" customFormat="1" customHeight="1" ht="18.75" hidden="1">
      <c r="A29" s="1830"/>
      <c r="B29" s="369" t="s">
        <v>1669</v>
      </c>
      <c r="C29" s="2315"/>
      <c r="D29" s="2041"/>
      <c r="E29" s="2145"/>
      <c r="F29" s="2145"/>
      <c r="G29" s="406"/>
      <c r="H29" s="401" t="s">
        <v>1568</v>
      </c>
      <c r="I29" s="345"/>
      <c r="J29" s="407"/>
      <c r="K29" s="187"/>
      <c r="L29" s="2007"/>
      <c r="M29" s="330"/>
      <c r="N29" s="1670"/>
      <c r="O29" s="1670"/>
    </row>
    <row s="2871" customFormat="1" customHeight="1" ht="18.75" hidden="1">
      <c r="A30" s="1830" t="s">
        <v>192</v>
      </c>
      <c r="B30" s="369"/>
      <c r="C30" s="2315"/>
      <c r="D30" s="2041"/>
      <c r="E30" s="2145" t="str">
        <f>INDEX(PT_DIFFERENTIATION_VTAR,MATCH(A30,PT_DIFFERENTIATION_VTAR_ID,0))</f>
        <v>Плата за услуги по поддержанию резервной тепловой мощности при отсутствии потребления тепловой энергии</v>
      </c>
      <c r="F30" s="2145" t="str">
        <f>INDEX(PT_DIFFERENTIATION_VDET,MATCH(A30,PT_DIFFERENTIATION_VTAR_ID,0))</f>
        <v/>
      </c>
      <c r="G30" s="1816"/>
      <c r="H30" s="1785"/>
      <c r="I30" s="1823"/>
      <c r="J30" s="1822"/>
      <c r="K30" s="1815" t="s">
        <v>293</v>
      </c>
      <c r="L30" s="2007"/>
      <c r="M30" s="330"/>
      <c r="N30" s="1670"/>
      <c r="O30" s="1670"/>
    </row>
    <row s="2871" customFormat="1" customHeight="1" ht="18.75" hidden="1">
      <c r="A31" s="1830"/>
      <c r="B31" s="369" t="s">
        <v>1669</v>
      </c>
      <c r="C31" s="2315"/>
      <c r="D31" s="2041"/>
      <c r="E31" s="2145"/>
      <c r="F31" s="2145"/>
      <c r="G31" s="406"/>
      <c r="H31" s="401" t="s">
        <v>1568</v>
      </c>
      <c r="I31" s="345"/>
      <c r="J31" s="407"/>
      <c r="K31" s="187"/>
      <c r="L31" s="2007"/>
      <c r="M31" s="330"/>
      <c r="N31" s="1670"/>
      <c r="O31" s="1670"/>
    </row>
    <row s="2871" customFormat="1" customHeight="1" ht="18.75" hidden="1">
      <c r="A32" s="1830" t="s">
        <v>198</v>
      </c>
      <c r="B32" s="369"/>
      <c r="C32" s="2315"/>
      <c r="D32" s="2041"/>
      <c r="E32" s="2145" t="str">
        <f>INDEX(PT_DIFFERENTIATION_VTAR,MATCH(A32,PT_DIFFERENTIATION_VTAR_ID,0))</f>
        <v>Плата за подключение (технологическое присоединение) к системе теплоснабжения</v>
      </c>
      <c r="F32" s="2145" t="str">
        <f>INDEX(PT_DIFFERENTIATION_VDET,MATCH(A32,PT_DIFFERENTIATION_VTAR_ID,0))</f>
        <v/>
      </c>
      <c r="G32" s="1816"/>
      <c r="H32" s="1785"/>
      <c r="I32" s="1823"/>
      <c r="J32" s="1822"/>
      <c r="K32" s="1815" t="s">
        <v>293</v>
      </c>
      <c r="L32" s="2007"/>
      <c r="M32" s="330"/>
      <c r="N32" s="1670"/>
      <c r="O32" s="1670"/>
    </row>
    <row s="2871" customFormat="1" customHeight="1" ht="18.75" hidden="1">
      <c r="A33" s="1830"/>
      <c r="B33" s="369" t="s">
        <v>1669</v>
      </c>
      <c r="C33" s="2315"/>
      <c r="D33" s="2041"/>
      <c r="E33" s="2145"/>
      <c r="F33" s="2145"/>
      <c r="G33" s="406"/>
      <c r="H33" s="401" t="s">
        <v>1568</v>
      </c>
      <c r="I33" s="345"/>
      <c r="J33" s="407"/>
      <c r="K33" s="187"/>
      <c r="L33" s="2007"/>
      <c r="M33" s="330"/>
      <c r="N33" s="1670"/>
      <c r="O33" s="1670"/>
    </row>
    <row s="2871" customFormat="1" customHeight="1" ht="18.75" hidden="1">
      <c r="A34" s="1830" t="s">
        <v>212</v>
      </c>
      <c r="B34" s="369"/>
      <c r="C34" s="2315"/>
      <c r="D34" s="2041"/>
      <c r="E34" s="2145" t="str">
        <f>INDEX(PT_DIFFERENTIATION_VTAR,MATCH(A34,PT_DIFFERENTIATION_VTAR_ID,0))</f>
        <v>Тариф на питьевую воду (питьевое водоснабжение)</v>
      </c>
      <c r="F34" s="2145" t="str">
        <f>INDEX(PT_DIFFERENTIATION_VDET,MATCH(A34,PT_DIFFERENTIATION_VTAR_ID,0))</f>
        <v/>
      </c>
      <c r="G34" s="1816"/>
      <c r="H34" s="1785"/>
      <c r="I34" s="1823"/>
      <c r="J34" s="1822"/>
      <c r="K34" s="1815" t="s">
        <v>293</v>
      </c>
      <c r="L34" s="2007"/>
      <c r="M34" s="330"/>
      <c r="N34" s="1670"/>
      <c r="O34" s="1670"/>
    </row>
    <row s="2871" customFormat="1" customHeight="1" ht="18.75" hidden="1">
      <c r="A35" s="1830"/>
      <c r="B35" s="369" t="s">
        <v>1669</v>
      </c>
      <c r="C35" s="2315"/>
      <c r="D35" s="2041"/>
      <c r="E35" s="2145"/>
      <c r="F35" s="2145"/>
      <c r="G35" s="406"/>
      <c r="H35" s="401" t="s">
        <v>1568</v>
      </c>
      <c r="I35" s="345"/>
      <c r="J35" s="407"/>
      <c r="K35" s="187"/>
      <c r="L35" s="2007"/>
      <c r="M35" s="330"/>
      <c r="N35" s="1670"/>
      <c r="O35" s="1670"/>
    </row>
    <row s="2871" customFormat="1" customHeight="1" ht="18.75" hidden="1">
      <c r="A36" s="1830" t="s">
        <v>217</v>
      </c>
      <c r="B36" s="369"/>
      <c r="C36" s="2315"/>
      <c r="D36" s="2041"/>
      <c r="E36" s="2145" t="str">
        <f>INDEX(PT_DIFFERENTIATION_VTAR,MATCH(A36,PT_DIFFERENTIATION_VTAR_ID,0))</f>
        <v>Тариф на техническую воду</v>
      </c>
      <c r="F36" s="2145" t="str">
        <f>INDEX(PT_DIFFERENTIATION_VDET,MATCH(A36,PT_DIFFERENTIATION_VTAR_ID,0))</f>
        <v/>
      </c>
      <c r="G36" s="1816"/>
      <c r="H36" s="1785"/>
      <c r="I36" s="1823"/>
      <c r="J36" s="1822"/>
      <c r="K36" s="1815" t="s">
        <v>293</v>
      </c>
      <c r="L36" s="2007"/>
      <c r="M36" s="330"/>
      <c r="N36" s="1670"/>
      <c r="O36" s="1670"/>
    </row>
    <row s="2871" customFormat="1" customHeight="1" ht="18.75" hidden="1">
      <c r="A37" s="1830"/>
      <c r="B37" s="369" t="s">
        <v>1669</v>
      </c>
      <c r="C37" s="2315"/>
      <c r="D37" s="2041"/>
      <c r="E37" s="2145"/>
      <c r="F37" s="2145"/>
      <c r="G37" s="406"/>
      <c r="H37" s="401" t="s">
        <v>1568</v>
      </c>
      <c r="I37" s="345"/>
      <c r="J37" s="407"/>
      <c r="K37" s="187"/>
      <c r="L37" s="2007"/>
      <c r="M37" s="330"/>
      <c r="N37" s="1670"/>
      <c r="O37" s="1670"/>
    </row>
    <row s="2871" customFormat="1" customHeight="1" ht="18.75" hidden="1">
      <c r="A38" s="1830" t="s">
        <v>222</v>
      </c>
      <c r="B38" s="369"/>
      <c r="C38" s="2315"/>
      <c r="D38" s="2041"/>
      <c r="E38" s="2145" t="str">
        <f>INDEX(PT_DIFFERENTIATION_VTAR,MATCH(A38,PT_DIFFERENTIATION_VTAR_ID,0))</f>
        <v>Тариф на транспортировку воды</v>
      </c>
      <c r="F38" s="2145" t="str">
        <f>INDEX(PT_DIFFERENTIATION_VDET,MATCH(A38,PT_DIFFERENTIATION_VTAR_ID,0))</f>
        <v/>
      </c>
      <c r="G38" s="1816"/>
      <c r="H38" s="1785"/>
      <c r="I38" s="1823"/>
      <c r="J38" s="1822"/>
      <c r="K38" s="1815" t="s">
        <v>293</v>
      </c>
      <c r="L38" s="2007"/>
      <c r="M38" s="330"/>
      <c r="N38" s="1670"/>
      <c r="O38" s="1670"/>
    </row>
    <row s="2871" customFormat="1" customHeight="1" ht="18.75" hidden="1">
      <c r="A39" s="1830"/>
      <c r="B39" s="369" t="s">
        <v>1669</v>
      </c>
      <c r="C39" s="2315"/>
      <c r="D39" s="2041"/>
      <c r="E39" s="2145"/>
      <c r="F39" s="2145"/>
      <c r="G39" s="406"/>
      <c r="H39" s="401" t="s">
        <v>1568</v>
      </c>
      <c r="I39" s="345"/>
      <c r="J39" s="407"/>
      <c r="K39" s="187"/>
      <c r="L39" s="2007"/>
      <c r="M39" s="330"/>
      <c r="N39" s="1670"/>
      <c r="O39" s="1670"/>
    </row>
    <row s="2871" customFormat="1" customHeight="1" ht="18.75" hidden="1">
      <c r="A40" s="1830" t="s">
        <v>227</v>
      </c>
      <c r="B40" s="369"/>
      <c r="C40" s="2315"/>
      <c r="D40" s="2041"/>
      <c r="E40" s="2145" t="str">
        <f>INDEX(PT_DIFFERENTIATION_VTAR,MATCH(A40,PT_DIFFERENTIATION_VTAR_ID,0))</f>
        <v>Тариф на подвоз воды</v>
      </c>
      <c r="F40" s="2145" t="str">
        <f>INDEX(PT_DIFFERENTIATION_VDET,MATCH(A40,PT_DIFFERENTIATION_VTAR_ID,0))</f>
        <v/>
      </c>
      <c r="G40" s="1816"/>
      <c r="H40" s="1785"/>
      <c r="I40" s="1823"/>
      <c r="J40" s="1822"/>
      <c r="K40" s="1815" t="s">
        <v>293</v>
      </c>
      <c r="L40" s="2007"/>
      <c r="M40" s="330"/>
      <c r="N40" s="1670"/>
      <c r="O40" s="1670"/>
    </row>
    <row s="2871" customFormat="1" customHeight="1" ht="18.75" hidden="1">
      <c r="A41" s="1830"/>
      <c r="B41" s="369" t="s">
        <v>1669</v>
      </c>
      <c r="C41" s="2315"/>
      <c r="D41" s="2041"/>
      <c r="E41" s="2145"/>
      <c r="F41" s="2145"/>
      <c r="G41" s="406"/>
      <c r="H41" s="401" t="s">
        <v>1568</v>
      </c>
      <c r="I41" s="345"/>
      <c r="J41" s="407"/>
      <c r="K41" s="187"/>
      <c r="L41" s="2007"/>
      <c r="M41" s="330"/>
      <c r="N41" s="1670"/>
      <c r="O41" s="1670"/>
    </row>
    <row s="2871" customFormat="1" customHeight="1" ht="18.75" hidden="1">
      <c r="A42" s="1830" t="s">
        <v>232</v>
      </c>
      <c r="B42" s="369"/>
      <c r="C42" s="2315"/>
      <c r="D42" s="2041"/>
      <c r="E42" s="2145"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45" t="str">
        <f>INDEX(PT_DIFFERENTIATION_VDET,MATCH(A42,PT_DIFFERENTIATION_VTAR_ID,0))</f>
        <v/>
      </c>
      <c r="G42" s="1816"/>
      <c r="H42" s="1785"/>
      <c r="I42" s="1823"/>
      <c r="J42" s="1822"/>
      <c r="K42" s="1815" t="s">
        <v>293</v>
      </c>
      <c r="L42" s="2007"/>
      <c r="M42" s="330"/>
      <c r="N42" s="1670"/>
      <c r="O42" s="1670"/>
    </row>
    <row s="2871" customFormat="1" customHeight="1" ht="18.75" hidden="1">
      <c r="A43" s="1830"/>
      <c r="B43" s="369" t="s">
        <v>1669</v>
      </c>
      <c r="C43" s="2315"/>
      <c r="D43" s="2041"/>
      <c r="E43" s="2145"/>
      <c r="F43" s="2145"/>
      <c r="G43" s="406"/>
      <c r="H43" s="401" t="s">
        <v>1568</v>
      </c>
      <c r="I43" s="345"/>
      <c r="J43" s="407"/>
      <c r="K43" s="187"/>
      <c r="L43" s="2007"/>
      <c r="M43" s="330"/>
      <c r="N43" s="1670"/>
      <c r="O43" s="1670"/>
    </row>
    <row s="2871" customFormat="1" customHeight="1" ht="18.75" hidden="1">
      <c r="A44" s="1830" t="s">
        <v>237</v>
      </c>
      <c r="B44" s="369"/>
      <c r="C44" s="2315"/>
      <c r="D44" s="2041"/>
      <c r="E44" s="2145" t="str">
        <f>INDEX(PT_DIFFERENTIATION_VTAR,MATCH(A44,PT_DIFFERENTIATION_VTAR_ID,0))</f>
        <v>Тариф на горячую воду (горячее водоснабжение)</v>
      </c>
      <c r="F44" s="2145" t="str">
        <f>INDEX(PT_DIFFERENTIATION_VDET,MATCH(A44,PT_DIFFERENTIATION_VTAR_ID,0))</f>
        <v/>
      </c>
      <c r="G44" s="1816"/>
      <c r="H44" s="1785"/>
      <c r="I44" s="1823"/>
      <c r="J44" s="1822"/>
      <c r="K44" s="1815" t="s">
        <v>293</v>
      </c>
      <c r="L44" s="2007"/>
      <c r="M44" s="330"/>
      <c r="N44" s="1670"/>
      <c r="O44" s="1670"/>
    </row>
    <row s="2871" customFormat="1" customHeight="1" ht="18.75" hidden="1">
      <c r="A45" s="1830"/>
      <c r="B45" s="369" t="s">
        <v>1669</v>
      </c>
      <c r="C45" s="2315"/>
      <c r="D45" s="2041"/>
      <c r="E45" s="2145"/>
      <c r="F45" s="2145"/>
      <c r="G45" s="406"/>
      <c r="H45" s="401" t="s">
        <v>1568</v>
      </c>
      <c r="I45" s="345"/>
      <c r="J45" s="407"/>
      <c r="K45" s="187"/>
      <c r="L45" s="2007"/>
      <c r="M45" s="330"/>
      <c r="N45" s="1670"/>
      <c r="O45" s="1670"/>
    </row>
    <row s="2871" customFormat="1" customHeight="1" ht="18.75" hidden="1">
      <c r="A46" s="1830" t="s">
        <v>242</v>
      </c>
      <c r="B46" s="369"/>
      <c r="C46" s="2315"/>
      <c r="D46" s="2041"/>
      <c r="E46" s="2145" t="str">
        <f>INDEX(PT_DIFFERENTIATION_VTAR,MATCH(A46,PT_DIFFERENTIATION_VTAR_ID,0))</f>
        <v>Тариф на транспортировку горячей воды</v>
      </c>
      <c r="F46" s="2145" t="str">
        <f>INDEX(PT_DIFFERENTIATION_VDET,MATCH(A46,PT_DIFFERENTIATION_VTAR_ID,0))</f>
        <v/>
      </c>
      <c r="G46" s="1816"/>
      <c r="H46" s="1785"/>
      <c r="I46" s="1823"/>
      <c r="J46" s="1822"/>
      <c r="K46" s="1815" t="s">
        <v>293</v>
      </c>
      <c r="L46" s="2007"/>
      <c r="M46" s="330"/>
      <c r="N46" s="1670"/>
      <c r="O46" s="1670"/>
    </row>
    <row s="2871" customFormat="1" customHeight="1" ht="18.75" hidden="1">
      <c r="A47" s="1830"/>
      <c r="B47" s="369" t="s">
        <v>1669</v>
      </c>
      <c r="C47" s="2315"/>
      <c r="D47" s="2041"/>
      <c r="E47" s="2145"/>
      <c r="F47" s="2145"/>
      <c r="G47" s="406"/>
      <c r="H47" s="401" t="s">
        <v>1568</v>
      </c>
      <c r="I47" s="345"/>
      <c r="J47" s="407"/>
      <c r="K47" s="187"/>
      <c r="L47" s="2007"/>
      <c r="M47" s="330"/>
      <c r="N47" s="1670"/>
      <c r="O47" s="1670"/>
    </row>
    <row s="2871" customFormat="1" customHeight="1" ht="18.75" hidden="1">
      <c r="A48" s="1830" t="s">
        <v>247</v>
      </c>
      <c r="B48" s="369"/>
      <c r="C48" s="2315"/>
      <c r="D48" s="2041"/>
      <c r="E48" s="2145" t="str">
        <f>INDEX(PT_DIFFERENTIATION_VTAR,MATCH(A48,PT_DIFFERENTIATION_VTAR_ID,0))</f>
        <v>Тариф на подключение (технологическое присоединение) к централизованной системе горячего водоснабжения</v>
      </c>
      <c r="F48" s="2145" t="str">
        <f>INDEX(PT_DIFFERENTIATION_VDET,MATCH(A48,PT_DIFFERENTIATION_VTAR_ID,0))</f>
        <v/>
      </c>
      <c r="G48" s="1816"/>
      <c r="H48" s="1785"/>
      <c r="I48" s="1823"/>
      <c r="J48" s="1822"/>
      <c r="K48" s="1815" t="s">
        <v>293</v>
      </c>
      <c r="L48" s="2007"/>
      <c r="M48" s="330"/>
      <c r="N48" s="1670"/>
      <c r="O48" s="1670"/>
    </row>
    <row s="2871" customFormat="1" customHeight="1" ht="18.75" hidden="1">
      <c r="A49" s="1830"/>
      <c r="B49" s="369" t="s">
        <v>1669</v>
      </c>
      <c r="C49" s="2315"/>
      <c r="D49" s="2041"/>
      <c r="E49" s="2145"/>
      <c r="F49" s="2145"/>
      <c r="G49" s="406"/>
      <c r="H49" s="401" t="s">
        <v>1568</v>
      </c>
      <c r="I49" s="345"/>
      <c r="J49" s="407"/>
      <c r="K49" s="187"/>
      <c r="L49" s="2007"/>
      <c r="M49" s="330"/>
      <c r="N49" s="1670"/>
      <c r="O49" s="1670"/>
    </row>
    <row s="2871" customFormat="1" customHeight="1" ht="18.75" hidden="1">
      <c r="A50" s="1830" t="s">
        <v>252</v>
      </c>
      <c r="B50" s="369"/>
      <c r="C50" s="2315"/>
      <c r="D50" s="2041"/>
      <c r="E50" s="2145" t="str">
        <f>INDEX(PT_DIFFERENTIATION_VTAR,MATCH(A50,PT_DIFFERENTIATION_VTAR_ID,0))</f>
        <v>Тариф на водоотведение</v>
      </c>
      <c r="F50" s="2145" t="str">
        <f>INDEX(PT_DIFFERENTIATION_VDET,MATCH(A50,PT_DIFFERENTIATION_VTAR_ID,0))</f>
        <v/>
      </c>
      <c r="G50" s="1816"/>
      <c r="H50" s="1785"/>
      <c r="I50" s="1823"/>
      <c r="J50" s="1822"/>
      <c r="K50" s="1815" t="s">
        <v>293</v>
      </c>
      <c r="L50" s="2007"/>
      <c r="M50" s="330"/>
      <c r="N50" s="1670"/>
      <c r="O50" s="1670"/>
    </row>
    <row s="2871" customFormat="1" customHeight="1" ht="18.75" hidden="1">
      <c r="A51" s="1830"/>
      <c r="B51" s="369" t="s">
        <v>1669</v>
      </c>
      <c r="C51" s="2315"/>
      <c r="D51" s="2041"/>
      <c r="E51" s="2145"/>
      <c r="F51" s="2145"/>
      <c r="G51" s="406"/>
      <c r="H51" s="401" t="s">
        <v>1568</v>
      </c>
      <c r="I51" s="345"/>
      <c r="J51" s="407"/>
      <c r="K51" s="187"/>
      <c r="L51" s="2007"/>
      <c r="M51" s="330"/>
      <c r="N51" s="1670"/>
      <c r="O51" s="1670"/>
    </row>
    <row s="2871" customFormat="1" customHeight="1" ht="18.75" hidden="1">
      <c r="A52" s="1830" t="s">
        <v>257</v>
      </c>
      <c r="B52" s="369"/>
      <c r="C52" s="2315"/>
      <c r="D52" s="2041"/>
      <c r="E52" s="2145" t="str">
        <f>INDEX(PT_DIFFERENTIATION_VTAR,MATCH(A52,PT_DIFFERENTIATION_VTAR_ID,0))</f>
        <v>Тариф на транспортировку сточных вод</v>
      </c>
      <c r="F52" s="2145" t="str">
        <f>INDEX(PT_DIFFERENTIATION_VDET,MATCH(A52,PT_DIFFERENTIATION_VTAR_ID,0))</f>
        <v/>
      </c>
      <c r="G52" s="1816"/>
      <c r="H52" s="1785"/>
      <c r="I52" s="1823"/>
      <c r="J52" s="1822"/>
      <c r="K52" s="1815" t="s">
        <v>293</v>
      </c>
      <c r="L52" s="2007"/>
      <c r="M52" s="330"/>
      <c r="N52" s="1670"/>
      <c r="O52" s="1670"/>
    </row>
    <row s="2871" customFormat="1" customHeight="1" ht="18.75" hidden="1">
      <c r="A53" s="1830"/>
      <c r="B53" s="369" t="s">
        <v>1669</v>
      </c>
      <c r="C53" s="2315"/>
      <c r="D53" s="2041"/>
      <c r="E53" s="2145"/>
      <c r="F53" s="2145"/>
      <c r="G53" s="406"/>
      <c r="H53" s="401" t="s">
        <v>1568</v>
      </c>
      <c r="I53" s="345"/>
      <c r="J53" s="407"/>
      <c r="K53" s="187"/>
      <c r="L53" s="2007"/>
      <c r="M53" s="330"/>
      <c r="N53" s="1670"/>
      <c r="O53" s="1670"/>
    </row>
    <row s="2871" customFormat="1" customHeight="1" ht="18.75" hidden="1">
      <c r="A54" s="1830" t="s">
        <v>262</v>
      </c>
      <c r="B54" s="369"/>
      <c r="C54" s="2315"/>
      <c r="D54" s="2041"/>
      <c r="E54" s="2145" t="str">
        <f>INDEX(PT_DIFFERENTIATION_VTAR,MATCH(A54,PT_DIFFERENTIATION_VTAR_ID,0))</f>
        <v>Тариф на подключение (технологическое присоединение) к централизованной системе водоотведения</v>
      </c>
      <c r="F54" s="2145" t="str">
        <f>INDEX(PT_DIFFERENTIATION_VDET,MATCH(A54,PT_DIFFERENTIATION_VTAR_ID,0))</f>
        <v/>
      </c>
      <c r="G54" s="1816"/>
      <c r="H54" s="1785"/>
      <c r="I54" s="1823"/>
      <c r="J54" s="1822"/>
      <c r="K54" s="1815" t="s">
        <v>293</v>
      </c>
      <c r="L54" s="2007"/>
      <c r="M54" s="330"/>
      <c r="N54" s="1670"/>
      <c r="O54" s="1670"/>
    </row>
    <row s="2871" customFormat="1" customHeight="1" ht="18.75" hidden="1">
      <c r="A55" s="1830"/>
      <c r="B55" s="369" t="s">
        <v>1669</v>
      </c>
      <c r="C55" s="2315"/>
      <c r="D55" s="2041"/>
      <c r="E55" s="2145"/>
      <c r="F55" s="2145"/>
      <c r="G55" s="406"/>
      <c r="H55" s="401" t="s">
        <v>1568</v>
      </c>
      <c r="I55" s="345"/>
      <c r="J55" s="407"/>
      <c r="K55" s="187"/>
      <c r="L55" s="2007"/>
      <c r="M55" s="330"/>
      <c r="N55" s="1670"/>
      <c r="O55" s="1670"/>
    </row>
    <row customHeight="1" ht="18.75">
      <c r="A56" s="1830"/>
      <c r="C56" s="377"/>
      <c r="D56" s="133" t="s">
        <v>110</v>
      </c>
      <c r="E56"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303"/>
      <c r="G56" s="2303"/>
      <c r="H56" s="2303"/>
      <c r="I56" s="2303"/>
      <c r="J56" s="2303"/>
      <c r="K56" s="2303"/>
      <c r="L56" s="285"/>
      <c r="M56" s="330"/>
    </row>
    <row customHeight="1" ht="33.75">
      <c r="A57" s="1830"/>
      <c r="C57" s="377"/>
      <c r="D57" s="405"/>
      <c r="E57" s="184" t="s">
        <v>293</v>
      </c>
      <c r="F57" s="184" t="s">
        <v>293</v>
      </c>
      <c r="G57" s="2057" t="s">
        <v>293</v>
      </c>
      <c r="H57" s="2059"/>
      <c r="I57" s="184" t="s">
        <v>293</v>
      </c>
      <c r="J57" s="184" t="s">
        <v>293</v>
      </c>
      <c r="K57" s="408"/>
      <c r="L57" s="341" t="s">
        <v>1670</v>
      </c>
      <c r="M57" s="330"/>
    </row>
    <row customHeight="1" ht="18.75">
      <c r="A58" s="1830"/>
      <c r="C58" s="377"/>
      <c r="D58" s="133" t="s">
        <v>89</v>
      </c>
      <c r="E58" s="2303" t="s">
        <v>1671</v>
      </c>
      <c r="F58" s="2303"/>
      <c r="G58" s="2303"/>
      <c r="H58" s="2303"/>
      <c r="I58" s="2303"/>
      <c r="J58" s="2303"/>
      <c r="K58" s="2303"/>
      <c r="L58" s="285"/>
      <c r="M58" s="330"/>
    </row>
    <row s="2871" customFormat="1" customHeight="1" ht="56.25" hidden="1">
      <c r="A59" s="1830" t="s">
        <v>156</v>
      </c>
      <c r="B59" s="369"/>
      <c r="C59" s="2315"/>
      <c r="D59" s="2041"/>
      <c r="E59" s="2145"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45" t="str">
        <f>INDEX(PT_DIFFERENTIATION_VDET,MATCH(A59,PT_DIFFERENTIATION_VTAR_ID,0))</f>
        <v/>
      </c>
      <c r="G59" s="1816"/>
      <c r="H59" s="1785"/>
      <c r="I59" s="1823"/>
      <c r="J59" s="1828"/>
      <c r="K59" s="1815" t="s">
        <v>293</v>
      </c>
      <c r="L59"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871" customFormat="1" customHeight="1" ht="18.75" hidden="1">
      <c r="A60" s="1830"/>
      <c r="B60" s="369" t="s">
        <v>1672</v>
      </c>
      <c r="C60" s="2315"/>
      <c r="D60" s="2041"/>
      <c r="E60" s="2145"/>
      <c r="F60" s="2145"/>
      <c r="G60" s="406"/>
      <c r="H60" s="401" t="s">
        <v>1568</v>
      </c>
      <c r="I60" s="345"/>
      <c r="J60" s="407"/>
      <c r="K60" s="187"/>
      <c r="L60" s="2007"/>
      <c r="M60" s="330"/>
      <c r="N60" s="1670"/>
      <c r="O60" s="1670"/>
    </row>
    <row s="2871" customFormat="1" customHeight="1" ht="26.25" hidden="1">
      <c r="A61" s="1830" t="s">
        <v>162</v>
      </c>
      <c r="B61" s="369"/>
      <c r="C61" s="2315"/>
      <c r="D61" s="2041"/>
      <c r="E61" s="2145"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45" t="str">
        <f>INDEX(PT_DIFFERENTIATION_VDET,MATCH(A61,PT_DIFFERENTIATION_VTAR_ID,0))</f>
        <v/>
      </c>
      <c r="G61" s="1816"/>
      <c r="H61" s="1785"/>
      <c r="I61" s="1823"/>
      <c r="J61" s="1828"/>
      <c r="K61" s="1815" t="s">
        <v>293</v>
      </c>
      <c r="L61" s="2008"/>
      <c r="M61" s="330"/>
      <c r="N61" s="1670"/>
      <c r="O61" s="1670"/>
    </row>
    <row s="2871" customFormat="1" customHeight="1" ht="18.75" hidden="1">
      <c r="A62" s="1830"/>
      <c r="B62" s="369" t="s">
        <v>1672</v>
      </c>
      <c r="C62" s="2315"/>
      <c r="D62" s="2041"/>
      <c r="E62" s="2145"/>
      <c r="F62" s="2145"/>
      <c r="G62" s="406"/>
      <c r="H62" s="401" t="s">
        <v>1568</v>
      </c>
      <c r="I62" s="345"/>
      <c r="J62" s="407"/>
      <c r="K62" s="187"/>
      <c r="L62" s="337"/>
      <c r="M62" s="330"/>
      <c r="N62" s="1670"/>
      <c r="O62" s="1670"/>
    </row>
    <row s="2871" customFormat="1" customHeight="1" ht="18.75" hidden="1">
      <c r="A63" s="1830" t="s">
        <v>168</v>
      </c>
      <c r="B63" s="369"/>
      <c r="C63" s="2315"/>
      <c r="D63" s="2041"/>
      <c r="E63" s="2145"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45" t="str">
        <f>INDEX(PT_DIFFERENTIATION_VDET,MATCH(A63,PT_DIFFERENTIATION_VTAR_ID,0))</f>
        <v/>
      </c>
      <c r="G63" s="1816"/>
      <c r="H63" s="1785"/>
      <c r="I63" s="1823"/>
      <c r="J63" s="1828"/>
      <c r="K63" s="1815" t="s">
        <v>293</v>
      </c>
      <c r="L63" s="337"/>
      <c r="M63" s="330"/>
      <c r="N63" s="1670"/>
      <c r="O63" s="1670"/>
    </row>
    <row s="2871" customFormat="1" customHeight="1" ht="18.75" hidden="1">
      <c r="A64" s="1830"/>
      <c r="B64" s="369" t="s">
        <v>1672</v>
      </c>
      <c r="C64" s="2315"/>
      <c r="D64" s="2041"/>
      <c r="E64" s="2145"/>
      <c r="F64" s="2145"/>
      <c r="G64" s="406"/>
      <c r="H64" s="401" t="s">
        <v>1568</v>
      </c>
      <c r="I64" s="345"/>
      <c r="J64" s="407"/>
      <c r="K64" s="187"/>
      <c r="L64" s="337"/>
      <c r="M64" s="330"/>
      <c r="N64" s="1670"/>
      <c r="O64" s="1670"/>
    </row>
    <row s="2871" customFormat="1" customHeight="1" ht="41.25" hidden="1">
      <c r="A65" s="1830" t="s">
        <v>174</v>
      </c>
      <c r="B65" s="369"/>
      <c r="C65" s="2315"/>
      <c r="D65" s="2041"/>
      <c r="E65" s="2145"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45" t="str">
        <f>INDEX(PT_DIFFERENTIATION_VDET,MATCH(A65,PT_DIFFERENTIATION_VTAR_ID,0))</f>
        <v/>
      </c>
      <c r="G65" s="1816"/>
      <c r="H65" s="1785"/>
      <c r="I65" s="1823"/>
      <c r="J65" s="1828"/>
      <c r="K65" s="1815" t="s">
        <v>293</v>
      </c>
      <c r="L65" s="337"/>
      <c r="M65" s="330"/>
      <c r="N65" s="1670"/>
      <c r="O65" s="1670"/>
    </row>
    <row s="2871" customFormat="1" customHeight="1" ht="18.75" hidden="1">
      <c r="A66" s="1830"/>
      <c r="B66" s="369" t="s">
        <v>1672</v>
      </c>
      <c r="C66" s="2315"/>
      <c r="D66" s="2041"/>
      <c r="E66" s="2145"/>
      <c r="F66" s="2145"/>
      <c r="G66" s="406"/>
      <c r="H66" s="401" t="s">
        <v>1568</v>
      </c>
      <c r="I66" s="345"/>
      <c r="J66" s="407"/>
      <c r="K66" s="187"/>
      <c r="L66" s="337"/>
      <c r="M66" s="330"/>
      <c r="N66" s="1670"/>
      <c r="O66" s="1670"/>
    </row>
    <row s="2871" customFormat="1" customHeight="1" ht="18.75" hidden="1">
      <c r="A67" s="1830" t="s">
        <v>180</v>
      </c>
      <c r="B67" s="369"/>
      <c r="C67" s="2315"/>
      <c r="D67" s="2041"/>
      <c r="E67" s="2145" t="str">
        <f>INDEX(PT_DIFFERENTIATION_VTAR,MATCH(A67,PT_DIFFERENTIATION_VTAR_ID,0))</f>
        <v>Тарифы на услуги по передаче тепловой энергии</v>
      </c>
      <c r="F67" s="2145" t="str">
        <f>INDEX(PT_DIFFERENTIATION_VDET,MATCH(A67,PT_DIFFERENTIATION_VTAR_ID,0))</f>
        <v/>
      </c>
      <c r="G67" s="1816"/>
      <c r="H67" s="1785"/>
      <c r="I67" s="1823"/>
      <c r="J67" s="1828"/>
      <c r="K67" s="1815" t="s">
        <v>293</v>
      </c>
      <c r="L67" s="337"/>
      <c r="M67" s="330"/>
      <c r="N67" s="1670"/>
      <c r="O67" s="1670"/>
    </row>
    <row s="2871" customFormat="1" customHeight="1" ht="18.75" hidden="1">
      <c r="A68" s="1830"/>
      <c r="B68" s="369" t="s">
        <v>1672</v>
      </c>
      <c r="C68" s="2315"/>
      <c r="D68" s="2041"/>
      <c r="E68" s="2145"/>
      <c r="F68" s="2145"/>
      <c r="G68" s="406"/>
      <c r="H68" s="401" t="s">
        <v>1568</v>
      </c>
      <c r="I68" s="345"/>
      <c r="J68" s="407"/>
      <c r="K68" s="187"/>
      <c r="L68" s="337"/>
      <c r="M68" s="330"/>
      <c r="N68" s="1670"/>
      <c r="O68" s="1670"/>
    </row>
    <row s="2871" customFormat="1" customHeight="1" ht="18.75" hidden="1">
      <c r="A69" s="1830" t="s">
        <v>186</v>
      </c>
      <c r="B69" s="369"/>
      <c r="C69" s="2315"/>
      <c r="D69" s="2041"/>
      <c r="E69" s="2145" t="str">
        <f>INDEX(PT_DIFFERENTIATION_VTAR,MATCH(A69,PT_DIFFERENTIATION_VTAR_ID,0))</f>
        <v>Тарифы на услуги по передаче теплоносителя</v>
      </c>
      <c r="F69" s="2145" t="str">
        <f>INDEX(PT_DIFFERENTIATION_VDET,MATCH(A69,PT_DIFFERENTIATION_VTAR_ID,0))</f>
        <v/>
      </c>
      <c r="G69" s="1816"/>
      <c r="H69" s="1785"/>
      <c r="I69" s="1823"/>
      <c r="J69" s="1828"/>
      <c r="K69" s="1815" t="s">
        <v>293</v>
      </c>
      <c r="L69" s="337"/>
      <c r="M69" s="330"/>
      <c r="N69" s="1670"/>
      <c r="O69" s="1670"/>
    </row>
    <row s="2871" customFormat="1" customHeight="1" ht="18.75" hidden="1">
      <c r="A70" s="1830"/>
      <c r="B70" s="369" t="s">
        <v>1672</v>
      </c>
      <c r="C70" s="2315"/>
      <c r="D70" s="2041"/>
      <c r="E70" s="2145"/>
      <c r="F70" s="2145"/>
      <c r="G70" s="406"/>
      <c r="H70" s="401" t="s">
        <v>1568</v>
      </c>
      <c r="I70" s="345"/>
      <c r="J70" s="407"/>
      <c r="K70" s="187"/>
      <c r="L70" s="337"/>
      <c r="M70" s="330"/>
      <c r="N70" s="1670"/>
      <c r="O70" s="1670"/>
    </row>
    <row s="2871" customFormat="1" customHeight="1" ht="18.75" hidden="1">
      <c r="A71" s="1830" t="s">
        <v>192</v>
      </c>
      <c r="B71" s="369"/>
      <c r="C71" s="2315"/>
      <c r="D71" s="2041"/>
      <c r="E71" s="2145" t="str">
        <f>INDEX(PT_DIFFERENTIATION_VTAR,MATCH(A71,PT_DIFFERENTIATION_VTAR_ID,0))</f>
        <v>Плата за услуги по поддержанию резервной тепловой мощности при отсутствии потребления тепловой энергии</v>
      </c>
      <c r="F71" s="2145" t="str">
        <f>INDEX(PT_DIFFERENTIATION_VDET,MATCH(A71,PT_DIFFERENTIATION_VTAR_ID,0))</f>
        <v/>
      </c>
      <c r="G71" s="1816"/>
      <c r="H71" s="1785"/>
      <c r="I71" s="1823"/>
      <c r="J71" s="1828"/>
      <c r="K71" s="1815" t="s">
        <v>293</v>
      </c>
      <c r="L71" s="337"/>
      <c r="M71" s="330"/>
      <c r="N71" s="1670"/>
      <c r="O71" s="1670"/>
    </row>
    <row s="2871" customFormat="1" customHeight="1" ht="18.75" hidden="1">
      <c r="A72" s="1830"/>
      <c r="B72" s="369" t="s">
        <v>1672</v>
      </c>
      <c r="C72" s="2315"/>
      <c r="D72" s="2041"/>
      <c r="E72" s="2145"/>
      <c r="F72" s="2145"/>
      <c r="G72" s="406"/>
      <c r="H72" s="401" t="s">
        <v>1568</v>
      </c>
      <c r="I72" s="345"/>
      <c r="J72" s="407"/>
      <c r="K72" s="187"/>
      <c r="L72" s="337"/>
      <c r="M72" s="330"/>
      <c r="N72" s="1670"/>
      <c r="O72" s="1670"/>
    </row>
    <row s="2871" customFormat="1" customHeight="1" ht="18.75" hidden="1">
      <c r="A73" s="1830" t="s">
        <v>198</v>
      </c>
      <c r="B73" s="369"/>
      <c r="C73" s="2315"/>
      <c r="D73" s="2041"/>
      <c r="E73" s="2145" t="str">
        <f>INDEX(PT_DIFFERENTIATION_VTAR,MATCH(A73,PT_DIFFERENTIATION_VTAR_ID,0))</f>
        <v>Плата за подключение (технологическое присоединение) к системе теплоснабжения</v>
      </c>
      <c r="F73" s="2145" t="str">
        <f>INDEX(PT_DIFFERENTIATION_VDET,MATCH(A73,PT_DIFFERENTIATION_VTAR_ID,0))</f>
        <v/>
      </c>
      <c r="G73" s="1816"/>
      <c r="H73" s="1785"/>
      <c r="I73" s="1823"/>
      <c r="J73" s="1828"/>
      <c r="K73" s="1815" t="s">
        <v>293</v>
      </c>
      <c r="L73" s="337"/>
      <c r="M73" s="330"/>
      <c r="N73" s="1670"/>
      <c r="O73" s="1670"/>
    </row>
    <row s="2871" customFormat="1" customHeight="1" ht="18.75" hidden="1">
      <c r="A74" s="1830"/>
      <c r="B74" s="369" t="s">
        <v>1672</v>
      </c>
      <c r="C74" s="2315"/>
      <c r="D74" s="2041"/>
      <c r="E74" s="2145"/>
      <c r="F74" s="2145"/>
      <c r="G74" s="406"/>
      <c r="H74" s="401" t="s">
        <v>1568</v>
      </c>
      <c r="I74" s="345"/>
      <c r="J74" s="407"/>
      <c r="K74" s="187"/>
      <c r="L74" s="337"/>
      <c r="M74" s="330"/>
      <c r="N74" s="1670"/>
      <c r="O74" s="1670"/>
    </row>
    <row s="2871" customFormat="1" customHeight="1" ht="18.75" hidden="1">
      <c r="A75" s="1830" t="s">
        <v>212</v>
      </c>
      <c r="B75" s="369"/>
      <c r="C75" s="2315"/>
      <c r="D75" s="2041"/>
      <c r="E75" s="2145" t="str">
        <f>INDEX(PT_DIFFERENTIATION_VTAR,MATCH(A75,PT_DIFFERENTIATION_VTAR_ID,0))</f>
        <v>Тариф на питьевую воду (питьевое водоснабжение)</v>
      </c>
      <c r="F75" s="2145" t="str">
        <f>INDEX(PT_DIFFERENTIATION_VDET,MATCH(A75,PT_DIFFERENTIATION_VTAR_ID,0))</f>
        <v/>
      </c>
      <c r="G75" s="1816"/>
      <c r="H75" s="1785"/>
      <c r="I75" s="1823"/>
      <c r="J75" s="1828"/>
      <c r="K75" s="1815" t="s">
        <v>293</v>
      </c>
      <c r="L75" s="337"/>
      <c r="M75" s="330"/>
      <c r="N75" s="1670"/>
      <c r="O75" s="1670"/>
    </row>
    <row s="2871" customFormat="1" customHeight="1" ht="18.75" hidden="1">
      <c r="A76" s="1830"/>
      <c r="B76" s="369" t="s">
        <v>1672</v>
      </c>
      <c r="C76" s="2315"/>
      <c r="D76" s="2041"/>
      <c r="E76" s="2145"/>
      <c r="F76" s="2145"/>
      <c r="G76" s="406"/>
      <c r="H76" s="401" t="s">
        <v>1568</v>
      </c>
      <c r="I76" s="345"/>
      <c r="J76" s="407"/>
      <c r="K76" s="187"/>
      <c r="L76" s="337"/>
      <c r="M76" s="330"/>
      <c r="N76" s="1670"/>
      <c r="O76" s="1670"/>
    </row>
    <row s="2871" customFormat="1" customHeight="1" ht="18.75" hidden="1">
      <c r="A77" s="1830" t="s">
        <v>217</v>
      </c>
      <c r="B77" s="369"/>
      <c r="C77" s="2315"/>
      <c r="D77" s="2041"/>
      <c r="E77" s="2145" t="str">
        <f>INDEX(PT_DIFFERENTIATION_VTAR,MATCH(A77,PT_DIFFERENTIATION_VTAR_ID,0))</f>
        <v>Тариф на техническую воду</v>
      </c>
      <c r="F77" s="2145" t="str">
        <f>INDEX(PT_DIFFERENTIATION_VDET,MATCH(A77,PT_DIFFERENTIATION_VTAR_ID,0))</f>
        <v/>
      </c>
      <c r="G77" s="1816"/>
      <c r="H77" s="1785"/>
      <c r="I77" s="1823"/>
      <c r="J77" s="1828"/>
      <c r="K77" s="1815" t="s">
        <v>293</v>
      </c>
      <c r="L77" s="337"/>
      <c r="M77" s="330"/>
      <c r="N77" s="1670"/>
      <c r="O77" s="1670"/>
    </row>
    <row s="2871" customFormat="1" customHeight="1" ht="18.75" hidden="1">
      <c r="A78" s="1830"/>
      <c r="B78" s="369" t="s">
        <v>1672</v>
      </c>
      <c r="C78" s="2315"/>
      <c r="D78" s="2041"/>
      <c r="E78" s="2145"/>
      <c r="F78" s="2145"/>
      <c r="G78" s="406"/>
      <c r="H78" s="401" t="s">
        <v>1568</v>
      </c>
      <c r="I78" s="345"/>
      <c r="J78" s="407"/>
      <c r="K78" s="187"/>
      <c r="L78" s="337"/>
      <c r="M78" s="330"/>
      <c r="N78" s="1670"/>
      <c r="O78" s="1670"/>
    </row>
    <row s="2871" customFormat="1" customHeight="1" ht="18.75" hidden="1">
      <c r="A79" s="1830" t="s">
        <v>222</v>
      </c>
      <c r="B79" s="369"/>
      <c r="C79" s="2315"/>
      <c r="D79" s="2041"/>
      <c r="E79" s="2145" t="str">
        <f>INDEX(PT_DIFFERENTIATION_VTAR,MATCH(A79,PT_DIFFERENTIATION_VTAR_ID,0))</f>
        <v>Тариф на транспортировку воды</v>
      </c>
      <c r="F79" s="2145" t="str">
        <f>INDEX(PT_DIFFERENTIATION_VDET,MATCH(A79,PT_DIFFERENTIATION_VTAR_ID,0))</f>
        <v/>
      </c>
      <c r="G79" s="1816"/>
      <c r="H79" s="1785"/>
      <c r="I79" s="1823"/>
      <c r="J79" s="1828"/>
      <c r="K79" s="1815" t="s">
        <v>293</v>
      </c>
      <c r="L79" s="337"/>
      <c r="M79" s="330"/>
      <c r="N79" s="1670"/>
      <c r="O79" s="1670"/>
    </row>
    <row s="2871" customFormat="1" customHeight="1" ht="18.75" hidden="1">
      <c r="A80" s="1830"/>
      <c r="B80" s="369" t="s">
        <v>1672</v>
      </c>
      <c r="C80" s="2315"/>
      <c r="D80" s="2041"/>
      <c r="E80" s="2145"/>
      <c r="F80" s="2145"/>
      <c r="G80" s="406"/>
      <c r="H80" s="401" t="s">
        <v>1568</v>
      </c>
      <c r="I80" s="345"/>
      <c r="J80" s="407"/>
      <c r="K80" s="187"/>
      <c r="L80" s="337"/>
      <c r="M80" s="330"/>
      <c r="N80" s="1670"/>
      <c r="O80" s="1670"/>
    </row>
    <row s="2871" customFormat="1" customHeight="1" ht="18.75" hidden="1">
      <c r="A81" s="1830" t="s">
        <v>227</v>
      </c>
      <c r="B81" s="369"/>
      <c r="C81" s="2315"/>
      <c r="D81" s="2041"/>
      <c r="E81" s="2145" t="str">
        <f>INDEX(PT_DIFFERENTIATION_VTAR,MATCH(A81,PT_DIFFERENTIATION_VTAR_ID,0))</f>
        <v>Тариф на подвоз воды</v>
      </c>
      <c r="F81" s="2145" t="str">
        <f>INDEX(PT_DIFFERENTIATION_VDET,MATCH(A81,PT_DIFFERENTIATION_VTAR_ID,0))</f>
        <v/>
      </c>
      <c r="G81" s="1816"/>
      <c r="H81" s="1785"/>
      <c r="I81" s="1823"/>
      <c r="J81" s="1828"/>
      <c r="K81" s="1815" t="s">
        <v>293</v>
      </c>
      <c r="L81" s="337"/>
      <c r="M81" s="330"/>
      <c r="N81" s="1670"/>
      <c r="O81" s="1670"/>
    </row>
    <row s="2871" customFormat="1" customHeight="1" ht="18.75" hidden="1">
      <c r="A82" s="1830"/>
      <c r="B82" s="369" t="s">
        <v>1672</v>
      </c>
      <c r="C82" s="2315"/>
      <c r="D82" s="2041"/>
      <c r="E82" s="2145"/>
      <c r="F82" s="2145"/>
      <c r="G82" s="406"/>
      <c r="H82" s="401" t="s">
        <v>1568</v>
      </c>
      <c r="I82" s="345"/>
      <c r="J82" s="407"/>
      <c r="K82" s="187"/>
      <c r="L82" s="337"/>
      <c r="M82" s="330"/>
      <c r="N82" s="1670"/>
      <c r="O82" s="1670"/>
    </row>
    <row s="2871" customFormat="1" customHeight="1" ht="18.75" hidden="1">
      <c r="A83" s="1830" t="s">
        <v>232</v>
      </c>
      <c r="B83" s="369"/>
      <c r="C83" s="2315"/>
      <c r="D83" s="2041"/>
      <c r="E83" s="2145"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45" t="str">
        <f>INDEX(PT_DIFFERENTIATION_VDET,MATCH(A83,PT_DIFFERENTIATION_VTAR_ID,0))</f>
        <v/>
      </c>
      <c r="G83" s="1816"/>
      <c r="H83" s="1785"/>
      <c r="I83" s="1823"/>
      <c r="J83" s="1828"/>
      <c r="K83" s="1815" t="s">
        <v>293</v>
      </c>
      <c r="L83" s="337"/>
      <c r="M83" s="330"/>
      <c r="N83" s="1670"/>
      <c r="O83" s="1670"/>
    </row>
    <row s="2871" customFormat="1" customHeight="1" ht="18.75" hidden="1">
      <c r="A84" s="1830"/>
      <c r="B84" s="369" t="s">
        <v>1672</v>
      </c>
      <c r="C84" s="2315"/>
      <c r="D84" s="2041"/>
      <c r="E84" s="2145"/>
      <c r="F84" s="2145"/>
      <c r="G84" s="406"/>
      <c r="H84" s="401" t="s">
        <v>1568</v>
      </c>
      <c r="I84" s="345"/>
      <c r="J84" s="407"/>
      <c r="K84" s="187"/>
      <c r="L84" s="337"/>
      <c r="M84" s="330"/>
      <c r="N84" s="1670"/>
      <c r="O84" s="1670"/>
    </row>
    <row s="2871" customFormat="1" customHeight="1" ht="18.75" hidden="1">
      <c r="A85" s="1830" t="s">
        <v>237</v>
      </c>
      <c r="B85" s="369"/>
      <c r="C85" s="2315"/>
      <c r="D85" s="2041"/>
      <c r="E85" s="2145" t="str">
        <f>INDEX(PT_DIFFERENTIATION_VTAR,MATCH(A85,PT_DIFFERENTIATION_VTAR_ID,0))</f>
        <v>Тариф на горячую воду (горячее водоснабжение)</v>
      </c>
      <c r="F85" s="2145" t="str">
        <f>INDEX(PT_DIFFERENTIATION_VDET,MATCH(A85,PT_DIFFERENTIATION_VTAR_ID,0))</f>
        <v/>
      </c>
      <c r="G85" s="1816"/>
      <c r="H85" s="1785"/>
      <c r="I85" s="1823"/>
      <c r="J85" s="1828"/>
      <c r="K85" s="1815" t="s">
        <v>293</v>
      </c>
      <c r="L85" s="337"/>
      <c r="M85" s="330"/>
      <c r="N85" s="1670"/>
      <c r="O85" s="1670"/>
    </row>
    <row s="2871" customFormat="1" customHeight="1" ht="18.75" hidden="1">
      <c r="A86" s="1830"/>
      <c r="B86" s="369" t="s">
        <v>1672</v>
      </c>
      <c r="C86" s="2315"/>
      <c r="D86" s="2041"/>
      <c r="E86" s="2145"/>
      <c r="F86" s="2145"/>
      <c r="G86" s="406"/>
      <c r="H86" s="401" t="s">
        <v>1568</v>
      </c>
      <c r="I86" s="345"/>
      <c r="J86" s="407"/>
      <c r="K86" s="187"/>
      <c r="L86" s="337"/>
      <c r="M86" s="330"/>
      <c r="N86" s="1670"/>
      <c r="O86" s="1670"/>
    </row>
    <row s="2871" customFormat="1" customHeight="1" ht="18.75" hidden="1">
      <c r="A87" s="1830" t="s">
        <v>242</v>
      </c>
      <c r="B87" s="369"/>
      <c r="C87" s="2315"/>
      <c r="D87" s="2041"/>
      <c r="E87" s="2145" t="str">
        <f>INDEX(PT_DIFFERENTIATION_VTAR,MATCH(A87,PT_DIFFERENTIATION_VTAR_ID,0))</f>
        <v>Тариф на транспортировку горячей воды</v>
      </c>
      <c r="F87" s="2145" t="str">
        <f>INDEX(PT_DIFFERENTIATION_VDET,MATCH(A87,PT_DIFFERENTIATION_VTAR_ID,0))</f>
        <v/>
      </c>
      <c r="G87" s="1816"/>
      <c r="H87" s="1785"/>
      <c r="I87" s="1823"/>
      <c r="J87" s="1828"/>
      <c r="K87" s="1815" t="s">
        <v>293</v>
      </c>
      <c r="L87" s="337"/>
      <c r="M87" s="330"/>
      <c r="N87" s="1670"/>
      <c r="O87" s="1670"/>
    </row>
    <row s="2871" customFormat="1" customHeight="1" ht="18.75" hidden="1">
      <c r="A88" s="1830"/>
      <c r="B88" s="369" t="s">
        <v>1672</v>
      </c>
      <c r="C88" s="2315"/>
      <c r="D88" s="2041"/>
      <c r="E88" s="2145"/>
      <c r="F88" s="2145"/>
      <c r="G88" s="406"/>
      <c r="H88" s="401" t="s">
        <v>1568</v>
      </c>
      <c r="I88" s="345"/>
      <c r="J88" s="407"/>
      <c r="K88" s="187"/>
      <c r="L88" s="337"/>
      <c r="M88" s="330"/>
      <c r="N88" s="1670"/>
      <c r="O88" s="1670"/>
    </row>
    <row s="2871" customFormat="1" customHeight="1" ht="18.75" hidden="1">
      <c r="A89" s="1830" t="s">
        <v>247</v>
      </c>
      <c r="B89" s="369"/>
      <c r="C89" s="2315"/>
      <c r="D89" s="2041"/>
      <c r="E89" s="2145" t="str">
        <f>INDEX(PT_DIFFERENTIATION_VTAR,MATCH(A89,PT_DIFFERENTIATION_VTAR_ID,0))</f>
        <v>Тариф на подключение (технологическое присоединение) к централизованной системе горячего водоснабжения</v>
      </c>
      <c r="F89" s="2145" t="str">
        <f>INDEX(PT_DIFFERENTIATION_VDET,MATCH(A89,PT_DIFFERENTIATION_VTAR_ID,0))</f>
        <v/>
      </c>
      <c r="G89" s="1816"/>
      <c r="H89" s="1785"/>
      <c r="I89" s="1823"/>
      <c r="J89" s="1828"/>
      <c r="K89" s="1815" t="s">
        <v>293</v>
      </c>
      <c r="L89" s="337"/>
      <c r="M89" s="330"/>
      <c r="N89" s="1670"/>
      <c r="O89" s="1670"/>
    </row>
    <row s="2871" customFormat="1" customHeight="1" ht="18.75" hidden="1">
      <c r="A90" s="1830"/>
      <c r="B90" s="369" t="s">
        <v>1672</v>
      </c>
      <c r="C90" s="2315"/>
      <c r="D90" s="2041"/>
      <c r="E90" s="2145"/>
      <c r="F90" s="2145"/>
      <c r="G90" s="406"/>
      <c r="H90" s="401" t="s">
        <v>1568</v>
      </c>
      <c r="I90" s="345"/>
      <c r="J90" s="407"/>
      <c r="K90" s="187"/>
      <c r="L90" s="337"/>
      <c r="M90" s="330"/>
      <c r="N90" s="1670"/>
      <c r="O90" s="1670"/>
    </row>
    <row s="2871" customFormat="1" customHeight="1" ht="18.75" hidden="1">
      <c r="A91" s="1830" t="s">
        <v>252</v>
      </c>
      <c r="B91" s="369"/>
      <c r="C91" s="2315"/>
      <c r="D91" s="2041"/>
      <c r="E91" s="2145" t="str">
        <f>INDEX(PT_DIFFERENTIATION_VTAR,MATCH(A91,PT_DIFFERENTIATION_VTAR_ID,0))</f>
        <v>Тариф на водоотведение</v>
      </c>
      <c r="F91" s="2145" t="str">
        <f>INDEX(PT_DIFFERENTIATION_VDET,MATCH(A91,PT_DIFFERENTIATION_VTAR_ID,0))</f>
        <v/>
      </c>
      <c r="G91" s="1816"/>
      <c r="H91" s="1785"/>
      <c r="I91" s="1823"/>
      <c r="J91" s="1828"/>
      <c r="K91" s="1815" t="s">
        <v>293</v>
      </c>
      <c r="L91" s="337"/>
      <c r="M91" s="330"/>
      <c r="N91" s="1670"/>
      <c r="O91" s="1670"/>
    </row>
    <row s="2871" customFormat="1" customHeight="1" ht="18.75" hidden="1">
      <c r="A92" s="1830"/>
      <c r="B92" s="369" t="s">
        <v>1672</v>
      </c>
      <c r="C92" s="2315"/>
      <c r="D92" s="2041"/>
      <c r="E92" s="2145"/>
      <c r="F92" s="2145"/>
      <c r="G92" s="406"/>
      <c r="H92" s="401" t="s">
        <v>1568</v>
      </c>
      <c r="I92" s="345"/>
      <c r="J92" s="407"/>
      <c r="K92" s="187"/>
      <c r="L92" s="337"/>
      <c r="M92" s="330"/>
      <c r="N92" s="1670"/>
      <c r="O92" s="1670"/>
    </row>
    <row s="2871" customFormat="1" customHeight="1" ht="18.75" hidden="1">
      <c r="A93" s="1830" t="s">
        <v>257</v>
      </c>
      <c r="B93" s="369"/>
      <c r="C93" s="2315"/>
      <c r="D93" s="2041"/>
      <c r="E93" s="2145" t="str">
        <f>INDEX(PT_DIFFERENTIATION_VTAR,MATCH(A93,PT_DIFFERENTIATION_VTAR_ID,0))</f>
        <v>Тариф на транспортировку сточных вод</v>
      </c>
      <c r="F93" s="2145" t="str">
        <f>INDEX(PT_DIFFERENTIATION_VDET,MATCH(A93,PT_DIFFERENTIATION_VTAR_ID,0))</f>
        <v/>
      </c>
      <c r="G93" s="1816"/>
      <c r="H93" s="1785"/>
      <c r="I93" s="1823"/>
      <c r="J93" s="1828"/>
      <c r="K93" s="1815" t="s">
        <v>293</v>
      </c>
      <c r="L93" s="337"/>
      <c r="M93" s="330"/>
      <c r="N93" s="1670"/>
      <c r="O93" s="1670"/>
    </row>
    <row s="2871" customFormat="1" customHeight="1" ht="18.75" hidden="1">
      <c r="A94" s="1830"/>
      <c r="B94" s="369" t="s">
        <v>1672</v>
      </c>
      <c r="C94" s="2315"/>
      <c r="D94" s="2041"/>
      <c r="E94" s="2145"/>
      <c r="F94" s="2145"/>
      <c r="G94" s="406"/>
      <c r="H94" s="401" t="s">
        <v>1568</v>
      </c>
      <c r="I94" s="345"/>
      <c r="J94" s="407"/>
      <c r="K94" s="187"/>
      <c r="L94" s="337"/>
      <c r="M94" s="330"/>
      <c r="N94" s="1670"/>
      <c r="O94" s="1670"/>
    </row>
    <row s="2871" customFormat="1" customHeight="1" ht="18.75" hidden="1">
      <c r="A95" s="1830" t="s">
        <v>262</v>
      </c>
      <c r="B95" s="369"/>
      <c r="C95" s="2315"/>
      <c r="D95" s="2041"/>
      <c r="E95" s="2145" t="str">
        <f>INDEX(PT_DIFFERENTIATION_VTAR,MATCH(A95,PT_DIFFERENTIATION_VTAR_ID,0))</f>
        <v>Тариф на подключение (технологическое присоединение) к централизованной системе водоотведения</v>
      </c>
      <c r="F95" s="2145" t="str">
        <f>INDEX(PT_DIFFERENTIATION_VDET,MATCH(A95,PT_DIFFERENTIATION_VTAR_ID,0))</f>
        <v/>
      </c>
      <c r="G95" s="1816"/>
      <c r="H95" s="1785"/>
      <c r="I95" s="1823"/>
      <c r="J95" s="1828"/>
      <c r="K95" s="1815" t="s">
        <v>293</v>
      </c>
      <c r="L95" s="337"/>
      <c r="M95" s="330"/>
      <c r="N95" s="1670"/>
      <c r="O95" s="1670"/>
    </row>
    <row s="2871" customFormat="1" customHeight="1" ht="18.75" hidden="1">
      <c r="A96" s="1830"/>
      <c r="B96" s="369" t="s">
        <v>1672</v>
      </c>
      <c r="C96" s="2315"/>
      <c r="D96" s="2041"/>
      <c r="E96" s="2145"/>
      <c r="F96" s="2145"/>
      <c r="G96" s="406"/>
      <c r="H96" s="401" t="s">
        <v>1568</v>
      </c>
      <c r="I96" s="345"/>
      <c r="J96" s="407"/>
      <c r="K96" s="187"/>
      <c r="L96" s="337"/>
      <c r="M96" s="330"/>
      <c r="N96" s="1670"/>
      <c r="O96" s="1670"/>
    </row>
    <row customHeight="1" ht="18.75">
      <c r="A97" s="1830"/>
      <c r="C97" s="377"/>
      <c r="D97" s="133" t="s">
        <v>90</v>
      </c>
      <c r="E97" s="2303" t="str">
        <f>"Годовой объем "&amp;IF(TEMPLATE_SPHERE="HEAT","полезного отпуска тепловой энергии (теплоносителя)","потребителям воды")</f>
        <v>Годовой объем потребителям воды</v>
      </c>
      <c r="F97" s="2303"/>
      <c r="G97" s="2303"/>
      <c r="H97" s="2303"/>
      <c r="I97" s="2303"/>
      <c r="J97" s="2303"/>
      <c r="K97" s="2303"/>
      <c r="L97" s="285"/>
      <c r="M97" s="330"/>
    </row>
    <row s="2871" customFormat="1" customHeight="1" ht="56.25" hidden="1">
      <c r="A98" s="1830" t="s">
        <v>156</v>
      </c>
      <c r="B98" s="369"/>
      <c r="C98" s="2315"/>
      <c r="D98" s="2041"/>
      <c r="E98" s="2145"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45" t="str">
        <f>INDEX(PT_DIFFERENTIATION_VDET,MATCH(A98,PT_DIFFERENTIATION_VTAR_ID,0))</f>
        <v/>
      </c>
      <c r="G98" s="1816"/>
      <c r="H98" s="1785"/>
      <c r="I98" s="1823"/>
      <c r="J98" s="1828"/>
      <c r="K98" s="1815" t="s">
        <v>293</v>
      </c>
      <c r="L9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30"/>
      <c r="N98" s="1670"/>
      <c r="O98" s="1670"/>
    </row>
    <row s="2871" customFormat="1" customHeight="1" ht="18.75" hidden="1">
      <c r="A99" s="1830"/>
      <c r="B99" s="369" t="s">
        <v>1672</v>
      </c>
      <c r="C99" s="2315"/>
      <c r="D99" s="2041"/>
      <c r="E99" s="2145"/>
      <c r="F99" s="2145"/>
      <c r="G99" s="406"/>
      <c r="H99" s="401" t="s">
        <v>1568</v>
      </c>
      <c r="I99" s="345"/>
      <c r="J99" s="407"/>
      <c r="K99" s="187"/>
      <c r="L99" s="2007"/>
      <c r="M99" s="330"/>
      <c r="N99" s="1670"/>
      <c r="O99" s="1670"/>
    </row>
    <row s="2871" customFormat="1" customHeight="1" ht="26.25" hidden="1">
      <c r="A100" s="1830" t="s">
        <v>162</v>
      </c>
      <c r="B100" s="369"/>
      <c r="C100" s="2315"/>
      <c r="D100" s="2041"/>
      <c r="E100" s="2145"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45" t="str">
        <f>INDEX(PT_DIFFERENTIATION_VDET,MATCH(A100,PT_DIFFERENTIATION_VTAR_ID,0))</f>
        <v/>
      </c>
      <c r="G100" s="1816"/>
      <c r="H100" s="1785"/>
      <c r="I100" s="1823"/>
      <c r="J100" s="1828"/>
      <c r="K100" s="1815" t="s">
        <v>293</v>
      </c>
      <c r="L100" s="2008"/>
      <c r="M100" s="330"/>
      <c r="N100" s="1670"/>
      <c r="O100" s="1670"/>
    </row>
    <row s="2871" customFormat="1" customHeight="1" ht="18.75" hidden="1">
      <c r="A101" s="1830"/>
      <c r="B101" s="369" t="s">
        <v>1672</v>
      </c>
      <c r="C101" s="2315"/>
      <c r="D101" s="2041"/>
      <c r="E101" s="2145"/>
      <c r="F101" s="2145"/>
      <c r="G101" s="406"/>
      <c r="H101" s="401" t="s">
        <v>1568</v>
      </c>
      <c r="I101" s="345"/>
      <c r="J101" s="407"/>
      <c r="K101" s="187"/>
      <c r="L101" s="337"/>
      <c r="M101" s="330"/>
      <c r="N101" s="1670"/>
      <c r="O101" s="1670"/>
    </row>
    <row s="2871" customFormat="1" customHeight="1" ht="18.75" hidden="1">
      <c r="A102" s="1830" t="s">
        <v>168</v>
      </c>
      <c r="B102" s="369"/>
      <c r="C102" s="2315"/>
      <c r="D102" s="2041"/>
      <c r="E102" s="214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45" t="str">
        <f>INDEX(PT_DIFFERENTIATION_VDET,MATCH(A102,PT_DIFFERENTIATION_VTAR_ID,0))</f>
        <v/>
      </c>
      <c r="G102" s="1816"/>
      <c r="H102" s="1785"/>
      <c r="I102" s="1823"/>
      <c r="J102" s="1828"/>
      <c r="K102" s="1815" t="s">
        <v>293</v>
      </c>
      <c r="L102" s="337"/>
      <c r="M102" s="330"/>
      <c r="N102" s="1670"/>
      <c r="O102" s="1670"/>
    </row>
    <row s="2871" customFormat="1" customHeight="1" ht="18.75" hidden="1">
      <c r="A103" s="1830"/>
      <c r="B103" s="369" t="s">
        <v>1672</v>
      </c>
      <c r="C103" s="2315"/>
      <c r="D103" s="2041"/>
      <c r="E103" s="2145"/>
      <c r="F103" s="2145"/>
      <c r="G103" s="406"/>
      <c r="H103" s="401" t="s">
        <v>1568</v>
      </c>
      <c r="I103" s="345"/>
      <c r="J103" s="407"/>
      <c r="K103" s="187"/>
      <c r="L103" s="337"/>
      <c r="M103" s="330"/>
      <c r="N103" s="1670"/>
      <c r="O103" s="1670"/>
    </row>
    <row s="2871" customFormat="1" customHeight="1" ht="41.25" hidden="1">
      <c r="A104" s="1830" t="s">
        <v>174</v>
      </c>
      <c r="B104" s="369"/>
      <c r="C104" s="2315"/>
      <c r="D104" s="2041"/>
      <c r="E104" s="214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45" t="str">
        <f>INDEX(PT_DIFFERENTIATION_VDET,MATCH(A104,PT_DIFFERENTIATION_VTAR_ID,0))</f>
        <v/>
      </c>
      <c r="G104" s="1816"/>
      <c r="H104" s="1785"/>
      <c r="I104" s="1823"/>
      <c r="J104" s="1828"/>
      <c r="K104" s="1815" t="s">
        <v>293</v>
      </c>
      <c r="L104" s="337"/>
      <c r="M104" s="330"/>
      <c r="N104" s="1670"/>
      <c r="O104" s="1670"/>
    </row>
    <row s="2871" customFormat="1" customHeight="1" ht="18.75" hidden="1">
      <c r="A105" s="1830"/>
      <c r="B105" s="369" t="s">
        <v>1672</v>
      </c>
      <c r="C105" s="2315"/>
      <c r="D105" s="2041"/>
      <c r="E105" s="2145"/>
      <c r="F105" s="2145"/>
      <c r="G105" s="406"/>
      <c r="H105" s="401" t="s">
        <v>1568</v>
      </c>
      <c r="I105" s="345"/>
      <c r="J105" s="407"/>
      <c r="K105" s="187"/>
      <c r="L105" s="337"/>
      <c r="M105" s="330"/>
      <c r="N105" s="1670"/>
      <c r="O105" s="1670"/>
    </row>
    <row s="2871" customFormat="1" customHeight="1" ht="18.75" hidden="1">
      <c r="A106" s="1830" t="s">
        <v>180</v>
      </c>
      <c r="B106" s="369"/>
      <c r="C106" s="2315"/>
      <c r="D106" s="2041"/>
      <c r="E106" s="2145" t="str">
        <f>INDEX(PT_DIFFERENTIATION_VTAR,MATCH(A106,PT_DIFFERENTIATION_VTAR_ID,0))</f>
        <v>Тарифы на услуги по передаче тепловой энергии</v>
      </c>
      <c r="F106" s="2145" t="str">
        <f>INDEX(PT_DIFFERENTIATION_VDET,MATCH(A106,PT_DIFFERENTIATION_VTAR_ID,0))</f>
        <v/>
      </c>
      <c r="G106" s="1816"/>
      <c r="H106" s="1785"/>
      <c r="I106" s="1823"/>
      <c r="J106" s="1828"/>
      <c r="K106" s="1815" t="s">
        <v>293</v>
      </c>
      <c r="L106" s="337"/>
      <c r="M106" s="330"/>
      <c r="N106" s="1670"/>
      <c r="O106" s="1670"/>
    </row>
    <row s="2871" customFormat="1" customHeight="1" ht="18.75" hidden="1">
      <c r="A107" s="1830"/>
      <c r="B107" s="369" t="s">
        <v>1672</v>
      </c>
      <c r="C107" s="2315"/>
      <c r="D107" s="2041"/>
      <c r="E107" s="2145"/>
      <c r="F107" s="2145"/>
      <c r="G107" s="406"/>
      <c r="H107" s="401" t="s">
        <v>1568</v>
      </c>
      <c r="I107" s="345"/>
      <c r="J107" s="407"/>
      <c r="K107" s="187"/>
      <c r="L107" s="337"/>
      <c r="M107" s="330"/>
      <c r="N107" s="1670"/>
      <c r="O107" s="1670"/>
    </row>
    <row s="2871" customFormat="1" customHeight="1" ht="18.75" hidden="1">
      <c r="A108" s="1830" t="s">
        <v>186</v>
      </c>
      <c r="B108" s="369"/>
      <c r="C108" s="2315"/>
      <c r="D108" s="2041"/>
      <c r="E108" s="2145" t="str">
        <f>INDEX(PT_DIFFERENTIATION_VTAR,MATCH(A108,PT_DIFFERENTIATION_VTAR_ID,0))</f>
        <v>Тарифы на услуги по передаче теплоносителя</v>
      </c>
      <c r="F108" s="2145" t="str">
        <f>INDEX(PT_DIFFERENTIATION_VDET,MATCH(A108,PT_DIFFERENTIATION_VTAR_ID,0))</f>
        <v/>
      </c>
      <c r="G108" s="1816"/>
      <c r="H108" s="1785"/>
      <c r="I108" s="1823"/>
      <c r="J108" s="1828"/>
      <c r="K108" s="1815" t="s">
        <v>293</v>
      </c>
      <c r="L108" s="337"/>
      <c r="M108" s="330"/>
      <c r="N108" s="1670"/>
      <c r="O108" s="1670"/>
    </row>
    <row s="2871" customFormat="1" customHeight="1" ht="18.75" hidden="1">
      <c r="A109" s="1830"/>
      <c r="B109" s="369" t="s">
        <v>1672</v>
      </c>
      <c r="C109" s="2315"/>
      <c r="D109" s="2041"/>
      <c r="E109" s="2145"/>
      <c r="F109" s="2145"/>
      <c r="G109" s="406"/>
      <c r="H109" s="401" t="s">
        <v>1568</v>
      </c>
      <c r="I109" s="345"/>
      <c r="J109" s="407"/>
      <c r="K109" s="187"/>
      <c r="L109" s="337"/>
      <c r="M109" s="330"/>
      <c r="N109" s="1670"/>
      <c r="O109" s="1670"/>
    </row>
    <row s="2871" customFormat="1" customHeight="1" ht="18.75" hidden="1">
      <c r="A110" s="1830" t="s">
        <v>192</v>
      </c>
      <c r="B110" s="369"/>
      <c r="C110" s="2315"/>
      <c r="D110" s="2041"/>
      <c r="E110" s="2145"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45" t="str">
        <f>INDEX(PT_DIFFERENTIATION_VDET,MATCH(A110,PT_DIFFERENTIATION_VTAR_ID,0))</f>
        <v/>
      </c>
      <c r="G110" s="1816"/>
      <c r="H110" s="1785"/>
      <c r="I110" s="1823"/>
      <c r="J110" s="1828"/>
      <c r="K110" s="1815" t="s">
        <v>293</v>
      </c>
      <c r="L110" s="337"/>
      <c r="M110" s="330"/>
      <c r="N110" s="1670"/>
      <c r="O110" s="1670"/>
    </row>
    <row s="2871" customFormat="1" customHeight="1" ht="18.75" hidden="1">
      <c r="A111" s="1830"/>
      <c r="B111" s="369" t="s">
        <v>1672</v>
      </c>
      <c r="C111" s="2315"/>
      <c r="D111" s="2041"/>
      <c r="E111" s="2145"/>
      <c r="F111" s="2145"/>
      <c r="G111" s="406"/>
      <c r="H111" s="401" t="s">
        <v>1568</v>
      </c>
      <c r="I111" s="345"/>
      <c r="J111" s="407"/>
      <c r="K111" s="187"/>
      <c r="L111" s="337"/>
      <c r="M111" s="330"/>
      <c r="N111" s="1670"/>
      <c r="O111" s="1670"/>
    </row>
    <row s="2871" customFormat="1" customHeight="1" ht="18.75" hidden="1">
      <c r="A112" s="1830" t="s">
        <v>198</v>
      </c>
      <c r="B112" s="369"/>
      <c r="C112" s="2315"/>
      <c r="D112" s="2041"/>
      <c r="E112" s="2145" t="str">
        <f>INDEX(PT_DIFFERENTIATION_VTAR,MATCH(A112,PT_DIFFERENTIATION_VTAR_ID,0))</f>
        <v>Плата за подключение (технологическое присоединение) к системе теплоснабжения</v>
      </c>
      <c r="F112" s="2145" t="str">
        <f>INDEX(PT_DIFFERENTIATION_VDET,MATCH(A112,PT_DIFFERENTIATION_VTAR_ID,0))</f>
        <v/>
      </c>
      <c r="G112" s="1816"/>
      <c r="H112" s="1785"/>
      <c r="I112" s="1823"/>
      <c r="J112" s="1828"/>
      <c r="K112" s="1815" t="s">
        <v>293</v>
      </c>
      <c r="L112" s="337"/>
      <c r="M112" s="330"/>
      <c r="N112" s="1670"/>
      <c r="O112" s="1670"/>
    </row>
    <row s="2871" customFormat="1" customHeight="1" ht="18.75" hidden="1">
      <c r="A113" s="1830"/>
      <c r="B113" s="369" t="s">
        <v>1672</v>
      </c>
      <c r="C113" s="2315"/>
      <c r="D113" s="2041"/>
      <c r="E113" s="2145"/>
      <c r="F113" s="2145"/>
      <c r="G113" s="406"/>
      <c r="H113" s="401" t="s">
        <v>1568</v>
      </c>
      <c r="I113" s="345"/>
      <c r="J113" s="407"/>
      <c r="K113" s="187"/>
      <c r="L113" s="337"/>
      <c r="M113" s="330"/>
      <c r="N113" s="1670"/>
      <c r="O113" s="1670"/>
    </row>
    <row s="2871" customFormat="1" customHeight="1" ht="18.75" hidden="1">
      <c r="A114" s="1830" t="s">
        <v>212</v>
      </c>
      <c r="B114" s="369"/>
      <c r="C114" s="2315"/>
      <c r="D114" s="2041"/>
      <c r="E114" s="2145" t="str">
        <f>INDEX(PT_DIFFERENTIATION_VTAR,MATCH(A114,PT_DIFFERENTIATION_VTAR_ID,0))</f>
        <v>Тариф на питьевую воду (питьевое водоснабжение)</v>
      </c>
      <c r="F114" s="2145" t="str">
        <f>INDEX(PT_DIFFERENTIATION_VDET,MATCH(A114,PT_DIFFERENTIATION_VTAR_ID,0))</f>
        <v/>
      </c>
      <c r="G114" s="1816"/>
      <c r="H114" s="1785"/>
      <c r="I114" s="1823"/>
      <c r="J114" s="1828"/>
      <c r="K114" s="1815" t="s">
        <v>293</v>
      </c>
      <c r="L114" s="337"/>
      <c r="M114" s="330"/>
      <c r="N114" s="1670"/>
      <c r="O114" s="1670"/>
    </row>
    <row s="2871" customFormat="1" customHeight="1" ht="18.75" hidden="1">
      <c r="A115" s="1830"/>
      <c r="B115" s="369" t="s">
        <v>1672</v>
      </c>
      <c r="C115" s="2315"/>
      <c r="D115" s="2041"/>
      <c r="E115" s="2145"/>
      <c r="F115" s="2145"/>
      <c r="G115" s="406"/>
      <c r="H115" s="401" t="s">
        <v>1568</v>
      </c>
      <c r="I115" s="345"/>
      <c r="J115" s="407"/>
      <c r="K115" s="187"/>
      <c r="L115" s="337"/>
      <c r="M115" s="330"/>
      <c r="N115" s="1670"/>
      <c r="O115" s="1670"/>
    </row>
    <row s="2871" customFormat="1" customHeight="1" ht="18.75" hidden="1">
      <c r="A116" s="1830" t="s">
        <v>217</v>
      </c>
      <c r="B116" s="369"/>
      <c r="C116" s="2315"/>
      <c r="D116" s="2041"/>
      <c r="E116" s="2145" t="str">
        <f>INDEX(PT_DIFFERENTIATION_VTAR,MATCH(A116,PT_DIFFERENTIATION_VTAR_ID,0))</f>
        <v>Тариф на техническую воду</v>
      </c>
      <c r="F116" s="2145" t="str">
        <f>INDEX(PT_DIFFERENTIATION_VDET,MATCH(A116,PT_DIFFERENTIATION_VTAR_ID,0))</f>
        <v/>
      </c>
      <c r="G116" s="1816"/>
      <c r="H116" s="1785"/>
      <c r="I116" s="1823"/>
      <c r="J116" s="1828"/>
      <c r="K116" s="1815" t="s">
        <v>293</v>
      </c>
      <c r="L116" s="337"/>
      <c r="M116" s="330"/>
      <c r="N116" s="1670"/>
      <c r="O116" s="1670"/>
    </row>
    <row s="2871" customFormat="1" customHeight="1" ht="18.75" hidden="1">
      <c r="A117" s="1830"/>
      <c r="B117" s="369" t="s">
        <v>1672</v>
      </c>
      <c r="C117" s="2315"/>
      <c r="D117" s="2041"/>
      <c r="E117" s="2145"/>
      <c r="F117" s="2145"/>
      <c r="G117" s="406"/>
      <c r="H117" s="401" t="s">
        <v>1568</v>
      </c>
      <c r="I117" s="345"/>
      <c r="J117" s="407"/>
      <c r="K117" s="187"/>
      <c r="L117" s="337"/>
      <c r="M117" s="330"/>
      <c r="N117" s="1670"/>
      <c r="O117" s="1670"/>
    </row>
    <row s="2871" customFormat="1" customHeight="1" ht="18.75" hidden="1">
      <c r="A118" s="1830" t="s">
        <v>222</v>
      </c>
      <c r="B118" s="369"/>
      <c r="C118" s="2315"/>
      <c r="D118" s="2041"/>
      <c r="E118" s="2145" t="str">
        <f>INDEX(PT_DIFFERENTIATION_VTAR,MATCH(A118,PT_DIFFERENTIATION_VTAR_ID,0))</f>
        <v>Тариф на транспортировку воды</v>
      </c>
      <c r="F118" s="2145" t="str">
        <f>INDEX(PT_DIFFERENTIATION_VDET,MATCH(A118,PT_DIFFERENTIATION_VTAR_ID,0))</f>
        <v/>
      </c>
      <c r="G118" s="1816"/>
      <c r="H118" s="1785"/>
      <c r="I118" s="1823"/>
      <c r="J118" s="1828"/>
      <c r="K118" s="1815" t="s">
        <v>293</v>
      </c>
      <c r="L118" s="337"/>
      <c r="M118" s="330"/>
      <c r="N118" s="1670"/>
      <c r="O118" s="1670"/>
    </row>
    <row s="2871" customFormat="1" customHeight="1" ht="18.75" hidden="1">
      <c r="A119" s="1830"/>
      <c r="B119" s="369" t="s">
        <v>1672</v>
      </c>
      <c r="C119" s="2315"/>
      <c r="D119" s="2041"/>
      <c r="E119" s="2145"/>
      <c r="F119" s="2145"/>
      <c r="G119" s="406"/>
      <c r="H119" s="401" t="s">
        <v>1568</v>
      </c>
      <c r="I119" s="345"/>
      <c r="J119" s="407"/>
      <c r="K119" s="187"/>
      <c r="L119" s="337"/>
      <c r="M119" s="330"/>
      <c r="N119" s="1670"/>
      <c r="O119" s="1670"/>
    </row>
    <row s="2871" customFormat="1" customHeight="1" ht="18.75" hidden="1">
      <c r="A120" s="1830" t="s">
        <v>227</v>
      </c>
      <c r="B120" s="369"/>
      <c r="C120" s="2315"/>
      <c r="D120" s="2041"/>
      <c r="E120" s="2145" t="str">
        <f>INDEX(PT_DIFFERENTIATION_VTAR,MATCH(A120,PT_DIFFERENTIATION_VTAR_ID,0))</f>
        <v>Тариф на подвоз воды</v>
      </c>
      <c r="F120" s="2145" t="str">
        <f>INDEX(PT_DIFFERENTIATION_VDET,MATCH(A120,PT_DIFFERENTIATION_VTAR_ID,0))</f>
        <v/>
      </c>
      <c r="G120" s="1816"/>
      <c r="H120" s="1785"/>
      <c r="I120" s="1823"/>
      <c r="J120" s="1828"/>
      <c r="K120" s="1815" t="s">
        <v>293</v>
      </c>
      <c r="L120" s="337"/>
      <c r="M120" s="330"/>
      <c r="N120" s="1670"/>
      <c r="O120" s="1670"/>
    </row>
    <row s="2871" customFormat="1" customHeight="1" ht="18.75" hidden="1">
      <c r="A121" s="1830"/>
      <c r="B121" s="369" t="s">
        <v>1672</v>
      </c>
      <c r="C121" s="2315"/>
      <c r="D121" s="2041"/>
      <c r="E121" s="2145"/>
      <c r="F121" s="2145"/>
      <c r="G121" s="406"/>
      <c r="H121" s="401" t="s">
        <v>1568</v>
      </c>
      <c r="I121" s="345"/>
      <c r="J121" s="407"/>
      <c r="K121" s="187"/>
      <c r="L121" s="337"/>
      <c r="M121" s="330"/>
      <c r="N121" s="1670"/>
      <c r="O121" s="1670"/>
    </row>
    <row s="2871" customFormat="1" customHeight="1" ht="18.75" hidden="1">
      <c r="A122" s="1830" t="s">
        <v>232</v>
      </c>
      <c r="B122" s="369"/>
      <c r="C122" s="2315"/>
      <c r="D122" s="2041"/>
      <c r="E122" s="2145"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45" t="str">
        <f>INDEX(PT_DIFFERENTIATION_VDET,MATCH(A122,PT_DIFFERENTIATION_VTAR_ID,0))</f>
        <v/>
      </c>
      <c r="G122" s="1816"/>
      <c r="H122" s="1785"/>
      <c r="I122" s="1823"/>
      <c r="J122" s="1828"/>
      <c r="K122" s="1815" t="s">
        <v>293</v>
      </c>
      <c r="L122" s="337"/>
      <c r="M122" s="330"/>
      <c r="N122" s="1670"/>
      <c r="O122" s="1670"/>
    </row>
    <row s="2871" customFormat="1" customHeight="1" ht="18.75" hidden="1">
      <c r="A123" s="1830"/>
      <c r="B123" s="369" t="s">
        <v>1672</v>
      </c>
      <c r="C123" s="2315"/>
      <c r="D123" s="2041"/>
      <c r="E123" s="2145"/>
      <c r="F123" s="2145"/>
      <c r="G123" s="406"/>
      <c r="H123" s="401" t="s">
        <v>1568</v>
      </c>
      <c r="I123" s="345"/>
      <c r="J123" s="407"/>
      <c r="K123" s="187"/>
      <c r="L123" s="337"/>
      <c r="M123" s="330"/>
      <c r="N123" s="1670"/>
      <c r="O123" s="1670"/>
    </row>
    <row s="2871" customFormat="1" customHeight="1" ht="18.75" hidden="1">
      <c r="A124" s="1830" t="s">
        <v>237</v>
      </c>
      <c r="B124" s="369"/>
      <c r="C124" s="2315"/>
      <c r="D124" s="2041"/>
      <c r="E124" s="2145" t="str">
        <f>INDEX(PT_DIFFERENTIATION_VTAR,MATCH(A124,PT_DIFFERENTIATION_VTAR_ID,0))</f>
        <v>Тариф на горячую воду (горячее водоснабжение)</v>
      </c>
      <c r="F124" s="2145" t="str">
        <f>INDEX(PT_DIFFERENTIATION_VDET,MATCH(A124,PT_DIFFERENTIATION_VTAR_ID,0))</f>
        <v/>
      </c>
      <c r="G124" s="1816"/>
      <c r="H124" s="1785"/>
      <c r="I124" s="1823"/>
      <c r="J124" s="1828"/>
      <c r="K124" s="1815" t="s">
        <v>293</v>
      </c>
      <c r="L124" s="337"/>
      <c r="M124" s="330"/>
      <c r="N124" s="1670"/>
      <c r="O124" s="1670"/>
    </row>
    <row s="2871" customFormat="1" customHeight="1" ht="18.75" hidden="1">
      <c r="A125" s="1830"/>
      <c r="B125" s="369" t="s">
        <v>1672</v>
      </c>
      <c r="C125" s="2315"/>
      <c r="D125" s="2041"/>
      <c r="E125" s="2145"/>
      <c r="F125" s="2145"/>
      <c r="G125" s="406"/>
      <c r="H125" s="401" t="s">
        <v>1568</v>
      </c>
      <c r="I125" s="345"/>
      <c r="J125" s="407"/>
      <c r="K125" s="187"/>
      <c r="L125" s="337"/>
      <c r="M125" s="330"/>
      <c r="N125" s="1670"/>
      <c r="O125" s="1670"/>
    </row>
    <row s="2871" customFormat="1" customHeight="1" ht="18.75" hidden="1">
      <c r="A126" s="1830" t="s">
        <v>242</v>
      </c>
      <c r="B126" s="369"/>
      <c r="C126" s="2315"/>
      <c r="D126" s="2041"/>
      <c r="E126" s="2145" t="str">
        <f>INDEX(PT_DIFFERENTIATION_VTAR,MATCH(A126,PT_DIFFERENTIATION_VTAR_ID,0))</f>
        <v>Тариф на транспортировку горячей воды</v>
      </c>
      <c r="F126" s="2145" t="str">
        <f>INDEX(PT_DIFFERENTIATION_VDET,MATCH(A126,PT_DIFFERENTIATION_VTAR_ID,0))</f>
        <v/>
      </c>
      <c r="G126" s="1816"/>
      <c r="H126" s="1785"/>
      <c r="I126" s="1823"/>
      <c r="J126" s="1828"/>
      <c r="K126" s="1815" t="s">
        <v>293</v>
      </c>
      <c r="L126" s="337"/>
      <c r="M126" s="330"/>
      <c r="N126" s="1670"/>
      <c r="O126" s="1670"/>
    </row>
    <row s="2871" customFormat="1" customHeight="1" ht="18.75" hidden="1">
      <c r="A127" s="1830"/>
      <c r="B127" s="369" t="s">
        <v>1672</v>
      </c>
      <c r="C127" s="2315"/>
      <c r="D127" s="2041"/>
      <c r="E127" s="2145"/>
      <c r="F127" s="2145"/>
      <c r="G127" s="406"/>
      <c r="H127" s="401" t="s">
        <v>1568</v>
      </c>
      <c r="I127" s="345"/>
      <c r="J127" s="407"/>
      <c r="K127" s="187"/>
      <c r="L127" s="337"/>
      <c r="M127" s="330"/>
      <c r="N127" s="1670"/>
      <c r="O127" s="1670"/>
    </row>
    <row s="2871" customFormat="1" customHeight="1" ht="18.75" hidden="1">
      <c r="A128" s="1830" t="s">
        <v>247</v>
      </c>
      <c r="B128" s="369"/>
      <c r="C128" s="2315"/>
      <c r="D128" s="2041"/>
      <c r="E128" s="2145"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45" t="str">
        <f>INDEX(PT_DIFFERENTIATION_VDET,MATCH(A128,PT_DIFFERENTIATION_VTAR_ID,0))</f>
        <v/>
      </c>
      <c r="G128" s="1816"/>
      <c r="H128" s="1785"/>
      <c r="I128" s="1823"/>
      <c r="J128" s="1828"/>
      <c r="K128" s="1815" t="s">
        <v>293</v>
      </c>
      <c r="L128" s="337"/>
      <c r="M128" s="330"/>
      <c r="N128" s="1670"/>
      <c r="O128" s="1670"/>
    </row>
    <row s="2871" customFormat="1" customHeight="1" ht="18.75" hidden="1">
      <c r="A129" s="1830"/>
      <c r="B129" s="369" t="s">
        <v>1672</v>
      </c>
      <c r="C129" s="2315"/>
      <c r="D129" s="2041"/>
      <c r="E129" s="2145"/>
      <c r="F129" s="2145"/>
      <c r="G129" s="406"/>
      <c r="H129" s="401" t="s">
        <v>1568</v>
      </c>
      <c r="I129" s="345"/>
      <c r="J129" s="407"/>
      <c r="K129" s="187"/>
      <c r="L129" s="337"/>
      <c r="M129" s="330"/>
      <c r="N129" s="1670"/>
      <c r="O129" s="1670"/>
    </row>
    <row s="2871" customFormat="1" customHeight="1" ht="18.75" hidden="1">
      <c r="A130" s="1830" t="s">
        <v>252</v>
      </c>
      <c r="B130" s="369"/>
      <c r="C130" s="2315"/>
      <c r="D130" s="2041"/>
      <c r="E130" s="2145" t="str">
        <f>INDEX(PT_DIFFERENTIATION_VTAR,MATCH(A130,PT_DIFFERENTIATION_VTAR_ID,0))</f>
        <v>Тариф на водоотведение</v>
      </c>
      <c r="F130" s="2145" t="str">
        <f>INDEX(PT_DIFFERENTIATION_VDET,MATCH(A130,PT_DIFFERENTIATION_VTAR_ID,0))</f>
        <v/>
      </c>
      <c r="G130" s="1816"/>
      <c r="H130" s="1785"/>
      <c r="I130" s="1823"/>
      <c r="J130" s="1828"/>
      <c r="K130" s="1815" t="s">
        <v>293</v>
      </c>
      <c r="L130" s="337"/>
      <c r="M130" s="330"/>
      <c r="N130" s="1670"/>
      <c r="O130" s="1670"/>
    </row>
    <row s="2871" customFormat="1" customHeight="1" ht="18.75" hidden="1">
      <c r="A131" s="1830"/>
      <c r="B131" s="369" t="s">
        <v>1672</v>
      </c>
      <c r="C131" s="2315"/>
      <c r="D131" s="2041"/>
      <c r="E131" s="2145"/>
      <c r="F131" s="2145"/>
      <c r="G131" s="406"/>
      <c r="H131" s="401" t="s">
        <v>1568</v>
      </c>
      <c r="I131" s="345"/>
      <c r="J131" s="407"/>
      <c r="K131" s="187"/>
      <c r="L131" s="337"/>
      <c r="M131" s="330"/>
      <c r="N131" s="1670"/>
      <c r="O131" s="1670"/>
    </row>
    <row s="2871" customFormat="1" customHeight="1" ht="18.75" hidden="1">
      <c r="A132" s="1830" t="s">
        <v>257</v>
      </c>
      <c r="B132" s="369"/>
      <c r="C132" s="2315"/>
      <c r="D132" s="2041"/>
      <c r="E132" s="2145" t="str">
        <f>INDEX(PT_DIFFERENTIATION_VTAR,MATCH(A132,PT_DIFFERENTIATION_VTAR_ID,0))</f>
        <v>Тариф на транспортировку сточных вод</v>
      </c>
      <c r="F132" s="2145" t="str">
        <f>INDEX(PT_DIFFERENTIATION_VDET,MATCH(A132,PT_DIFFERENTIATION_VTAR_ID,0))</f>
        <v/>
      </c>
      <c r="G132" s="1816"/>
      <c r="H132" s="1785"/>
      <c r="I132" s="1823"/>
      <c r="J132" s="1828"/>
      <c r="K132" s="1815" t="s">
        <v>293</v>
      </c>
      <c r="L132" s="337"/>
      <c r="M132" s="330"/>
      <c r="N132" s="1670"/>
      <c r="O132" s="1670"/>
    </row>
    <row s="2871" customFormat="1" customHeight="1" ht="18.75" hidden="1">
      <c r="A133" s="1830"/>
      <c r="B133" s="369" t="s">
        <v>1672</v>
      </c>
      <c r="C133" s="2315"/>
      <c r="D133" s="2041"/>
      <c r="E133" s="2145"/>
      <c r="F133" s="2145"/>
      <c r="G133" s="406"/>
      <c r="H133" s="401" t="s">
        <v>1568</v>
      </c>
      <c r="I133" s="345"/>
      <c r="J133" s="407"/>
      <c r="K133" s="187"/>
      <c r="L133" s="337"/>
      <c r="M133" s="330"/>
      <c r="N133" s="1670"/>
      <c r="O133" s="1670"/>
    </row>
    <row s="2871" customFormat="1" customHeight="1" ht="18.75" hidden="1">
      <c r="A134" s="1830" t="s">
        <v>262</v>
      </c>
      <c r="B134" s="369"/>
      <c r="C134" s="2315"/>
      <c r="D134" s="2041"/>
      <c r="E134" s="2145" t="str">
        <f>INDEX(PT_DIFFERENTIATION_VTAR,MATCH(A134,PT_DIFFERENTIATION_VTAR_ID,0))</f>
        <v>Тариф на подключение (технологическое присоединение) к централизованной системе водоотведения</v>
      </c>
      <c r="F134" s="2145" t="str">
        <f>INDEX(PT_DIFFERENTIATION_VDET,MATCH(A134,PT_DIFFERENTIATION_VTAR_ID,0))</f>
        <v/>
      </c>
      <c r="G134" s="1816"/>
      <c r="H134" s="1785"/>
      <c r="I134" s="1823"/>
      <c r="J134" s="1828"/>
      <c r="K134" s="1815" t="s">
        <v>293</v>
      </c>
      <c r="L134" s="337"/>
      <c r="M134" s="330"/>
      <c r="N134" s="1670"/>
      <c r="O134" s="1670"/>
    </row>
    <row s="2871" customFormat="1" customHeight="1" ht="18.75" hidden="1">
      <c r="A135" s="1830"/>
      <c r="B135" s="369" t="s">
        <v>1672</v>
      </c>
      <c r="C135" s="2315"/>
      <c r="D135" s="2041"/>
      <c r="E135" s="2145"/>
      <c r="F135" s="2145"/>
      <c r="G135" s="406"/>
      <c r="H135" s="401" t="s">
        <v>1568</v>
      </c>
      <c r="I135" s="345"/>
      <c r="J135" s="407"/>
      <c r="K135" s="187"/>
      <c r="L135" s="337"/>
      <c r="M135" s="330"/>
      <c r="N135" s="1670"/>
      <c r="O135" s="1670"/>
    </row>
    <row customHeight="1" ht="26.25">
      <c r="A136" s="1830"/>
      <c r="C136" s="377"/>
      <c r="D136" s="133" t="s">
        <v>111</v>
      </c>
      <c r="E136"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303"/>
      <c r="G136" s="2303"/>
      <c r="H136" s="2303"/>
      <c r="I136" s="2303"/>
      <c r="J136" s="2303"/>
      <c r="K136" s="2303"/>
      <c r="L136" s="285"/>
      <c r="M136" s="330"/>
    </row>
    <row s="2871" customFormat="1" customHeight="1" ht="56.25" hidden="1">
      <c r="A137" s="1830" t="s">
        <v>156</v>
      </c>
      <c r="B137" s="369"/>
      <c r="C137" s="2315"/>
      <c r="D137" s="2041"/>
      <c r="E137" s="2145"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45" t="str">
        <f>INDEX(PT_DIFFERENTIATION_VDET,MATCH(A137,PT_DIFFERENTIATION_VTAR_ID,0))</f>
        <v/>
      </c>
      <c r="G137" s="1816"/>
      <c r="H137" s="1785"/>
      <c r="I137" s="1823"/>
      <c r="J137" s="1828"/>
      <c r="K137" s="1815" t="s">
        <v>293</v>
      </c>
      <c r="L137"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30"/>
      <c r="N137" s="1670"/>
      <c r="O137" s="1670"/>
    </row>
    <row s="2871" customFormat="1" customHeight="1" ht="18.75" hidden="1">
      <c r="A138" s="1830"/>
      <c r="B138" s="369" t="s">
        <v>1672</v>
      </c>
      <c r="C138" s="2315"/>
      <c r="D138" s="2041"/>
      <c r="E138" s="2145"/>
      <c r="F138" s="2145"/>
      <c r="G138" s="406"/>
      <c r="H138" s="401" t="s">
        <v>1568</v>
      </c>
      <c r="I138" s="345"/>
      <c r="J138" s="407"/>
      <c r="K138" s="187"/>
      <c r="L138" s="2007"/>
      <c r="M138" s="330"/>
      <c r="N138" s="1670"/>
      <c r="O138" s="1670"/>
    </row>
    <row s="2871" customFormat="1" customHeight="1" ht="26.25" hidden="1">
      <c r="A139" s="1830" t="s">
        <v>162</v>
      </c>
      <c r="B139" s="369"/>
      <c r="C139" s="2315"/>
      <c r="D139" s="2041"/>
      <c r="E139" s="2145"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45" t="str">
        <f>INDEX(PT_DIFFERENTIATION_VDET,MATCH(A139,PT_DIFFERENTIATION_VTAR_ID,0))</f>
        <v/>
      </c>
      <c r="G139" s="1816"/>
      <c r="H139" s="1785"/>
      <c r="I139" s="1823"/>
      <c r="J139" s="1828"/>
      <c r="K139" s="1815" t="s">
        <v>293</v>
      </c>
      <c r="L139" s="2008"/>
      <c r="M139" s="330"/>
      <c r="N139" s="1670"/>
      <c r="O139" s="1670"/>
    </row>
    <row s="2871" customFormat="1" customHeight="1" ht="18.75" hidden="1">
      <c r="A140" s="1830"/>
      <c r="B140" s="369" t="s">
        <v>1672</v>
      </c>
      <c r="C140" s="2315"/>
      <c r="D140" s="2041"/>
      <c r="E140" s="2145"/>
      <c r="F140" s="2145"/>
      <c r="G140" s="406"/>
      <c r="H140" s="401" t="s">
        <v>1568</v>
      </c>
      <c r="I140" s="345"/>
      <c r="J140" s="407"/>
      <c r="K140" s="187"/>
      <c r="L140" s="337"/>
      <c r="M140" s="330"/>
      <c r="N140" s="1670"/>
      <c r="O140" s="1670"/>
    </row>
    <row s="2871" customFormat="1" customHeight="1" ht="18.75" hidden="1">
      <c r="A141" s="1830" t="s">
        <v>168</v>
      </c>
      <c r="B141" s="369"/>
      <c r="C141" s="2315"/>
      <c r="D141" s="2041"/>
      <c r="E141" s="2145"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45" t="str">
        <f>INDEX(PT_DIFFERENTIATION_VDET,MATCH(A141,PT_DIFFERENTIATION_VTAR_ID,0))</f>
        <v/>
      </c>
      <c r="G141" s="1816"/>
      <c r="H141" s="1785"/>
      <c r="I141" s="1823"/>
      <c r="J141" s="1828"/>
      <c r="K141" s="1815" t="s">
        <v>293</v>
      </c>
      <c r="L141" s="337"/>
      <c r="M141" s="330"/>
      <c r="N141" s="1670"/>
      <c r="O141" s="1670"/>
    </row>
    <row s="2871" customFormat="1" customHeight="1" ht="18.75" hidden="1">
      <c r="A142" s="1830"/>
      <c r="B142" s="369" t="s">
        <v>1672</v>
      </c>
      <c r="C142" s="2315"/>
      <c r="D142" s="2041"/>
      <c r="E142" s="2145"/>
      <c r="F142" s="2145"/>
      <c r="G142" s="406"/>
      <c r="H142" s="401" t="s">
        <v>1568</v>
      </c>
      <c r="I142" s="345"/>
      <c r="J142" s="407"/>
      <c r="K142" s="187"/>
      <c r="L142" s="337"/>
      <c r="M142" s="330"/>
      <c r="N142" s="1670"/>
      <c r="O142" s="1670"/>
    </row>
    <row s="2871" customFormat="1" customHeight="1" ht="40.5" hidden="1">
      <c r="A143" s="1830" t="s">
        <v>174</v>
      </c>
      <c r="B143" s="369"/>
      <c r="C143" s="2315"/>
      <c r="D143" s="2041"/>
      <c r="E143" s="2145"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45" t="str">
        <f>INDEX(PT_DIFFERENTIATION_VDET,MATCH(A143,PT_DIFFERENTIATION_VTAR_ID,0))</f>
        <v/>
      </c>
      <c r="G143" s="1816"/>
      <c r="H143" s="1785"/>
      <c r="I143" s="1823"/>
      <c r="J143" s="1828"/>
      <c r="K143" s="1815" t="s">
        <v>293</v>
      </c>
      <c r="L143" s="337"/>
      <c r="M143" s="330"/>
      <c r="N143" s="1670"/>
      <c r="O143" s="1670"/>
    </row>
    <row s="2871" customFormat="1" customHeight="1" ht="18.75" hidden="1">
      <c r="A144" s="1830"/>
      <c r="B144" s="369" t="s">
        <v>1672</v>
      </c>
      <c r="C144" s="2315"/>
      <c r="D144" s="2041"/>
      <c r="E144" s="2145"/>
      <c r="F144" s="2145"/>
      <c r="G144" s="406"/>
      <c r="H144" s="401" t="s">
        <v>1568</v>
      </c>
      <c r="I144" s="345"/>
      <c r="J144" s="407"/>
      <c r="K144" s="187"/>
      <c r="L144" s="337"/>
      <c r="M144" s="330"/>
      <c r="N144" s="1670"/>
      <c r="O144" s="1670"/>
    </row>
    <row s="2871" customFormat="1" customHeight="1" ht="18.75" hidden="1">
      <c r="A145" s="1830" t="s">
        <v>180</v>
      </c>
      <c r="B145" s="369"/>
      <c r="C145" s="2315"/>
      <c r="D145" s="2041"/>
      <c r="E145" s="2145" t="str">
        <f>INDEX(PT_DIFFERENTIATION_VTAR,MATCH(A145,PT_DIFFERENTIATION_VTAR_ID,0))</f>
        <v>Тарифы на услуги по передаче тепловой энергии</v>
      </c>
      <c r="F145" s="2145" t="str">
        <f>INDEX(PT_DIFFERENTIATION_VDET,MATCH(A145,PT_DIFFERENTIATION_VTAR_ID,0))</f>
        <v/>
      </c>
      <c r="G145" s="1816"/>
      <c r="H145" s="1785"/>
      <c r="I145" s="1823"/>
      <c r="J145" s="1828"/>
      <c r="K145" s="1815" t="s">
        <v>293</v>
      </c>
      <c r="L145" s="337"/>
      <c r="M145" s="330"/>
      <c r="N145" s="1670"/>
      <c r="O145" s="1670"/>
    </row>
    <row s="2871" customFormat="1" customHeight="1" ht="18.75" hidden="1">
      <c r="A146" s="1830"/>
      <c r="B146" s="369" t="s">
        <v>1672</v>
      </c>
      <c r="C146" s="2315"/>
      <c r="D146" s="2041"/>
      <c r="E146" s="2145"/>
      <c r="F146" s="2145"/>
      <c r="G146" s="406"/>
      <c r="H146" s="401" t="s">
        <v>1568</v>
      </c>
      <c r="I146" s="345"/>
      <c r="J146" s="407"/>
      <c r="K146" s="187"/>
      <c r="L146" s="337"/>
      <c r="M146" s="330"/>
      <c r="N146" s="1670"/>
      <c r="O146" s="1670"/>
    </row>
    <row s="2871" customFormat="1" customHeight="1" ht="18.75" hidden="1">
      <c r="A147" s="1830" t="s">
        <v>186</v>
      </c>
      <c r="B147" s="369"/>
      <c r="C147" s="2315"/>
      <c r="D147" s="2041"/>
      <c r="E147" s="2145" t="str">
        <f>INDEX(PT_DIFFERENTIATION_VTAR,MATCH(A147,PT_DIFFERENTIATION_VTAR_ID,0))</f>
        <v>Тарифы на услуги по передаче теплоносителя</v>
      </c>
      <c r="F147" s="2145" t="str">
        <f>INDEX(PT_DIFFERENTIATION_VDET,MATCH(A147,PT_DIFFERENTIATION_VTAR_ID,0))</f>
        <v/>
      </c>
      <c r="G147" s="1816"/>
      <c r="H147" s="1785"/>
      <c r="I147" s="1823"/>
      <c r="J147" s="1828"/>
      <c r="K147" s="1815" t="s">
        <v>293</v>
      </c>
      <c r="L147" s="337"/>
      <c r="M147" s="330"/>
      <c r="N147" s="1670"/>
      <c r="O147" s="1670"/>
    </row>
    <row s="2871" customFormat="1" customHeight="1" ht="18.75" hidden="1">
      <c r="A148" s="1830"/>
      <c r="B148" s="369" t="s">
        <v>1672</v>
      </c>
      <c r="C148" s="2315"/>
      <c r="D148" s="2041"/>
      <c r="E148" s="2145"/>
      <c r="F148" s="2145"/>
      <c r="G148" s="406"/>
      <c r="H148" s="401" t="s">
        <v>1568</v>
      </c>
      <c r="I148" s="345"/>
      <c r="J148" s="407"/>
      <c r="K148" s="187"/>
      <c r="L148" s="337"/>
      <c r="M148" s="330"/>
      <c r="N148" s="1670"/>
      <c r="O148" s="1670"/>
    </row>
    <row s="2871" customFormat="1" customHeight="1" ht="18.75" hidden="1">
      <c r="A149" s="1830" t="s">
        <v>192</v>
      </c>
      <c r="B149" s="369"/>
      <c r="C149" s="2315"/>
      <c r="D149" s="2041"/>
      <c r="E149" s="2145"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45" t="str">
        <f>INDEX(PT_DIFFERENTIATION_VDET,MATCH(A149,PT_DIFFERENTIATION_VTAR_ID,0))</f>
        <v/>
      </c>
      <c r="G149" s="1816"/>
      <c r="H149" s="1785"/>
      <c r="I149" s="1823"/>
      <c r="J149" s="1828"/>
      <c r="K149" s="1815" t="s">
        <v>293</v>
      </c>
      <c r="L149" s="337"/>
      <c r="M149" s="330"/>
      <c r="N149" s="1670"/>
      <c r="O149" s="1670"/>
    </row>
    <row s="2871" customFormat="1" customHeight="1" ht="18.75" hidden="1">
      <c r="A150" s="1830"/>
      <c r="B150" s="369" t="s">
        <v>1672</v>
      </c>
      <c r="C150" s="2315"/>
      <c r="D150" s="2041"/>
      <c r="E150" s="2145"/>
      <c r="F150" s="2145"/>
      <c r="G150" s="406"/>
      <c r="H150" s="401" t="s">
        <v>1568</v>
      </c>
      <c r="I150" s="345"/>
      <c r="J150" s="407"/>
      <c r="K150" s="187"/>
      <c r="L150" s="337"/>
      <c r="M150" s="330"/>
      <c r="N150" s="1670"/>
      <c r="O150" s="1670"/>
    </row>
    <row s="2871" customFormat="1" customHeight="1" ht="18.75" hidden="1">
      <c r="A151" s="1830" t="s">
        <v>198</v>
      </c>
      <c r="B151" s="369"/>
      <c r="C151" s="2315"/>
      <c r="D151" s="2041"/>
      <c r="E151" s="2145" t="str">
        <f>INDEX(PT_DIFFERENTIATION_VTAR,MATCH(A151,PT_DIFFERENTIATION_VTAR_ID,0))</f>
        <v>Плата за подключение (технологическое присоединение) к системе теплоснабжения</v>
      </c>
      <c r="F151" s="2145" t="str">
        <f>INDEX(PT_DIFFERENTIATION_VDET,MATCH(A151,PT_DIFFERENTIATION_VTAR_ID,0))</f>
        <v/>
      </c>
      <c r="G151" s="1816"/>
      <c r="H151" s="1785"/>
      <c r="I151" s="1823"/>
      <c r="J151" s="1828"/>
      <c r="K151" s="1815" t="s">
        <v>293</v>
      </c>
      <c r="L151" s="337"/>
      <c r="M151" s="330"/>
      <c r="N151" s="1670"/>
      <c r="O151" s="1670"/>
    </row>
    <row s="2871" customFormat="1" customHeight="1" ht="18.75" hidden="1">
      <c r="A152" s="1830"/>
      <c r="B152" s="369" t="s">
        <v>1672</v>
      </c>
      <c r="C152" s="2315"/>
      <c r="D152" s="2041"/>
      <c r="E152" s="2145"/>
      <c r="F152" s="2145"/>
      <c r="G152" s="406"/>
      <c r="H152" s="401" t="s">
        <v>1568</v>
      </c>
      <c r="I152" s="345"/>
      <c r="J152" s="407"/>
      <c r="K152" s="187"/>
      <c r="L152" s="337"/>
      <c r="M152" s="330"/>
      <c r="N152" s="1670"/>
      <c r="O152" s="1670"/>
    </row>
    <row s="2871" customFormat="1" customHeight="1" ht="18.75" hidden="1">
      <c r="A153" s="1830" t="s">
        <v>212</v>
      </c>
      <c r="B153" s="369"/>
      <c r="C153" s="2315"/>
      <c r="D153" s="2041"/>
      <c r="E153" s="2145" t="str">
        <f>INDEX(PT_DIFFERENTIATION_VTAR,MATCH(A153,PT_DIFFERENTIATION_VTAR_ID,0))</f>
        <v>Тариф на питьевую воду (питьевое водоснабжение)</v>
      </c>
      <c r="F153" s="2145" t="str">
        <f>INDEX(PT_DIFFERENTIATION_VDET,MATCH(A153,PT_DIFFERENTIATION_VTAR_ID,0))</f>
        <v/>
      </c>
      <c r="G153" s="1816"/>
      <c r="H153" s="1785"/>
      <c r="I153" s="1823"/>
      <c r="J153" s="1828"/>
      <c r="K153" s="1815" t="s">
        <v>293</v>
      </c>
      <c r="L153" s="337"/>
      <c r="M153" s="330"/>
      <c r="N153" s="1670"/>
      <c r="O153" s="1670"/>
    </row>
    <row s="2871" customFormat="1" customHeight="1" ht="18.75" hidden="1">
      <c r="A154" s="1830"/>
      <c r="B154" s="369" t="s">
        <v>1672</v>
      </c>
      <c r="C154" s="2315"/>
      <c r="D154" s="2041"/>
      <c r="E154" s="2145"/>
      <c r="F154" s="2145"/>
      <c r="G154" s="406"/>
      <c r="H154" s="401" t="s">
        <v>1568</v>
      </c>
      <c r="I154" s="345"/>
      <c r="J154" s="407"/>
      <c r="K154" s="187"/>
      <c r="L154" s="337"/>
      <c r="M154" s="330"/>
      <c r="N154" s="1670"/>
      <c r="O154" s="1670"/>
    </row>
    <row s="2871" customFormat="1" customHeight="1" ht="18.75" hidden="1">
      <c r="A155" s="1830" t="s">
        <v>217</v>
      </c>
      <c r="B155" s="369"/>
      <c r="C155" s="2315"/>
      <c r="D155" s="2041"/>
      <c r="E155" s="2145" t="str">
        <f>INDEX(PT_DIFFERENTIATION_VTAR,MATCH(A155,PT_DIFFERENTIATION_VTAR_ID,0))</f>
        <v>Тариф на техническую воду</v>
      </c>
      <c r="F155" s="2145" t="str">
        <f>INDEX(PT_DIFFERENTIATION_VDET,MATCH(A155,PT_DIFFERENTIATION_VTAR_ID,0))</f>
        <v/>
      </c>
      <c r="G155" s="1816"/>
      <c r="H155" s="1785"/>
      <c r="I155" s="1823"/>
      <c r="J155" s="1828"/>
      <c r="K155" s="1815" t="s">
        <v>293</v>
      </c>
      <c r="L155" s="337"/>
      <c r="M155" s="330"/>
      <c r="N155" s="1670"/>
      <c r="O155" s="1670"/>
    </row>
    <row s="2871" customFormat="1" customHeight="1" ht="18.75" hidden="1">
      <c r="A156" s="1830"/>
      <c r="B156" s="369" t="s">
        <v>1672</v>
      </c>
      <c r="C156" s="2315"/>
      <c r="D156" s="2041"/>
      <c r="E156" s="2145"/>
      <c r="F156" s="2145"/>
      <c r="G156" s="406"/>
      <c r="H156" s="401" t="s">
        <v>1568</v>
      </c>
      <c r="I156" s="345"/>
      <c r="J156" s="407"/>
      <c r="K156" s="187"/>
      <c r="L156" s="337"/>
      <c r="M156" s="330"/>
      <c r="N156" s="1670"/>
      <c r="O156" s="1670"/>
    </row>
    <row s="2871" customFormat="1" customHeight="1" ht="18.75" hidden="1">
      <c r="A157" s="1830" t="s">
        <v>222</v>
      </c>
      <c r="B157" s="369"/>
      <c r="C157" s="2315"/>
      <c r="D157" s="2041"/>
      <c r="E157" s="2145" t="str">
        <f>INDEX(PT_DIFFERENTIATION_VTAR,MATCH(A157,PT_DIFFERENTIATION_VTAR_ID,0))</f>
        <v>Тариф на транспортировку воды</v>
      </c>
      <c r="F157" s="2145" t="str">
        <f>INDEX(PT_DIFFERENTIATION_VDET,MATCH(A157,PT_DIFFERENTIATION_VTAR_ID,0))</f>
        <v/>
      </c>
      <c r="G157" s="1816"/>
      <c r="H157" s="1785"/>
      <c r="I157" s="1823"/>
      <c r="J157" s="1828"/>
      <c r="K157" s="1815" t="s">
        <v>293</v>
      </c>
      <c r="L157" s="337"/>
      <c r="M157" s="330"/>
      <c r="N157" s="1670"/>
      <c r="O157" s="1670"/>
    </row>
    <row s="2871" customFormat="1" customHeight="1" ht="18.75" hidden="1">
      <c r="A158" s="1830"/>
      <c r="B158" s="369" t="s">
        <v>1672</v>
      </c>
      <c r="C158" s="2315"/>
      <c r="D158" s="2041"/>
      <c r="E158" s="2145"/>
      <c r="F158" s="2145"/>
      <c r="G158" s="406"/>
      <c r="H158" s="401" t="s">
        <v>1568</v>
      </c>
      <c r="I158" s="345"/>
      <c r="J158" s="407"/>
      <c r="K158" s="187"/>
      <c r="L158" s="337"/>
      <c r="M158" s="330"/>
      <c r="N158" s="1670"/>
      <c r="O158" s="1670"/>
    </row>
    <row s="2871" customFormat="1" customHeight="1" ht="18.75" hidden="1">
      <c r="A159" s="1830" t="s">
        <v>227</v>
      </c>
      <c r="B159" s="369"/>
      <c r="C159" s="2315"/>
      <c r="D159" s="2041"/>
      <c r="E159" s="2145" t="str">
        <f>INDEX(PT_DIFFERENTIATION_VTAR,MATCH(A159,PT_DIFFERENTIATION_VTAR_ID,0))</f>
        <v>Тариф на подвоз воды</v>
      </c>
      <c r="F159" s="2145" t="str">
        <f>INDEX(PT_DIFFERENTIATION_VDET,MATCH(A159,PT_DIFFERENTIATION_VTAR_ID,0))</f>
        <v/>
      </c>
      <c r="G159" s="1816"/>
      <c r="H159" s="1785"/>
      <c r="I159" s="1823"/>
      <c r="J159" s="1828"/>
      <c r="K159" s="1815" t="s">
        <v>293</v>
      </c>
      <c r="L159" s="337"/>
      <c r="M159" s="330"/>
      <c r="N159" s="1670"/>
      <c r="O159" s="1670"/>
    </row>
    <row s="2871" customFormat="1" customHeight="1" ht="18.75" hidden="1">
      <c r="A160" s="1830"/>
      <c r="B160" s="369" t="s">
        <v>1672</v>
      </c>
      <c r="C160" s="2315"/>
      <c r="D160" s="2041"/>
      <c r="E160" s="2145"/>
      <c r="F160" s="2145"/>
      <c r="G160" s="406"/>
      <c r="H160" s="401" t="s">
        <v>1568</v>
      </c>
      <c r="I160" s="345"/>
      <c r="J160" s="407"/>
      <c r="K160" s="187"/>
      <c r="L160" s="337"/>
      <c r="M160" s="330"/>
      <c r="N160" s="1670"/>
      <c r="O160" s="1670"/>
    </row>
    <row s="2871" customFormat="1" customHeight="1" ht="18.75" hidden="1">
      <c r="A161" s="1830" t="s">
        <v>232</v>
      </c>
      <c r="B161" s="369"/>
      <c r="C161" s="2315"/>
      <c r="D161" s="2041"/>
      <c r="E161" s="2145"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45" t="str">
        <f>INDEX(PT_DIFFERENTIATION_VDET,MATCH(A161,PT_DIFFERENTIATION_VTAR_ID,0))</f>
        <v/>
      </c>
      <c r="G161" s="1816"/>
      <c r="H161" s="1785"/>
      <c r="I161" s="1823"/>
      <c r="J161" s="1828"/>
      <c r="K161" s="1815" t="s">
        <v>293</v>
      </c>
      <c r="L161" s="337"/>
      <c r="M161" s="330"/>
      <c r="N161" s="1670"/>
      <c r="O161" s="1670"/>
    </row>
    <row s="2871" customFormat="1" customHeight="1" ht="18.75" hidden="1">
      <c r="A162" s="1830"/>
      <c r="B162" s="369" t="s">
        <v>1672</v>
      </c>
      <c r="C162" s="2315"/>
      <c r="D162" s="2041"/>
      <c r="E162" s="2145"/>
      <c r="F162" s="2145"/>
      <c r="G162" s="406"/>
      <c r="H162" s="401" t="s">
        <v>1568</v>
      </c>
      <c r="I162" s="345"/>
      <c r="J162" s="407"/>
      <c r="K162" s="187"/>
      <c r="L162" s="337"/>
      <c r="M162" s="330"/>
      <c r="N162" s="1670"/>
      <c r="O162" s="1670"/>
    </row>
    <row s="2871" customFormat="1" customHeight="1" ht="18.75" hidden="1">
      <c r="A163" s="1830" t="s">
        <v>237</v>
      </c>
      <c r="B163" s="369"/>
      <c r="C163" s="2315"/>
      <c r="D163" s="2041"/>
      <c r="E163" s="2145" t="str">
        <f>INDEX(PT_DIFFERENTIATION_VTAR,MATCH(A163,PT_DIFFERENTIATION_VTAR_ID,0))</f>
        <v>Тариф на горячую воду (горячее водоснабжение)</v>
      </c>
      <c r="F163" s="2145" t="str">
        <f>INDEX(PT_DIFFERENTIATION_VDET,MATCH(A163,PT_DIFFERENTIATION_VTAR_ID,0))</f>
        <v/>
      </c>
      <c r="G163" s="1816"/>
      <c r="H163" s="1785"/>
      <c r="I163" s="1823"/>
      <c r="J163" s="1828"/>
      <c r="K163" s="1815" t="s">
        <v>293</v>
      </c>
      <c r="L163" s="337"/>
      <c r="M163" s="330"/>
      <c r="N163" s="1670"/>
      <c r="O163" s="1670"/>
    </row>
    <row s="2871" customFormat="1" customHeight="1" ht="18.75" hidden="1">
      <c r="A164" s="1830"/>
      <c r="B164" s="369" t="s">
        <v>1672</v>
      </c>
      <c r="C164" s="2315"/>
      <c r="D164" s="2041"/>
      <c r="E164" s="2145"/>
      <c r="F164" s="2145"/>
      <c r="G164" s="406"/>
      <c r="H164" s="401" t="s">
        <v>1568</v>
      </c>
      <c r="I164" s="345"/>
      <c r="J164" s="407"/>
      <c r="K164" s="187"/>
      <c r="L164" s="337"/>
      <c r="M164" s="330"/>
      <c r="N164" s="1670"/>
      <c r="O164" s="1670"/>
    </row>
    <row s="2871" customFormat="1" customHeight="1" ht="18.75" hidden="1">
      <c r="A165" s="1830" t="s">
        <v>242</v>
      </c>
      <c r="B165" s="369"/>
      <c r="C165" s="2315"/>
      <c r="D165" s="2041"/>
      <c r="E165" s="2145" t="str">
        <f>INDEX(PT_DIFFERENTIATION_VTAR,MATCH(A165,PT_DIFFERENTIATION_VTAR_ID,0))</f>
        <v>Тариф на транспортировку горячей воды</v>
      </c>
      <c r="F165" s="2145" t="str">
        <f>INDEX(PT_DIFFERENTIATION_VDET,MATCH(A165,PT_DIFFERENTIATION_VTAR_ID,0))</f>
        <v/>
      </c>
      <c r="G165" s="1816"/>
      <c r="H165" s="1785"/>
      <c r="I165" s="1823"/>
      <c r="J165" s="1828"/>
      <c r="K165" s="1815" t="s">
        <v>293</v>
      </c>
      <c r="L165" s="337"/>
      <c r="M165" s="330"/>
      <c r="N165" s="1670"/>
      <c r="O165" s="1670"/>
    </row>
    <row s="2871" customFormat="1" customHeight="1" ht="18.75" hidden="1">
      <c r="A166" s="1830"/>
      <c r="B166" s="369" t="s">
        <v>1672</v>
      </c>
      <c r="C166" s="2315"/>
      <c r="D166" s="2041"/>
      <c r="E166" s="2145"/>
      <c r="F166" s="2145"/>
      <c r="G166" s="406"/>
      <c r="H166" s="401" t="s">
        <v>1568</v>
      </c>
      <c r="I166" s="345"/>
      <c r="J166" s="407"/>
      <c r="K166" s="187"/>
      <c r="L166" s="337"/>
      <c r="M166" s="330"/>
      <c r="N166" s="1670"/>
      <c r="O166" s="1670"/>
    </row>
    <row s="2871" customFormat="1" customHeight="1" ht="18.75" hidden="1">
      <c r="A167" s="1830" t="s">
        <v>247</v>
      </c>
      <c r="B167" s="369"/>
      <c r="C167" s="2315"/>
      <c r="D167" s="2041"/>
      <c r="E167" s="2145"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45" t="str">
        <f>INDEX(PT_DIFFERENTIATION_VDET,MATCH(A167,PT_DIFFERENTIATION_VTAR_ID,0))</f>
        <v/>
      </c>
      <c r="G167" s="1816"/>
      <c r="H167" s="1785"/>
      <c r="I167" s="1823"/>
      <c r="J167" s="1828"/>
      <c r="K167" s="1815" t="s">
        <v>293</v>
      </c>
      <c r="L167" s="337"/>
      <c r="M167" s="330"/>
      <c r="N167" s="1670"/>
      <c r="O167" s="1670"/>
    </row>
    <row s="2871" customFormat="1" customHeight="1" ht="18.75" hidden="1">
      <c r="A168" s="1830"/>
      <c r="B168" s="369" t="s">
        <v>1672</v>
      </c>
      <c r="C168" s="2315"/>
      <c r="D168" s="2041"/>
      <c r="E168" s="2145"/>
      <c r="F168" s="2145"/>
      <c r="G168" s="406"/>
      <c r="H168" s="401" t="s">
        <v>1568</v>
      </c>
      <c r="I168" s="345"/>
      <c r="J168" s="407"/>
      <c r="K168" s="187"/>
      <c r="L168" s="337"/>
      <c r="M168" s="330"/>
      <c r="N168" s="1670"/>
      <c r="O168" s="1670"/>
    </row>
    <row s="2871" customFormat="1" customHeight="1" ht="18.75" hidden="1">
      <c r="A169" s="1830" t="s">
        <v>252</v>
      </c>
      <c r="B169" s="369"/>
      <c r="C169" s="2315"/>
      <c r="D169" s="2041"/>
      <c r="E169" s="2145" t="str">
        <f>INDEX(PT_DIFFERENTIATION_VTAR,MATCH(A169,PT_DIFFERENTIATION_VTAR_ID,0))</f>
        <v>Тариф на водоотведение</v>
      </c>
      <c r="F169" s="2145" t="str">
        <f>INDEX(PT_DIFFERENTIATION_VDET,MATCH(A169,PT_DIFFERENTIATION_VTAR_ID,0))</f>
        <v/>
      </c>
      <c r="G169" s="1816"/>
      <c r="H169" s="1785"/>
      <c r="I169" s="1823"/>
      <c r="J169" s="1828"/>
      <c r="K169" s="1815" t="s">
        <v>293</v>
      </c>
      <c r="L169" s="337"/>
      <c r="M169" s="330"/>
      <c r="N169" s="1670"/>
      <c r="O169" s="1670"/>
    </row>
    <row s="2871" customFormat="1" customHeight="1" ht="18.75" hidden="1">
      <c r="A170" s="1830"/>
      <c r="B170" s="369" t="s">
        <v>1672</v>
      </c>
      <c r="C170" s="2315"/>
      <c r="D170" s="2041"/>
      <c r="E170" s="2145"/>
      <c r="F170" s="2145"/>
      <c r="G170" s="406"/>
      <c r="H170" s="401" t="s">
        <v>1568</v>
      </c>
      <c r="I170" s="345"/>
      <c r="J170" s="407"/>
      <c r="K170" s="187"/>
      <c r="L170" s="337"/>
      <c r="M170" s="330"/>
      <c r="N170" s="1670"/>
      <c r="O170" s="1670"/>
    </row>
    <row s="2871" customFormat="1" customHeight="1" ht="18.75" hidden="1">
      <c r="A171" s="1830" t="s">
        <v>257</v>
      </c>
      <c r="B171" s="369"/>
      <c r="C171" s="2315"/>
      <c r="D171" s="2041"/>
      <c r="E171" s="2145" t="str">
        <f>INDEX(PT_DIFFERENTIATION_VTAR,MATCH(A171,PT_DIFFERENTIATION_VTAR_ID,0))</f>
        <v>Тариф на транспортировку сточных вод</v>
      </c>
      <c r="F171" s="2145" t="str">
        <f>INDEX(PT_DIFFERENTIATION_VDET,MATCH(A171,PT_DIFFERENTIATION_VTAR_ID,0))</f>
        <v/>
      </c>
      <c r="G171" s="1816"/>
      <c r="H171" s="1785"/>
      <c r="I171" s="1823"/>
      <c r="J171" s="1828"/>
      <c r="K171" s="1815" t="s">
        <v>293</v>
      </c>
      <c r="L171" s="337"/>
      <c r="M171" s="330"/>
      <c r="N171" s="1670"/>
      <c r="O171" s="1670"/>
    </row>
    <row s="2871" customFormat="1" customHeight="1" ht="18.75" hidden="1">
      <c r="A172" s="1830"/>
      <c r="B172" s="369" t="s">
        <v>1672</v>
      </c>
      <c r="C172" s="2315"/>
      <c r="D172" s="2041"/>
      <c r="E172" s="2145"/>
      <c r="F172" s="2145"/>
      <c r="G172" s="406"/>
      <c r="H172" s="401" t="s">
        <v>1568</v>
      </c>
      <c r="I172" s="345"/>
      <c r="J172" s="407"/>
      <c r="K172" s="187"/>
      <c r="L172" s="337"/>
      <c r="M172" s="330"/>
      <c r="N172" s="1670"/>
      <c r="O172" s="1670"/>
    </row>
    <row s="2871" customFormat="1" customHeight="1" ht="18.75" hidden="1">
      <c r="A173" s="1830" t="s">
        <v>262</v>
      </c>
      <c r="B173" s="369"/>
      <c r="C173" s="2315"/>
      <c r="D173" s="2041"/>
      <c r="E173" s="2145" t="str">
        <f>INDEX(PT_DIFFERENTIATION_VTAR,MATCH(A173,PT_DIFFERENTIATION_VTAR_ID,0))</f>
        <v>Тариф на подключение (технологическое присоединение) к централизованной системе водоотведения</v>
      </c>
      <c r="F173" s="2145" t="str">
        <f>INDEX(PT_DIFFERENTIATION_VDET,MATCH(A173,PT_DIFFERENTIATION_VTAR_ID,0))</f>
        <v/>
      </c>
      <c r="G173" s="1816"/>
      <c r="H173" s="1785"/>
      <c r="I173" s="1823"/>
      <c r="J173" s="1828"/>
      <c r="K173" s="1815" t="s">
        <v>293</v>
      </c>
      <c r="L173" s="337"/>
      <c r="M173" s="330"/>
      <c r="N173" s="1670"/>
      <c r="O173" s="1670"/>
    </row>
    <row s="2871" customFormat="1" customHeight="1" ht="18.75" hidden="1">
      <c r="A174" s="1830"/>
      <c r="B174" s="369" t="s">
        <v>1672</v>
      </c>
      <c r="C174" s="2315"/>
      <c r="D174" s="2041"/>
      <c r="E174" s="2145"/>
      <c r="F174" s="2145"/>
      <c r="G174" s="406"/>
      <c r="H174" s="401" t="s">
        <v>1568</v>
      </c>
      <c r="I174" s="345"/>
      <c r="J174" s="407"/>
      <c r="K174" s="187"/>
      <c r="L174" s="337"/>
      <c r="M174" s="330"/>
      <c r="N174" s="1670"/>
      <c r="O174" s="1670"/>
    </row>
    <row customHeight="1" ht="25.5">
      <c r="A175" s="1830"/>
      <c r="C175" s="377"/>
      <c r="D175" s="133" t="s">
        <v>91</v>
      </c>
      <c r="E175" s="2303"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303"/>
      <c r="G175" s="2303"/>
      <c r="H175" s="2303"/>
      <c r="I175" s="2303"/>
      <c r="J175" s="2303"/>
      <c r="K175" s="2303"/>
      <c r="L175" s="285"/>
      <c r="M175" s="330"/>
    </row>
    <row s="2871" customFormat="1" customHeight="1" ht="56.25" hidden="1">
      <c r="A176" s="1830" t="s">
        <v>156</v>
      </c>
      <c r="B176" s="369"/>
      <c r="C176" s="2315"/>
      <c r="D176" s="2041"/>
      <c r="E176" s="2145"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45" t="str">
        <f>INDEX(PT_DIFFERENTIATION_VDET,MATCH(A176,PT_DIFFERENTIATION_VTAR_ID,0))</f>
        <v/>
      </c>
      <c r="G176" s="1816"/>
      <c r="H176" s="1785"/>
      <c r="I176" s="1823"/>
      <c r="J176" s="1828"/>
      <c r="K176" s="1815" t="s">
        <v>293</v>
      </c>
      <c r="L176"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871" customFormat="1" customHeight="1" ht="18.75" hidden="1">
      <c r="A177" s="1830"/>
      <c r="B177" s="369" t="s">
        <v>1672</v>
      </c>
      <c r="C177" s="2315"/>
      <c r="D177" s="2041"/>
      <c r="E177" s="2145"/>
      <c r="F177" s="2145"/>
      <c r="G177" s="406"/>
      <c r="H177" s="401" t="s">
        <v>1568</v>
      </c>
      <c r="I177" s="345"/>
      <c r="J177" s="407"/>
      <c r="K177" s="187"/>
      <c r="L177" s="2007"/>
      <c r="M177" s="330"/>
      <c r="N177" s="1670"/>
      <c r="O177" s="1670"/>
    </row>
    <row s="2871" customFormat="1" customHeight="1" ht="26.25" hidden="1">
      <c r="A178" s="1830" t="s">
        <v>162</v>
      </c>
      <c r="B178" s="369"/>
      <c r="C178" s="2315"/>
      <c r="D178" s="2041"/>
      <c r="E178" s="2145"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45" t="str">
        <f>INDEX(PT_DIFFERENTIATION_VDET,MATCH(A178,PT_DIFFERENTIATION_VTAR_ID,0))</f>
        <v/>
      </c>
      <c r="G178" s="1816"/>
      <c r="H178" s="1785"/>
      <c r="I178" s="1823"/>
      <c r="J178" s="1828"/>
      <c r="K178" s="1815" t="s">
        <v>293</v>
      </c>
      <c r="L178" s="2008"/>
      <c r="M178" s="330"/>
      <c r="N178" s="1670"/>
      <c r="O178" s="1670"/>
    </row>
    <row s="2871" customFormat="1" customHeight="1" ht="18.75" hidden="1">
      <c r="A179" s="1830"/>
      <c r="B179" s="369" t="s">
        <v>1672</v>
      </c>
      <c r="C179" s="2315"/>
      <c r="D179" s="2041"/>
      <c r="E179" s="2145"/>
      <c r="F179" s="2145"/>
      <c r="G179" s="406"/>
      <c r="H179" s="401" t="s">
        <v>1568</v>
      </c>
      <c r="I179" s="345"/>
      <c r="J179" s="407"/>
      <c r="K179" s="187"/>
      <c r="L179" s="337"/>
      <c r="M179" s="330"/>
      <c r="N179" s="1670"/>
      <c r="O179" s="1670"/>
    </row>
    <row s="2871" customFormat="1" customHeight="1" ht="18.75" hidden="1">
      <c r="A180" s="1830" t="s">
        <v>168</v>
      </c>
      <c r="B180" s="369"/>
      <c r="C180" s="2315"/>
      <c r="D180" s="2041"/>
      <c r="E180" s="2145"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45" t="str">
        <f>INDEX(PT_DIFFERENTIATION_VDET,MATCH(A180,PT_DIFFERENTIATION_VTAR_ID,0))</f>
        <v/>
      </c>
      <c r="G180" s="1816"/>
      <c r="H180" s="1785"/>
      <c r="I180" s="1823"/>
      <c r="J180" s="1828"/>
      <c r="K180" s="1815" t="s">
        <v>293</v>
      </c>
      <c r="L180" s="337"/>
      <c r="M180" s="330"/>
      <c r="N180" s="1670"/>
      <c r="O180" s="1670"/>
    </row>
    <row s="2871" customFormat="1" customHeight="1" ht="18.75" hidden="1">
      <c r="A181" s="1830"/>
      <c r="B181" s="369" t="s">
        <v>1672</v>
      </c>
      <c r="C181" s="2315"/>
      <c r="D181" s="2041"/>
      <c r="E181" s="2145"/>
      <c r="F181" s="2145"/>
      <c r="G181" s="406"/>
      <c r="H181" s="401" t="s">
        <v>1568</v>
      </c>
      <c r="I181" s="345"/>
      <c r="J181" s="407"/>
      <c r="K181" s="187"/>
      <c r="L181" s="337"/>
      <c r="M181" s="330"/>
      <c r="N181" s="1670"/>
      <c r="O181" s="1670"/>
    </row>
    <row s="2871" customFormat="1" customHeight="1" ht="41.25" hidden="1">
      <c r="A182" s="1830" t="s">
        <v>174</v>
      </c>
      <c r="B182" s="369"/>
      <c r="C182" s="2315"/>
      <c r="D182" s="2041"/>
      <c r="E182" s="2145"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45" t="str">
        <f>INDEX(PT_DIFFERENTIATION_VDET,MATCH(A182,PT_DIFFERENTIATION_VTAR_ID,0))</f>
        <v/>
      </c>
      <c r="G182" s="1816"/>
      <c r="H182" s="1785"/>
      <c r="I182" s="1823"/>
      <c r="J182" s="1828"/>
      <c r="K182" s="1815" t="s">
        <v>293</v>
      </c>
      <c r="L182" s="337"/>
      <c r="M182" s="330"/>
      <c r="N182" s="1670"/>
      <c r="O182" s="1670"/>
    </row>
    <row s="2871" customFormat="1" customHeight="1" ht="18.75" hidden="1">
      <c r="A183" s="1830"/>
      <c r="B183" s="369" t="s">
        <v>1672</v>
      </c>
      <c r="C183" s="2315"/>
      <c r="D183" s="2041"/>
      <c r="E183" s="2145"/>
      <c r="F183" s="2145"/>
      <c r="G183" s="406"/>
      <c r="H183" s="401" t="s">
        <v>1568</v>
      </c>
      <c r="I183" s="345"/>
      <c r="J183" s="407"/>
      <c r="K183" s="187"/>
      <c r="L183" s="337"/>
      <c r="M183" s="330"/>
      <c r="N183" s="1670"/>
      <c r="O183" s="1670"/>
    </row>
    <row s="2871" customFormat="1" customHeight="1" ht="18.75" hidden="1">
      <c r="A184" s="1830" t="s">
        <v>180</v>
      </c>
      <c r="B184" s="369"/>
      <c r="C184" s="2315"/>
      <c r="D184" s="2041"/>
      <c r="E184" s="2145" t="str">
        <f>INDEX(PT_DIFFERENTIATION_VTAR,MATCH(A184,PT_DIFFERENTIATION_VTAR_ID,0))</f>
        <v>Тарифы на услуги по передаче тепловой энергии</v>
      </c>
      <c r="F184" s="2145" t="str">
        <f>INDEX(PT_DIFFERENTIATION_VDET,MATCH(A184,PT_DIFFERENTIATION_VTAR_ID,0))</f>
        <v/>
      </c>
      <c r="G184" s="1816"/>
      <c r="H184" s="1785"/>
      <c r="I184" s="1823"/>
      <c r="J184" s="1828"/>
      <c r="K184" s="1815" t="s">
        <v>293</v>
      </c>
      <c r="L184" s="337"/>
      <c r="M184" s="330"/>
      <c r="N184" s="1670"/>
      <c r="O184" s="1670"/>
    </row>
    <row s="2871" customFormat="1" customHeight="1" ht="18.75" hidden="1">
      <c r="A185" s="1830"/>
      <c r="B185" s="369" t="s">
        <v>1672</v>
      </c>
      <c r="C185" s="2315"/>
      <c r="D185" s="2041"/>
      <c r="E185" s="2145"/>
      <c r="F185" s="2145"/>
      <c r="G185" s="406"/>
      <c r="H185" s="401" t="s">
        <v>1568</v>
      </c>
      <c r="I185" s="345"/>
      <c r="J185" s="407"/>
      <c r="K185" s="187"/>
      <c r="L185" s="337"/>
      <c r="M185" s="330"/>
      <c r="N185" s="1670"/>
      <c r="O185" s="1670"/>
    </row>
    <row s="2871" customFormat="1" customHeight="1" ht="18.75" hidden="1">
      <c r="A186" s="1830" t="s">
        <v>186</v>
      </c>
      <c r="B186" s="369"/>
      <c r="C186" s="2315"/>
      <c r="D186" s="2041"/>
      <c r="E186" s="2145" t="str">
        <f>INDEX(PT_DIFFERENTIATION_VTAR,MATCH(A186,PT_DIFFERENTIATION_VTAR_ID,0))</f>
        <v>Тарифы на услуги по передаче теплоносителя</v>
      </c>
      <c r="F186" s="2145" t="str">
        <f>INDEX(PT_DIFFERENTIATION_VDET,MATCH(A186,PT_DIFFERENTIATION_VTAR_ID,0))</f>
        <v/>
      </c>
      <c r="G186" s="1816"/>
      <c r="H186" s="1785"/>
      <c r="I186" s="1823"/>
      <c r="J186" s="1828"/>
      <c r="K186" s="1815" t="s">
        <v>293</v>
      </c>
      <c r="L186" s="337"/>
      <c r="M186" s="330"/>
      <c r="N186" s="1670"/>
      <c r="O186" s="1670"/>
    </row>
    <row s="2871" customFormat="1" customHeight="1" ht="18.75" hidden="1">
      <c r="A187" s="1830"/>
      <c r="B187" s="369" t="s">
        <v>1672</v>
      </c>
      <c r="C187" s="2315"/>
      <c r="D187" s="2041"/>
      <c r="E187" s="2145"/>
      <c r="F187" s="2145"/>
      <c r="G187" s="406"/>
      <c r="H187" s="401" t="s">
        <v>1568</v>
      </c>
      <c r="I187" s="345"/>
      <c r="J187" s="407"/>
      <c r="K187" s="187"/>
      <c r="L187" s="337"/>
      <c r="M187" s="330"/>
      <c r="N187" s="1670"/>
      <c r="O187" s="1670"/>
    </row>
    <row s="2871" customFormat="1" customHeight="1" ht="18.75" hidden="1">
      <c r="A188" s="1830" t="s">
        <v>192</v>
      </c>
      <c r="B188" s="369"/>
      <c r="C188" s="2315"/>
      <c r="D188" s="2041"/>
      <c r="E188" s="2145"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45" t="str">
        <f>INDEX(PT_DIFFERENTIATION_VDET,MATCH(A188,PT_DIFFERENTIATION_VTAR_ID,0))</f>
        <v/>
      </c>
      <c r="G188" s="1816"/>
      <c r="H188" s="1785"/>
      <c r="I188" s="1823"/>
      <c r="J188" s="1828"/>
      <c r="K188" s="1815" t="s">
        <v>293</v>
      </c>
      <c r="L188" s="337"/>
      <c r="M188" s="330"/>
      <c r="N188" s="1670"/>
      <c r="O188" s="1670"/>
    </row>
    <row s="2871" customFormat="1" customHeight="1" ht="18.75" hidden="1">
      <c r="A189" s="1830"/>
      <c r="B189" s="369" t="s">
        <v>1672</v>
      </c>
      <c r="C189" s="2315"/>
      <c r="D189" s="2041"/>
      <c r="E189" s="2145"/>
      <c r="F189" s="2145"/>
      <c r="G189" s="406"/>
      <c r="H189" s="401" t="s">
        <v>1568</v>
      </c>
      <c r="I189" s="345"/>
      <c r="J189" s="407"/>
      <c r="K189" s="187"/>
      <c r="L189" s="337"/>
      <c r="M189" s="330"/>
      <c r="N189" s="1670"/>
      <c r="O189" s="1670"/>
    </row>
    <row s="2871" customFormat="1" customHeight="1" ht="18.75" hidden="1">
      <c r="A190" s="1830" t="s">
        <v>198</v>
      </c>
      <c r="B190" s="369"/>
      <c r="C190" s="2315"/>
      <c r="D190" s="2041"/>
      <c r="E190" s="2145" t="str">
        <f>INDEX(PT_DIFFERENTIATION_VTAR,MATCH(A190,PT_DIFFERENTIATION_VTAR_ID,0))</f>
        <v>Плата за подключение (технологическое присоединение) к системе теплоснабжения</v>
      </c>
      <c r="F190" s="2145" t="str">
        <f>INDEX(PT_DIFFERENTIATION_VDET,MATCH(A190,PT_DIFFERENTIATION_VTAR_ID,0))</f>
        <v/>
      </c>
      <c r="G190" s="1816"/>
      <c r="H190" s="1785"/>
      <c r="I190" s="1823"/>
      <c r="J190" s="1828"/>
      <c r="K190" s="1815" t="s">
        <v>293</v>
      </c>
      <c r="L190" s="337"/>
      <c r="M190" s="330"/>
      <c r="N190" s="1670"/>
      <c r="O190" s="1670"/>
    </row>
    <row s="2871" customFormat="1" customHeight="1" ht="18.75" hidden="1">
      <c r="A191" s="1830"/>
      <c r="B191" s="369" t="s">
        <v>1672</v>
      </c>
      <c r="C191" s="2315"/>
      <c r="D191" s="2041"/>
      <c r="E191" s="2145"/>
      <c r="F191" s="2145"/>
      <c r="G191" s="406"/>
      <c r="H191" s="401" t="s">
        <v>1568</v>
      </c>
      <c r="I191" s="345"/>
      <c r="J191" s="407"/>
      <c r="K191" s="187"/>
      <c r="L191" s="337"/>
      <c r="M191" s="330"/>
      <c r="N191" s="1670"/>
      <c r="O191" s="1670"/>
    </row>
    <row s="2871" customFormat="1" customHeight="1" ht="18.75" hidden="1">
      <c r="A192" s="1830" t="s">
        <v>212</v>
      </c>
      <c r="B192" s="369"/>
      <c r="C192" s="2315"/>
      <c r="D192" s="2041"/>
      <c r="E192" s="2145" t="str">
        <f>INDEX(PT_DIFFERENTIATION_VTAR,MATCH(A192,PT_DIFFERENTIATION_VTAR_ID,0))</f>
        <v>Тариф на питьевую воду (питьевое водоснабжение)</v>
      </c>
      <c r="F192" s="2145" t="str">
        <f>INDEX(PT_DIFFERENTIATION_VDET,MATCH(A192,PT_DIFFERENTIATION_VTAR_ID,0))</f>
        <v/>
      </c>
      <c r="G192" s="1816"/>
      <c r="H192" s="1785"/>
      <c r="I192" s="1823"/>
      <c r="J192" s="1828"/>
      <c r="K192" s="1815" t="s">
        <v>293</v>
      </c>
      <c r="L192" s="337"/>
      <c r="M192" s="330"/>
      <c r="N192" s="1670"/>
      <c r="O192" s="1670"/>
    </row>
    <row s="2871" customFormat="1" customHeight="1" ht="18.75" hidden="1">
      <c r="A193" s="1830"/>
      <c r="B193" s="369" t="s">
        <v>1672</v>
      </c>
      <c r="C193" s="2315"/>
      <c r="D193" s="2041"/>
      <c r="E193" s="2145"/>
      <c r="F193" s="2145"/>
      <c r="G193" s="406"/>
      <c r="H193" s="401" t="s">
        <v>1568</v>
      </c>
      <c r="I193" s="345"/>
      <c r="J193" s="407"/>
      <c r="K193" s="187"/>
      <c r="L193" s="337"/>
      <c r="M193" s="330"/>
      <c r="N193" s="1670"/>
      <c r="O193" s="1670"/>
    </row>
    <row s="2871" customFormat="1" customHeight="1" ht="18.75" hidden="1">
      <c r="A194" s="1830" t="s">
        <v>217</v>
      </c>
      <c r="B194" s="369"/>
      <c r="C194" s="2315"/>
      <c r="D194" s="2041"/>
      <c r="E194" s="2145" t="str">
        <f>INDEX(PT_DIFFERENTIATION_VTAR,MATCH(A194,PT_DIFFERENTIATION_VTAR_ID,0))</f>
        <v>Тариф на техническую воду</v>
      </c>
      <c r="F194" s="2145" t="str">
        <f>INDEX(PT_DIFFERENTIATION_VDET,MATCH(A194,PT_DIFFERENTIATION_VTAR_ID,0))</f>
        <v/>
      </c>
      <c r="G194" s="1816"/>
      <c r="H194" s="1785"/>
      <c r="I194" s="1823"/>
      <c r="J194" s="1828"/>
      <c r="K194" s="1815" t="s">
        <v>293</v>
      </c>
      <c r="L194" s="337"/>
      <c r="M194" s="330"/>
      <c r="N194" s="1670"/>
      <c r="O194" s="1670"/>
    </row>
    <row s="2871" customFormat="1" customHeight="1" ht="18.75" hidden="1">
      <c r="A195" s="1830"/>
      <c r="B195" s="369" t="s">
        <v>1672</v>
      </c>
      <c r="C195" s="2315"/>
      <c r="D195" s="2041"/>
      <c r="E195" s="2145"/>
      <c r="F195" s="2145"/>
      <c r="G195" s="406"/>
      <c r="H195" s="401" t="s">
        <v>1568</v>
      </c>
      <c r="I195" s="345"/>
      <c r="J195" s="407"/>
      <c r="K195" s="187"/>
      <c r="L195" s="337"/>
      <c r="M195" s="330"/>
      <c r="N195" s="1670"/>
      <c r="O195" s="1670"/>
    </row>
    <row s="2871" customFormat="1" customHeight="1" ht="18.75" hidden="1">
      <c r="A196" s="1830" t="s">
        <v>222</v>
      </c>
      <c r="B196" s="369"/>
      <c r="C196" s="2315"/>
      <c r="D196" s="2041"/>
      <c r="E196" s="2145" t="str">
        <f>INDEX(PT_DIFFERENTIATION_VTAR,MATCH(A196,PT_DIFFERENTIATION_VTAR_ID,0))</f>
        <v>Тариф на транспортировку воды</v>
      </c>
      <c r="F196" s="2145" t="str">
        <f>INDEX(PT_DIFFERENTIATION_VDET,MATCH(A196,PT_DIFFERENTIATION_VTAR_ID,0))</f>
        <v/>
      </c>
      <c r="G196" s="1816"/>
      <c r="H196" s="1785"/>
      <c r="I196" s="1823"/>
      <c r="J196" s="1828"/>
      <c r="K196" s="1815" t="s">
        <v>293</v>
      </c>
      <c r="L196" s="337"/>
      <c r="M196" s="330"/>
      <c r="N196" s="1670"/>
      <c r="O196" s="1670"/>
    </row>
    <row s="2871" customFormat="1" customHeight="1" ht="18.75" hidden="1">
      <c r="A197" s="1830"/>
      <c r="B197" s="369" t="s">
        <v>1672</v>
      </c>
      <c r="C197" s="2315"/>
      <c r="D197" s="2041"/>
      <c r="E197" s="2145"/>
      <c r="F197" s="2145"/>
      <c r="G197" s="406"/>
      <c r="H197" s="401" t="s">
        <v>1568</v>
      </c>
      <c r="I197" s="345"/>
      <c r="J197" s="407"/>
      <c r="K197" s="187"/>
      <c r="L197" s="337"/>
      <c r="M197" s="330"/>
      <c r="N197" s="1670"/>
      <c r="O197" s="1670"/>
    </row>
    <row s="2871" customFormat="1" customHeight="1" ht="18.75" hidden="1">
      <c r="A198" s="1830" t="s">
        <v>227</v>
      </c>
      <c r="B198" s="369"/>
      <c r="C198" s="2315"/>
      <c r="D198" s="2041"/>
      <c r="E198" s="2145" t="str">
        <f>INDEX(PT_DIFFERENTIATION_VTAR,MATCH(A198,PT_DIFFERENTIATION_VTAR_ID,0))</f>
        <v>Тариф на подвоз воды</v>
      </c>
      <c r="F198" s="2145" t="str">
        <f>INDEX(PT_DIFFERENTIATION_VDET,MATCH(A198,PT_DIFFERENTIATION_VTAR_ID,0))</f>
        <v/>
      </c>
      <c r="G198" s="1816"/>
      <c r="H198" s="1785"/>
      <c r="I198" s="1823"/>
      <c r="J198" s="1828"/>
      <c r="K198" s="1815" t="s">
        <v>293</v>
      </c>
      <c r="L198" s="337"/>
      <c r="M198" s="330"/>
      <c r="N198" s="1670"/>
      <c r="O198" s="1670"/>
    </row>
    <row s="2871" customFormat="1" customHeight="1" ht="18.75" hidden="1">
      <c r="A199" s="1830"/>
      <c r="B199" s="369" t="s">
        <v>1672</v>
      </c>
      <c r="C199" s="2315"/>
      <c r="D199" s="2041"/>
      <c r="E199" s="2145"/>
      <c r="F199" s="2145"/>
      <c r="G199" s="406"/>
      <c r="H199" s="401" t="s">
        <v>1568</v>
      </c>
      <c r="I199" s="345"/>
      <c r="J199" s="407"/>
      <c r="K199" s="187"/>
      <c r="L199" s="337"/>
      <c r="M199" s="330"/>
      <c r="N199" s="1670"/>
      <c r="O199" s="1670"/>
    </row>
    <row s="2871" customFormat="1" customHeight="1" ht="18.75" hidden="1">
      <c r="A200" s="1830" t="s">
        <v>232</v>
      </c>
      <c r="B200" s="369"/>
      <c r="C200" s="2315"/>
      <c r="D200" s="2041"/>
      <c r="E200" s="2145"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45" t="str">
        <f>INDEX(PT_DIFFERENTIATION_VDET,MATCH(A200,PT_DIFFERENTIATION_VTAR_ID,0))</f>
        <v/>
      </c>
      <c r="G200" s="1816"/>
      <c r="H200" s="1785"/>
      <c r="I200" s="1823"/>
      <c r="J200" s="1828"/>
      <c r="K200" s="1815" t="s">
        <v>293</v>
      </c>
      <c r="L200" s="337"/>
      <c r="M200" s="330"/>
      <c r="N200" s="1670"/>
      <c r="O200" s="1670"/>
    </row>
    <row s="2871" customFormat="1" customHeight="1" ht="18.75" hidden="1">
      <c r="A201" s="1830"/>
      <c r="B201" s="369" t="s">
        <v>1672</v>
      </c>
      <c r="C201" s="2315"/>
      <c r="D201" s="2041"/>
      <c r="E201" s="2145"/>
      <c r="F201" s="2145"/>
      <c r="G201" s="406"/>
      <c r="H201" s="401" t="s">
        <v>1568</v>
      </c>
      <c r="I201" s="345"/>
      <c r="J201" s="407"/>
      <c r="K201" s="187"/>
      <c r="L201" s="337"/>
      <c r="M201" s="330"/>
      <c r="N201" s="1670"/>
      <c r="O201" s="1670"/>
    </row>
    <row s="2871" customFormat="1" customHeight="1" ht="18.75" hidden="1">
      <c r="A202" s="1830" t="s">
        <v>237</v>
      </c>
      <c r="B202" s="369"/>
      <c r="C202" s="2315"/>
      <c r="D202" s="2041"/>
      <c r="E202" s="2145" t="str">
        <f>INDEX(PT_DIFFERENTIATION_VTAR,MATCH(A202,PT_DIFFERENTIATION_VTAR_ID,0))</f>
        <v>Тариф на горячую воду (горячее водоснабжение)</v>
      </c>
      <c r="F202" s="2145" t="str">
        <f>INDEX(PT_DIFFERENTIATION_VDET,MATCH(A202,PT_DIFFERENTIATION_VTAR_ID,0))</f>
        <v/>
      </c>
      <c r="G202" s="1816"/>
      <c r="H202" s="1785"/>
      <c r="I202" s="1823"/>
      <c r="J202" s="1828"/>
      <c r="K202" s="1815" t="s">
        <v>293</v>
      </c>
      <c r="L202" s="337"/>
      <c r="M202" s="330"/>
      <c r="N202" s="1670"/>
      <c r="O202" s="1670"/>
    </row>
    <row s="2871" customFormat="1" customHeight="1" ht="18.75" hidden="1">
      <c r="A203" s="1830"/>
      <c r="B203" s="369" t="s">
        <v>1672</v>
      </c>
      <c r="C203" s="2315"/>
      <c r="D203" s="2041"/>
      <c r="E203" s="2145"/>
      <c r="F203" s="2145"/>
      <c r="G203" s="406"/>
      <c r="H203" s="401" t="s">
        <v>1568</v>
      </c>
      <c r="I203" s="345"/>
      <c r="J203" s="407"/>
      <c r="K203" s="187"/>
      <c r="L203" s="337"/>
      <c r="M203" s="330"/>
      <c r="N203" s="1670"/>
      <c r="O203" s="1670"/>
    </row>
    <row s="2871" customFormat="1" customHeight="1" ht="18.75" hidden="1">
      <c r="A204" s="1830" t="s">
        <v>242</v>
      </c>
      <c r="B204" s="369"/>
      <c r="C204" s="2315"/>
      <c r="D204" s="2041"/>
      <c r="E204" s="2145" t="str">
        <f>INDEX(PT_DIFFERENTIATION_VTAR,MATCH(A204,PT_DIFFERENTIATION_VTAR_ID,0))</f>
        <v>Тариф на транспортировку горячей воды</v>
      </c>
      <c r="F204" s="2145" t="str">
        <f>INDEX(PT_DIFFERENTIATION_VDET,MATCH(A204,PT_DIFFERENTIATION_VTAR_ID,0))</f>
        <v/>
      </c>
      <c r="G204" s="1816"/>
      <c r="H204" s="1785"/>
      <c r="I204" s="1823"/>
      <c r="J204" s="1828"/>
      <c r="K204" s="1815" t="s">
        <v>293</v>
      </c>
      <c r="L204" s="337"/>
      <c r="M204" s="330"/>
      <c r="N204" s="1670"/>
      <c r="O204" s="1670"/>
    </row>
    <row s="2871" customFormat="1" customHeight="1" ht="18.75" hidden="1">
      <c r="A205" s="1830"/>
      <c r="B205" s="369" t="s">
        <v>1672</v>
      </c>
      <c r="C205" s="2315"/>
      <c r="D205" s="2041"/>
      <c r="E205" s="2145"/>
      <c r="F205" s="2145"/>
      <c r="G205" s="406"/>
      <c r="H205" s="401" t="s">
        <v>1568</v>
      </c>
      <c r="I205" s="345"/>
      <c r="J205" s="407"/>
      <c r="K205" s="187"/>
      <c r="L205" s="337"/>
      <c r="M205" s="330"/>
      <c r="N205" s="1670"/>
      <c r="O205" s="1670"/>
    </row>
    <row s="2871" customFormat="1" customHeight="1" ht="18.75" hidden="1">
      <c r="A206" s="1830" t="s">
        <v>247</v>
      </c>
      <c r="B206" s="369"/>
      <c r="C206" s="2315"/>
      <c r="D206" s="2041"/>
      <c r="E206" s="2145"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45" t="str">
        <f>INDEX(PT_DIFFERENTIATION_VDET,MATCH(A206,PT_DIFFERENTIATION_VTAR_ID,0))</f>
        <v/>
      </c>
      <c r="G206" s="1816"/>
      <c r="H206" s="1785"/>
      <c r="I206" s="1823"/>
      <c r="J206" s="1828"/>
      <c r="K206" s="1815" t="s">
        <v>293</v>
      </c>
      <c r="L206" s="337"/>
      <c r="M206" s="330"/>
      <c r="N206" s="1670"/>
      <c r="O206" s="1670"/>
    </row>
    <row s="2871" customFormat="1" customHeight="1" ht="18.75" hidden="1">
      <c r="A207" s="1830"/>
      <c r="B207" s="369" t="s">
        <v>1672</v>
      </c>
      <c r="C207" s="2315"/>
      <c r="D207" s="2041"/>
      <c r="E207" s="2145"/>
      <c r="F207" s="2145"/>
      <c r="G207" s="406"/>
      <c r="H207" s="401" t="s">
        <v>1568</v>
      </c>
      <c r="I207" s="345"/>
      <c r="J207" s="407"/>
      <c r="K207" s="187"/>
      <c r="L207" s="337"/>
      <c r="M207" s="330"/>
      <c r="N207" s="1670"/>
      <c r="O207" s="1670"/>
    </row>
    <row s="2871" customFormat="1" customHeight="1" ht="18.75" hidden="1">
      <c r="A208" s="1830" t="s">
        <v>252</v>
      </c>
      <c r="B208" s="369"/>
      <c r="C208" s="2315"/>
      <c r="D208" s="2041"/>
      <c r="E208" s="2145" t="str">
        <f>INDEX(PT_DIFFERENTIATION_VTAR,MATCH(A208,PT_DIFFERENTIATION_VTAR_ID,0))</f>
        <v>Тариф на водоотведение</v>
      </c>
      <c r="F208" s="2145" t="str">
        <f>INDEX(PT_DIFFERENTIATION_VDET,MATCH(A208,PT_DIFFERENTIATION_VTAR_ID,0))</f>
        <v/>
      </c>
      <c r="G208" s="1816"/>
      <c r="H208" s="1785"/>
      <c r="I208" s="1823"/>
      <c r="J208" s="1828"/>
      <c r="K208" s="1815" t="s">
        <v>293</v>
      </c>
      <c r="L208" s="337"/>
      <c r="M208" s="330"/>
      <c r="N208" s="1670"/>
      <c r="O208" s="1670"/>
    </row>
    <row s="2871" customFormat="1" customHeight="1" ht="18.75" hidden="1">
      <c r="A209" s="1830"/>
      <c r="B209" s="369" t="s">
        <v>1672</v>
      </c>
      <c r="C209" s="2315"/>
      <c r="D209" s="2041"/>
      <c r="E209" s="2145"/>
      <c r="F209" s="2145"/>
      <c r="G209" s="406"/>
      <c r="H209" s="401" t="s">
        <v>1568</v>
      </c>
      <c r="I209" s="345"/>
      <c r="J209" s="407"/>
      <c r="K209" s="187"/>
      <c r="L209" s="337"/>
      <c r="M209" s="330"/>
      <c r="N209" s="1670"/>
      <c r="O209" s="1670"/>
    </row>
    <row s="2871" customFormat="1" customHeight="1" ht="18.75" hidden="1">
      <c r="A210" s="1830" t="s">
        <v>257</v>
      </c>
      <c r="B210" s="369"/>
      <c r="C210" s="2315"/>
      <c r="D210" s="2041"/>
      <c r="E210" s="2145" t="str">
        <f>INDEX(PT_DIFFERENTIATION_VTAR,MATCH(A210,PT_DIFFERENTIATION_VTAR_ID,0))</f>
        <v>Тариф на транспортировку сточных вод</v>
      </c>
      <c r="F210" s="2145" t="str">
        <f>INDEX(PT_DIFFERENTIATION_VDET,MATCH(A210,PT_DIFFERENTIATION_VTAR_ID,0))</f>
        <v/>
      </c>
      <c r="G210" s="1816"/>
      <c r="H210" s="1785"/>
      <c r="I210" s="1823"/>
      <c r="J210" s="1828"/>
      <c r="K210" s="1815" t="s">
        <v>293</v>
      </c>
      <c r="L210" s="337"/>
      <c r="M210" s="330"/>
      <c r="N210" s="1670"/>
      <c r="O210" s="1670"/>
    </row>
    <row s="2871" customFormat="1" customHeight="1" ht="18.75" hidden="1">
      <c r="A211" s="1830"/>
      <c r="B211" s="369" t="s">
        <v>1672</v>
      </c>
      <c r="C211" s="2315"/>
      <c r="D211" s="2041"/>
      <c r="E211" s="2145"/>
      <c r="F211" s="2145"/>
      <c r="G211" s="406"/>
      <c r="H211" s="401" t="s">
        <v>1568</v>
      </c>
      <c r="I211" s="345"/>
      <c r="J211" s="407"/>
      <c r="K211" s="187"/>
      <c r="L211" s="337"/>
      <c r="M211" s="330"/>
      <c r="N211" s="1670"/>
      <c r="O211" s="1670"/>
    </row>
    <row s="2871" customFormat="1" customHeight="1" ht="18.75" hidden="1">
      <c r="A212" s="1830" t="s">
        <v>262</v>
      </c>
      <c r="B212" s="369"/>
      <c r="C212" s="2315"/>
      <c r="D212" s="2041"/>
      <c r="E212" s="2145" t="str">
        <f>INDEX(PT_DIFFERENTIATION_VTAR,MATCH(A212,PT_DIFFERENTIATION_VTAR_ID,0))</f>
        <v>Тариф на подключение (технологическое присоединение) к централизованной системе водоотведения</v>
      </c>
      <c r="F212" s="2145" t="str">
        <f>INDEX(PT_DIFFERENTIATION_VDET,MATCH(A212,PT_DIFFERENTIATION_VTAR_ID,0))</f>
        <v/>
      </c>
      <c r="G212" s="1816"/>
      <c r="H212" s="1785"/>
      <c r="I212" s="1823"/>
      <c r="J212" s="1828"/>
      <c r="K212" s="1815" t="s">
        <v>293</v>
      </c>
      <c r="L212" s="337"/>
      <c r="M212" s="330"/>
      <c r="N212" s="1670"/>
      <c r="O212" s="1670"/>
    </row>
    <row s="2871" customFormat="1" customHeight="1" ht="18.75" hidden="1">
      <c r="A213" s="1830"/>
      <c r="B213" s="369" t="s">
        <v>1672</v>
      </c>
      <c r="C213" s="2315"/>
      <c r="D213" s="2041"/>
      <c r="E213" s="2145"/>
      <c r="F213" s="2145"/>
      <c r="G213" s="406"/>
      <c r="H213" s="401" t="s">
        <v>1568</v>
      </c>
      <c r="I213" s="345"/>
      <c r="J213" s="407"/>
      <c r="K213" s="187"/>
      <c r="L213" s="337"/>
      <c r="M213" s="330"/>
      <c r="N213" s="1670"/>
      <c r="O213" s="1670"/>
    </row>
    <row s="4096" customFormat="1" customHeight="1" ht="3">
      <c r="A214" s="1830"/>
      <c r="B214" s="1831"/>
      <c r="D214" s="409"/>
      <c r="E214" s="409"/>
      <c r="F214" s="409"/>
      <c r="G214" s="409"/>
      <c r="H214" s="409"/>
      <c r="I214" s="409"/>
      <c r="J214" s="409"/>
      <c r="K214" s="409"/>
      <c r="L214" s="409"/>
      <c r="N214" s="182"/>
      <c r="O214" s="182"/>
    </row>
    <row customHeight="1" ht="24.75">
      <c r="D215" s="188"/>
      <c r="E215" s="2218"/>
      <c r="F215" s="2218"/>
      <c r="G215" s="2218"/>
      <c r="H215" s="2218"/>
      <c r="I215" s="2218"/>
      <c r="J215" s="2218"/>
      <c r="K215" s="2218"/>
      <c r="L215" s="2218"/>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6A887-01BD-79F6-6ED6-E6957244B57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30" width="19.140625" hidden="1" customWidth="1"/>
    <col min="13" max="14" style="3618" width="12.28125" hidden="1" customWidth="1"/>
    <col min="15" max="15" style="3618" width="23.421875" hidden="1" customWidth="1"/>
    <col min="16" max="16" style="4240"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61">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59"/>
      <c r="Q3" s="348"/>
      <c r="R3" s="349"/>
      <c r="S3" s="1461">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61">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58"/>
      <c r="R5" s="352"/>
      <c r="S5" s="1461">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61">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61">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60"/>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58"/>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62"/>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57"/>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57"/>
      <c r="M19" s="1398"/>
      <c r="N19" s="1398"/>
      <c r="O19" s="1398"/>
      <c r="P19" s="1398"/>
      <c r="Q19" s="1407"/>
      <c r="R19" s="1407"/>
      <c r="S19" s="738"/>
      <c r="AB19" s="1402"/>
      <c r="AI19" s="1402"/>
      <c r="AL19" s="519"/>
      <c r="AM19" s="519"/>
      <c r="AN19" s="519"/>
      <c r="AO19" s="519"/>
      <c r="AP19" s="519"/>
    </row>
    <row s="3145" customFormat="1" customHeight="1" ht="12" hidden="1">
      <c r="L20" s="1457"/>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388" t="s">
        <v>1681</v>
      </c>
      <c r="W38" s="2195" t="s">
        <v>492</v>
      </c>
      <c r="X38" s="2196"/>
      <c r="Y38" s="2195" t="s">
        <v>493</v>
      </c>
      <c r="Z38" s="2202"/>
      <c r="AA38" s="2196"/>
      <c r="AB38" s="2211"/>
      <c r="AC38" s="13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388" t="s">
        <v>1684</v>
      </c>
      <c r="W39" s="1243" t="s">
        <v>1685</v>
      </c>
      <c r="X39" s="1243" t="s">
        <v>1686</v>
      </c>
      <c r="Y39" s="1393" t="s">
        <v>503</v>
      </c>
      <c r="Z39" s="2203" t="s">
        <v>504</v>
      </c>
      <c r="AA39" s="2204"/>
      <c r="AB39" s="2212"/>
      <c r="AC39" s="1388" t="s">
        <v>1684</v>
      </c>
      <c r="AD39" s="1243" t="s">
        <v>1685</v>
      </c>
      <c r="AE39" s="1243" t="s">
        <v>1686</v>
      </c>
      <c r="AF39" s="1393"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389">
        <f>OFFSET(V40,0,-1)+1</f>
        <v>3</v>
      </c>
      <c r="W40" s="1389">
        <f>OFFSET(W40,0,-1)+1</f>
        <v>4</v>
      </c>
      <c r="X40" s="1389">
        <f>OFFSET(X40,0,-1)+1</f>
        <v>5</v>
      </c>
      <c r="Y40" s="1389">
        <f>OFFSET(Y40,0,-1)+1</f>
        <v>6</v>
      </c>
      <c r="Z40" s="2205">
        <f>OFFSET(Z40,0,-1)+1</f>
        <v>7</v>
      </c>
      <c r="AA40" s="2205"/>
      <c r="AB40" s="1389">
        <f>OFFSET(AB40,0,-2)+1</f>
        <v>8</v>
      </c>
      <c r="AC40" s="1389">
        <f>OFFSET(AC40,0,-1)+1</f>
        <v>9</v>
      </c>
      <c r="AD40" s="1389">
        <f>OFFSET(AD40,0,-1)+1</f>
        <v>10</v>
      </c>
      <c r="AE40" s="1389">
        <f>OFFSET(AE40,0,-1)+1</f>
        <v>11</v>
      </c>
      <c r="AF40" s="1389">
        <f>OFFSET(AF40,0,-1)+1</f>
        <v>12</v>
      </c>
      <c r="AG40" s="2205">
        <f>OFFSET(AG40,0,-1)+1</f>
        <v>13</v>
      </c>
      <c r="AH40" s="2205"/>
      <c r="AI40" s="1389">
        <f>OFFSET(AI40,0,-2)+1</f>
        <v>14</v>
      </c>
      <c r="AJ40" s="1269">
        <f>OFFSET(AJ40,0,-1)</f>
        <v>14</v>
      </c>
      <c r="AK40" s="1389">
        <f>OFFSET(AK40,0,-1)+1</f>
        <v>15</v>
      </c>
      <c r="AL40" s="519"/>
      <c r="AM40" s="519"/>
      <c r="AN40" s="519"/>
      <c r="AO40" s="519"/>
      <c r="AP40" s="519"/>
    </row>
    <row customHeight="1" ht="23.25">
      <c r="A41" s="1399" t="s">
        <v>213</v>
      </c>
      <c r="B41" s="1399"/>
      <c r="C41" s="1399"/>
      <c r="D41" s="1399"/>
      <c r="E41" s="2191">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213</v>
      </c>
      <c r="B42" s="1399" t="s">
        <v>214</v>
      </c>
      <c r="C42" s="1399"/>
      <c r="D42" s="1399"/>
      <c r="E42" s="2192"/>
      <c r="F42" s="2191">
        <v>1</v>
      </c>
      <c r="G42" s="1399"/>
      <c r="H42" s="1399"/>
      <c r="I42" s="1399"/>
      <c r="J42" s="1399"/>
      <c r="K42" s="1399"/>
      <c r="L42" s="1400"/>
      <c r="M42" s="1401"/>
      <c r="N42" s="1401"/>
      <c r="O42" s="1401"/>
      <c r="P42" s="1392"/>
      <c r="Q42" s="348"/>
      <c r="R42" s="349"/>
      <c r="S42" s="1394"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213</v>
      </c>
      <c r="B43" s="1399" t="s">
        <v>214</v>
      </c>
      <c r="C43" s="1399" t="s">
        <v>215</v>
      </c>
      <c r="D43" s="1399"/>
      <c r="E43" s="2192"/>
      <c r="F43" s="2192"/>
      <c r="G43" s="2191">
        <v>1</v>
      </c>
      <c r="H43" s="1399"/>
      <c r="I43" s="1399"/>
      <c r="J43" s="1399"/>
      <c r="K43" s="1399"/>
      <c r="L43" s="1400"/>
      <c r="M43" s="1401"/>
      <c r="N43" s="1401"/>
      <c r="O43" s="1401"/>
      <c r="P43" s="350"/>
      <c r="Q43" s="348"/>
      <c r="R43" s="349"/>
      <c r="S43" s="1394"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213</v>
      </c>
      <c r="B44" s="1399" t="s">
        <v>214</v>
      </c>
      <c r="C44" s="1399" t="s">
        <v>215</v>
      </c>
      <c r="D44" s="1399" t="s">
        <v>1687</v>
      </c>
      <c r="E44" s="2192"/>
      <c r="F44" s="2192"/>
      <c r="G44" s="2192"/>
      <c r="H44" s="2192"/>
      <c r="I44" s="2189" t="str">
        <f>S43&amp;".1"</f>
        <v>...1</v>
      </c>
      <c r="J44" s="1399"/>
      <c r="K44" s="1399"/>
      <c r="L44" s="1400"/>
      <c r="P44" s="2190">
        <v>1</v>
      </c>
      <c r="Q44" s="1390"/>
      <c r="R44" s="352"/>
      <c r="S44" s="1394"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213</v>
      </c>
      <c r="B45" s="1399" t="s">
        <v>214</v>
      </c>
      <c r="C45" s="1399" t="s">
        <v>215</v>
      </c>
      <c r="D45" s="1399" t="s">
        <v>1687</v>
      </c>
      <c r="E45" s="2192"/>
      <c r="F45" s="2192"/>
      <c r="G45" s="2192"/>
      <c r="H45" s="2192"/>
      <c r="I45" s="2219"/>
      <c r="J45" s="2189" t="str">
        <f>I44&amp;".1"</f>
        <v>...1.1</v>
      </c>
      <c r="K45" s="1399"/>
      <c r="L45" s="1400" t="s">
        <v>466</v>
      </c>
      <c r="P45" s="2190"/>
      <c r="Q45" s="2190">
        <v>1</v>
      </c>
      <c r="R45" s="353"/>
      <c r="S45" s="1394"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213</v>
      </c>
      <c r="B46" s="1399" t="s">
        <v>214</v>
      </c>
      <c r="C46" s="1399" t="s">
        <v>215</v>
      </c>
      <c r="D46" s="1399" t="s">
        <v>1687</v>
      </c>
      <c r="E46" s="2192"/>
      <c r="F46" s="2192"/>
      <c r="G46" s="2192"/>
      <c r="H46" s="2192"/>
      <c r="I46" s="2219"/>
      <c r="J46" s="2219"/>
      <c r="K46" s="2189" t="str">
        <f>J45&amp;".1"</f>
        <v>...1.1.1</v>
      </c>
      <c r="L46" s="1400"/>
      <c r="P46" s="2190"/>
      <c r="Q46" s="2190"/>
      <c r="R46" s="353">
        <v>1</v>
      </c>
      <c r="S46" s="1394"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213</v>
      </c>
      <c r="B47" s="1399" t="s">
        <v>214</v>
      </c>
      <c r="C47" s="1399" t="s">
        <v>215</v>
      </c>
      <c r="D47" s="1399" t="s">
        <v>1687</v>
      </c>
      <c r="E47" s="2192"/>
      <c r="F47" s="2192"/>
      <c r="G47" s="2192"/>
      <c r="H47" s="2192"/>
      <c r="I47" s="2219"/>
      <c r="J47" s="2219"/>
      <c r="K47" s="2189"/>
      <c r="L47" s="1400"/>
      <c r="P47" s="2190"/>
      <c r="Q47" s="2190"/>
      <c r="R47" s="353"/>
      <c r="S47" s="1395"/>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213</v>
      </c>
      <c r="B48" s="1399" t="s">
        <v>214</v>
      </c>
      <c r="C48" s="1399" t="s">
        <v>215</v>
      </c>
      <c r="D48" s="1399" t="s">
        <v>1687</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213</v>
      </c>
      <c r="B49" s="1399" t="s">
        <v>214</v>
      </c>
      <c r="C49" s="1399" t="s">
        <v>215</v>
      </c>
      <c r="D49" s="1399" t="s">
        <v>1687</v>
      </c>
      <c r="E49" s="2192"/>
      <c r="F49" s="2192"/>
      <c r="G49" s="2192"/>
      <c r="H49" s="2192"/>
      <c r="I49" s="2189"/>
      <c r="J49" s="1399"/>
      <c r="K49" s="1399"/>
      <c r="L49" s="1400"/>
      <c r="P49" s="2190"/>
      <c r="Q49" s="1390"/>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213</v>
      </c>
      <c r="B50" s="1399" t="s">
        <v>214</v>
      </c>
      <c r="C50" s="1399" t="s">
        <v>215</v>
      </c>
      <c r="D50" s="1399" t="s">
        <v>1687</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213</v>
      </c>
      <c r="B51" s="1379" t="s">
        <v>214</v>
      </c>
      <c r="C51" s="1350"/>
      <c r="D51" s="1350"/>
      <c r="E51" s="2192"/>
      <c r="F51" s="2191"/>
      <c r="G51" s="1350"/>
      <c r="H51" s="1350"/>
      <c r="I51" s="1350"/>
      <c r="J51" s="1350"/>
      <c r="K51" s="1350"/>
      <c r="L51" s="1462"/>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34ACD-3815-3CDF-CA1B-3E3DEEF736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218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218</v>
      </c>
      <c r="B42" s="1399" t="s">
        <v>219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218</v>
      </c>
      <c r="B43" s="1399" t="s">
        <v>219</v>
      </c>
      <c r="C43" s="1399" t="s">
        <v>220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218</v>
      </c>
      <c r="B44" s="1399" t="s">
        <v>219</v>
      </c>
      <c r="C44" s="1399" t="s">
        <v>220</v>
      </c>
      <c r="D44" s="1399" t="s">
        <v>1690</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218</v>
      </c>
      <c r="B45" s="1399" t="s">
        <v>219</v>
      </c>
      <c r="C45" s="1399" t="s">
        <v>220</v>
      </c>
      <c r="D45" s="1399" t="s">
        <v>1690</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218</v>
      </c>
      <c r="B46" s="1399" t="s">
        <v>219</v>
      </c>
      <c r="C46" s="1399" t="s">
        <v>220</v>
      </c>
      <c r="D46" s="1399" t="s">
        <v>1690</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218</v>
      </c>
      <c r="B47" s="1399" t="s">
        <v>219</v>
      </c>
      <c r="C47" s="1399" t="s">
        <v>220</v>
      </c>
      <c r="D47" s="1399" t="s">
        <v>1690</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218</v>
      </c>
      <c r="B48" s="1399" t="s">
        <v>219</v>
      </c>
      <c r="C48" s="1399" t="s">
        <v>220</v>
      </c>
      <c r="D48" s="1399" t="s">
        <v>1690</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218</v>
      </c>
      <c r="B49" s="1399" t="s">
        <v>219</v>
      </c>
      <c r="C49" s="1399" t="s">
        <v>220</v>
      </c>
      <c r="D49" s="1399" t="s">
        <v>1690</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218</v>
      </c>
      <c r="B50" s="1399" t="s">
        <v>219</v>
      </c>
      <c r="C50" s="1399" t="s">
        <v>220</v>
      </c>
      <c r="D50" s="1399" t="s">
        <v>1690</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218</v>
      </c>
      <c r="B51" s="1379" t="s">
        <v>219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F76DC-208D-C789-0DF9-3C6537A4FE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223</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223</v>
      </c>
      <c r="B42" s="1399" t="s">
        <v>224</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223</v>
      </c>
      <c r="B43" s="1399" t="s">
        <v>224</v>
      </c>
      <c r="C43" s="1399" t="s">
        <v>225</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223</v>
      </c>
      <c r="B44" s="1399" t="s">
        <v>224</v>
      </c>
      <c r="C44" s="1399" t="s">
        <v>225</v>
      </c>
      <c r="D44" s="1399" t="s">
        <v>1691</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223</v>
      </c>
      <c r="B45" s="1399" t="s">
        <v>224</v>
      </c>
      <c r="C45" s="1399" t="s">
        <v>225</v>
      </c>
      <c r="D45" s="1399" t="s">
        <v>1691</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223</v>
      </c>
      <c r="B46" s="1399" t="s">
        <v>224</v>
      </c>
      <c r="C46" s="1399" t="s">
        <v>225</v>
      </c>
      <c r="D46" s="1399" t="s">
        <v>1691</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223</v>
      </c>
      <c r="B47" s="1399" t="s">
        <v>224</v>
      </c>
      <c r="C47" s="1399" t="s">
        <v>225</v>
      </c>
      <c r="D47" s="1399" t="s">
        <v>1691</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223</v>
      </c>
      <c r="B48" s="1399" t="s">
        <v>224</v>
      </c>
      <c r="C48" s="1399" t="s">
        <v>225</v>
      </c>
      <c r="D48" s="1399" t="s">
        <v>1691</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223</v>
      </c>
      <c r="B49" s="1399" t="s">
        <v>224</v>
      </c>
      <c r="C49" s="1399" t="s">
        <v>225</v>
      </c>
      <c r="D49" s="1399" t="s">
        <v>1691</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223</v>
      </c>
      <c r="B50" s="1399" t="s">
        <v>224</v>
      </c>
      <c r="C50" s="1399" t="s">
        <v>225</v>
      </c>
      <c r="D50" s="1399" t="s">
        <v>1691</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223</v>
      </c>
      <c r="B51" s="1379" t="s">
        <v>224</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223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5DBB-8991-CDA6-8BE7-96CA5E33621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228</v>
      </c>
      <c r="B42" s="1399" t="s">
        <v>229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228</v>
      </c>
      <c r="B43" s="1399" t="s">
        <v>229</v>
      </c>
      <c r="C43" s="1399" t="s">
        <v>230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228</v>
      </c>
      <c r="B44" s="1399" t="s">
        <v>229</v>
      </c>
      <c r="C44" s="1399" t="s">
        <v>230</v>
      </c>
      <c r="D44" s="1399" t="s">
        <v>1692</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228</v>
      </c>
      <c r="B45" s="1399" t="s">
        <v>229</v>
      </c>
      <c r="C45" s="1399" t="s">
        <v>230</v>
      </c>
      <c r="D45" s="1399" t="s">
        <v>1692</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228</v>
      </c>
      <c r="B46" s="1399" t="s">
        <v>229</v>
      </c>
      <c r="C46" s="1399" t="s">
        <v>230</v>
      </c>
      <c r="D46" s="1399" t="s">
        <v>1692</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228</v>
      </c>
      <c r="B47" s="1399" t="s">
        <v>229</v>
      </c>
      <c r="C47" s="1399" t="s">
        <v>230</v>
      </c>
      <c r="D47" s="1399" t="s">
        <v>1692</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228</v>
      </c>
      <c r="B48" s="1399" t="s">
        <v>229</v>
      </c>
      <c r="C48" s="1399" t="s">
        <v>230</v>
      </c>
      <c r="D48" s="1399" t="s">
        <v>1692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228</v>
      </c>
      <c r="B49" s="1399" t="s">
        <v>229</v>
      </c>
      <c r="C49" s="1399" t="s">
        <v>230</v>
      </c>
      <c r="D49" s="1399" t="s">
        <v>1692</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228</v>
      </c>
      <c r="B50" s="1399" t="s">
        <v>229</v>
      </c>
      <c r="C50" s="1399" t="s">
        <v>230</v>
      </c>
      <c r="D50" s="1399" t="s">
        <v>1692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228</v>
      </c>
      <c r="B51" s="1379" t="s">
        <v>229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228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023C3-9F4E-A137-377E-DD9D2680D58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273"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01">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01">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42" hidden="1">
      <c r="A4" s="1399"/>
      <c r="B4" s="1399"/>
      <c r="C4" s="1399"/>
      <c r="D4" s="1399"/>
      <c r="E4" s="2192"/>
      <c r="F4" s="2192"/>
      <c r="G4" s="2191">
        <v>1</v>
      </c>
      <c r="H4" s="1399"/>
      <c r="I4" s="1399"/>
      <c r="J4" s="1399"/>
      <c r="K4" s="1399"/>
      <c r="L4" s="1400"/>
      <c r="M4" s="1401"/>
      <c r="N4" s="1401"/>
      <c r="O4" s="1401"/>
      <c r="P4" s="1448"/>
      <c r="Q4" s="1447"/>
      <c r="R4" s="349"/>
      <c r="S4" s="1501">
        <f>INDEX(PT_DIFFERENTIATION_NUM_CS,MATCH(C4,PT_DIFFERENTIATION_CS_ID,0))</f>
      </c>
      <c r="T4" s="299" t="s">
        <v>1673</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1674</v>
      </c>
      <c r="BE4" s="508"/>
      <c r="BF4" s="508" t="str">
        <f>IF(T4="","",T4)</f>
        <v>Наименование централизованной системы холодного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498"/>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495" t="s">
        <v>58</v>
      </c>
      <c r="AB8" s="1780"/>
      <c r="AC8" s="1495" t="s">
        <v>58</v>
      </c>
      <c r="AD8" s="2022" t="s">
        <v>58</v>
      </c>
      <c r="AE8" s="2251"/>
      <c r="AF8" s="2042">
        <v>1</v>
      </c>
      <c r="AG8" s="2335"/>
      <c r="AH8" s="1946" t="s">
        <v>58</v>
      </c>
      <c r="AI8" s="2251"/>
      <c r="AJ8" s="2042">
        <v>1</v>
      </c>
      <c r="AK8" s="2334" t="s">
        <v>18</v>
      </c>
      <c r="AL8" s="1946" t="s">
        <v>58</v>
      </c>
      <c r="AM8" s="2029"/>
      <c r="AN8" s="2042">
        <v>1</v>
      </c>
      <c r="AO8" s="2328"/>
      <c r="AP8" s="2329" t="s">
        <v>58</v>
      </c>
      <c r="AQ8" s="301"/>
      <c r="AR8" s="1499">
        <v>1</v>
      </c>
      <c r="AS8" s="1502" t="s">
        <v>18</v>
      </c>
      <c r="AT8" s="760"/>
      <c r="AU8" s="1291"/>
      <c r="AV8" s="760"/>
      <c r="AW8" s="1291"/>
      <c r="AX8" s="1780"/>
      <c r="AY8" s="1495" t="s">
        <v>58</v>
      </c>
      <c r="AZ8" s="1780"/>
      <c r="BA8" s="149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0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496" t="s">
        <v>58</v>
      </c>
      <c r="AZ20" s="1782"/>
      <c r="BA20" s="1496"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484" t="s">
        <v>548</v>
      </c>
      <c r="W44" s="1484" t="s">
        <v>549</v>
      </c>
      <c r="X44" s="1484" t="s">
        <v>548</v>
      </c>
      <c r="Y44" s="1484" t="s">
        <v>549</v>
      </c>
      <c r="Z44" s="1491"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484" t="s">
        <v>548</v>
      </c>
      <c r="AU44" s="1484" t="s">
        <v>549</v>
      </c>
      <c r="AV44" s="1484" t="s">
        <v>548</v>
      </c>
      <c r="AW44" s="1484" t="s">
        <v>549</v>
      </c>
      <c r="AX44" s="1491" t="s">
        <v>503</v>
      </c>
      <c r="AY44" s="2203" t="s">
        <v>504</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487">
        <f>OFFSET(V45,0,-1)+1</f>
        <v>3</v>
      </c>
      <c r="W45" s="1487">
        <f>OFFSET(W45,0,-1)+1</f>
        <v>4</v>
      </c>
      <c r="X45" s="1487">
        <f>OFFSET(X45,0,-1)+1</f>
        <v>5</v>
      </c>
      <c r="Y45" s="1487">
        <f>OFFSET(Y45,0,-1)+1</f>
        <v>6</v>
      </c>
      <c r="Z45" s="1487">
        <f>OFFSET(Z45,0,-1)+1</f>
        <v>7</v>
      </c>
      <c r="AA45" s="2205">
        <f>OFFSET(AA45,0,-1)+1</f>
        <v>8</v>
      </c>
      <c r="AB45" s="220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05">
        <f>OFFSET(AY45,0,-1)+1</f>
        <v>3</v>
      </c>
      <c r="AZ45" s="2205"/>
      <c r="BA45" s="1487">
        <f>OFFSET(BA45,0,-2)+1</f>
        <v>4</v>
      </c>
      <c r="BB45" s="1269">
        <f>OFFSET(BB45,0,-1)</f>
        <v>4</v>
      </c>
      <c r="BC45" s="1487">
        <f>OFFSET(BC45,0,-1)+1</f>
        <v>5</v>
      </c>
      <c r="BD45" s="519"/>
      <c r="BE45" s="519"/>
      <c r="BF45" s="519"/>
      <c r="BG45" s="519"/>
      <c r="BH45" s="519"/>
    </row>
    <row customHeight="1" ht="21">
      <c r="A46" s="1399" t="s">
        <v>233</v>
      </c>
      <c r="B46" s="1399"/>
      <c r="C46" s="1399"/>
      <c r="D46" s="1399"/>
      <c r="E46" s="2191">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233</v>
      </c>
      <c r="B47" s="1399" t="s">
        <v>234</v>
      </c>
      <c r="C47" s="1399"/>
      <c r="D47" s="1399"/>
      <c r="E47" s="2192"/>
      <c r="F47" s="2191">
        <v>1</v>
      </c>
      <c r="G47" s="1399"/>
      <c r="H47" s="1399"/>
      <c r="I47" s="1399"/>
      <c r="J47" s="1399"/>
      <c r="K47" s="1399"/>
      <c r="L47" s="1400"/>
      <c r="M47" s="1401"/>
      <c r="N47" s="1401"/>
      <c r="O47" s="1401"/>
      <c r="P47" s="1446"/>
      <c r="Q47" s="1447"/>
      <c r="R47" s="349"/>
      <c r="S47" s="1493"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42">
      <c r="A48" s="1399" t="s">
        <v>233</v>
      </c>
      <c r="B48" s="1399" t="s">
        <v>234</v>
      </c>
      <c r="C48" s="1399" t="s">
        <v>235</v>
      </c>
      <c r="D48" s="1399"/>
      <c r="E48" s="2192"/>
      <c r="F48" s="2192"/>
      <c r="G48" s="2191">
        <v>1</v>
      </c>
      <c r="H48" s="1399"/>
      <c r="I48" s="1399"/>
      <c r="J48" s="1399"/>
      <c r="K48" s="1399"/>
      <c r="L48" s="1400"/>
      <c r="M48" s="1401"/>
      <c r="N48" s="1401"/>
      <c r="O48" s="1401"/>
      <c r="P48" s="1448"/>
      <c r="Q48" s="1447"/>
      <c r="R48" s="349"/>
      <c r="S48" s="1493" t="str">
        <f>INDEX(PT_DIFFERENTIATION_NUM_CS,MATCH(C48,PT_DIFFERENTIATION_CS_ID,0))</f>
        <v>..</v>
      </c>
      <c r="T48" s="299" t="s">
        <v>1673</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1674</v>
      </c>
      <c r="BE48" s="508"/>
      <c r="BF48" s="508" t="str">
        <f>IF(T48="","",T48)</f>
        <v>Наименование централизованной системы холодного водоснабжения</v>
      </c>
      <c r="BG48" s="508"/>
      <c r="BH48" s="508"/>
    </row>
    <row s="2587" customFormat="1" customHeight="1" ht="0">
      <c r="A49" s="1379" t="s">
        <v>233</v>
      </c>
      <c r="B49" s="1379" t="s">
        <v>234</v>
      </c>
      <c r="C49" s="1379" t="s">
        <v>235</v>
      </c>
      <c r="D49" s="1379" t="s">
        <v>1707</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233</v>
      </c>
      <c r="B50" s="1379" t="s">
        <v>234</v>
      </c>
      <c r="C50" s="1379" t="s">
        <v>235</v>
      </c>
      <c r="D50" s="1379" t="s">
        <v>1707</v>
      </c>
      <c r="E50" s="2192"/>
      <c r="F50" s="2192"/>
      <c r="G50" s="2192"/>
      <c r="H50" s="2192"/>
      <c r="I50" s="2189" t="str">
        <f>S49&amp;".1"</f>
        <v>.1</v>
      </c>
      <c r="J50" s="1379"/>
      <c r="K50" s="1379"/>
      <c r="L50" s="1382" t="s">
        <v>463</v>
      </c>
      <c r="M50" s="518"/>
      <c r="N50" s="518"/>
      <c r="O50" s="518"/>
      <c r="P50" s="2190">
        <v>1</v>
      </c>
      <c r="Q50" s="1498"/>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233</v>
      </c>
      <c r="B51" s="1379" t="s">
        <v>234</v>
      </c>
      <c r="C51" s="1379" t="s">
        <v>235</v>
      </c>
      <c r="D51" s="1379" t="s">
        <v>1707</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233</v>
      </c>
      <c r="B52" s="1399" t="s">
        <v>234</v>
      </c>
      <c r="C52" s="1399" t="s">
        <v>235</v>
      </c>
      <c r="D52" s="1399" t="s">
        <v>1707</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495" t="s">
        <v>58</v>
      </c>
      <c r="AB52" s="1780"/>
      <c r="AC52" s="149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499">
        <v>1</v>
      </c>
      <c r="AS52" s="1502" t="s">
        <v>18</v>
      </c>
      <c r="AT52" s="760"/>
      <c r="AU52" s="1291"/>
      <c r="AV52" s="760"/>
      <c r="AW52" s="1291"/>
      <c r="AX52" s="1780"/>
      <c r="AY52" s="1495" t="s">
        <v>58</v>
      </c>
      <c r="AZ52" s="1780"/>
      <c r="BA52" s="149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233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233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233</v>
      </c>
      <c r="B56" s="1399" t="s">
        <v>234</v>
      </c>
      <c r="C56" s="1399" t="s">
        <v>235</v>
      </c>
      <c r="D56" s="1399" t="s">
        <v>1707</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233</v>
      </c>
      <c r="B57" s="1399" t="s">
        <v>234</v>
      </c>
      <c r="C57" s="1399" t="s">
        <v>235</v>
      </c>
      <c r="D57" s="1399" t="s">
        <v>1707</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233</v>
      </c>
      <c r="B58" s="1379" t="s">
        <v>234</v>
      </c>
      <c r="C58" s="1379" t="s">
        <v>235</v>
      </c>
      <c r="D58" s="1379" t="s">
        <v>1707</v>
      </c>
      <c r="E58" s="2192"/>
      <c r="F58" s="2192"/>
      <c r="G58" s="2192"/>
      <c r="H58" s="2192"/>
      <c r="I58" s="2189"/>
      <c r="J58" s="1379"/>
      <c r="K58" s="1379"/>
      <c r="L58" s="1382"/>
      <c r="M58" s="518"/>
      <c r="N58" s="518"/>
      <c r="O58" s="518"/>
      <c r="P58" s="2190"/>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233</v>
      </c>
      <c r="B59" s="1379" t="s">
        <v>234</v>
      </c>
      <c r="C59" s="1379" t="s">
        <v>235</v>
      </c>
      <c r="D59" s="1379" t="s">
        <v>1707</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233</v>
      </c>
      <c r="B60" s="1379" t="s">
        <v>234</v>
      </c>
      <c r="C60" s="1379" t="s">
        <v>235</v>
      </c>
      <c r="D60" s="1350"/>
      <c r="E60" s="2192"/>
      <c r="F60" s="2192"/>
      <c r="G60" s="2191"/>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233</v>
      </c>
      <c r="B61" s="1379" t="s">
        <v>234</v>
      </c>
      <c r="C61" s="1350"/>
      <c r="D61" s="1350"/>
      <c r="E61" s="2192"/>
      <c r="F61" s="2191"/>
      <c r="G61" s="1350"/>
      <c r="H61" s="1350"/>
      <c r="I61" s="1350"/>
      <c r="J61" s="1350"/>
      <c r="K61" s="1350"/>
      <c r="L61" s="150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233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76D06-F793-BC76-BED4-AA7C792818AF}"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2750" width="6.421875" hidden="1" customWidth="1"/>
    <col min="2" max="2" style="2750" width="2.00390625" hidden="1" customWidth="1"/>
    <col min="3" max="3" style="2750" width="3.7109375" customWidth="1"/>
    <col min="4" max="4" style="2750" width="4.28125" customWidth="1"/>
    <col min="5" max="5" style="2750" width="45.00390625" customWidth="1"/>
    <col min="6" max="6" style="2750" width="6.421875" customWidth="1"/>
    <col min="7" max="7" style="2750" width="4.421875" customWidth="1"/>
    <col min="8" max="8" style="2750" width="5.57421875" customWidth="1"/>
    <col min="9" max="9" style="2750" width="52.8515625" customWidth="1"/>
    <col min="10" max="10" style="2750" width="7.00390625" customWidth="1"/>
    <col min="11" max="11" style="2750" width="3.7109375" customWidth="1"/>
    <col min="12" max="12" style="2750" width="6.28125" customWidth="1"/>
    <col min="13" max="13" style="2750" width="56.28125" customWidth="1"/>
    <col min="14" max="14" style="2672" width="9.140625"/>
    <col min="15" max="20" style="2709" width="9.140625" hidden="1"/>
    <col min="21" max="24" style="2751" width="9.140625" hidden="1"/>
    <col min="25" max="37" style="2672" width="9.140625" hidden="1"/>
    <col min="38" max="38" style="2672" width="9.140625"/>
  </cols>
  <sheetData>
    <row customHeight="1" ht="11.25" hidden="1"/>
    <row customHeight="1" ht="11.25" hidden="1"/>
    <row r="4" customHeight="1" ht="34.5">
      <c r="A4" s="593"/>
      <c r="B4" s="593"/>
      <c r="D4" s="195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59"/>
      <c r="F4" s="1959"/>
      <c r="G4" s="1959"/>
      <c r="H4" s="1959"/>
      <c r="I4" s="1960"/>
      <c r="J4" s="592"/>
      <c r="K4" s="592"/>
      <c r="L4" s="592"/>
      <c r="M4" s="592"/>
    </row>
    <row s="2673" customFormat="1" customHeight="1" ht="15">
      <c r="A5" s="593"/>
      <c r="B5" s="593"/>
      <c r="C5" s="593"/>
      <c r="D5" s="1961" t="str">
        <f>IF(org=0,"Не определено",org)</f>
        <v>Филиал "Печорская ГРЭС" АО "Интер РАО-Электрогенерация"</v>
      </c>
      <c r="E5" s="1962"/>
      <c r="F5" s="1962"/>
      <c r="G5" s="1962"/>
      <c r="H5" s="1962"/>
      <c r="I5" s="196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80" customFormat="1" customHeight="1" ht="6">
      <c r="A6" s="1964"/>
      <c r="B6" s="1964"/>
      <c r="C6" s="1964"/>
      <c r="D6" s="1964"/>
      <c r="E6" s="1964"/>
      <c r="F6" s="196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73"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65"/>
      <c r="B9" s="318"/>
      <c r="C9" s="318"/>
      <c r="D9" s="1966" t="s">
        <v>105</v>
      </c>
      <c r="E9" s="1966"/>
      <c r="F9" s="1967" t="s">
        <v>106</v>
      </c>
      <c r="G9" s="1968"/>
      <c r="H9" s="1968"/>
      <c r="I9" s="1968"/>
      <c r="J9" s="1971" t="s">
        <v>107</v>
      </c>
      <c r="K9" s="1971"/>
      <c r="L9" s="1971"/>
      <c r="M9" s="1971"/>
    </row>
    <row customHeight="1" ht="22.5">
      <c r="A10" s="1965"/>
      <c r="B10" s="600"/>
      <c r="C10" s="533"/>
      <c r="D10" s="531" t="s">
        <v>87</v>
      </c>
      <c r="E10" s="531" t="s">
        <v>88</v>
      </c>
      <c r="F10" s="531" t="s">
        <v>108</v>
      </c>
      <c r="G10" s="1972" t="s">
        <v>87</v>
      </c>
      <c r="H10" s="1973"/>
      <c r="I10" s="531" t="s">
        <v>88</v>
      </c>
      <c r="J10" s="531" t="s">
        <v>108</v>
      </c>
      <c r="K10" s="1972" t="s">
        <v>87</v>
      </c>
      <c r="L10" s="1973"/>
      <c r="M10" s="531" t="s">
        <v>88</v>
      </c>
      <c r="N10" s="1673"/>
    </row>
    <row s="2701" customFormat="1" customHeight="1" ht="11.25" hidden="1">
      <c r="A11" s="601"/>
      <c r="B11" s="601"/>
      <c r="C11" s="601"/>
      <c r="D11" s="602" t="s">
        <v>109</v>
      </c>
      <c r="E11" s="602" t="s">
        <v>110</v>
      </c>
      <c r="F11" s="602" t="s">
        <v>89</v>
      </c>
      <c r="G11" s="1954" t="s">
        <v>90</v>
      </c>
      <c r="H11" s="1955"/>
      <c r="I11" s="602" t="s">
        <v>111</v>
      </c>
      <c r="J11" s="602" t="s">
        <v>91</v>
      </c>
      <c r="K11" s="1956" t="s">
        <v>92</v>
      </c>
      <c r="L11" s="1957"/>
      <c r="M11" s="602" t="s">
        <v>112</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113</v>
      </c>
      <c r="P12" s="1449" t="s">
        <v>114</v>
      </c>
      <c r="Q12" s="1449" t="s">
        <v>115</v>
      </c>
      <c r="R12" s="1449" t="s">
        <v>116</v>
      </c>
    </row>
    <row s="2721" customFormat="1" customHeight="1" ht="15">
      <c r="A13" s="281"/>
      <c r="B13" s="281"/>
      <c r="C13" s="534"/>
      <c r="D13" s="1947" t="s">
        <v>109</v>
      </c>
      <c r="E13" s="1948" t="str">
        <f>INDEX(VD_NAME_LIST,MATCH("4189674",VD_ID_LIST,0))</f>
        <v>Транспортировка. Питьевая вода</v>
      </c>
      <c r="F13" s="1951" t="s">
        <v>56</v>
      </c>
      <c r="G13" s="1952"/>
      <c r="H13" s="1953">
        <v>1</v>
      </c>
      <c r="I13" s="2729" t="s">
        <v>18</v>
      </c>
      <c r="J13" s="1946" t="s">
        <v>56</v>
      </c>
      <c r="K13" s="610"/>
      <c r="L13" s="535" t="s">
        <v>109</v>
      </c>
      <c r="M13" s="611" t="s">
        <v>18</v>
      </c>
      <c r="N13" s="822"/>
      <c r="O13" s="1452" t="s">
        <v>117</v>
      </c>
      <c r="P13" s="1449" t="str">
        <f>$E$13</f>
        <v>Транспортировка. Питьевая вода</v>
      </c>
      <c r="Q13" s="1449" t="str">
        <f>IF($F$13="нет","без дифференциации",$I$13)</f>
        <v>без дифференциации</v>
      </c>
      <c r="R13" s="1449" t="str">
        <f>IF($J$13="нет","без дифференциации",M13)</f>
        <v>без дифференциации</v>
      </c>
      <c r="S13" s="1452"/>
      <c r="T13" s="1452"/>
      <c r="U13" s="1301"/>
      <c r="V13" s="1301" t="s">
        <v>118</v>
      </c>
      <c r="W13" s="1301"/>
      <c r="X13" s="1301"/>
      <c r="Y13" s="612" t="s">
        <v>119</v>
      </c>
      <c r="Z13" s="612">
        <v>1705000</v>
      </c>
      <c r="AA13" s="612"/>
      <c r="AB13" s="612"/>
      <c r="AC13" s="612"/>
      <c r="AD13" s="612"/>
      <c r="AE13" s="612"/>
      <c r="AF13" s="612"/>
      <c r="AG13" s="612"/>
      <c r="AH13" s="612"/>
      <c r="AI13" s="612"/>
      <c r="AJ13" s="612"/>
      <c r="AK13" s="612"/>
      <c r="AL13" s="612"/>
    </row>
    <row s="2721" customFormat="1" customHeight="1" ht="15">
      <c r="A14" s="281"/>
      <c r="B14" s="281"/>
      <c r="C14" s="162"/>
      <c r="D14" s="1947"/>
      <c r="E14" s="1949"/>
      <c r="F14" s="1946"/>
      <c r="G14" s="1952"/>
      <c r="H14" s="1953"/>
      <c r="I14" s="2739" t="s">
        <v>18</v>
      </c>
      <c r="J14" s="1946"/>
      <c r="K14" s="428"/>
      <c r="L14" s="163"/>
      <c r="M14" s="615" t="s">
        <v>120</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1" customFormat="1" customHeight="1" ht="15">
      <c r="A15" s="281"/>
      <c r="B15" s="281"/>
      <c r="C15" s="162"/>
      <c r="D15" s="1947"/>
      <c r="E15" s="1950"/>
      <c r="F15" s="1946"/>
      <c r="G15" s="1073"/>
      <c r="H15" s="1074"/>
      <c r="I15" s="588" t="s">
        <v>121</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122</v>
      </c>
      <c r="F16" s="163"/>
      <c r="G16" s="163"/>
      <c r="H16" s="163"/>
      <c r="I16" s="163"/>
      <c r="J16" s="163"/>
      <c r="K16" s="163" t="s">
        <v>18</v>
      </c>
      <c r="L16" s="163"/>
      <c r="M16" s="616"/>
      <c r="N16" s="1673"/>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F496A-6FA1-0FAC-2D77-17772A63B426}" mc:Ignorable="x14ac xr xr2 xr3">
  <sheetPr>
    <tabColor theme="9" tint="-0.25"/>
  </sheetPr>
  <dimension ref="A1:AE304"/>
  <sheetViews>
    <sheetView topLeftCell="A1" showGridLines="0" zoomScale="90" workbookViewId="0">
      <selection activeCell="E135" sqref="E135"/>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customHeight="1" ht="11.25" hidden="1"/>
    <row customHeight="1" ht="23.25" hidden="1">
      <c r="B2" s="1938"/>
      <c r="C2" s="1181" t="s">
        <v>1710</v>
      </c>
      <c r="D2" s="1684"/>
      <c r="E2" s="554">
        <f>B2</f>
        <v>0</v>
      </c>
      <c r="F2" s="555"/>
      <c r="G2" s="1692" t="s">
        <v>425</v>
      </c>
      <c r="H2" s="1692" t="s">
        <v>425</v>
      </c>
      <c r="I2" s="1692" t="s">
        <v>425</v>
      </c>
      <c r="J2" s="277" t="s">
        <v>1711</v>
      </c>
      <c r="K2" s="551"/>
    </row>
    <row s="3151" customFormat="1" customHeight="1" ht="0.75" hidden="1">
      <c r="B3" s="1938"/>
      <c r="C3" s="1181"/>
      <c r="D3" s="556"/>
      <c r="E3" s="557"/>
      <c r="F3" s="558" t="s">
        <v>1712</v>
      </c>
      <c r="G3" s="559"/>
      <c r="H3" s="559">
        <f>H4*H5+H7</f>
        <v>0</v>
      </c>
      <c r="I3" s="559">
        <f>I4*I5+I6</f>
        <v>0</v>
      </c>
      <c r="J3" s="560"/>
    </row>
    <row customHeight="1" ht="23.25" hidden="1">
      <c r="B4" s="1938"/>
      <c r="C4" s="1181"/>
      <c r="D4" s="1684"/>
      <c r="E4" s="554" t="str">
        <f>B2&amp;".1"</f>
        <v>.1</v>
      </c>
      <c r="F4" s="561" t="s">
        <v>1713</v>
      </c>
      <c r="G4" s="562"/>
      <c r="H4" s="549"/>
      <c r="I4" s="549"/>
      <c r="J4" s="277" t="s">
        <v>1714</v>
      </c>
      <c r="K4" s="551"/>
    </row>
    <row customHeight="1" ht="18.75" hidden="1">
      <c r="B5" s="1938"/>
      <c r="C5" s="1181"/>
      <c r="D5" s="1684"/>
      <c r="E5" s="554" t="str">
        <f>B2&amp;".2"</f>
        <v>.2</v>
      </c>
      <c r="F5" s="561" t="s">
        <v>1715</v>
      </c>
      <c r="G5" s="1692" t="s">
        <v>1716</v>
      </c>
      <c r="H5" s="549"/>
      <c r="I5" s="549"/>
      <c r="J5" s="277"/>
      <c r="K5" s="551"/>
    </row>
    <row customHeight="1" ht="18.75" hidden="1">
      <c r="B6" s="1938"/>
      <c r="C6" s="1181"/>
      <c r="D6" s="1684"/>
      <c r="E6" s="554" t="str">
        <f>B2&amp;".3"</f>
        <v>.3</v>
      </c>
      <c r="F6" s="561" t="s">
        <v>1717</v>
      </c>
      <c r="G6" s="1692" t="s">
        <v>1716</v>
      </c>
      <c r="H6" s="549"/>
      <c r="I6" s="549"/>
      <c r="J6" s="277"/>
      <c r="K6" s="551"/>
    </row>
    <row customHeight="1" ht="18.75" hidden="1">
      <c r="B7" s="1938"/>
      <c r="C7" s="1181"/>
      <c r="D7" s="1684"/>
      <c r="E7" s="554" t="str">
        <f>B2&amp;".4"</f>
        <v>.4</v>
      </c>
      <c r="F7" s="561" t="s">
        <v>1718</v>
      </c>
      <c r="G7" s="1692" t="s">
        <v>425</v>
      </c>
      <c r="H7" s="563"/>
      <c r="I7" s="563"/>
      <c r="J7" s="277"/>
      <c r="K7" s="551"/>
    </row>
    <row s="3145" customFormat="1" customHeight="1" ht="11.25" hidden="1">
      <c r="A8" s="1000"/>
      <c r="C8" s="1682"/>
      <c r="D8" s="545"/>
      <c r="H8" s="1174">
        <v>4</v>
      </c>
      <c r="I8" s="1174">
        <v>4</v>
      </c>
      <c r="L8" s="1682"/>
      <c r="M8" s="1682"/>
      <c r="R8" s="1682"/>
    </row>
    <row s="3145" customFormat="1" customHeight="1" ht="22.5" hidden="1">
      <c r="A9" s="1000"/>
      <c r="C9" s="1682"/>
      <c r="D9" s="546"/>
      <c r="E9" s="1694"/>
      <c r="F9" s="548"/>
      <c r="G9" s="1692" t="s">
        <v>1716</v>
      </c>
      <c r="H9" s="549"/>
      <c r="I9" s="549"/>
      <c r="J9" s="550" t="s">
        <v>1719</v>
      </c>
      <c r="K9" s="551"/>
      <c r="L9" s="1682"/>
      <c r="M9" s="1682"/>
      <c r="R9" s="1682"/>
      <c r="U9" s="552"/>
      <c r="AA9" s="1678"/>
      <c r="AB9" s="1678"/>
      <c r="AC9" s="1678"/>
      <c r="AD9" s="1678"/>
      <c r="AE9" s="1678"/>
    </row>
    <row customHeight="1" ht="11.25" hidden="1"/>
    <row customHeight="1" ht="18.75" hidden="1">
      <c r="D11" s="1684"/>
      <c r="E11" s="554"/>
      <c r="F11" s="548"/>
      <c r="G11" s="1692" t="s">
        <v>628</v>
      </c>
      <c r="H11" s="549"/>
      <c r="I11" s="549"/>
      <c r="J11" s="277" t="s">
        <v>1720</v>
      </c>
      <c r="K11" s="551"/>
    </row>
    <row customHeight="1" ht="11.25" hidden="1"/>
    <row customHeight="1" ht="22.5" hidden="1">
      <c r="D13" s="1684"/>
      <c r="E13" s="554"/>
      <c r="F13" s="548"/>
      <c r="G13" s="982" t="s">
        <v>1630</v>
      </c>
      <c r="H13" s="553"/>
      <c r="I13" s="553"/>
      <c r="J13" s="754" t="s">
        <v>1721</v>
      </c>
      <c r="K13" s="551"/>
    </row>
    <row customHeight="1" ht="11.25" hidden="1"/>
    <row customHeight="1" ht="22.5" hidden="1">
      <c r="D15" s="1684"/>
      <c r="E15" s="554"/>
      <c r="F15" s="548"/>
      <c r="G15" s="1692" t="s">
        <v>1722</v>
      </c>
      <c r="H15" s="553"/>
      <c r="I15" s="553"/>
      <c r="J15" s="277" t="s">
        <v>1723</v>
      </c>
      <c r="K15" s="551"/>
    </row>
    <row customHeight="1" ht="11.25" hidden="1"/>
    <row customHeight="1" ht="22.5" hidden="1">
      <c r="D17" s="1684"/>
      <c r="E17" s="554"/>
      <c r="F17" s="548"/>
      <c r="G17" s="1692" t="s">
        <v>1724</v>
      </c>
      <c r="H17" s="553"/>
      <c r="I17" s="553"/>
      <c r="J17" s="277" t="s">
        <v>1725</v>
      </c>
      <c r="K17" s="551"/>
    </row>
    <row customHeight="1" ht="11.25" hidden="1"/>
    <row s="2870"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6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70"/>
      <c r="J21" s="564"/>
    </row>
    <row customHeight="1" ht="24">
      <c r="E22" s="2171" t="str">
        <f>IF(org=0,"Не определено",org)</f>
        <v>Филиал "Печорская ГРЭС" АО "Интер РАО-Электрогенерация"</v>
      </c>
      <c r="F22" s="2172"/>
      <c r="G22" s="2172"/>
      <c r="H22" s="2172"/>
      <c r="I22" s="2173"/>
    </row>
    <row customHeight="1" ht="11.25">
      <c r="E23" s="1149"/>
      <c r="F23" s="1149"/>
      <c r="G23" s="1149"/>
      <c r="H23" s="1149"/>
      <c r="I23" s="1149"/>
    </row>
    <row s="3151" customFormat="1" customHeight="1" ht="0.75">
      <c r="A24" s="1181"/>
      <c r="D24" s="1688"/>
      <c r="H24" s="900"/>
      <c r="I24" s="900" t="s">
        <v>117</v>
      </c>
    </row>
    <row customHeight="1" ht="11.25">
      <c r="E25" s="719"/>
      <c r="F25" s="2308" t="s">
        <v>105</v>
      </c>
      <c r="G25" s="2309"/>
      <c r="H25" s="1698" t="str">
        <f>IF(H24="","",INDEX(DIFFERENTIATION_UNMERGE_VD,MATCH(H24,DIFFERENTIATION_ID_DIFF,0)))</f>
        <v/>
      </c>
      <c r="I25" s="1698" t="str">
        <f>IF(I24="","",INDEX(DIFFERENTIATION_UNMERGE_VD,MATCH(I24,DIFFERENTIATION_ID_DIFF,0)))</f>
        <v>Транспортировка. Питьевая вода</v>
      </c>
      <c r="J25" s="1966"/>
    </row>
    <row customHeight="1" ht="11.25">
      <c r="E26" s="719"/>
      <c r="F26" s="2308" t="s">
        <v>413</v>
      </c>
      <c r="G26" s="2309"/>
      <c r="H26" s="1698" t="str">
        <f>IF(H24="","",INDEX(DIFFERENTIATION_UNMERGE_AREA,MATCH(H24,DIFFERENTIATION_ID_DIFF,0)))</f>
        <v/>
      </c>
      <c r="I26" s="1698" t="str">
        <f>IF(I24="","",INDEX(DIFFERENTIATION_UNMERGE_AREA,MATCH(I24,DIFFERENTIATION_ID_DIFF,0)))</f>
        <v>без дифференциации</v>
      </c>
      <c r="J26" s="1966"/>
    </row>
    <row customHeight="1" ht="11.25">
      <c r="E27" s="719"/>
      <c r="F27" s="2308" t="s">
        <v>414</v>
      </c>
      <c r="G27" s="2309"/>
      <c r="H27" s="1698" t="str">
        <f>IF(H24="","",INDEX(DIFFERENTIATION_UNMERGE_SYSTEM,MATCH(H24,DIFFERENTIATION_ID_DIFF,0)))</f>
        <v/>
      </c>
      <c r="I27" s="1698" t="str">
        <f>IF(I24="","",INDEX(DIFFERENTIATION_UNMERGE_SYSTEM,MATCH(I24,DIFFERENTIATION_ID_DIFF,0)))</f>
        <v>без дифференциации</v>
      </c>
      <c r="J27" s="1966"/>
    </row>
    <row customHeight="1" ht="11.25">
      <c r="E28" s="2310" t="s">
        <v>287</v>
      </c>
      <c r="F28" s="2311"/>
      <c r="G28" s="2311"/>
      <c r="H28" s="1691"/>
      <c r="I28" s="1691"/>
      <c r="J28" s="1966"/>
    </row>
    <row customHeight="1" ht="22.5">
      <c r="E29" s="1692" t="s">
        <v>87</v>
      </c>
      <c r="F29" s="1699" t="s">
        <v>289</v>
      </c>
      <c r="G29" s="1699" t="s">
        <v>1612</v>
      </c>
      <c r="H29" s="1699" t="s">
        <v>290</v>
      </c>
      <c r="I29" s="1699" t="s">
        <v>290</v>
      </c>
      <c r="J29" s="1966"/>
    </row>
    <row customHeight="1" ht="18.75">
      <c r="D30" s="1684"/>
      <c r="E30" s="554">
        <f>FHD_NUM_P_1</f>
        <v>1</v>
      </c>
      <c r="F30" s="715" t="str">
        <f>FHD_P_1</f>
        <v>Выручка от регулируемых видов деятельности в сфере холодного водоснабжения</v>
      </c>
      <c r="G30" s="1692" t="s">
        <v>1716</v>
      </c>
      <c r="H30" s="565"/>
      <c r="I30" s="565">
        <v>146.6361</v>
      </c>
      <c r="J30" s="277" t="str">
        <f>FHD_NOTE_P_1</f>
        <v>Указывается выручка с распределением по видам деятельности.</v>
      </c>
      <c r="K30" s="551"/>
    </row>
    <row customHeight="1" ht="37.5">
      <c r="D31" s="1684"/>
      <c r="E31" s="554">
        <f>FHD_NUM_P_2</f>
        <v>2</v>
      </c>
      <c r="F31" s="715" t="str">
        <f>FHD_P_2</f>
        <v>Себестоимость производимых товаров (оказываемых услуг) по регулируемым видам деятельности в сфере холодного водоснабжения, включая:</v>
      </c>
      <c r="G31" s="1692" t="s">
        <v>1716</v>
      </c>
      <c r="H31" s="566">
        <f>SUMIF($K33:$K73,$K31,H33:H73)</f>
        <v>0</v>
      </c>
      <c r="I31" s="566">
        <f>SUMIF($K33:$K73,$K31,I33:I73)</f>
        <v>146.6361</v>
      </c>
      <c r="J31" s="277" t="str">
        <f>FHD_NOTE_P_2</f>
        <v>Указывается суммарная себестоимость производимых товаров.</v>
      </c>
      <c r="K31" s="1682" t="s">
        <v>1726</v>
      </c>
    </row>
    <row customHeight="1" ht="30">
      <c r="D32" s="1684"/>
      <c r="E32" s="554" t="str">
        <f>FHD_NUM_P_3</f>
        <v>2.1</v>
      </c>
      <c r="F32" s="967" t="str">
        <f>FHD_P_3</f>
        <v>Расходы на оплату холодной воды, приобретаемой у других организаций для последующей подачи потребителям</v>
      </c>
      <c r="G32" s="1692" t="s">
        <v>1716</v>
      </c>
      <c r="H32" s="565"/>
      <c r="I32" s="565">
        <v>0</v>
      </c>
      <c r="J32" s="277" t="str">
        <f>FHD_NOTE_P_3</f>
        <v/>
      </c>
      <c r="K32" s="1682" t="str">
        <f>IF((LEN(E32)-LEN(SUBSTITUTE(E32,".","")))/LEN(".")=1,"p","")</f>
        <v>p</v>
      </c>
    </row>
    <row customHeight="1" ht="11.25" hidden="1">
      <c r="A33" s="2337" t="s">
        <v>1727</v>
      </c>
      <c r="D33" s="1684"/>
      <c r="E33" s="554" t="str">
        <f>FHD_NUM_P_4</f>
        <v/>
      </c>
      <c r="F33" s="967" t="str">
        <f>FHD_P_4</f>
        <v/>
      </c>
      <c r="G33" s="1692" t="s">
        <v>1716</v>
      </c>
      <c r="H33" s="566">
        <f>SUMIF($F34:$F40,$F3,H34:H40)</f>
        <v>0</v>
      </c>
      <c r="I33" s="566">
        <f>SUMIF($F34:$F40,$F3,I34:I40)</f>
        <v>0</v>
      </c>
      <c r="J33" s="277" t="str">
        <f>FHD_NOTE_P_4</f>
        <v/>
      </c>
      <c r="K33" s="1682" t="str">
        <f>IF((LEN(E33)-LEN(SUBSTITUTE(E33,".","")))/LEN(".")=1,"p","")</f>
        <v/>
      </c>
    </row>
    <row s="4306" customFormat="1" customHeight="1" ht="0.75" hidden="1">
      <c r="A34" s="2337"/>
      <c r="B34" s="2338" t="str">
        <f>E33&amp;".0"</f>
        <v>.0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306" customFormat="1" customHeight="1" ht="0.75" hidden="1">
      <c r="A35" s="2337"/>
      <c r="B35" s="2338"/>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306" customFormat="1" customHeight="1" ht="0.75" hidden="1">
      <c r="A36" s="2337"/>
      <c r="B36" s="2338"/>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306" customFormat="1" customHeight="1" ht="0.75" hidden="1">
      <c r="A37" s="2337"/>
      <c r="B37" s="2338"/>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306" customFormat="1" customHeight="1" ht="0.75" hidden="1">
      <c r="A38" s="2337"/>
      <c r="B38" s="2338"/>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306" customFormat="1" customHeight="1" ht="0.75" hidden="1">
      <c r="A39" s="2337"/>
      <c r="B39" s="2338"/>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45" customFormat="1" customHeight="1" ht="15" hidden="1">
      <c r="A40" s="2337"/>
      <c r="C40" s="1682"/>
      <c r="D40" s="1679"/>
      <c r="E40" s="578"/>
      <c r="F40" s="579" t="s">
        <v>1728</v>
      </c>
      <c r="G40" s="580"/>
      <c r="H40" s="581"/>
      <c r="I40" s="581"/>
      <c r="J40" s="289"/>
      <c r="K40" s="1682" t="str">
        <f>IF((LEN(E40)-LEN(SUBSTITUTE(E40,".","")))/LEN(".")=1,"p","")</f>
        <v/>
      </c>
      <c r="L40" s="1682"/>
      <c r="M40" s="1682"/>
      <c r="R40" s="1682"/>
      <c r="U40" s="552"/>
      <c r="AA40" s="1678"/>
      <c r="AB40" s="1678"/>
      <c r="AC40" s="1678"/>
      <c r="AD40" s="1678"/>
      <c r="AE40" s="1678"/>
    </row>
    <row customHeight="1" ht="11.25" hidden="1">
      <c r="A41" s="2337" t="s">
        <v>1729</v>
      </c>
      <c r="D41" s="1684"/>
      <c r="E41" s="554" t="str">
        <f>FHD_NUM_P_5</f>
        <v/>
      </c>
      <c r="F41" s="967" t="str">
        <f>FHD_P_5</f>
        <v/>
      </c>
      <c r="G41" s="1692" t="s">
        <v>1716</v>
      </c>
      <c r="H41" s="565"/>
      <c r="I41" s="565"/>
      <c r="J41" s="277" t="str">
        <f>FHD_NOTE_P_5</f>
        <v/>
      </c>
      <c r="K41" s="1682" t="str">
        <f>IF((LEN(E41)-LEN(SUBSTITUTE(E41,".","")))/LEN(".")=1,"p","")</f>
        <v/>
      </c>
    </row>
    <row customHeight="1" ht="11.25" hidden="1">
      <c r="A42" s="2337"/>
      <c r="D42" s="1684"/>
      <c r="E42" s="554" t="str">
        <f>FHD_NUM_P_6</f>
        <v/>
      </c>
      <c r="F42" s="967" t="str">
        <f>FHD_P_6</f>
        <v/>
      </c>
      <c r="G42" s="1692" t="s">
        <v>1716</v>
      </c>
      <c r="H42" s="565"/>
      <c r="I42" s="565"/>
      <c r="J42" s="277" t="str">
        <f>FHD_NOTE_P_6</f>
        <v/>
      </c>
      <c r="K42" s="1682" t="str">
        <f>IF((LEN(E42)-LEN(SUBSTITUTE(E42,".","")))/LEN(".")=1,"p","")</f>
        <v/>
      </c>
    </row>
    <row customHeight="1" ht="11.25" hidden="1">
      <c r="A43" s="2337"/>
      <c r="D43" s="1684"/>
      <c r="E43" s="554" t="str">
        <f>FHD_NUM_P_7</f>
        <v/>
      </c>
      <c r="F43" s="967" t="str">
        <f>FHD_P_7</f>
        <v/>
      </c>
      <c r="G43" s="1692" t="s">
        <v>1716</v>
      </c>
      <c r="H43" s="565"/>
      <c r="I43" s="565"/>
      <c r="J43" s="277" t="str">
        <f>FHD_NOTE_P_7</f>
        <v/>
      </c>
      <c r="K43" s="1682" t="str">
        <f>IF((LEN(E43)-LEN(SUBSTITUTE(E43,".","")))/LEN(".")=1,"p","")</f>
        <v/>
      </c>
    </row>
    <row customHeight="1" ht="38.33333333333333">
      <c r="D44" s="1684"/>
      <c r="E44" s="554" t="str">
        <f>FHD_NUM_P_8</f>
        <v>2.2</v>
      </c>
      <c r="F44" s="967" t="str">
        <f>FHD_P_8</f>
        <v>Расходы на приобретаемую электрическую энергию (мощность), используемую в технологическом процессе</v>
      </c>
      <c r="G44" s="1692" t="s">
        <v>1716</v>
      </c>
      <c r="H44" s="565"/>
      <c r="I44" s="565">
        <v>0</v>
      </c>
      <c r="J44" s="277" t="str">
        <f>FHD_NOTE_P_8</f>
        <v/>
      </c>
      <c r="K44" s="1682" t="str">
        <f>IF((LEN(E44)-LEN(SUBSTITUTE(E44,".","")))/LEN(".")=1,"p","")</f>
        <v>p</v>
      </c>
    </row>
    <row customHeight="1" ht="28.333333333333332">
      <c r="D45" s="1684"/>
      <c r="E45" s="554" t="str">
        <f>FHD_NUM_P_9</f>
        <v>2.2.1</v>
      </c>
      <c r="F45" s="1696" t="str">
        <f>FHD_P_9</f>
        <v>Средневзвешенная стоимость 1 кВт.ч (с учетом мощности)</v>
      </c>
      <c r="G45" s="1692" t="s">
        <v>1241</v>
      </c>
      <c r="H45" s="565"/>
      <c r="I45" s="565">
        <v>0</v>
      </c>
      <c r="J45" s="277" t="str">
        <f>FHD_NOTE_P_9</f>
        <v/>
      </c>
      <c r="K45" s="1682" t="str">
        <f>IF((LEN(E45)-LEN(SUBSTITUTE(E45,".","")))/LEN(".")=1,"p","")</f>
        <v/>
      </c>
    </row>
    <row s="3145" customFormat="1" customHeight="1" ht="28.333333333333332">
      <c r="A46" s="1000"/>
      <c r="C46" s="1682"/>
      <c r="D46" s="582"/>
      <c r="E46" s="554" t="str">
        <f>FHD_NUM_P_10</f>
        <v>2.2.2</v>
      </c>
      <c r="F46" s="1696" t="str">
        <f>FHD_P_10</f>
        <v>Объём приобретения электрической энергии</v>
      </c>
      <c r="G46" s="1692" t="s">
        <v>1730</v>
      </c>
      <c r="H46" s="565"/>
      <c r="I46" s="565">
        <v>0</v>
      </c>
      <c r="J46" s="277" t="str">
        <f>FHD_NOTE_P_10</f>
        <v/>
      </c>
      <c r="K46" s="1682" t="str">
        <f>IF((LEN(E46)-LEN(SUBSTITUTE(E46,".","")))/LEN(".")=1,"p","")</f>
        <v/>
      </c>
      <c r="L46" s="1682"/>
      <c r="M46" s="1682"/>
      <c r="R46" s="1682"/>
      <c r="U46" s="552"/>
      <c r="AA46" s="1678"/>
      <c r="AB46" s="1678"/>
      <c r="AC46" s="1678"/>
      <c r="AD46" s="1678"/>
      <c r="AE46" s="1678"/>
    </row>
    <row s="3145" customFormat="1" customHeight="1" ht="28.333333333333332" hidden="1">
      <c r="A47" s="1002" t="s">
        <v>1731</v>
      </c>
      <c r="C47" s="1682"/>
      <c r="D47" s="583"/>
      <c r="E47" s="554" t="str">
        <f>FHD_NUM_P_11</f>
        <v/>
      </c>
      <c r="F47" s="967" t="str">
        <f>FHD_P_11</f>
        <v/>
      </c>
      <c r="G47" s="1692" t="s">
        <v>1716</v>
      </c>
      <c r="H47" s="565"/>
      <c r="I47" s="565"/>
      <c r="J47" s="277" t="str">
        <f>FHD_NOTE_P_11</f>
        <v/>
      </c>
      <c r="K47" s="1682" t="str">
        <f>IF((LEN(E47)-LEN(SUBSTITUTE(E47,".","")))/LEN(".")=1,"p","")</f>
        <v/>
      </c>
      <c r="L47" s="1682"/>
      <c r="M47" s="1682"/>
      <c r="R47" s="1682"/>
      <c r="U47" s="552"/>
      <c r="AA47" s="1678"/>
      <c r="AB47" s="1678"/>
      <c r="AC47" s="1678"/>
      <c r="AD47" s="1678"/>
      <c r="AE47" s="1678"/>
    </row>
    <row s="3145" customFormat="1" customHeight="1" ht="28.333333333333332">
      <c r="A48" s="1002" t="s">
        <v>1732</v>
      </c>
      <c r="C48" s="1682"/>
      <c r="D48" s="1684"/>
      <c r="E48" s="554" t="str">
        <f>FHD_NUM_P_12</f>
        <v>2.3</v>
      </c>
      <c r="F48" s="967" t="str">
        <f>FHD_P_12</f>
        <v>Расходы на химические реагенты, используемые в технологическом процессе</v>
      </c>
      <c r="G48" s="1692" t="s">
        <v>1716</v>
      </c>
      <c r="H48" s="585"/>
      <c r="I48" s="585">
        <v>0</v>
      </c>
      <c r="J48" s="277" t="str">
        <f>FHD_NOTE_P_12</f>
        <v/>
      </c>
      <c r="K48" s="1682" t="str">
        <f>IF((LEN(E48)-LEN(SUBSTITUTE(E48,".","")))/LEN(".")=1,"p","")</f>
        <v>p</v>
      </c>
      <c r="L48" s="1682"/>
      <c r="M48" s="1682"/>
      <c r="R48" s="1682"/>
      <c r="U48" s="552"/>
      <c r="AA48" s="1678"/>
      <c r="AB48" s="1678"/>
      <c r="AC48" s="1678"/>
      <c r="AD48" s="1678"/>
      <c r="AE48" s="1678"/>
    </row>
    <row s="3621" customFormat="1" customHeight="1" ht="39.166666666666664">
      <c r="A49" s="1001"/>
      <c r="C49" s="739"/>
      <c r="D49" s="681"/>
      <c r="E49" s="554" t="str">
        <f>FHD_NUM_P_13</f>
        <v>2.4</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1716</v>
      </c>
      <c r="H49" s="565"/>
      <c r="I49" s="565">
        <v>0</v>
      </c>
      <c r="J49" s="277" t="str">
        <f>FHD_NOTE_P_13</f>
        <v>Указывается общая сумма расходов на оплату труда и отчислений на социальные нужды основного производственного персонала.</v>
      </c>
      <c r="K49" s="1682" t="str">
        <f>IF((LEN(E49)-LEN(SUBSTITUTE(E49,".","")))/LEN(".")=1,"p","")</f>
        <v>p</v>
      </c>
      <c r="L49" s="739"/>
      <c r="M49" s="739"/>
      <c r="R49" s="739"/>
      <c r="U49" s="740"/>
      <c r="AA49" s="741"/>
      <c r="AB49" s="741"/>
      <c r="AC49" s="741"/>
      <c r="AD49" s="741"/>
      <c r="AE49" s="741"/>
    </row>
    <row s="3621" customFormat="1" customHeight="1" ht="28.333333333333332">
      <c r="A50" s="1001"/>
      <c r="C50" s="739"/>
      <c r="D50" s="681"/>
      <c r="E50" s="554" t="str">
        <f>FHD_NUM_P_14</f>
        <v>2.4.1</v>
      </c>
      <c r="F50" s="1696" t="str">
        <f>FHD_P_14</f>
        <v>Расходы на оплату труда основного производственного персонала</v>
      </c>
      <c r="G50" s="1692" t="s">
        <v>1716</v>
      </c>
      <c r="H50" s="565"/>
      <c r="I50" s="565">
        <v>0</v>
      </c>
      <c r="J50" s="277" t="str">
        <f>FHD_NOTE_P_14</f>
        <v/>
      </c>
      <c r="K50" s="1682" t="str">
        <f>IF((LEN(E50)-LEN(SUBSTITUTE(E50,".","")))/LEN(".")=1,"p","")</f>
        <v/>
      </c>
      <c r="L50" s="739"/>
      <c r="M50" s="739"/>
      <c r="R50" s="739"/>
      <c r="U50" s="740"/>
      <c r="AA50" s="741"/>
      <c r="AB50" s="741"/>
      <c r="AC50" s="741"/>
      <c r="AD50" s="741"/>
      <c r="AE50" s="741"/>
    </row>
    <row s="3621" customFormat="1" customHeight="1" ht="35.833333333333336">
      <c r="A51" s="1001"/>
      <c r="C51" s="739"/>
      <c r="D51" s="681"/>
      <c r="E51" s="554" t="str">
        <f>FHD_NUM_P_15</f>
        <v>2.4.2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1716</v>
      </c>
      <c r="H51" s="565"/>
      <c r="I51" s="565">
        <v>0</v>
      </c>
      <c r="J51" s="277" t="str">
        <f>FHD_NOTE_P_15</f>
        <v/>
      </c>
      <c r="K51" s="1682" t="str">
        <f>IF((LEN(E51)-LEN(SUBSTITUTE(E51,".","")))/LEN(".")=1,"p","")</f>
        <v/>
      </c>
      <c r="L51" s="739"/>
      <c r="M51" s="739"/>
      <c r="R51" s="739"/>
      <c r="U51" s="740"/>
      <c r="AA51" s="741"/>
      <c r="AB51" s="741"/>
      <c r="AC51" s="741"/>
      <c r="AD51" s="741"/>
      <c r="AE51" s="741"/>
    </row>
    <row s="3145" customFormat="1" customHeight="1" ht="35.833333333333336">
      <c r="A52" s="1000"/>
      <c r="C52" s="1682"/>
      <c r="D52" s="1684"/>
      <c r="E52" s="554" t="str">
        <f>FHD_NUM_P_16</f>
        <v>2.5</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1716</v>
      </c>
      <c r="H52" s="565"/>
      <c r="I52" s="565">
        <v>0</v>
      </c>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82" t="str">
        <f>IF((LEN(E52)-LEN(SUBSTITUTE(E52,".","")))/LEN(".")=1,"p","")</f>
        <v>p</v>
      </c>
      <c r="L52" s="1682"/>
      <c r="M52" s="1688"/>
      <c r="N52" s="545"/>
      <c r="O52" s="545"/>
      <c r="R52" s="1682"/>
      <c r="U52" s="552"/>
      <c r="AA52" s="1678"/>
      <c r="AB52" s="1678"/>
      <c r="AC52" s="1678"/>
      <c r="AD52" s="1678"/>
      <c r="AE52" s="1678"/>
    </row>
    <row s="3145" customFormat="1" customHeight="1" ht="35.833333333333336">
      <c r="A53" s="1000"/>
      <c r="C53" s="1682"/>
      <c r="D53" s="1684"/>
      <c r="E53" s="554" t="str">
        <f>FHD_NUM_P_17</f>
        <v>2.5.1</v>
      </c>
      <c r="F53" s="1696" t="str">
        <f>FHD_P_17</f>
        <v>Расходы на оплату труда административно-управленческого персонала</v>
      </c>
      <c r="G53" s="1692" t="s">
        <v>1716</v>
      </c>
      <c r="H53" s="565"/>
      <c r="I53" s="565">
        <v>0</v>
      </c>
      <c r="J53" s="277" t="str">
        <f>FHD_NOTE_P_17</f>
        <v/>
      </c>
      <c r="K53" s="1682" t="str">
        <f>IF((LEN(E53)-LEN(SUBSTITUTE(E53,".","")))/LEN(".")=1,"p","")</f>
        <v/>
      </c>
      <c r="L53" s="1682"/>
      <c r="M53" s="1688"/>
      <c r="N53" s="545"/>
      <c r="O53" s="545"/>
      <c r="R53" s="1682"/>
      <c r="U53" s="552"/>
      <c r="AA53" s="1678"/>
      <c r="AB53" s="1678"/>
      <c r="AC53" s="1678"/>
      <c r="AD53" s="1678"/>
      <c r="AE53" s="1678"/>
    </row>
    <row s="3145" customFormat="1" customHeight="1" ht="35.833333333333336">
      <c r="A54" s="1000"/>
      <c r="C54" s="1682"/>
      <c r="D54" s="1684"/>
      <c r="E54" s="554" t="str">
        <f>FHD_NUM_P_18</f>
        <v>2.5.2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1716</v>
      </c>
      <c r="H54" s="565"/>
      <c r="I54" s="565">
        <v>0</v>
      </c>
      <c r="J54" s="277" t="str">
        <f>FHD_NOTE_P_18</f>
        <v/>
      </c>
      <c r="K54" s="1682" t="str">
        <f>IF((LEN(E54)-LEN(SUBSTITUTE(E54,".","")))/LEN(".")=1,"p","")</f>
        <v/>
      </c>
      <c r="L54" s="1682"/>
      <c r="M54" s="1688"/>
      <c r="N54" s="545"/>
      <c r="O54" s="545"/>
      <c r="R54" s="1682"/>
      <c r="U54" s="552"/>
      <c r="AA54" s="1678"/>
      <c r="AB54" s="1678"/>
      <c r="AC54" s="1678"/>
      <c r="AD54" s="1678"/>
      <c r="AE54" s="1678"/>
    </row>
    <row s="3145" customFormat="1" customHeight="1" ht="35.833333333333336">
      <c r="A55" s="1000"/>
      <c r="C55" s="1682"/>
      <c r="D55" s="583"/>
      <c r="E55" s="554" t="str">
        <f>FHD_NUM_P_19</f>
        <v>2.6</v>
      </c>
      <c r="F55" s="967" t="str">
        <f>FHD_P_19</f>
        <v>Расходы на амортизацию основных средств и нематериальных активов</v>
      </c>
      <c r="G55" s="1692" t="s">
        <v>1716</v>
      </c>
      <c r="H55" s="565"/>
      <c r="I55" s="565">
        <v>0.01496</v>
      </c>
      <c r="J55" s="277" t="str">
        <f>FHD_NOTE_P_19</f>
        <v/>
      </c>
      <c r="K55" s="1682" t="str">
        <f>IF((LEN(E55)-LEN(SUBSTITUTE(E55,".","")))/LEN(".")=1,"p","")</f>
        <v>p</v>
      </c>
      <c r="L55" s="1682"/>
      <c r="M55" s="1682"/>
      <c r="R55" s="1682"/>
      <c r="U55" s="552"/>
      <c r="AA55" s="1678"/>
      <c r="AB55" s="1678"/>
      <c r="AC55" s="1678"/>
      <c r="AD55" s="1678"/>
      <c r="AE55" s="1678"/>
    </row>
    <row s="3145" customFormat="1" customHeight="1" ht="35.833333333333336">
      <c r="A56" s="1000"/>
      <c r="C56" s="1682"/>
      <c r="D56" s="583"/>
      <c r="E56" s="554" t="str">
        <f>FHD_NUM_P_20</f>
        <v>2.6.1</v>
      </c>
      <c r="F56" s="1696" t="str">
        <f>FHD_P_20</f>
        <v>Расходы на амортизацию основных средств</v>
      </c>
      <c r="G56" s="1692" t="s">
        <v>1716</v>
      </c>
      <c r="H56" s="565"/>
      <c r="I56" s="565">
        <v>0.01496</v>
      </c>
      <c r="J56" s="277" t="str">
        <f>FHD_NOTE_P_20</f>
        <v/>
      </c>
      <c r="K56" s="1682" t="str">
        <f>IF((LEN(E56)-LEN(SUBSTITUTE(E56,".","")))/LEN(".")=1,"p","")</f>
        <v/>
      </c>
      <c r="L56" s="1682"/>
      <c r="M56" s="1682"/>
      <c r="R56" s="1682"/>
      <c r="U56" s="552"/>
      <c r="AA56" s="1678"/>
      <c r="AB56" s="1678"/>
      <c r="AC56" s="1678"/>
      <c r="AD56" s="1678"/>
      <c r="AE56" s="1678"/>
    </row>
    <row s="3145" customFormat="1" customHeight="1" ht="28.333333333333332">
      <c r="A57" s="1000"/>
      <c r="C57" s="1682"/>
      <c r="D57" s="583"/>
      <c r="E57" s="554" t="str">
        <f>FHD_NUM_P_21</f>
        <v>2.6.2</v>
      </c>
      <c r="F57" s="1696" t="str">
        <f>FHD_P_21</f>
        <v>Расходы на амортизацию нематериальных активов</v>
      </c>
      <c r="G57" s="1692" t="s">
        <v>1716</v>
      </c>
      <c r="H57" s="565"/>
      <c r="I57" s="565">
        <v>0</v>
      </c>
      <c r="J57" s="277" t="str">
        <f>FHD_NOTE_P_21</f>
        <v/>
      </c>
      <c r="K57" s="1682" t="str">
        <f>IF((LEN(E57)-LEN(SUBSTITUTE(E57,".","")))/LEN(".")=1,"p","")</f>
        <v/>
      </c>
      <c r="L57" s="1682"/>
      <c r="M57" s="1682"/>
      <c r="R57" s="1682"/>
      <c r="U57" s="552"/>
      <c r="AA57" s="1678"/>
      <c r="AB57" s="1678"/>
      <c r="AC57" s="1678"/>
      <c r="AD57" s="1678"/>
      <c r="AE57" s="1678"/>
    </row>
    <row s="3145" customFormat="1" customHeight="1" ht="39.166666666666664">
      <c r="A58" s="1000"/>
      <c r="C58" s="1682"/>
      <c r="D58" s="1684"/>
      <c r="E58" s="554" t="str">
        <f>FHD_NUM_P_22</f>
        <v>2.7</v>
      </c>
      <c r="F58" s="967" t="str">
        <f>FHD_P_22</f>
        <v>Расходы на аренду имущества, используемого для осуществления регулируемых видов деятельности в сфере холодного водоснабжения</v>
      </c>
      <c r="G58" s="1692" t="s">
        <v>1716</v>
      </c>
      <c r="H58" s="565"/>
      <c r="I58" s="565">
        <v>0.00498</v>
      </c>
      <c r="J58" s="277" t="str">
        <f>FHD_NOTE_P_22</f>
        <v/>
      </c>
      <c r="K58" s="1682" t="str">
        <f>IF((LEN(E58)-LEN(SUBSTITUTE(E58,".","")))/LEN(".")=1,"p","")</f>
        <v>p</v>
      </c>
      <c r="L58" s="1682"/>
      <c r="M58" s="1682"/>
      <c r="R58" s="1682"/>
      <c r="U58" s="552"/>
      <c r="AA58" s="1678"/>
      <c r="AB58" s="1678"/>
      <c r="AC58" s="1678"/>
      <c r="AD58" s="1678"/>
      <c r="AE58" s="1678"/>
    </row>
    <row s="3145" customFormat="1" customHeight="1" ht="28.333333333333332">
      <c r="A59" s="1000"/>
      <c r="C59" s="1682"/>
      <c r="D59" s="583"/>
      <c r="E59" s="554" t="str">
        <f>FHD_NUM_P_23</f>
        <v>2.8</v>
      </c>
      <c r="F59" s="967" t="str">
        <f>FHD_P_23</f>
        <v>Общепроизводственные расходы, в том числе:</v>
      </c>
      <c r="G59" s="1692" t="s">
        <v>1716</v>
      </c>
      <c r="H59" s="565"/>
      <c r="I59" s="565">
        <v>0.82405</v>
      </c>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45" customFormat="1" customHeight="1" ht="11.25">
      <c r="A60" s="1000"/>
      <c r="C60" s="1682"/>
      <c r="D60" s="583"/>
      <c r="E60" s="554" t="str">
        <f>FHD_NUM_P_24</f>
        <v>2.8.1</v>
      </c>
      <c r="F60" s="1696" t="str">
        <f>FHD_P_24</f>
        <v>Расходы на текущий ремонт</v>
      </c>
      <c r="G60" s="1692" t="s">
        <v>1716</v>
      </c>
      <c r="H60" s="565"/>
      <c r="I60" s="565">
        <v>0.82405</v>
      </c>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45" customFormat="1" customHeight="1" ht="11.25">
      <c r="A61" s="1000"/>
      <c r="C61" s="1682"/>
      <c r="D61" s="583"/>
      <c r="E61" s="554" t="str">
        <f>FHD_NUM_P_25</f>
        <v>2.8.2</v>
      </c>
      <c r="F61" s="1696" t="str">
        <f>FHD_P_25</f>
        <v>Расходы на капитальный ремонт</v>
      </c>
      <c r="G61" s="1692" t="s">
        <v>1716</v>
      </c>
      <c r="H61" s="565"/>
      <c r="I61" s="565">
        <v>0</v>
      </c>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45" customFormat="1" customHeight="1" ht="11.25">
      <c r="A62" s="1000"/>
      <c r="C62" s="1682"/>
      <c r="D62" s="1684"/>
      <c r="E62" s="554" t="str">
        <f>FHD_NUM_P_26</f>
        <v>2.9</v>
      </c>
      <c r="F62" s="967" t="str">
        <f>FHD_P_26</f>
        <v>Общехозяйственные расходы, в том числе:</v>
      </c>
      <c r="G62" s="1692" t="s">
        <v>1716</v>
      </c>
      <c r="H62" s="565"/>
      <c r="I62" s="565">
        <v>0</v>
      </c>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45" customFormat="1" customHeight="1" ht="11.25">
      <c r="A63" s="1000"/>
      <c r="C63" s="1682"/>
      <c r="D63" s="1684"/>
      <c r="E63" s="554" t="str">
        <f>FHD_NUM_P_27</f>
        <v>2.9.1</v>
      </c>
      <c r="F63" s="1696" t="str">
        <f>FHD_P_27</f>
        <v>Расходы на текущий ремонт</v>
      </c>
      <c r="G63" s="1692" t="s">
        <v>1716</v>
      </c>
      <c r="H63" s="565"/>
      <c r="I63" s="565">
        <v>0</v>
      </c>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45" customFormat="1" customHeight="1" ht="11.25">
      <c r="A64" s="1000"/>
      <c r="C64" s="1682"/>
      <c r="D64" s="1684"/>
      <c r="E64" s="554" t="str">
        <f>FHD_NUM_P_28</f>
        <v>2.9.2</v>
      </c>
      <c r="F64" s="1696" t="str">
        <f>FHD_P_28</f>
        <v>Расходы на капитальный ремонт</v>
      </c>
      <c r="G64" s="1692" t="s">
        <v>1716</v>
      </c>
      <c r="H64" s="565"/>
      <c r="I64" s="565">
        <v>0</v>
      </c>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45" customFormat="1" customHeight="1" ht="11.25">
      <c r="A65" s="1000"/>
      <c r="C65" s="1682"/>
      <c r="D65" s="1684"/>
      <c r="E65" s="554" t="str">
        <f>FHD_NUM_P_29</f>
        <v>2.10</v>
      </c>
      <c r="F65" s="967" t="str">
        <f>FHD_P_29</f>
        <v>Расходы на капитальный и текущий ремонт основных средств</v>
      </c>
      <c r="G65" s="1692" t="s">
        <v>1716</v>
      </c>
      <c r="H65" s="565"/>
      <c r="I65" s="565">
        <v>0</v>
      </c>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45" customFormat="1" customHeight="1" ht="57.5">
      <c r="A66" s="1000"/>
      <c r="C66" s="1682"/>
      <c r="D66" s="1684"/>
      <c r="E66" s="554" t="str">
        <f>FHD_NUM_P_30</f>
        <v>2.10.1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293</v>
      </c>
      <c r="H66" s="1695" t="s">
        <v>418</v>
      </c>
      <c r="I66" s="1695" t="s">
        <v>418</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45" customFormat="1" customHeight="1" ht="35.25">
      <c r="A67" s="2337" t="s">
        <v>1733</v>
      </c>
      <c r="C67" s="1682"/>
      <c r="D67" s="1684"/>
      <c r="E67" s="554" t="str">
        <f>FHD_NUM_P_31</f>
        <v>2.11</v>
      </c>
      <c r="F67" s="9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92" t="s">
        <v>1716</v>
      </c>
      <c r="H67" s="565"/>
      <c r="I67" s="565">
        <v>0</v>
      </c>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82" t="str">
        <f>IF((LEN(E67)-LEN(SUBSTITUTE(E67,".","")))/LEN(".")=1,"p","")</f>
        <v>p</v>
      </c>
      <c r="L67" s="1682"/>
      <c r="M67" s="1682"/>
      <c r="R67" s="1682"/>
      <c r="U67" s="552"/>
      <c r="AA67" s="1678"/>
      <c r="AB67" s="1678"/>
      <c r="AC67" s="1678"/>
      <c r="AD67" s="1678"/>
      <c r="AE67" s="1678"/>
    </row>
    <row s="3145" customFormat="1" customHeight="1" ht="45.75">
      <c r="A68" s="2337"/>
      <c r="C68" s="1682"/>
      <c r="D68" s="1684"/>
      <c r="E68" s="554" t="str">
        <f>FHD_NUM_P_32</f>
        <v>2.11.1</v>
      </c>
      <c r="F68" s="16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92" t="s">
        <v>293</v>
      </c>
      <c r="H68" s="1695" t="s">
        <v>418</v>
      </c>
      <c r="I68" s="1695" t="s">
        <v>418</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45" customFormat="1" customHeight="1" ht="89.25">
      <c r="A69" s="1000"/>
      <c r="C69" s="1682"/>
      <c r="D69" s="1684"/>
      <c r="E69" s="554" t="str">
        <f>FHD_NUM_P_33</f>
        <v>2.12</v>
      </c>
      <c r="F69" s="96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90" t="s">
        <v>1716</v>
      </c>
      <c r="H69" s="587">
        <f>SUM(H70:H73)</f>
        <v>0</v>
      </c>
      <c r="I69" s="587">
        <f>SUM(I70:I73)</f>
        <v>145.79211</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82" t="str">
        <f>IF((LEN(E69)-LEN(SUBSTITUTE(E69,".","")))/LEN(".")=1,"p","")</f>
        <v>p</v>
      </c>
      <c r="L69" s="1682"/>
      <c r="M69" s="1682"/>
      <c r="R69" s="1682"/>
      <c r="U69" s="552"/>
      <c r="AA69" s="1678"/>
      <c r="AB69" s="1678"/>
      <c r="AC69" s="1678"/>
      <c r="AD69" s="1678"/>
      <c r="AE69" s="1678"/>
    </row>
    <row s="3151" customFormat="1" customHeight="1" ht="0.75">
      <c r="A70" s="1181"/>
      <c r="D70" s="556"/>
      <c r="E70" s="812" t="str">
        <f>E69&amp;".0"</f>
        <v>2.12.0</v>
      </c>
      <c r="F70" s="1004"/>
      <c r="G70" s="559"/>
      <c r="H70" s="1005"/>
      <c r="I70" s="1005"/>
      <c r="J70" s="1006"/>
      <c r="K70" s="1682" t="str">
        <f>IF((LEN(E70)-LEN(SUBSTITUTE(E70,".","")))/LEN(".")=1,"p","")</f>
        <v/>
      </c>
    </row>
    <row s="4335" customFormat="1" customHeight="1" ht="22.5">
      <c r="A71" s="4336"/>
      <c r="B71" s="4337"/>
      <c r="C71" s="4338"/>
      <c r="D71" s="4339" t="s">
        <v>388</v>
      </c>
      <c r="E71" s="4340" t="str">
        <f>E69&amp;".1"</f>
        <v>2.12.1</v>
      </c>
      <c r="F71" s="4341" t="s">
        <v>1734</v>
      </c>
      <c r="G71" s="4340" t="s">
        <v>1716</v>
      </c>
      <c r="H71" s="4342"/>
      <c r="I71" s="4342">
        <v>104.8267</v>
      </c>
      <c r="J71" s="4343" t="s">
        <v>1719</v>
      </c>
      <c r="K71" s="4344"/>
      <c r="L71" s="4338"/>
      <c r="M71" s="4338"/>
      <c r="N71" s="4337"/>
      <c r="O71" s="4337"/>
      <c r="P71" s="4337"/>
      <c r="Q71" s="4337"/>
      <c r="R71" s="4338"/>
      <c r="S71" s="4337"/>
      <c r="T71" s="4337"/>
      <c r="U71" s="4345"/>
      <c r="V71" s="4337"/>
      <c r="W71" s="4337"/>
      <c r="X71" s="4337"/>
      <c r="Y71" s="4337"/>
      <c r="Z71" s="4337"/>
      <c r="AA71" s="4346"/>
      <c r="AB71" s="4346"/>
      <c r="AC71" s="4346"/>
      <c r="AD71" s="4346"/>
      <c r="AE71" s="4346"/>
    </row>
    <row s="4346" customFormat="1" customHeight="1" ht="22.5">
      <c r="A72" s="4336"/>
      <c r="B72" s="4337"/>
      <c r="C72" s="4338"/>
      <c r="D72" s="4339" t="s">
        <v>388</v>
      </c>
      <c r="E72" s="4340" t="str">
        <f>E69&amp;".2"</f>
        <v>2.12.2</v>
      </c>
      <c r="F72" s="4341" t="s">
        <v>1735</v>
      </c>
      <c r="G72" s="4340" t="s">
        <v>1716</v>
      </c>
      <c r="H72" s="4342"/>
      <c r="I72" s="4342">
        <v>40.96541</v>
      </c>
      <c r="J72" s="4343" t="s">
        <v>1719</v>
      </c>
      <c r="K72" s="4344"/>
      <c r="L72" s="4338"/>
      <c r="M72" s="4338"/>
      <c r="N72" s="4337"/>
      <c r="O72" s="4337"/>
      <c r="P72" s="4337"/>
      <c r="Q72" s="4337"/>
      <c r="R72" s="4338"/>
      <c r="S72" s="4337"/>
      <c r="T72" s="4337"/>
      <c r="U72" s="4345"/>
      <c r="V72" s="4337"/>
      <c r="W72" s="4337"/>
      <c r="X72" s="4337"/>
      <c r="Y72" s="4337"/>
      <c r="Z72" s="4337"/>
      <c r="AA72" s="4346"/>
      <c r="AB72" s="4346"/>
      <c r="AC72" s="4346"/>
      <c r="AD72" s="4346"/>
      <c r="AE72" s="4346"/>
    </row>
    <row s="3145" customFormat="1" customHeight="1" ht="14.25">
      <c r="A73" s="1000"/>
      <c r="C73" s="1682"/>
      <c r="D73" s="1679"/>
      <c r="E73" s="578"/>
      <c r="F73" s="579" t="s">
        <v>1736</v>
      </c>
      <c r="G73" s="580"/>
      <c r="H73" s="581"/>
      <c r="I73" s="581"/>
      <c r="J73" s="289"/>
      <c r="K73" s="1682"/>
      <c r="L73" s="1682"/>
      <c r="M73" s="1682"/>
      <c r="R73" s="1682"/>
      <c r="U73" s="552"/>
      <c r="AA73" s="1678"/>
      <c r="AB73" s="1678"/>
      <c r="AC73" s="1678"/>
      <c r="AD73" s="1678"/>
      <c r="AE73" s="1678"/>
    </row>
    <row s="3145" customFormat="1" customHeight="1" ht="18.75" hidden="1">
      <c r="A74" s="1002" t="s">
        <v>1737</v>
      </c>
      <c r="C74" s="1682"/>
      <c r="D74" s="1684"/>
      <c r="E74" s="554" t="str">
        <f>FHD_NUM_P_34</f>
        <v/>
      </c>
      <c r="F74" s="715" t="str">
        <f>FHD_P_34</f>
        <v/>
      </c>
      <c r="G74" s="1692" t="s">
        <v>1716</v>
      </c>
      <c r="H74" s="565"/>
      <c r="I74" s="565"/>
      <c r="J74" s="277" t="str">
        <f>FHD_NOTE_P_34</f>
        <v/>
      </c>
      <c r="K74" s="551"/>
      <c r="L74" s="1682"/>
      <c r="M74" s="1682"/>
      <c r="R74" s="1682"/>
      <c r="U74" s="552"/>
      <c r="AA74" s="1678"/>
      <c r="AB74" s="1678"/>
      <c r="AC74" s="1678"/>
      <c r="AD74" s="1678"/>
      <c r="AE74" s="1678"/>
    </row>
    <row s="3145" customFormat="1" customHeight="1" ht="24">
      <c r="A75" s="1000"/>
      <c r="C75" s="1682"/>
      <c r="D75" s="583"/>
      <c r="E75" s="554" t="str">
        <f>FHD_NUM_P_35</f>
        <v>3</v>
      </c>
      <c r="F75" s="715" t="str">
        <f>FHD_P_35</f>
        <v>Чистая прибыль, полученная от регулируемого вида деятельности в сфере холодного водоснабжения, в том числе:</v>
      </c>
      <c r="G75" s="1692" t="s">
        <v>1716</v>
      </c>
      <c r="H75" s="565"/>
      <c r="I75" s="565">
        <v>0</v>
      </c>
      <c r="J75" s="277" t="str">
        <f>FHD_NOTE_P_35</f>
        <v>Указывается общая сумма чистой прибыли, полученной от регулируемого вида деятельности.</v>
      </c>
      <c r="K75" s="551"/>
      <c r="L75" s="1682"/>
      <c r="M75" s="1682"/>
      <c r="R75" s="1682"/>
      <c r="U75" s="552"/>
      <c r="AA75" s="1678"/>
      <c r="AB75" s="1678"/>
      <c r="AC75" s="1678"/>
      <c r="AD75" s="1678"/>
      <c r="AE75" s="1678"/>
    </row>
    <row s="3145" customFormat="1" customHeight="1" ht="35.25">
      <c r="A76" s="1000"/>
      <c r="C76" s="1682"/>
      <c r="D76" s="1684"/>
      <c r="E76" s="554" t="str">
        <f>FHD_NUM_P_36</f>
        <v>3.1</v>
      </c>
      <c r="F76"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692" t="s">
        <v>1716</v>
      </c>
      <c r="H76" s="565"/>
      <c r="I76" s="565">
        <v>0</v>
      </c>
      <c r="J76" s="277" t="str">
        <f>FHD_NOTE_P_36</f>
        <v/>
      </c>
      <c r="K76" s="551"/>
      <c r="L76" s="1682"/>
      <c r="M76" s="1682"/>
      <c r="R76" s="1682"/>
      <c r="U76" s="552"/>
      <c r="AA76" s="1678"/>
      <c r="AB76" s="1678"/>
      <c r="AC76" s="1678"/>
      <c r="AD76" s="1678"/>
      <c r="AE76" s="1678"/>
    </row>
    <row s="3145" customFormat="1" customHeight="1" ht="18.75">
      <c r="A77" s="1000"/>
      <c r="C77" s="1682"/>
      <c r="D77" s="1684"/>
      <c r="E77" s="554" t="str">
        <f>FHD_NUM_P_37</f>
        <v>4</v>
      </c>
      <c r="F77" s="715" t="str">
        <f>FHD_P_37</f>
        <v>Изменение стоимости основных фондов, в том числе:</v>
      </c>
      <c r="G77" s="1692" t="s">
        <v>1716</v>
      </c>
      <c r="H77" s="565"/>
      <c r="I77" s="565">
        <v>0</v>
      </c>
      <c r="J77" s="277" t="str">
        <f>FHD_NOTE_P_37</f>
        <v>Указывается общее изменение стоимости основных фондов.</v>
      </c>
      <c r="K77" s="551"/>
      <c r="L77" s="1682"/>
      <c r="M77" s="1682"/>
      <c r="R77" s="1682"/>
      <c r="U77" s="552"/>
      <c r="AA77" s="1678"/>
      <c r="AB77" s="1678"/>
      <c r="AC77" s="1678"/>
      <c r="AD77" s="1678"/>
      <c r="AE77" s="1678"/>
    </row>
    <row s="3145" customFormat="1" customHeight="1" ht="18.75">
      <c r="A78" s="1000"/>
      <c r="C78" s="1682"/>
      <c r="D78" s="1684"/>
      <c r="E78" s="554" t="str">
        <f>FHD_NUM_P_38</f>
        <v>4.1</v>
      </c>
      <c r="F78" s="967" t="str">
        <f>FHD_P_38</f>
        <v>Изменение стоимости основных фондов за счет их ввода в эксплуатацию (вывода из эксплуатации)</v>
      </c>
      <c r="G78" s="1692" t="s">
        <v>1716</v>
      </c>
      <c r="H78" s="565"/>
      <c r="I78" s="565">
        <v>475283.16</v>
      </c>
      <c r="J78" s="277" t="str">
        <f>FHD_NOTE_P_38</f>
        <v>Указываются общее изменение стоимости основных фондов за счет их ввода в эксплуатацию и вывода из эксплуатации.</v>
      </c>
      <c r="K78" s="551"/>
      <c r="L78" s="1682"/>
      <c r="M78" s="1682"/>
      <c r="R78" s="1682"/>
      <c r="U78" s="552"/>
      <c r="AA78" s="1678"/>
      <c r="AB78" s="1678"/>
      <c r="AC78" s="1678"/>
      <c r="AD78" s="1678"/>
      <c r="AE78" s="1678"/>
    </row>
    <row s="3145" customFormat="1" customHeight="1" ht="18.75">
      <c r="A79" s="1000"/>
      <c r="C79" s="1682"/>
      <c r="D79" s="1684"/>
      <c r="E79" s="554" t="str">
        <f>FHD_NUM_P_39</f>
        <v>4.1.1</v>
      </c>
      <c r="F79" s="1696" t="str">
        <f>FHD_P_39</f>
        <v>Изменение стоимости основных фондов за счет их ввода в эксплуатацию</v>
      </c>
      <c r="G79" s="1692" t="s">
        <v>1716</v>
      </c>
      <c r="H79" s="565"/>
      <c r="I79" s="565">
        <v>660439.27</v>
      </c>
      <c r="J79" s="277" t="str">
        <f>FHD_NOTE_P_39</f>
        <v>Указываются изменение стоимости основных фондов за счет их ввода в эксплуатацию.</v>
      </c>
      <c r="K79" s="551"/>
      <c r="L79" s="1682"/>
      <c r="M79" s="1682"/>
      <c r="R79" s="1682"/>
      <c r="U79" s="552"/>
      <c r="AA79" s="1678"/>
      <c r="AB79" s="1678"/>
      <c r="AC79" s="1678"/>
      <c r="AD79" s="1678"/>
      <c r="AE79" s="1678"/>
    </row>
    <row s="3145" customFormat="1" customHeight="1" ht="18.75">
      <c r="A80" s="1000"/>
      <c r="C80" s="1682"/>
      <c r="D80" s="1684"/>
      <c r="E80" s="554" t="str">
        <f>FHD_NUM_P_40</f>
        <v>4.1.2</v>
      </c>
      <c r="F80" s="1696" t="str">
        <f>FHD_P_40</f>
        <v>Изменение стоимости основных фондов за счет их вывода в эксплуатацию</v>
      </c>
      <c r="G80" s="1692" t="s">
        <v>1716</v>
      </c>
      <c r="H80" s="565"/>
      <c r="I80" s="565">
        <v>674742.82</v>
      </c>
      <c r="J80" s="277" t="str">
        <f>FHD_NOTE_P_40</f>
        <v>Указываются изменение стоимости основных фондов за счет их вывода из эксплуатации.</v>
      </c>
      <c r="K80" s="551"/>
      <c r="L80" s="1682"/>
      <c r="M80" s="1682"/>
      <c r="R80" s="1682"/>
      <c r="U80" s="552"/>
      <c r="AA80" s="1678"/>
      <c r="AB80" s="1678"/>
      <c r="AC80" s="1678"/>
      <c r="AD80" s="1678"/>
      <c r="AE80" s="1678"/>
    </row>
    <row s="3145" customFormat="1" customHeight="1" ht="18.75">
      <c r="A81" s="1000"/>
      <c r="C81" s="1682"/>
      <c r="D81" s="1684"/>
      <c r="E81" s="554" t="str">
        <f>FHD_NUM_P_41</f>
        <v>4.2</v>
      </c>
      <c r="F81" s="967" t="str">
        <f>FHD_P_41</f>
        <v>Изменение стоимости основных фондов за счет их переоценки</v>
      </c>
      <c r="G81" s="1690" t="s">
        <v>1716</v>
      </c>
      <c r="H81" s="565"/>
      <c r="I81" s="565">
        <v>14303.55</v>
      </c>
      <c r="J81" s="277" t="str">
        <f>FHD_NOTE_P_41</f>
        <v/>
      </c>
      <c r="K81" s="551"/>
      <c r="L81" s="1682"/>
      <c r="M81" s="1682"/>
      <c r="R81" s="1682"/>
      <c r="U81" s="552"/>
      <c r="AA81" s="1678"/>
      <c r="AB81" s="1678"/>
      <c r="AC81" s="1678"/>
      <c r="AD81" s="1678"/>
      <c r="AE81" s="1678"/>
    </row>
    <row s="3145" customFormat="1" customHeight="1" ht="35.25">
      <c r="A82" s="1002" t="s">
        <v>1738</v>
      </c>
      <c r="C82" s="1682"/>
      <c r="D82" s="1684"/>
      <c r="E82" s="554" t="str">
        <f>FHD_NUM_P_42</f>
        <v>5</v>
      </c>
      <c r="F82" s="715" t="str">
        <f>FHD_P_42</f>
        <v>Валовая прибыль (убытки) от продажи товаров и услуг по регулируемым видам деятельности в сфере холодного водоснабжения</v>
      </c>
      <c r="G82" s="1692" t="s">
        <v>1716</v>
      </c>
      <c r="H82" s="989"/>
      <c r="I82" s="565">
        <v>0</v>
      </c>
      <c r="J82" s="277" t="str">
        <f>FHD_NOTE_P_42</f>
        <v/>
      </c>
      <c r="K82" s="551"/>
      <c r="L82" s="1682"/>
      <c r="M82" s="1682"/>
      <c r="R82" s="1682"/>
      <c r="U82" s="552"/>
      <c r="AA82" s="1678"/>
      <c r="AB82" s="1678"/>
      <c r="AC82" s="1678"/>
      <c r="AD82" s="1678"/>
      <c r="AE82" s="1678"/>
    </row>
    <row s="3145" customFormat="1" customHeight="1" ht="41.666666666666664">
      <c r="A83" s="1000"/>
      <c r="C83" s="1682"/>
      <c r="D83" s="1684"/>
      <c r="E83" s="554" t="str">
        <f>FHD_NUM_P_43</f>
        <v>6</v>
      </c>
      <c r="F83" s="715" t="str">
        <f>FHD_P_43</f>
        <v>Годовая бухгалтерская (финансовая) отчетность, включая бухгалтерский баланс и приложения к нему</v>
      </c>
      <c r="G83" s="1692" t="s">
        <v>293</v>
      </c>
      <c r="H83" s="1068"/>
      <c r="I83" s="828"/>
      <c r="J83"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51"/>
      <c r="L83" s="1682"/>
      <c r="M83" s="1682"/>
      <c r="R83" s="1682"/>
      <c r="U83" s="552"/>
      <c r="AA83" s="1678"/>
      <c r="AB83" s="1678"/>
      <c r="AC83" s="1678"/>
      <c r="AD83" s="1678"/>
      <c r="AE83" s="1678"/>
    </row>
    <row s="4349" customFormat="1" customHeight="1" ht="18.75">
      <c r="A84" s="2337" t="s">
        <v>1739</v>
      </c>
      <c r="C84" s="744"/>
      <c r="D84" s="742"/>
      <c r="E84" s="554" t="str">
        <f>FHD_NUM_P_44</f>
        <v>7</v>
      </c>
      <c r="F84" s="715" t="str">
        <f>FHD_P_44</f>
        <v>Объём поднятой воды</v>
      </c>
      <c r="G84" s="729" t="s">
        <v>1740</v>
      </c>
      <c r="H84" s="990"/>
      <c r="I84" s="585">
        <v>0</v>
      </c>
      <c r="J84" s="277" t="str">
        <f>FHD_NOTE_P_44</f>
        <v/>
      </c>
      <c r="K84" s="743"/>
      <c r="L84" s="744"/>
      <c r="M84" s="744"/>
      <c r="R84" s="744"/>
      <c r="U84" s="745"/>
      <c r="AA84" s="746"/>
      <c r="AB84" s="746"/>
      <c r="AC84" s="746"/>
      <c r="AD84" s="746"/>
      <c r="AE84" s="746"/>
    </row>
    <row s="4349" customFormat="1" customHeight="1" ht="18.75">
      <c r="A85" s="2337"/>
      <c r="C85" s="744"/>
      <c r="D85" s="742"/>
      <c r="E85" s="554" t="str">
        <f>FHD_NUM_P_45</f>
        <v>8</v>
      </c>
      <c r="F85" s="715" t="str">
        <f>FHD_P_45</f>
        <v>Объём покупной воды</v>
      </c>
      <c r="G85" s="729" t="s">
        <v>1740</v>
      </c>
      <c r="H85" s="990"/>
      <c r="I85" s="585">
        <v>46.315</v>
      </c>
      <c r="J85" s="277" t="str">
        <f>FHD_NOTE_P_45</f>
        <v/>
      </c>
      <c r="K85" s="743"/>
      <c r="L85" s="744"/>
      <c r="M85" s="744"/>
      <c r="R85" s="744"/>
      <c r="U85" s="745"/>
      <c r="AA85" s="746"/>
      <c r="AB85" s="746"/>
      <c r="AC85" s="746"/>
      <c r="AD85" s="746"/>
      <c r="AE85" s="746"/>
    </row>
    <row s="4349" customFormat="1" customHeight="1" ht="18.75">
      <c r="A86" s="2337"/>
      <c r="C86" s="744"/>
      <c r="D86" s="747"/>
      <c r="E86" s="554" t="str">
        <f>FHD_NUM_P_46</f>
        <v>9</v>
      </c>
      <c r="F86" s="715" t="str">
        <f>FHD_P_46</f>
        <v>Объём воды, пропущенной через очистные сооружения</v>
      </c>
      <c r="G86" s="729" t="s">
        <v>1740</v>
      </c>
      <c r="H86" s="990"/>
      <c r="I86" s="585">
        <v>0</v>
      </c>
      <c r="J86" s="277" t="str">
        <f>FHD_NOTE_P_46</f>
        <v/>
      </c>
      <c r="K86" s="743"/>
      <c r="L86" s="744"/>
      <c r="M86" s="744"/>
      <c r="R86" s="744"/>
      <c r="U86" s="745"/>
      <c r="AA86" s="746"/>
      <c r="AB86" s="746"/>
      <c r="AC86" s="746"/>
      <c r="AD86" s="746"/>
      <c r="AE86" s="746"/>
    </row>
    <row s="4349" customFormat="1" customHeight="1" ht="18.75">
      <c r="A87" s="2337"/>
      <c r="C87" s="744"/>
      <c r="D87" s="742"/>
      <c r="E87" s="554" t="str">
        <f>FHD_NUM_P_47</f>
        <v>10</v>
      </c>
      <c r="F87" s="715" t="str">
        <f>FHD_P_47</f>
        <v>Объём отпущенной потребителям воды, в том числе:</v>
      </c>
      <c r="G87" s="729" t="s">
        <v>1740</v>
      </c>
      <c r="H87" s="990"/>
      <c r="I87" s="585">
        <v>1.963</v>
      </c>
      <c r="J87" s="277" t="str">
        <f>FHD_NOTE_P_47</f>
        <v>Указывается общий объем отпущенной потребителям воды.</v>
      </c>
      <c r="K87" s="743"/>
      <c r="L87" s="744"/>
      <c r="M87" s="744"/>
      <c r="R87" s="744"/>
      <c r="U87" s="745"/>
      <c r="AA87" s="746"/>
      <c r="AB87" s="746"/>
      <c r="AC87" s="746"/>
      <c r="AD87" s="746"/>
      <c r="AE87" s="746"/>
    </row>
    <row s="4358" customFormat="1" customHeight="1" ht="18.75">
      <c r="A88" s="2337"/>
      <c r="B88" s="922"/>
      <c r="C88" s="744"/>
      <c r="D88" s="742"/>
      <c r="E88" s="554" t="str">
        <f>FHD_NUM_P_48</f>
        <v>10.1</v>
      </c>
      <c r="F88" s="715" t="str">
        <f>FHD_P_48</f>
        <v>Объём отпущенной потребителям воды, определенный по приборам учета</v>
      </c>
      <c r="G88" s="729" t="s">
        <v>1740</v>
      </c>
      <c r="H88" s="990"/>
      <c r="I88" s="585">
        <v>1.963</v>
      </c>
      <c r="J88" s="277" t="str">
        <f>FHD_NOTE_P_48</f>
        <v/>
      </c>
      <c r="K88" s="743"/>
      <c r="L88" s="744"/>
      <c r="M88" s="744"/>
      <c r="N88" s="922"/>
      <c r="O88" s="922"/>
      <c r="P88" s="922"/>
      <c r="Q88" s="922"/>
      <c r="R88" s="744"/>
      <c r="S88" s="922"/>
      <c r="T88" s="922"/>
      <c r="U88" s="745"/>
      <c r="V88" s="922"/>
      <c r="W88" s="922"/>
      <c r="X88" s="922"/>
      <c r="Y88" s="922"/>
      <c r="Z88" s="922"/>
      <c r="AA88" s="746"/>
      <c r="AB88" s="746"/>
      <c r="AC88" s="746"/>
      <c r="AD88" s="746"/>
      <c r="AE88" s="746"/>
    </row>
    <row s="4358" customFormat="1" customHeight="1" ht="27.5">
      <c r="A89" s="2337"/>
      <c r="B89" s="922"/>
      <c r="C89" s="744"/>
      <c r="D89" s="742"/>
      <c r="E89" s="554" t="str">
        <f>FHD_NUM_P_49</f>
        <v>10.2</v>
      </c>
      <c r="F89" s="715" t="str">
        <f>FHD_P_49</f>
        <v>Объём отпущенной потребителям воды, определенный расчетным способом</v>
      </c>
      <c r="G89" s="729" t="s">
        <v>1740</v>
      </c>
      <c r="H89" s="991">
        <f>SUM(H90:H91)</f>
        <v>0</v>
      </c>
      <c r="I89" s="758">
        <f>SUM(I90:I91)</f>
        <v>0</v>
      </c>
      <c r="J89" s="277" t="str">
        <f>FHD_NOTE_P_49</f>
        <v/>
      </c>
      <c r="K89" s="743"/>
      <c r="L89" s="744"/>
      <c r="M89" s="744"/>
      <c r="N89" s="922"/>
      <c r="O89" s="922"/>
      <c r="P89" s="922"/>
      <c r="Q89" s="922"/>
      <c r="R89" s="744"/>
      <c r="S89" s="922"/>
      <c r="T89" s="922"/>
      <c r="U89" s="745"/>
      <c r="V89" s="922"/>
      <c r="W89" s="922"/>
      <c r="X89" s="922"/>
      <c r="Y89" s="922"/>
      <c r="Z89" s="922"/>
      <c r="AA89" s="746"/>
      <c r="AB89" s="746"/>
      <c r="AC89" s="746"/>
      <c r="AD89" s="746"/>
      <c r="AE89" s="746"/>
    </row>
    <row s="4358" customFormat="1" customHeight="1" ht="23.333333333333332">
      <c r="A90" s="2337"/>
      <c r="B90" s="922"/>
      <c r="C90" s="744"/>
      <c r="D90" s="742"/>
      <c r="E90" s="554" t="str">
        <f>FHD_NUM_P_50</f>
        <v>10.2.1</v>
      </c>
      <c r="F90" s="715" t="str">
        <f>FHD_P_50</f>
        <v>Объём отпущенной потребителям воды, определенный по нормативам потребления коммунальных услуг</v>
      </c>
      <c r="G90" s="729" t="s">
        <v>1740</v>
      </c>
      <c r="H90" s="990"/>
      <c r="I90" s="585">
        <v>0</v>
      </c>
      <c r="J90" s="277" t="str">
        <f>FHD_NOTE_P_50</f>
        <v/>
      </c>
      <c r="K90" s="743"/>
      <c r="L90" s="744"/>
      <c r="M90" s="744"/>
      <c r="N90" s="922"/>
      <c r="O90" s="922"/>
      <c r="P90" s="922"/>
      <c r="Q90" s="922"/>
      <c r="R90" s="744"/>
      <c r="S90" s="922"/>
      <c r="T90" s="922"/>
      <c r="U90" s="745"/>
      <c r="V90" s="922"/>
      <c r="W90" s="922"/>
      <c r="X90" s="922"/>
      <c r="Y90" s="922"/>
      <c r="Z90" s="922"/>
      <c r="AA90" s="746"/>
      <c r="AB90" s="746"/>
      <c r="AC90" s="746"/>
      <c r="AD90" s="746"/>
      <c r="AE90" s="746"/>
    </row>
    <row s="4358" customFormat="1" customHeight="1" ht="25">
      <c r="A91" s="2337"/>
      <c r="B91" s="922"/>
      <c r="C91" s="744"/>
      <c r="D91" s="742"/>
      <c r="E91" s="554" t="str">
        <f>FHD_NUM_P_51</f>
        <v>10.2.2</v>
      </c>
      <c r="F91" s="715" t="str">
        <f>FHD_P_51</f>
        <v>Объём отпущенной потребителям воды, определенный по нормативам потребления коммунальных ресурсов </v>
      </c>
      <c r="G91" s="729" t="s">
        <v>1740</v>
      </c>
      <c r="H91" s="990"/>
      <c r="I91" s="585">
        <v>0</v>
      </c>
      <c r="J91" s="277" t="str">
        <f>FHD_NOTE_P_51</f>
        <v/>
      </c>
      <c r="K91" s="743"/>
      <c r="L91" s="744"/>
      <c r="M91" s="744"/>
      <c r="N91" s="922"/>
      <c r="O91" s="922"/>
      <c r="P91" s="922"/>
      <c r="Q91" s="922"/>
      <c r="R91" s="744"/>
      <c r="S91" s="922"/>
      <c r="T91" s="922"/>
      <c r="U91" s="745"/>
      <c r="V91" s="922"/>
      <c r="W91" s="922"/>
      <c r="X91" s="922"/>
      <c r="Y91" s="922"/>
      <c r="Z91" s="922"/>
      <c r="AA91" s="746"/>
      <c r="AB91" s="746"/>
      <c r="AC91" s="746"/>
      <c r="AD91" s="746"/>
      <c r="AE91" s="746"/>
    </row>
    <row s="4358" customFormat="1" customHeight="1" ht="18.75">
      <c r="A92" s="2337"/>
      <c r="B92" s="922"/>
      <c r="C92" s="744"/>
      <c r="D92" s="742"/>
      <c r="E92" s="554" t="str">
        <f>FHD_NUM_P_52</f>
        <v>11</v>
      </c>
      <c r="F92" s="715" t="str">
        <f>FHD_P_52</f>
        <v>Потери воды в сетях</v>
      </c>
      <c r="G92" s="729" t="s">
        <v>1630</v>
      </c>
      <c r="H92" s="989"/>
      <c r="I92" s="565">
        <v>0</v>
      </c>
      <c r="J92" s="277" t="str">
        <f>FHD_NOTE_P_52</f>
        <v/>
      </c>
      <c r="K92" s="743"/>
      <c r="L92" s="744"/>
      <c r="M92" s="744"/>
      <c r="N92" s="922"/>
      <c r="O92" s="922"/>
      <c r="P92" s="922"/>
      <c r="Q92" s="922"/>
      <c r="R92" s="744"/>
      <c r="S92" s="922"/>
      <c r="T92" s="922"/>
      <c r="U92" s="745"/>
      <c r="V92" s="922"/>
      <c r="W92" s="922"/>
      <c r="X92" s="922"/>
      <c r="Y92" s="922"/>
      <c r="Z92" s="922"/>
      <c r="AA92" s="746"/>
      <c r="AB92" s="746"/>
      <c r="AC92" s="746"/>
      <c r="AD92" s="746"/>
      <c r="AE92" s="746"/>
    </row>
    <row s="4349" customFormat="1" customHeight="1" ht="18.75" hidden="1">
      <c r="A93" s="2339" t="s">
        <v>1741</v>
      </c>
      <c r="C93" s="744"/>
      <c r="D93" s="742"/>
      <c r="E93" s="554" t="str">
        <f>FHD_NUM_P_53</f>
        <v/>
      </c>
      <c r="F93" s="715" t="str">
        <f>FHD_P_53</f>
        <v/>
      </c>
      <c r="G93" s="729" t="s">
        <v>1740</v>
      </c>
      <c r="H93" s="990"/>
      <c r="I93" s="585"/>
      <c r="J93" s="277" t="str">
        <f>FHD_NOTE_P_53</f>
        <v/>
      </c>
      <c r="K93" s="743"/>
      <c r="L93" s="744"/>
      <c r="M93" s="744"/>
      <c r="R93" s="744"/>
      <c r="U93" s="745"/>
      <c r="AA93" s="746"/>
      <c r="AB93" s="746"/>
      <c r="AC93" s="746"/>
      <c r="AD93" s="746"/>
      <c r="AE93" s="746"/>
    </row>
    <row s="4349" customFormat="1" customHeight="1" ht="18.75" hidden="1">
      <c r="A94" s="2339"/>
      <c r="C94" s="744"/>
      <c r="D94" s="742"/>
      <c r="E94" s="554" t="str">
        <f>FHD_NUM_P_54</f>
        <v/>
      </c>
      <c r="F94" s="715" t="str">
        <f>FHD_P_54</f>
        <v/>
      </c>
      <c r="G94" s="729" t="s">
        <v>1740</v>
      </c>
      <c r="H94" s="990"/>
      <c r="I94" s="585"/>
      <c r="J94" s="277" t="str">
        <f>FHD_NOTE_P_54</f>
        <v/>
      </c>
      <c r="K94" s="743"/>
      <c r="L94" s="744"/>
      <c r="M94" s="744"/>
      <c r="R94" s="744"/>
      <c r="U94" s="745"/>
      <c r="AA94" s="746"/>
      <c r="AB94" s="746"/>
      <c r="AC94" s="746"/>
      <c r="AD94" s="746"/>
      <c r="AE94" s="746"/>
    </row>
    <row s="4349" customFormat="1" customHeight="1" ht="18.75" hidden="1">
      <c r="A95" s="2339"/>
      <c r="C95" s="744"/>
      <c r="D95" s="747"/>
      <c r="E95" s="554" t="str">
        <f>FHD_NUM_P_55</f>
        <v/>
      </c>
      <c r="F95" s="715" t="str">
        <f>FHD_P_55</f>
        <v/>
      </c>
      <c r="G95" s="901"/>
      <c r="H95" s="990"/>
      <c r="I95" s="585"/>
      <c r="J95" s="277" t="str">
        <f>FHD_NOTE_P_55</f>
        <v/>
      </c>
      <c r="K95" s="743"/>
      <c r="L95" s="744"/>
      <c r="M95" s="744"/>
      <c r="R95" s="744"/>
      <c r="U95" s="745"/>
      <c r="AA95" s="746"/>
      <c r="AB95" s="746"/>
      <c r="AC95" s="746"/>
      <c r="AD95" s="746"/>
      <c r="AE95" s="746"/>
    </row>
    <row s="4349" customFormat="1" customHeight="1" ht="18.75" hidden="1">
      <c r="A96" s="2339"/>
      <c r="C96" s="744"/>
      <c r="D96" s="742"/>
      <c r="E96" s="554" t="str">
        <f>FHD_NUM_P_56</f>
        <v/>
      </c>
      <c r="F96" s="715" t="str">
        <f>FHD_P_56</f>
        <v/>
      </c>
      <c r="G96" s="729" t="s">
        <v>845</v>
      </c>
      <c r="H96" s="990"/>
      <c r="I96" s="585"/>
      <c r="J96" s="277" t="str">
        <f>FHD_NOTE_P_56</f>
        <v/>
      </c>
      <c r="K96" s="743"/>
      <c r="L96" s="744"/>
      <c r="M96" s="744"/>
      <c r="R96" s="744"/>
      <c r="U96" s="745"/>
      <c r="AA96" s="746"/>
      <c r="AB96" s="746"/>
      <c r="AC96" s="746"/>
      <c r="AD96" s="746"/>
      <c r="AE96" s="746"/>
    </row>
    <row s="4358" customFormat="1" customHeight="1" ht="18.75" hidden="1">
      <c r="A97" s="2339"/>
      <c r="B97" s="922"/>
      <c r="C97" s="744"/>
      <c r="D97" s="742"/>
      <c r="E97" s="554" t="str">
        <f>FHD_NUM_P_57</f>
        <v/>
      </c>
      <c r="F97" s="715" t="str">
        <f>FHD_P_57</f>
        <v/>
      </c>
      <c r="G97" s="729" t="s">
        <v>1630</v>
      </c>
      <c r="H97" s="989"/>
      <c r="I97" s="565"/>
      <c r="J97" s="277" t="str">
        <f>FHD_NOTE_P_57</f>
        <v/>
      </c>
      <c r="K97" s="743"/>
      <c r="L97" s="744"/>
      <c r="M97" s="744"/>
      <c r="N97" s="922"/>
      <c r="O97" s="922"/>
      <c r="P97" s="922"/>
      <c r="Q97" s="922"/>
      <c r="R97" s="744"/>
      <c r="S97" s="922"/>
      <c r="T97" s="922"/>
      <c r="U97" s="745"/>
      <c r="V97" s="922"/>
      <c r="W97" s="922"/>
      <c r="X97" s="922"/>
      <c r="Y97" s="922"/>
      <c r="Z97" s="922"/>
      <c r="AA97" s="746"/>
      <c r="AB97" s="746"/>
      <c r="AC97" s="746"/>
      <c r="AD97" s="746"/>
      <c r="AE97" s="746"/>
    </row>
    <row customHeight="1" ht="18.75" hidden="1">
      <c r="A98" s="2337" t="s">
        <v>1742</v>
      </c>
      <c r="D98" s="1684"/>
      <c r="E98" s="554" t="str">
        <f>FHD_NUM_P_58</f>
        <v/>
      </c>
      <c r="F98" s="715" t="str">
        <f>FHD_P_58</f>
        <v/>
      </c>
      <c r="G98" s="729" t="s">
        <v>1740</v>
      </c>
      <c r="H98" s="990"/>
      <c r="I98" s="585"/>
      <c r="J98" s="277" t="str">
        <f>FHD_NOTE_P_58</f>
        <v/>
      </c>
      <c r="K98" s="551"/>
    </row>
    <row customHeight="1" ht="18.75" hidden="1">
      <c r="A99" s="2337"/>
      <c r="D99" s="1684"/>
      <c r="E99" s="554" t="str">
        <f>FHD_NUM_P_59</f>
        <v/>
      </c>
      <c r="F99" s="715" t="str">
        <f>FHD_P_59</f>
        <v/>
      </c>
      <c r="G99" s="729" t="s">
        <v>1740</v>
      </c>
      <c r="H99" s="990"/>
      <c r="I99" s="585"/>
      <c r="J99" s="277" t="str">
        <f>FHD_NOTE_P_59</f>
        <v/>
      </c>
      <c r="K99" s="551"/>
    </row>
    <row customHeight="1" ht="18.75" hidden="1">
      <c r="A100" s="2337"/>
      <c r="D100" s="1684"/>
      <c r="E100" s="554" t="str">
        <f>FHD_NUM_P_60</f>
        <v/>
      </c>
      <c r="F100" s="715" t="str">
        <f>FHD_P_60</f>
        <v/>
      </c>
      <c r="G100" s="729" t="s">
        <v>1740</v>
      </c>
      <c r="H100" s="990"/>
      <c r="I100" s="585"/>
      <c r="J100" s="277" t="str">
        <f>FHD_NOTE_P_60</f>
        <v/>
      </c>
      <c r="K100" s="551"/>
    </row>
    <row s="3145" customFormat="1" customHeight="1" ht="18.75" hidden="1">
      <c r="A101" s="2337" t="s">
        <v>1743</v>
      </c>
      <c r="C101" s="1682"/>
      <c r="D101" s="1684"/>
      <c r="E101" s="554" t="str">
        <f>FHD_NUM_P_61</f>
        <v/>
      </c>
      <c r="F101" s="715" t="str">
        <f>FHD_P_61</f>
        <v/>
      </c>
      <c r="G101" s="1692" t="s">
        <v>628</v>
      </c>
      <c r="H101" s="992"/>
      <c r="I101" s="751"/>
      <c r="J101" s="277" t="str">
        <f>FHD_NOTE_P_61</f>
        <v/>
      </c>
      <c r="K101" s="551"/>
      <c r="L101" s="1682"/>
      <c r="M101" s="1682"/>
      <c r="R101" s="1682"/>
      <c r="U101" s="552"/>
      <c r="AA101" s="1678"/>
      <c r="AB101" s="1678"/>
      <c r="AC101" s="1678"/>
      <c r="AD101" s="1678"/>
      <c r="AE101" s="1678"/>
    </row>
    <row s="3151" customFormat="1" customHeight="1" ht="0.75" hidden="1">
      <c r="A102" s="2337"/>
      <c r="D102" s="556"/>
      <c r="E102" s="812" t="str">
        <f>E101&amp;".0"</f>
        <v>.0</v>
      </c>
      <c r="F102" s="1007"/>
      <c r="G102" s="1008"/>
      <c r="H102" s="1005"/>
      <c r="I102" s="1005"/>
      <c r="J102" s="1009"/>
    </row>
    <row customHeight="1" ht="15" hidden="1">
      <c r="A103" s="2337"/>
      <c r="D103" s="1679"/>
      <c r="E103" s="984"/>
      <c r="F103" s="985" t="s">
        <v>1569</v>
      </c>
      <c r="G103" s="580"/>
      <c r="H103" s="581"/>
      <c r="I103" s="581"/>
      <c r="J103" s="1017" t="s">
        <v>1744</v>
      </c>
      <c r="K103" s="551"/>
    </row>
    <row s="3145" customFormat="1" customHeight="1" ht="18.75" hidden="1">
      <c r="A104" s="2337"/>
      <c r="C104" s="1682"/>
      <c r="D104" s="1684"/>
      <c r="E104" s="554" t="str">
        <f>FHD_NUM_P_62</f>
        <v/>
      </c>
      <c r="F104" s="715" t="str">
        <f>FHD_P_62</f>
        <v/>
      </c>
      <c r="G104" s="1689" t="s">
        <v>628</v>
      </c>
      <c r="H104" s="565"/>
      <c r="I104" s="565"/>
      <c r="J104" s="277" t="str">
        <f>FHD_NOTE_P_62</f>
        <v/>
      </c>
      <c r="K104" s="551"/>
      <c r="L104" s="1682"/>
      <c r="M104" s="1682"/>
      <c r="R104" s="1682"/>
      <c r="U104" s="552"/>
      <c r="AA104" s="1678"/>
      <c r="AB104" s="1678"/>
      <c r="AC104" s="1678"/>
      <c r="AD104" s="1678"/>
      <c r="AE104" s="1678"/>
    </row>
    <row s="3145" customFormat="1" customHeight="1" ht="18.75" hidden="1">
      <c r="A105" s="2337"/>
      <c r="C105" s="1682"/>
      <c r="D105" s="1684"/>
      <c r="E105" s="554" t="str">
        <f>FHD_NUM_P_63</f>
        <v/>
      </c>
      <c r="F105" s="715" t="str">
        <f>FHD_P_63</f>
        <v/>
      </c>
      <c r="G105" s="1689" t="s">
        <v>845</v>
      </c>
      <c r="H105" s="585"/>
      <c r="I105" s="585"/>
      <c r="J105" s="277" t="str">
        <f>FHD_NOTE_P_63</f>
        <v/>
      </c>
      <c r="K105" s="551"/>
      <c r="L105" s="1682"/>
      <c r="M105" s="1682"/>
      <c r="R105" s="1682"/>
      <c r="U105" s="552"/>
      <c r="AA105" s="1678"/>
      <c r="AB105" s="1678"/>
      <c r="AC105" s="1678"/>
      <c r="AD105" s="1678"/>
      <c r="AE105" s="1678"/>
    </row>
    <row s="3145" customFormat="1" customHeight="1" ht="18.75" hidden="1">
      <c r="A106" s="2337"/>
      <c r="C106" s="1682" t="s">
        <v>1745</v>
      </c>
      <c r="D106" s="1684"/>
      <c r="E106" s="554" t="str">
        <f>FHD_NUM_P_64</f>
        <v/>
      </c>
      <c r="F106" s="715" t="str">
        <f>FHD_P_64</f>
        <v/>
      </c>
      <c r="G106" s="1689" t="s">
        <v>845</v>
      </c>
      <c r="H106" s="553"/>
      <c r="I106" s="553"/>
      <c r="J106" s="277" t="str">
        <f>FHD_NOTE_P_64</f>
        <v/>
      </c>
      <c r="K106" s="551"/>
      <c r="L106" s="1682"/>
      <c r="M106" s="1682"/>
      <c r="R106" s="1682"/>
      <c r="U106" s="552"/>
      <c r="AA106" s="1678"/>
      <c r="AB106" s="1678"/>
      <c r="AC106" s="1678"/>
      <c r="AD106" s="1678"/>
      <c r="AE106" s="1678"/>
    </row>
    <row s="3145" customFormat="1" customHeight="1" ht="18.75" hidden="1">
      <c r="A107" s="2337"/>
      <c r="C107" s="1682"/>
      <c r="D107" s="1684"/>
      <c r="E107" s="554" t="str">
        <f>FHD_NUM_P_65</f>
        <v/>
      </c>
      <c r="F107" s="715" t="str">
        <f>FHD_P_65</f>
        <v/>
      </c>
      <c r="G107" s="1689" t="s">
        <v>845</v>
      </c>
      <c r="H107" s="585"/>
      <c r="I107" s="585"/>
      <c r="J107" s="277" t="str">
        <f>FHD_NOTE_P_65</f>
        <v/>
      </c>
      <c r="K107" s="551"/>
      <c r="L107" s="1682"/>
      <c r="M107" s="1682"/>
      <c r="R107" s="1682"/>
      <c r="U107" s="552"/>
      <c r="AA107" s="1678"/>
      <c r="AB107" s="1678"/>
      <c r="AC107" s="1678"/>
      <c r="AD107" s="1678"/>
      <c r="AE107" s="1678"/>
    </row>
    <row s="3145" customFormat="1" customHeight="1" ht="18.75" hidden="1">
      <c r="A108" s="2337"/>
      <c r="C108" s="1682"/>
      <c r="D108" s="1684"/>
      <c r="E108" s="554" t="str">
        <f>FHD_NUM_P_66</f>
        <v/>
      </c>
      <c r="F108" s="967" t="str">
        <f>FHD_P_66</f>
        <v/>
      </c>
      <c r="G108" s="1689" t="s">
        <v>845</v>
      </c>
      <c r="H108" s="585"/>
      <c r="I108" s="585"/>
      <c r="J108" s="277" t="str">
        <f>FHD_NOTE_P_66</f>
        <v/>
      </c>
      <c r="K108" s="551"/>
      <c r="L108" s="1682"/>
      <c r="M108" s="1682"/>
      <c r="R108" s="1682"/>
      <c r="U108" s="552"/>
      <c r="AA108" s="1678"/>
      <c r="AB108" s="1678"/>
      <c r="AC108" s="1678"/>
      <c r="AD108" s="1678"/>
      <c r="AE108" s="1678"/>
    </row>
    <row s="3145" customFormat="1" customHeight="1" ht="18.75" hidden="1">
      <c r="A109" s="2337"/>
      <c r="C109" s="1682"/>
      <c r="D109" s="1684"/>
      <c r="E109" s="554" t="str">
        <f>FHD_NUM_P_67</f>
        <v/>
      </c>
      <c r="F109" s="1696" t="str">
        <f>FHD_P_67</f>
        <v/>
      </c>
      <c r="G109" s="1689" t="s">
        <v>845</v>
      </c>
      <c r="H109" s="585"/>
      <c r="I109" s="585"/>
      <c r="J109" s="277" t="str">
        <f>FHD_NOTE_P_67</f>
        <v/>
      </c>
      <c r="K109" s="551"/>
      <c r="L109" s="1682"/>
      <c r="M109" s="1682"/>
      <c r="R109" s="1682"/>
      <c r="U109" s="552"/>
      <c r="AA109" s="1678"/>
      <c r="AB109" s="1678"/>
      <c r="AC109" s="1678"/>
      <c r="AD109" s="1678"/>
      <c r="AE109" s="1678"/>
    </row>
    <row s="3145" customFormat="1" customHeight="1" ht="18.75" hidden="1">
      <c r="A110" s="2337"/>
      <c r="C110" s="1682"/>
      <c r="D110" s="1684"/>
      <c r="E110" s="554" t="str">
        <f>FHD_NUM_P_68</f>
        <v/>
      </c>
      <c r="F110" s="967" t="str">
        <f>FHD_P_68</f>
        <v/>
      </c>
      <c r="G110" s="1689" t="s">
        <v>845</v>
      </c>
      <c r="H110" s="585"/>
      <c r="I110" s="585"/>
      <c r="J110" s="277" t="str">
        <f>FHD_NOTE_P_68</f>
        <v/>
      </c>
      <c r="K110" s="551"/>
      <c r="L110" s="1682"/>
      <c r="M110" s="1682"/>
      <c r="R110" s="1682"/>
      <c r="U110" s="552"/>
      <c r="AA110" s="1678"/>
      <c r="AB110" s="1678"/>
      <c r="AC110" s="1678"/>
      <c r="AD110" s="1678"/>
      <c r="AE110" s="1678"/>
    </row>
    <row s="3145" customFormat="1" customHeight="1" ht="18.75" hidden="1">
      <c r="A111" s="2337"/>
      <c r="C111" s="1682"/>
      <c r="D111" s="1684"/>
      <c r="E111" s="554" t="str">
        <f>FHD_NUM_P_69</f>
        <v/>
      </c>
      <c r="F111" s="967" t="str">
        <f>FHD_P_69</f>
        <v/>
      </c>
      <c r="G111" s="1689" t="s">
        <v>845</v>
      </c>
      <c r="H111" s="585"/>
      <c r="I111" s="585"/>
      <c r="J111" s="277" t="str">
        <f>FHD_NOTE_P_69</f>
        <v/>
      </c>
      <c r="K111" s="551"/>
      <c r="L111" s="1682"/>
      <c r="M111" s="1682"/>
      <c r="R111" s="1682"/>
      <c r="U111" s="552"/>
      <c r="AA111" s="1678"/>
      <c r="AB111" s="1678"/>
      <c r="AC111" s="1678"/>
      <c r="AD111" s="1678"/>
      <c r="AE111" s="1678"/>
    </row>
    <row s="3145" customFormat="1" customHeight="1" ht="22.5" hidden="1">
      <c r="A112" s="2337"/>
      <c r="C112" s="1682"/>
      <c r="D112" s="1684"/>
      <c r="E112" s="554" t="str">
        <f>FHD_NUM_P_70</f>
        <v/>
      </c>
      <c r="F112" s="715" t="str">
        <f>FHD_P_70</f>
        <v/>
      </c>
      <c r="G112" s="1689" t="s">
        <v>1746</v>
      </c>
      <c r="H112" s="565"/>
      <c r="I112" s="565"/>
      <c r="J112" s="277" t="str">
        <f>FHD_NOTE_P_70</f>
        <v/>
      </c>
      <c r="K112" s="551"/>
      <c r="L112" s="1682"/>
      <c r="M112" s="1682"/>
      <c r="R112" s="1682"/>
      <c r="U112" s="552"/>
      <c r="AA112" s="1678"/>
      <c r="AB112" s="1678"/>
      <c r="AC112" s="1678"/>
      <c r="AD112" s="1678"/>
      <c r="AE112" s="1678"/>
    </row>
    <row s="3145" customFormat="1" customHeight="1" ht="22.5" hidden="1">
      <c r="A113" s="2337"/>
      <c r="C113" s="1682"/>
      <c r="D113" s="1684"/>
      <c r="E113" s="554" t="str">
        <f>FHD_NUM_P_71</f>
        <v/>
      </c>
      <c r="F113" s="715" t="str">
        <f>FHD_P_71</f>
        <v/>
      </c>
      <c r="G113" s="1689" t="s">
        <v>1746</v>
      </c>
      <c r="H113" s="565"/>
      <c r="I113" s="565"/>
      <c r="J113" s="277" t="str">
        <f>FHD_NOTE_P_71</f>
        <v/>
      </c>
      <c r="K113" s="551"/>
      <c r="L113" s="1682"/>
      <c r="M113" s="1682"/>
      <c r="R113" s="1682"/>
      <c r="U113" s="552"/>
      <c r="AA113" s="1678"/>
      <c r="AB113" s="1678"/>
      <c r="AC113" s="1678"/>
      <c r="AD113" s="1678"/>
      <c r="AE113" s="1678"/>
    </row>
    <row customHeight="1" ht="18.75">
      <c r="D114" s="1684"/>
      <c r="E114" s="554" t="str">
        <f>FHD_NUM_P_72</f>
        <v>12</v>
      </c>
      <c r="F114" s="715" t="str">
        <f>FHD_P_72</f>
        <v>Среднесписочная численность основного производственного персонала</v>
      </c>
      <c r="G114" s="982" t="s">
        <v>1747</v>
      </c>
      <c r="H114" s="585"/>
      <c r="I114" s="585">
        <v>0.11</v>
      </c>
      <c r="J114" s="277" t="str">
        <f>FHD_NOTE_P_72</f>
        <v/>
      </c>
      <c r="K114" s="551"/>
    </row>
    <row customHeight="1" ht="18.75" hidden="1">
      <c r="A115" s="1002" t="s">
        <v>1748</v>
      </c>
      <c r="D115" s="1684"/>
      <c r="E115" s="554" t="str">
        <f>FHD_NUM_P_73</f>
        <v/>
      </c>
      <c r="F115" s="715" t="str">
        <f>FHD_P_73</f>
        <v/>
      </c>
      <c r="G115" s="983" t="s">
        <v>1747</v>
      </c>
      <c r="H115" s="981"/>
      <c r="I115" s="981"/>
      <c r="J115" s="277" t="str">
        <f>FHD_NOTE_P_73</f>
        <v/>
      </c>
      <c r="K115" s="551"/>
    </row>
    <row customHeight="1" ht="33.75">
      <c r="A116" s="1002" t="s">
        <v>1749</v>
      </c>
      <c r="D116" s="1684"/>
      <c r="E116" s="554" t="str">
        <f>FHD_NUM_P_74</f>
        <v>13</v>
      </c>
      <c r="F116" s="715" t="str">
        <f>FHD_P_74</f>
        <v>Удельный расход электрической энергии на подачу воды в сеть</v>
      </c>
      <c r="G116" s="982" t="s">
        <v>1750</v>
      </c>
      <c r="H116" s="585"/>
      <c r="I116" s="585">
        <v>0</v>
      </c>
      <c r="J116" s="277" t="str">
        <f>FHD_NOTE_P_74</f>
        <v/>
      </c>
      <c r="K116" s="551"/>
    </row>
    <row s="4358" customFormat="1" customHeight="1" ht="18.75">
      <c r="A117" s="2339" t="s">
        <v>1751</v>
      </c>
      <c r="B117" s="922"/>
      <c r="C117" s="744"/>
      <c r="D117" s="742"/>
      <c r="E117" s="554" t="str">
        <f>FHD_NUM_P_75</f>
        <v>14</v>
      </c>
      <c r="F117" s="715" t="str">
        <f>FHD_P_75</f>
        <v>Расход воды на собственные нужды, в том числе:</v>
      </c>
      <c r="G117" s="982" t="s">
        <v>1630</v>
      </c>
      <c r="H117" s="565"/>
      <c r="I117" s="565">
        <v>0</v>
      </c>
      <c r="J117" s="277" t="str">
        <f>FHD_NOTE_P_75</f>
        <v>Указывается доля общего расхода воды на собственные нужны от объема отпуска воды потребителям.</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4358" customFormat="1" customHeight="1" ht="18.75">
      <c r="A118" s="2339"/>
      <c r="B118" s="922"/>
      <c r="C118" s="744"/>
      <c r="D118" s="742"/>
      <c r="E118" s="554" t="str">
        <f>FHD_NUM_P_76</f>
        <v>14.1</v>
      </c>
      <c r="F118" s="715" t="str">
        <f>FHD_P_76</f>
        <v>Расход воды на хозяйственно-бытовые нужды</v>
      </c>
      <c r="G118" s="982" t="s">
        <v>1630</v>
      </c>
      <c r="H118" s="565"/>
      <c r="I118" s="565">
        <v>0</v>
      </c>
      <c r="J118" s="277" t="str">
        <f>FHD_NOTE_P_76</f>
        <v>Указывается доля расхода воды на хозяйственно-бытовые нужны от объема отпуска воды потребителям.</v>
      </c>
      <c r="K118" s="743"/>
      <c r="L118" s="744"/>
      <c r="M118" s="744"/>
      <c r="N118" s="922"/>
      <c r="O118" s="922"/>
      <c r="P118" s="922"/>
      <c r="Q118" s="922"/>
      <c r="R118" s="744"/>
      <c r="S118" s="922"/>
      <c r="T118" s="922"/>
      <c r="U118" s="745"/>
      <c r="V118" s="922"/>
      <c r="W118" s="922"/>
      <c r="X118" s="922"/>
      <c r="Y118" s="922"/>
      <c r="Z118" s="922"/>
      <c r="AA118" s="746"/>
      <c r="AB118" s="746"/>
      <c r="AC118" s="746"/>
      <c r="AD118" s="746"/>
      <c r="AE118" s="746"/>
    </row>
    <row s="4358" customFormat="1" customHeight="1" ht="18.75">
      <c r="A119" s="2339"/>
      <c r="B119" s="922"/>
      <c r="C119" s="744"/>
      <c r="D119" s="742"/>
      <c r="E119" s="554" t="str">
        <f>FHD_NUM_P_77</f>
        <v>15</v>
      </c>
      <c r="F119" s="715" t="str">
        <f>FHD_P_77</f>
        <v>Показатель использования производственных объектов (по объему перекачки), в том числе:</v>
      </c>
      <c r="G119" s="982" t="s">
        <v>1630</v>
      </c>
      <c r="H119" s="565"/>
      <c r="I119" s="565">
        <v>53</v>
      </c>
      <c r="J119"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s="3151" customFormat="1" customHeight="1" ht="0.75">
      <c r="A120" s="2339"/>
      <c r="D120" s="556"/>
      <c r="E120" s="812" t="str">
        <f>E119&amp;".0"</f>
        <v>15.0</v>
      </c>
      <c r="F120" s="1010"/>
      <c r="G120" s="1697"/>
      <c r="H120" s="1005"/>
      <c r="I120" s="1005"/>
      <c r="J120" s="1009"/>
    </row>
    <row s="4358" customFormat="1" customHeight="1" ht="15">
      <c r="A121" s="2339"/>
      <c r="B121" s="922"/>
      <c r="C121" s="744"/>
      <c r="D121" s="755"/>
      <c r="E121" s="986"/>
      <c r="F121" s="987" t="s">
        <v>1752</v>
      </c>
      <c r="G121" s="756"/>
      <c r="H121" s="757"/>
      <c r="I121" s="757"/>
      <c r="J121" s="1016" t="s">
        <v>1753</v>
      </c>
      <c r="K121" s="743"/>
      <c r="L121" s="744"/>
      <c r="M121" s="744"/>
      <c r="N121" s="922"/>
      <c r="O121" s="922"/>
      <c r="P121" s="922"/>
      <c r="Q121" s="922"/>
      <c r="R121" s="744"/>
      <c r="S121" s="922"/>
      <c r="T121" s="922"/>
      <c r="U121" s="745"/>
      <c r="V121" s="922"/>
      <c r="W121" s="922"/>
      <c r="X121" s="922"/>
      <c r="Y121" s="922"/>
      <c r="Z121" s="922"/>
      <c r="AA121" s="746"/>
      <c r="AB121" s="746"/>
      <c r="AC121" s="746"/>
      <c r="AD121" s="746"/>
      <c r="AE121" s="746"/>
    </row>
    <row customHeight="1" ht="22.5" hidden="1">
      <c r="A122" s="2337" t="s">
        <v>1754</v>
      </c>
      <c r="D122" s="1684"/>
      <c r="E122" s="554" t="str">
        <f>FHD_NUM_P_78</f>
        <v/>
      </c>
      <c r="F122" s="715" t="str">
        <f>FHD_P_78</f>
        <v/>
      </c>
      <c r="G122" s="1689" t="s">
        <v>1722</v>
      </c>
      <c r="H122" s="585"/>
      <c r="I122" s="585"/>
      <c r="J122" s="277" t="str">
        <f>FHD_NOTE_P_78</f>
        <v/>
      </c>
      <c r="K122" s="551"/>
    </row>
    <row s="3151" customFormat="1" customHeight="1" ht="0.75" hidden="1">
      <c r="A123" s="2337"/>
      <c r="D123" s="556"/>
      <c r="E123" s="812" t="str">
        <f>E122&amp;".0"</f>
        <v>.0</v>
      </c>
      <c r="F123" s="1010"/>
      <c r="G123" s="1697"/>
      <c r="H123" s="1005"/>
      <c r="I123" s="1005"/>
      <c r="J123" s="1009"/>
    </row>
    <row customHeight="1" ht="15" hidden="1">
      <c r="A124" s="2337"/>
      <c r="D124" s="1679"/>
      <c r="E124" s="578"/>
      <c r="F124" s="588" t="s">
        <v>1569</v>
      </c>
      <c r="G124" s="580"/>
      <c r="H124" s="581"/>
      <c r="I124" s="581"/>
      <c r="J124" s="1017" t="s">
        <v>1755</v>
      </c>
      <c r="K124" s="551"/>
    </row>
    <row customHeight="1" ht="22.5" hidden="1">
      <c r="A125" s="2337"/>
      <c r="D125" s="1684"/>
      <c r="E125" s="554" t="str">
        <f>FHD_NUM_P_79</f>
        <v/>
      </c>
      <c r="F125" s="715" t="str">
        <f>FHD_P_79</f>
        <v/>
      </c>
      <c r="G125" s="1692" t="s">
        <v>1724</v>
      </c>
      <c r="H125" s="585"/>
      <c r="I125" s="585"/>
      <c r="J125" s="277" t="str">
        <f>FHD_NOTE_P_79</f>
        <v/>
      </c>
      <c r="K125" s="551"/>
    </row>
    <row s="3151" customFormat="1" customHeight="1" ht="0.75" hidden="1">
      <c r="A126" s="2337"/>
      <c r="D126" s="556"/>
      <c r="E126" s="812" t="str">
        <f>E125&amp;".0"</f>
        <v>.0</v>
      </c>
      <c r="F126" s="1011"/>
      <c r="G126" s="1697"/>
      <c r="H126" s="1005"/>
      <c r="I126" s="1005"/>
      <c r="J126" s="1009"/>
    </row>
    <row customHeight="1" ht="15" hidden="1">
      <c r="A127" s="2337"/>
      <c r="D127" s="1679"/>
      <c r="E127" s="578"/>
      <c r="F127" s="588" t="s">
        <v>1569</v>
      </c>
      <c r="G127" s="580"/>
      <c r="H127" s="581"/>
      <c r="I127" s="581"/>
      <c r="J127" s="1017" t="s">
        <v>1756</v>
      </c>
      <c r="K127" s="551"/>
    </row>
    <row customHeight="1" ht="22.5" hidden="1">
      <c r="A128" s="2337"/>
      <c r="D128" s="1684"/>
      <c r="E128" s="554" t="str">
        <f>FHD_NUM_P_80</f>
        <v/>
      </c>
      <c r="F128" s="715" t="str">
        <f>FHD_P_80</f>
        <v/>
      </c>
      <c r="G128" s="1692" t="s">
        <v>1757</v>
      </c>
      <c r="H128" s="565"/>
      <c r="I128" s="565"/>
      <c r="J128" s="277" t="str">
        <f>FHD_NOTE_P_80</f>
        <v/>
      </c>
      <c r="K128" s="551"/>
    </row>
    <row customHeight="1" ht="18.75" hidden="1">
      <c r="A129" s="2337"/>
      <c r="D129" s="1684"/>
      <c r="E129" s="554" t="str">
        <f>FHD_NUM_P_81</f>
        <v/>
      </c>
      <c r="F129" s="715" t="str">
        <f>FHD_P_81</f>
        <v/>
      </c>
      <c r="G129" s="1692" t="s">
        <v>1758</v>
      </c>
      <c r="H129" s="565"/>
      <c r="I129" s="565"/>
      <c r="J129" s="277" t="str">
        <f>FHD_NOTE_P_81</f>
        <v/>
      </c>
      <c r="K129" s="551"/>
    </row>
    <row customHeight="1" ht="18.75" hidden="1">
      <c r="A130" s="2337"/>
      <c r="C130" s="1682" t="s">
        <v>1745</v>
      </c>
      <c r="D130" s="1684"/>
      <c r="E130" s="554" t="str">
        <f>FHD_NUM_P_82</f>
        <v/>
      </c>
      <c r="F130" s="715" t="str">
        <f>FHD_P_82</f>
        <v/>
      </c>
      <c r="G130" s="1692" t="s">
        <v>293</v>
      </c>
      <c r="H130" s="408"/>
      <c r="I130" s="408"/>
      <c r="J130" s="277" t="str">
        <f>FHD_NOTE_P_82</f>
        <v/>
      </c>
      <c r="K130" s="551"/>
    </row>
    <row customHeight="1" ht="18.75" hidden="1">
      <c r="A131" s="2337"/>
      <c r="C131" s="1682" t="s">
        <v>1745</v>
      </c>
      <c r="D131" s="1684"/>
      <c r="E131" s="554" t="str">
        <f>FHD_NUM_P_83</f>
        <v/>
      </c>
      <c r="F131" s="967" t="str">
        <f>FHD_P_83</f>
        <v/>
      </c>
      <c r="G131" s="1692" t="s">
        <v>293</v>
      </c>
      <c r="H131" s="408"/>
      <c r="I131" s="408"/>
      <c r="J131" s="277" t="str">
        <f>FHD_NOTE_P_83</f>
        <v/>
      </c>
      <c r="K131" s="551"/>
    </row>
    <row customHeight="1" ht="18.75" hidden="1">
      <c r="A132" s="2337"/>
      <c r="C132" s="1682" t="s">
        <v>1745</v>
      </c>
      <c r="D132" s="1684"/>
      <c r="E132" s="554" t="str">
        <f>FHD_NUM_P_84</f>
        <v/>
      </c>
      <c r="F132" s="967" t="str">
        <f>FHD_P_84</f>
        <v/>
      </c>
      <c r="G132" s="1692" t="s">
        <v>293</v>
      </c>
      <c r="H132" s="408"/>
      <c r="I132" s="408"/>
      <c r="J132" s="277" t="str">
        <f>FHD_NOTE_P_84</f>
        <v/>
      </c>
      <c r="K132" s="551"/>
    </row>
    <row customHeight="1" ht="11.25">
      <c r="D133" s="1684"/>
    </row>
    <row customHeight="1" ht="12.75">
      <c r="D134" s="1684"/>
      <c r="E134" s="332"/>
      <c r="F134" s="369"/>
      <c r="G134" s="369"/>
      <c r="H134" s="369"/>
      <c r="I134" s="1693"/>
      <c r="J134" s="589"/>
    </row>
    <row s="4306" customFormat="1" customHeight="1" ht="11.25">
      <c r="A135" s="1000"/>
      <c r="B135" s="1682"/>
      <c r="C135" s="1682"/>
      <c r="D135" s="347"/>
      <c r="F135" s="1686"/>
      <c r="G135" s="1677"/>
      <c r="H135" s="1677"/>
      <c r="I135" s="167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H138" s="574" t="str">
        <f>IF(H30-H31&lt;&gt;H74,"WARNING","")</f>
        <v/>
      </c>
      <c r="I138" s="574" t="str">
        <f>IF(I30-I31&lt;&gt;I74,"WARNING","")</f>
        <v/>
      </c>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6"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6"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6"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6"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6"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6"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6"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6"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6"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306"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306"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306"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306"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306"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306"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306"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306"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306"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306"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306"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306"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306"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306"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306"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306"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306"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306"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306"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306"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306"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306"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306"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306"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306"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306"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306"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306"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306"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306"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306"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306"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306"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306"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306"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306"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306"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306"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306"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306"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306"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306"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306"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306"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306"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306"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306"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306"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306"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306"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306"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306"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306"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306"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306"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306"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306"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306"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306"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306"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306"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306"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306"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306"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306"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306"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306"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306"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306"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306"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306"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306"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306"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306"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306"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306"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306"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306"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306"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306"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306"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306"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306"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306"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s="4306" customFormat="1" customHeight="1" ht="11.25">
      <c r="A289" s="1000"/>
      <c r="B289" s="1682"/>
      <c r="C289" s="1682"/>
      <c r="D289" s="347"/>
      <c r="K289" s="1174"/>
      <c r="L289" s="1682"/>
      <c r="M289" s="1682"/>
      <c r="N289" s="1174"/>
      <c r="O289" s="1174"/>
      <c r="P289" s="1174"/>
      <c r="Q289" s="1174"/>
      <c r="R289" s="1682"/>
      <c r="S289" s="1174"/>
      <c r="T289" s="1174"/>
      <c r="U289" s="552"/>
      <c r="V289" s="1174"/>
      <c r="W289" s="1174"/>
      <c r="X289" s="1174"/>
      <c r="Y289" s="1174"/>
      <c r="Z289" s="1174"/>
      <c r="AA289" s="1678"/>
      <c r="AB289" s="574"/>
      <c r="AC289" s="574"/>
      <c r="AD289" s="574"/>
      <c r="AE289" s="574"/>
    </row>
    <row s="4306" customFormat="1" customHeight="1" ht="11.25">
      <c r="A290" s="1000"/>
      <c r="B290" s="1682"/>
      <c r="C290" s="1682"/>
      <c r="D290" s="347"/>
      <c r="K290" s="1174"/>
      <c r="L290" s="1682"/>
      <c r="M290" s="1682"/>
      <c r="N290" s="1174"/>
      <c r="O290" s="1174"/>
      <c r="P290" s="1174"/>
      <c r="Q290" s="1174"/>
      <c r="R290" s="1682"/>
      <c r="S290" s="1174"/>
      <c r="T290" s="1174"/>
      <c r="U290" s="552"/>
      <c r="V290" s="1174"/>
      <c r="W290" s="1174"/>
      <c r="X290" s="1174"/>
      <c r="Y290" s="1174"/>
      <c r="Z290" s="1174"/>
      <c r="AA290" s="1678"/>
      <c r="AB290" s="574"/>
      <c r="AC290" s="574"/>
      <c r="AD290" s="574"/>
      <c r="AE290" s="574"/>
    </row>
    <row r="294"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row customHeight="1" ht="11.25">
      <c r="A303" s="1003"/>
      <c r="B303" s="1677"/>
      <c r="D303" s="1677"/>
      <c r="K303" s="1677"/>
      <c r="N303" s="1677"/>
      <c r="O303" s="1677"/>
      <c r="P303" s="1677"/>
      <c r="Q303" s="1677"/>
      <c r="S303" s="1677"/>
      <c r="T303" s="1677"/>
      <c r="U303" s="1677"/>
      <c r="V303" s="1677"/>
      <c r="W303" s="1677"/>
      <c r="X303" s="1677"/>
      <c r="Y303" s="1677"/>
      <c r="Z303" s="1677"/>
      <c r="AA303" s="1677"/>
      <c r="AB303" s="1677"/>
      <c r="AC303" s="1677"/>
      <c r="AD303" s="1677"/>
      <c r="AE303" s="1677"/>
    </row>
    <row customHeight="1" ht="11.25">
      <c r="A304" s="1003"/>
      <c r="B304" s="1677"/>
      <c r="D304" s="1677"/>
      <c r="K304" s="1677"/>
      <c r="N304" s="1677"/>
      <c r="O304" s="1677"/>
      <c r="P304" s="1677"/>
      <c r="Q304" s="1677"/>
      <c r="S304" s="1677"/>
      <c r="T304" s="1677"/>
      <c r="U304" s="1677"/>
      <c r="V304" s="1677"/>
      <c r="W304" s="1677"/>
      <c r="X304" s="1677"/>
      <c r="Y304" s="1677"/>
      <c r="Z304" s="1677"/>
      <c r="AA304" s="1677"/>
      <c r="AB304" s="1677"/>
      <c r="AC304" s="1677"/>
      <c r="AD304" s="1677"/>
      <c r="AE304" s="1677"/>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3:I83 H130:I132">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98:I121 H76:I76 H90:I91 H4:I6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E21F5-8423-0BDB-6C9C-3640D6BD8446}"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389" width="14.7109375" hidden="1" customWidth="1"/>
    <col min="2" max="2" style="3074" width="17.00390625" hidden="1" customWidth="1"/>
    <col min="3" max="3" style="3076" width="3.7109375" customWidth="1"/>
    <col min="4" max="4" style="3076" width="1.8515625" hidden="1" customWidth="1"/>
    <col min="5" max="6" style="3076" width="7.7109375" customWidth="1"/>
    <col min="7" max="7" style="3076" width="29.7109375" customWidth="1"/>
    <col min="8" max="8" style="3076" width="3.7109375" customWidth="1"/>
    <col min="9" max="9" style="3076" width="5.421875" customWidth="1"/>
    <col min="10" max="10" style="3076" width="24.57421875" customWidth="1"/>
    <col min="11" max="11" style="3076" width="24.421875" customWidth="1"/>
    <col min="12" max="12" style="3076" width="3.7109375" customWidth="1"/>
    <col min="13" max="13" style="3076" width="6.28125" customWidth="1"/>
    <col min="14" max="14" style="3076" width="25.8515625" customWidth="1"/>
    <col min="15" max="18" style="3076" width="18.7109375" customWidth="1"/>
    <col min="19" max="19" style="3076" width="93.421875" customWidth="1"/>
    <col min="20" max="20" style="3076" width="10.57421875" customWidth="1"/>
    <col min="21" max="21" style="4391" width="10.57421875" customWidth="1"/>
    <col min="22" max="22" style="4391" width="11.7109375" customWidth="1"/>
    <col min="23" max="23" style="4392" width="10.57421875" customWidth="1"/>
    <col min="24" max="27" style="3074" width="10.57421875" customWidth="1"/>
    <col min="28" max="83" style="3076"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12"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621"/>
      <c r="M5" s="621"/>
    </row>
    <row s="2599" customFormat="1" customHeight="1" ht="16.5">
      <c r="A6" s="618"/>
      <c r="B6" s="769"/>
      <c r="C6" s="517"/>
      <c r="D6" s="1071"/>
      <c r="E6" s="2049" t="str">
        <f>IF(org=0,"Не определено",org)</f>
        <v>Филиал "Печорская ГРЭС" АО "Интер РАО-Электрогенерация"</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6"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287</v>
      </c>
      <c r="F9" s="1941"/>
      <c r="G9" s="1941"/>
      <c r="H9" s="1941"/>
      <c r="I9" s="1941"/>
      <c r="J9" s="1941"/>
      <c r="K9" s="1941"/>
      <c r="L9" s="1941"/>
      <c r="M9" s="1941"/>
      <c r="N9" s="1941"/>
      <c r="O9" s="1941"/>
      <c r="P9" s="1941"/>
      <c r="Q9" s="1941"/>
      <c r="R9" s="1942"/>
      <c r="S9" s="1966" t="s">
        <v>288</v>
      </c>
      <c r="T9" s="330"/>
    </row>
    <row customHeight="1" ht="33.75">
      <c r="D10" s="559" t="s">
        <v>87</v>
      </c>
      <c r="E10" s="1966" t="s">
        <v>87</v>
      </c>
      <c r="F10" s="1966"/>
      <c r="G10" s="529" t="s">
        <v>289</v>
      </c>
      <c r="H10" s="1966" t="s">
        <v>87</v>
      </c>
      <c r="I10" s="1966"/>
      <c r="J10" s="529" t="s">
        <v>1759</v>
      </c>
      <c r="K10" s="529" t="s">
        <v>1760</v>
      </c>
      <c r="L10" s="1966" t="s">
        <v>87</v>
      </c>
      <c r="M10" s="1966"/>
      <c r="N10" s="529" t="s">
        <v>1761</v>
      </c>
      <c r="O10" s="529" t="s">
        <v>1762</v>
      </c>
      <c r="P10" s="529" t="s">
        <v>1763</v>
      </c>
      <c r="Q10" s="529" t="s">
        <v>1764</v>
      </c>
      <c r="R10" s="529" t="s">
        <v>1765</v>
      </c>
      <c r="S10" s="1966"/>
      <c r="T10" s="330"/>
    </row>
    <row s="2587" customFormat="1" customHeight="1" ht="15" hidden="1">
      <c r="A11" s="1065"/>
      <c r="D11" s="1038" t="s">
        <v>109</v>
      </c>
      <c r="E11" s="1038"/>
      <c r="F11" s="1038" t="s">
        <v>110</v>
      </c>
      <c r="G11" s="1038" t="s">
        <v>89</v>
      </c>
      <c r="H11" s="1038"/>
      <c r="I11" s="1038" t="s">
        <v>90</v>
      </c>
      <c r="J11" s="1038" t="s">
        <v>111</v>
      </c>
      <c r="K11" s="1038" t="s">
        <v>91</v>
      </c>
      <c r="L11" s="1038"/>
      <c r="M11" s="1038" t="s">
        <v>92</v>
      </c>
      <c r="N11" s="1038" t="s">
        <v>112</v>
      </c>
      <c r="O11" s="1038" t="s">
        <v>149</v>
      </c>
      <c r="P11" s="1038" t="s">
        <v>150</v>
      </c>
      <c r="Q11" s="1038" t="s">
        <v>151</v>
      </c>
      <c r="R11" s="1038" t="s">
        <v>152</v>
      </c>
      <c r="S11" s="1038" t="s">
        <v>153</v>
      </c>
      <c r="U11" s="619"/>
      <c r="V11" s="619"/>
      <c r="W11" s="619"/>
    </row>
    <row s="2603" customFormat="1" customHeight="1" ht="0.75">
      <c r="A12" s="623"/>
      <c r="B12" s="360"/>
      <c r="D12" s="556"/>
      <c r="E12" s="342"/>
      <c r="F12" s="342"/>
      <c r="Q12" s="624"/>
      <c r="R12" s="625"/>
      <c r="T12" s="626"/>
      <c r="U12" s="627"/>
      <c r="V12" s="627"/>
      <c r="W12" s="628"/>
      <c r="X12" s="360"/>
      <c r="Y12" s="360"/>
      <c r="Z12" s="360"/>
      <c r="AA12" s="360"/>
    </row>
    <row s="2586" customFormat="1" customHeight="1" ht="0.75">
      <c r="A13" s="629"/>
      <c r="B13" s="574"/>
      <c r="D13" s="556" t="s">
        <v>365</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2" customFormat="1" customHeight="1" ht="15" hidden="1">
      <c r="A14" s="631" t="s">
        <v>117</v>
      </c>
      <c r="B14" s="632"/>
      <c r="C14" s="632"/>
      <c r="D14" s="2340" t="s">
        <v>109</v>
      </c>
      <c r="E14" s="2142" t="s">
        <v>105</v>
      </c>
      <c r="F14" s="2143"/>
      <c r="G14" s="2144"/>
      <c r="H14" s="2145" t="str">
        <f>IF(A14="","",INDEX(DIFFERENTIATION_UNMERGE_VD,MATCH(A14,DIFFERENTIATION_ID_DIFF,0)))</f>
        <v>Транспортировка. Питьевая вода</v>
      </c>
      <c r="I14" s="2145"/>
      <c r="J14" s="2145"/>
      <c r="K14" s="2145"/>
      <c r="L14" s="2145"/>
      <c r="M14" s="2145"/>
      <c r="N14" s="2145"/>
      <c r="O14" s="2145"/>
      <c r="P14" s="2145"/>
      <c r="Q14" s="2145"/>
      <c r="R14" s="2145"/>
      <c r="S14" s="727"/>
      <c r="T14" s="724"/>
      <c r="U14" s="633"/>
      <c r="V14" s="633"/>
      <c r="W14" s="634"/>
      <c r="X14" s="634"/>
      <c r="Y14" s="634"/>
      <c r="Z14" s="634"/>
      <c r="AA14" s="635"/>
      <c r="AB14" s="636"/>
      <c r="AC14" s="2141"/>
      <c r="AD14" s="637"/>
      <c r="AE14" s="638" t="s">
        <v>18</v>
      </c>
      <c r="AF14" s="638"/>
      <c r="AG14" s="639" t="s">
        <v>412</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2" customFormat="1" customHeight="1" ht="15" hidden="1">
      <c r="A15" s="631"/>
      <c r="B15" s="632"/>
      <c r="C15" s="632"/>
      <c r="D15" s="2341"/>
      <c r="E15" s="2142" t="s">
        <v>413</v>
      </c>
      <c r="F15" s="2143"/>
      <c r="G15" s="2144"/>
      <c r="H15" s="2145" t="str">
        <f>IF(A14="","",INDEX(DIFFERENTIATION_UNMERGE_AREA,MATCH(A14,DIFFERENTIATION_ID_DIFF,0)))</f>
        <v>без дифференциации</v>
      </c>
      <c r="I15" s="2145"/>
      <c r="J15" s="2145"/>
      <c r="K15" s="2145"/>
      <c r="L15" s="2145"/>
      <c r="M15" s="2145"/>
      <c r="N15" s="2145"/>
      <c r="O15" s="2145"/>
      <c r="P15" s="2145"/>
      <c r="Q15" s="2145"/>
      <c r="R15" s="2145"/>
      <c r="S15" s="727"/>
      <c r="T15" s="724"/>
      <c r="U15" s="633"/>
      <c r="V15" s="633"/>
      <c r="W15" s="634"/>
      <c r="X15" s="634"/>
      <c r="Y15" s="634"/>
      <c r="Z15" s="634"/>
      <c r="AA15" s="635"/>
      <c r="AB15" s="636"/>
      <c r="AC15" s="214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2" customFormat="1" customHeight="1" ht="15" hidden="1">
      <c r="A16" s="631"/>
      <c r="B16" s="632"/>
      <c r="C16" s="632"/>
      <c r="D16" s="2341"/>
      <c r="E16" s="2142" t="s">
        <v>414</v>
      </c>
      <c r="F16" s="2143"/>
      <c r="G16" s="2144"/>
      <c r="H16" s="2145" t="str">
        <f>IF(A14="","",INDEX(DIFFERENTIATION_UNMERGE_SYSTEM,MATCH(A14,DIFFERENTIATION_ID_DIFF,0)))</f>
        <v>без дифференциации</v>
      </c>
      <c r="I16" s="2145"/>
      <c r="J16" s="2145"/>
      <c r="K16" s="2145"/>
      <c r="L16" s="2145"/>
      <c r="M16" s="2145"/>
      <c r="N16" s="2145"/>
      <c r="O16" s="2145"/>
      <c r="P16" s="2145"/>
      <c r="Q16" s="2145"/>
      <c r="R16" s="2145"/>
      <c r="S16" s="727"/>
      <c r="T16" s="724"/>
      <c r="U16" s="633"/>
      <c r="V16" s="633"/>
      <c r="W16" s="634"/>
      <c r="X16" s="634"/>
      <c r="Y16" s="634"/>
      <c r="Z16" s="634"/>
      <c r="AA16" s="635"/>
      <c r="AB16" s="636"/>
      <c r="AC16" s="214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2" customFormat="1" customHeight="1" ht="22.5" hidden="1">
      <c r="A17" s="641"/>
      <c r="B17" s="424"/>
      <c r="C17" s="419"/>
      <c r="D17" s="2341"/>
      <c r="E17" s="2155" t="s">
        <v>415</v>
      </c>
      <c r="F17" s="2155"/>
      <c r="G17" s="2155"/>
      <c r="H17" s="2155"/>
      <c r="I17" s="2155"/>
      <c r="J17" s="2155"/>
      <c r="K17" s="2155"/>
      <c r="L17" s="2155"/>
      <c r="M17" s="2155"/>
      <c r="N17" s="2155"/>
      <c r="O17" s="2155"/>
      <c r="P17" s="2155"/>
      <c r="Q17" s="566">
        <f>SUMIF(T18:T19,"i",Q18:Q19)</f>
        <v>0</v>
      </c>
      <c r="R17" s="1030"/>
      <c r="S17" s="909" t="s">
        <v>416</v>
      </c>
      <c r="T17" s="725" t="s">
        <v>417</v>
      </c>
      <c r="U17" s="2156">
        <v>1</v>
      </c>
      <c r="V17" s="2156" t="str">
        <f>INDEX(B_FHD_FLAG_INDEX_1,1,MATCH(A14,B_FHD_FLAG_DIFFERENTIATION,0))</f>
        <v>отсутствует</v>
      </c>
      <c r="W17" s="424"/>
      <c r="X17" s="424"/>
      <c r="Y17" s="424"/>
      <c r="Z17" s="424"/>
      <c r="AA17" s="519"/>
      <c r="AB17" s="424"/>
      <c r="AC17" s="214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2" customFormat="1" customHeight="1" ht="11.25" hidden="1">
      <c r="A18" s="642"/>
      <c r="B18" s="519"/>
      <c r="C18" s="519"/>
      <c r="D18" s="2341"/>
      <c r="E18" s="643"/>
      <c r="F18" s="643">
        <v>0</v>
      </c>
      <c r="G18" s="643"/>
      <c r="H18" s="643"/>
      <c r="I18" s="643"/>
      <c r="J18" s="643"/>
      <c r="K18" s="643"/>
      <c r="L18" s="643"/>
      <c r="M18" s="643"/>
      <c r="N18" s="643"/>
      <c r="O18" s="643"/>
      <c r="P18" s="643"/>
      <c r="Q18" s="643"/>
      <c r="R18" s="643"/>
      <c r="S18" s="644"/>
      <c r="T18" s="726"/>
      <c r="U18" s="2156"/>
      <c r="V18" s="2156"/>
      <c r="W18" s="519"/>
      <c r="X18" s="519"/>
      <c r="Y18" s="519"/>
      <c r="Z18" s="519"/>
      <c r="AA18" s="519"/>
      <c r="AB18" s="424"/>
      <c r="AC18" s="214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2" customFormat="1" customHeight="1" ht="11.25" hidden="1">
      <c r="A19" s="641"/>
      <c r="B19" s="424"/>
      <c r="C19" s="419"/>
      <c r="D19" s="2341"/>
      <c r="E19" s="657" t="s">
        <v>18</v>
      </c>
      <c r="F19" s="658" t="s">
        <v>18</v>
      </c>
      <c r="G19" s="658" t="s">
        <v>18</v>
      </c>
      <c r="H19" s="659" t="s">
        <v>18</v>
      </c>
      <c r="I19" s="659"/>
      <c r="J19" s="659"/>
      <c r="K19" s="659"/>
      <c r="L19" s="659"/>
      <c r="M19" s="659"/>
      <c r="N19" s="659"/>
      <c r="O19" s="659"/>
      <c r="P19" s="659"/>
      <c r="Q19" s="659"/>
      <c r="R19" s="660"/>
      <c r="S19" s="1033"/>
      <c r="T19" s="726"/>
      <c r="U19" s="2156"/>
      <c r="V19" s="2156"/>
      <c r="W19" s="424"/>
      <c r="X19" s="424"/>
      <c r="Y19" s="424"/>
      <c r="Z19" s="424"/>
      <c r="AA19" s="519"/>
      <c r="AB19" s="424"/>
      <c r="AC19" s="214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2" customFormat="1" customHeight="1" ht="22.5" hidden="1">
      <c r="A20" s="641"/>
      <c r="B20" s="424"/>
      <c r="C20" s="419"/>
      <c r="D20" s="2341"/>
      <c r="E20" s="2155" t="s">
        <v>420</v>
      </c>
      <c r="F20" s="2155"/>
      <c r="G20" s="2155"/>
      <c r="H20" s="2155"/>
      <c r="I20" s="2155"/>
      <c r="J20" s="2155"/>
      <c r="K20" s="2155"/>
      <c r="L20" s="2155"/>
      <c r="M20" s="2155"/>
      <c r="N20" s="2155"/>
      <c r="O20" s="2155"/>
      <c r="P20" s="2155"/>
      <c r="Q20" s="566">
        <f>SUMIF(T21:T22,"i",Q21:Q22)</f>
        <v>0</v>
      </c>
      <c r="R20" s="1030"/>
      <c r="S20" s="717" t="s">
        <v>421</v>
      </c>
      <c r="T20" s="725" t="s">
        <v>417</v>
      </c>
      <c r="U20" s="2156">
        <v>2</v>
      </c>
      <c r="V20" s="215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2" customFormat="1" customHeight="1" ht="11.25" hidden="1">
      <c r="A21" s="716"/>
      <c r="B21" s="519"/>
      <c r="C21" s="519"/>
      <c r="D21" s="2341"/>
      <c r="E21" s="643"/>
      <c r="F21" s="643">
        <v>0</v>
      </c>
      <c r="G21" s="643"/>
      <c r="H21" s="643"/>
      <c r="I21" s="643"/>
      <c r="J21" s="643"/>
      <c r="K21" s="643"/>
      <c r="L21" s="643"/>
      <c r="M21" s="643"/>
      <c r="N21" s="643"/>
      <c r="O21" s="643"/>
      <c r="P21" s="643"/>
      <c r="Q21" s="643"/>
      <c r="R21" s="643"/>
      <c r="S21" s="644"/>
      <c r="T21" s="726"/>
      <c r="U21" s="2156"/>
      <c r="V21" s="215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2" customFormat="1" customHeight="1" ht="11.25" hidden="1">
      <c r="A22" s="641"/>
      <c r="B22" s="424"/>
      <c r="C22" s="419"/>
      <c r="D22" s="2342"/>
      <c r="E22" s="657" t="s">
        <v>18</v>
      </c>
      <c r="F22" s="658" t="s">
        <v>18</v>
      </c>
      <c r="G22" s="658" t="s">
        <v>18</v>
      </c>
      <c r="H22" s="659" t="s">
        <v>18</v>
      </c>
      <c r="I22" s="659"/>
      <c r="J22" s="659"/>
      <c r="K22" s="659"/>
      <c r="L22" s="659"/>
      <c r="M22" s="659"/>
      <c r="N22" s="659"/>
      <c r="O22" s="659"/>
      <c r="P22" s="659"/>
      <c r="Q22" s="659"/>
      <c r="R22" s="660"/>
      <c r="S22" s="1033"/>
      <c r="T22" s="726"/>
      <c r="U22" s="2156"/>
      <c r="V22" s="215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43"/>
      <c r="F27" s="2343"/>
      <c r="G27" s="2343"/>
      <c r="H27" s="2343"/>
      <c r="I27" s="2343"/>
      <c r="J27" s="2343"/>
      <c r="K27" s="2343"/>
      <c r="L27" s="2343"/>
      <c r="M27" s="2343"/>
      <c r="N27" s="2343"/>
      <c r="O27" s="2343"/>
      <c r="P27" s="2343"/>
      <c r="Q27" s="2343"/>
      <c r="R27" s="2343"/>
    </row>
    <row customHeight="1" ht="11.25">
      <c r="F28" s="768"/>
      <c r="G28" s="76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22F0C-CD6A-6C6F-D9F5-45BC92667A02}"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6.14062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683"/>
      <c r="F2" s="548"/>
      <c r="G2" s="1685" t="s">
        <v>1716</v>
      </c>
      <c r="H2" s="549"/>
      <c r="I2" s="549"/>
      <c r="J2" s="550" t="s">
        <v>1766</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1767</v>
      </c>
      <c r="F6" s="2169"/>
      <c r="G6" s="2169"/>
      <c r="H6" s="2169"/>
      <c r="I6" s="2170"/>
      <c r="J6" s="564"/>
    </row>
    <row customHeight="1" ht="24">
      <c r="E7" s="2171" t="str">
        <f>IF(org=0,"Не определено",org)</f>
        <v>Филиал "Печорская ГРЭС" АО "Интер РАО-Электрогенерация"</v>
      </c>
      <c r="F7" s="2172"/>
      <c r="G7" s="2172"/>
      <c r="H7" s="2172"/>
      <c r="I7" s="2173"/>
    </row>
    <row customHeight="1" ht="11.25">
      <c r="E8" s="1149"/>
      <c r="F8" s="1149"/>
      <c r="G8" s="1149"/>
      <c r="H8" s="1149"/>
      <c r="I8" s="1149"/>
    </row>
    <row s="3151" customFormat="1" customHeight="1" ht="0.75">
      <c r="A9" s="1181"/>
      <c r="D9" s="1688"/>
      <c r="H9" s="900"/>
      <c r="I9" s="900" t="s">
        <v>117</v>
      </c>
    </row>
    <row customHeight="1" ht="11.25">
      <c r="E10" s="719"/>
      <c r="F10" s="2308" t="s">
        <v>105</v>
      </c>
      <c r="G10" s="2309"/>
      <c r="H10" s="1598" t="str">
        <f>IF(H9="","",INDEX(DIFFERENTIATION_UNMERGE_VD,MATCH(H9,DIFFERENTIATION_ID_DIFF,0)))</f>
        <v/>
      </c>
      <c r="I10" s="1598" t="str">
        <f>IF(I9="","",INDEX(DIFFERENTIATION_UNMERGE_VD,MATCH(I9,DIFFERENTIATION_ID_DIFF,0)))</f>
        <v>Транспортировка. Питьевая вода</v>
      </c>
      <c r="J10" s="1966"/>
    </row>
    <row customHeight="1" ht="11.25">
      <c r="E11" s="719"/>
      <c r="F11" s="2308" t="s">
        <v>413</v>
      </c>
      <c r="G11" s="2309"/>
      <c r="H11" s="1598" t="str">
        <f>IF(H9="","",INDEX(DIFFERENTIATION_UNMERGE_AREA,MATCH(H9,DIFFERENTIATION_ID_DIFF,0)))</f>
        <v/>
      </c>
      <c r="I11" s="1598"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597"/>
      <c r="I13" s="1597"/>
      <c r="J13" s="1966"/>
    </row>
    <row customHeight="1" ht="22.5">
      <c r="E14" s="1685" t="s">
        <v>87</v>
      </c>
      <c r="F14" s="1680" t="s">
        <v>289</v>
      </c>
      <c r="G14" s="1680" t="s">
        <v>1612</v>
      </c>
      <c r="H14" s="1680" t="s">
        <v>290</v>
      </c>
      <c r="I14" s="1680" t="s">
        <v>290</v>
      </c>
      <c r="J14" s="1966"/>
    </row>
    <row customHeight="1" ht="18.75">
      <c r="D15" s="1684"/>
      <c r="E15" s="1676" t="s">
        <v>109</v>
      </c>
      <c r="F15" s="715" t="s">
        <v>1768</v>
      </c>
      <c r="G15" s="1692" t="s">
        <v>1716</v>
      </c>
      <c r="H15" s="565"/>
      <c r="I15" s="565"/>
      <c r="J15" s="277" t="s">
        <v>1769</v>
      </c>
      <c r="K15" s="551" t="s">
        <v>1770</v>
      </c>
    </row>
    <row customHeight="1" ht="33.75">
      <c r="D16" s="1684"/>
      <c r="E16" s="1676" t="s">
        <v>110</v>
      </c>
      <c r="F16" s="715" t="s">
        <v>1771</v>
      </c>
      <c r="G16" s="1692" t="s">
        <v>1716</v>
      </c>
      <c r="H16" s="566">
        <f>SUM(H17,H20:H32)</f>
        <v>0</v>
      </c>
      <c r="I16" s="566">
        <f>SUM(I17,I20:I32)</f>
        <v>0</v>
      </c>
      <c r="J16" s="277" t="s">
        <v>1772</v>
      </c>
      <c r="K16" s="551" t="s">
        <v>1770</v>
      </c>
    </row>
    <row customHeight="1" ht="18.75">
      <c r="D17" s="1684"/>
      <c r="E17" s="1710" t="s">
        <v>451</v>
      </c>
      <c r="F17" s="967" t="s">
        <v>1773</v>
      </c>
      <c r="G17" s="1689" t="s">
        <v>1716</v>
      </c>
      <c r="H17" s="565"/>
      <c r="I17" s="565"/>
      <c r="J17" s="277" t="s">
        <v>1774</v>
      </c>
      <c r="K17" s="551"/>
    </row>
    <row customHeight="1" ht="22.5">
      <c r="D18" s="1684"/>
      <c r="E18" s="1710" t="s">
        <v>453</v>
      </c>
      <c r="F18" s="1696" t="s">
        <v>1775</v>
      </c>
      <c r="G18" s="1689" t="s">
        <v>1716</v>
      </c>
      <c r="H18" s="565"/>
      <c r="I18" s="565"/>
      <c r="J18" s="277" t="s">
        <v>1776</v>
      </c>
      <c r="K18" s="551"/>
    </row>
    <row customHeight="1" ht="33.75">
      <c r="D19" s="1684"/>
      <c r="E19" s="1710" t="s">
        <v>1777</v>
      </c>
      <c r="F19" s="1696" t="s">
        <v>1778</v>
      </c>
      <c r="G19" s="1689" t="s">
        <v>1716</v>
      </c>
      <c r="H19" s="565"/>
      <c r="I19" s="565"/>
      <c r="J19" s="277"/>
      <c r="K19" s="551"/>
    </row>
    <row customHeight="1" ht="18.75">
      <c r="D20" s="1684"/>
      <c r="E20" s="1710" t="s">
        <v>294</v>
      </c>
      <c r="F20" s="967" t="s">
        <v>1779</v>
      </c>
      <c r="G20" s="1689" t="s">
        <v>1716</v>
      </c>
      <c r="H20" s="565"/>
      <c r="I20" s="565"/>
      <c r="J20" s="277" t="s">
        <v>1780</v>
      </c>
      <c r="K20" s="551"/>
    </row>
    <row customHeight="1" ht="18.75">
      <c r="D21" s="1684"/>
      <c r="E21" s="1710" t="s">
        <v>1369</v>
      </c>
      <c r="F21" s="1696" t="s">
        <v>1781</v>
      </c>
      <c r="G21" s="1689" t="s">
        <v>1716</v>
      </c>
      <c r="H21" s="565"/>
      <c r="I21" s="565"/>
      <c r="J21" s="277"/>
      <c r="K21" s="551"/>
    </row>
    <row customHeight="1" ht="18.75">
      <c r="D22" s="1684"/>
      <c r="E22" s="1710" t="s">
        <v>1374</v>
      </c>
      <c r="F22" s="1696" t="s">
        <v>1782</v>
      </c>
      <c r="G22" s="1689" t="s">
        <v>1716</v>
      </c>
      <c r="H22" s="565"/>
      <c r="I22" s="565"/>
      <c r="J22" s="277"/>
      <c r="K22" s="551"/>
    </row>
    <row customHeight="1" ht="22.5">
      <c r="D23" s="1684"/>
      <c r="E23" s="1710" t="s">
        <v>297</v>
      </c>
      <c r="F23" s="967" t="s">
        <v>1783</v>
      </c>
      <c r="G23" s="1689" t="s">
        <v>1716</v>
      </c>
      <c r="H23" s="565"/>
      <c r="I23" s="565"/>
      <c r="J23" s="277" t="s">
        <v>1784</v>
      </c>
      <c r="K23" s="551"/>
    </row>
    <row customHeight="1" ht="18.75">
      <c r="D24" s="1684"/>
      <c r="E24" s="1710" t="s">
        <v>1368</v>
      </c>
      <c r="F24" s="1696" t="s">
        <v>1785</v>
      </c>
      <c r="G24" s="1689" t="s">
        <v>1716</v>
      </c>
      <c r="H24" s="565"/>
      <c r="I24" s="565"/>
      <c r="J24" s="277"/>
      <c r="K24" s="551"/>
    </row>
    <row customHeight="1" ht="33.75">
      <c r="D25" s="1684"/>
      <c r="E25" s="1710" t="s">
        <v>1373</v>
      </c>
      <c r="F25" s="1696" t="s">
        <v>1786</v>
      </c>
      <c r="G25" s="1689" t="s">
        <v>1716</v>
      </c>
      <c r="H25" s="565"/>
      <c r="I25" s="565"/>
      <c r="J25" s="277"/>
      <c r="K25" s="551"/>
    </row>
    <row customHeight="1" ht="22.5">
      <c r="D26" s="1684"/>
      <c r="E26" s="1710" t="s">
        <v>1363</v>
      </c>
      <c r="F26" s="967" t="s">
        <v>1787</v>
      </c>
      <c r="G26" s="1689" t="s">
        <v>1716</v>
      </c>
      <c r="H26" s="565"/>
      <c r="I26" s="565"/>
      <c r="J26" s="277" t="s">
        <v>1788</v>
      </c>
      <c r="K26" s="551"/>
    </row>
    <row customHeight="1" ht="18.75">
      <c r="D27" s="1684"/>
      <c r="E27" s="1721" t="s">
        <v>1384</v>
      </c>
      <c r="F27" s="1696" t="s">
        <v>1789</v>
      </c>
      <c r="G27" s="1700" t="s">
        <v>1716</v>
      </c>
      <c r="H27" s="1722"/>
      <c r="I27" s="1722"/>
      <c r="J27" s="277"/>
      <c r="K27" s="551"/>
    </row>
    <row customHeight="1" ht="18.75">
      <c r="D28" s="1684"/>
      <c r="E28" s="1721" t="s">
        <v>1388</v>
      </c>
      <c r="F28" s="1696" t="s">
        <v>1790</v>
      </c>
      <c r="G28" s="1700" t="s">
        <v>1716</v>
      </c>
      <c r="H28" s="1722"/>
      <c r="I28" s="1722"/>
      <c r="J28" s="277"/>
      <c r="K28" s="551"/>
    </row>
    <row customHeight="1" ht="18.75">
      <c r="D29" s="1684"/>
      <c r="E29" s="1721" t="s">
        <v>1365</v>
      </c>
      <c r="F29" s="967" t="s">
        <v>1791</v>
      </c>
      <c r="G29" s="1700" t="s">
        <v>1716</v>
      </c>
      <c r="H29" s="1722"/>
      <c r="I29" s="1722"/>
      <c r="J29" s="277"/>
      <c r="K29" s="551"/>
    </row>
    <row customHeight="1" ht="18.75">
      <c r="D30" s="1684"/>
      <c r="E30" s="1721" t="s">
        <v>1379</v>
      </c>
      <c r="F30" s="967" t="s">
        <v>1792</v>
      </c>
      <c r="G30" s="1700" t="s">
        <v>1716</v>
      </c>
      <c r="H30" s="1722"/>
      <c r="I30" s="1722"/>
      <c r="J30" s="277"/>
      <c r="K30" s="551"/>
    </row>
    <row customHeight="1" ht="18.75">
      <c r="D31" s="1684"/>
      <c r="E31" s="1721" t="s">
        <v>1390</v>
      </c>
      <c r="F31" s="967" t="s">
        <v>1793</v>
      </c>
      <c r="G31" s="1700" t="s">
        <v>1716</v>
      </c>
      <c r="H31" s="1722"/>
      <c r="I31" s="1722"/>
      <c r="J31" s="277"/>
      <c r="K31" s="551"/>
    </row>
    <row s="3145" customFormat="1" customHeight="1" ht="22.5">
      <c r="A32" s="1000"/>
      <c r="C32" s="1682"/>
      <c r="D32" s="1684"/>
      <c r="E32" s="1721" t="s">
        <v>1401</v>
      </c>
      <c r="F32" s="967" t="s">
        <v>1794</v>
      </c>
      <c r="G32" s="1690" t="s">
        <v>1716</v>
      </c>
      <c r="H32" s="587">
        <f>SUM(H33:H34)</f>
        <v>0</v>
      </c>
      <c r="I32" s="587">
        <f>SUM(I33:I34)</f>
        <v>0</v>
      </c>
      <c r="J32" s="277" t="s">
        <v>1795</v>
      </c>
      <c r="K32" s="551"/>
      <c r="L32" s="1682"/>
      <c r="M32" s="1682"/>
      <c r="R32" s="1682"/>
      <c r="U32" s="552"/>
      <c r="AA32" s="1678"/>
      <c r="AB32" s="1678"/>
      <c r="AC32" s="1678"/>
      <c r="AD32" s="1678"/>
      <c r="AE32" s="1678"/>
    </row>
    <row s="3151" customFormat="1" customHeight="1" ht="0.75">
      <c r="A33" s="1181"/>
      <c r="D33" s="556"/>
      <c r="E33" s="812" t="str">
        <f>E32&amp;".0"</f>
        <v>2.8.0</v>
      </c>
      <c r="F33" s="1004"/>
      <c r="G33" s="559"/>
      <c r="H33" s="1005"/>
      <c r="I33" s="1005"/>
      <c r="J33" s="1006"/>
    </row>
    <row s="3145" customFormat="1" customHeight="1" ht="18.75">
      <c r="A34" s="1000"/>
      <c r="C34" s="1682"/>
      <c r="D34" s="1679"/>
      <c r="E34" s="578"/>
      <c r="F34" s="1712" t="s">
        <v>1736</v>
      </c>
      <c r="G34" s="580"/>
      <c r="H34" s="581"/>
      <c r="I34" s="581"/>
      <c r="J34" s="289" t="s">
        <v>1796</v>
      </c>
      <c r="K34" s="551"/>
      <c r="L34" s="1682"/>
      <c r="M34" s="1682"/>
      <c r="R34" s="1682"/>
      <c r="U34" s="552"/>
      <c r="AA34" s="1678"/>
      <c r="AB34" s="1678"/>
      <c r="AC34" s="1678"/>
      <c r="AD34" s="1678"/>
      <c r="AE34" s="1678"/>
    </row>
    <row customHeight="1" ht="56.25">
      <c r="D35" s="1684"/>
      <c r="E35" s="1721" t="s">
        <v>1409</v>
      </c>
      <c r="F35" s="967" t="s">
        <v>1797</v>
      </c>
      <c r="G35" s="1700" t="s">
        <v>1716</v>
      </c>
      <c r="H35" s="1722"/>
      <c r="I35" s="1722"/>
      <c r="J35" s="277" t="s">
        <v>1798</v>
      </c>
      <c r="K35" s="551"/>
    </row>
    <row s="3145" customFormat="1" customHeight="1" ht="22.5">
      <c r="A36" s="1002" t="s">
        <v>1737</v>
      </c>
      <c r="C36" s="1682"/>
      <c r="D36" s="1684"/>
      <c r="E36" s="1710" t="s">
        <v>89</v>
      </c>
      <c r="F36" s="715" t="s">
        <v>1799</v>
      </c>
      <c r="G36" s="1689" t="s">
        <v>1716</v>
      </c>
      <c r="H36" s="565"/>
      <c r="I36" s="565"/>
      <c r="J36" s="277" t="s">
        <v>1461</v>
      </c>
      <c r="K36" s="551"/>
      <c r="L36" s="1682"/>
      <c r="M36" s="1682"/>
      <c r="R36" s="1682"/>
      <c r="U36" s="552"/>
      <c r="AA36" s="1678"/>
      <c r="AB36" s="1678"/>
      <c r="AC36" s="1678"/>
      <c r="AD36" s="1678"/>
      <c r="AE36" s="1678"/>
    </row>
    <row s="3145" customFormat="1" customHeight="1" ht="22.5">
      <c r="A37" s="1002"/>
      <c r="C37" s="1682"/>
      <c r="D37" s="1684"/>
      <c r="E37" s="1710" t="s">
        <v>313</v>
      </c>
      <c r="F37" s="967" t="s">
        <v>1800</v>
      </c>
      <c r="G37" s="1700"/>
      <c r="H37" s="565"/>
      <c r="I37" s="565"/>
      <c r="J37" s="277"/>
      <c r="K37" s="551"/>
      <c r="L37" s="1682"/>
      <c r="M37" s="1682"/>
      <c r="R37" s="1682"/>
      <c r="U37" s="552"/>
      <c r="AA37" s="1678"/>
      <c r="AB37" s="1678"/>
      <c r="AC37" s="1678"/>
      <c r="AD37" s="1678"/>
      <c r="AE37" s="1678"/>
    </row>
    <row s="3145" customFormat="1" customHeight="1" ht="18.75">
      <c r="A38" s="1000"/>
      <c r="C38" s="1682"/>
      <c r="D38" s="583"/>
      <c r="E38" s="1710" t="s">
        <v>90</v>
      </c>
      <c r="F38" s="715" t="s">
        <v>1464</v>
      </c>
      <c r="G38" s="1689" t="s">
        <v>1716</v>
      </c>
      <c r="H38" s="565"/>
      <c r="I38" s="565"/>
      <c r="J38" s="277" t="s">
        <v>1465</v>
      </c>
      <c r="K38" s="551"/>
      <c r="L38" s="1682"/>
      <c r="M38" s="1682"/>
      <c r="R38" s="1682"/>
      <c r="U38" s="552"/>
      <c r="AA38" s="1678"/>
      <c r="AB38" s="1678"/>
      <c r="AC38" s="1678"/>
      <c r="AD38" s="1678"/>
      <c r="AE38" s="1678"/>
    </row>
    <row s="3145" customFormat="1" customHeight="1" ht="22.5">
      <c r="A39" s="1000"/>
      <c r="C39" s="1682"/>
      <c r="D39" s="583"/>
      <c r="E39" s="1710" t="s">
        <v>1462</v>
      </c>
      <c r="F39" s="967" t="s">
        <v>1801</v>
      </c>
      <c r="G39" s="1700" t="s">
        <v>1716</v>
      </c>
      <c r="H39" s="565"/>
      <c r="I39" s="565"/>
      <c r="J39" s="277" t="s">
        <v>1802</v>
      </c>
      <c r="K39" s="551"/>
      <c r="L39" s="1682"/>
      <c r="M39" s="1682"/>
      <c r="R39" s="1682"/>
      <c r="U39" s="552"/>
      <c r="AA39" s="1678"/>
      <c r="AB39" s="1678"/>
      <c r="AC39" s="1678"/>
      <c r="AD39" s="1678"/>
      <c r="AE39" s="1678"/>
    </row>
    <row s="3145" customFormat="1" customHeight="1" ht="22.5">
      <c r="A40" s="1000"/>
      <c r="C40" s="1682"/>
      <c r="D40" s="1684"/>
      <c r="E40" s="1710" t="s">
        <v>1470</v>
      </c>
      <c r="F40" s="1696" t="s">
        <v>1803</v>
      </c>
      <c r="G40" s="1689" t="s">
        <v>1716</v>
      </c>
      <c r="H40" s="565"/>
      <c r="I40" s="565"/>
      <c r="J40" s="277" t="s">
        <v>1473</v>
      </c>
      <c r="K40" s="551"/>
      <c r="L40" s="1682"/>
      <c r="M40" s="1682"/>
      <c r="R40" s="1682"/>
      <c r="U40" s="552"/>
      <c r="AA40" s="1678"/>
      <c r="AB40" s="1678"/>
      <c r="AC40" s="1678"/>
      <c r="AD40" s="1678"/>
      <c r="AE40" s="1678"/>
    </row>
    <row s="3145" customFormat="1" customHeight="1" ht="22.5">
      <c r="A41" s="1000"/>
      <c r="C41" s="1682"/>
      <c r="D41" s="1684"/>
      <c r="E41" s="1710" t="s">
        <v>1475</v>
      </c>
      <c r="F41" s="1696" t="s">
        <v>1804</v>
      </c>
      <c r="G41" s="1689" t="s">
        <v>1716</v>
      </c>
      <c r="H41" s="565"/>
      <c r="I41" s="565"/>
      <c r="J41" s="277" t="s">
        <v>1478</v>
      </c>
      <c r="K41" s="551"/>
      <c r="L41" s="1682"/>
      <c r="M41" s="1682"/>
      <c r="R41" s="1682"/>
      <c r="U41" s="552"/>
      <c r="AA41" s="1678"/>
      <c r="AB41" s="1678"/>
      <c r="AC41" s="1678"/>
      <c r="AD41" s="1678"/>
      <c r="AE41" s="1678"/>
    </row>
    <row s="3145" customFormat="1" customHeight="1" ht="22.5">
      <c r="A42" s="1000"/>
      <c r="C42" s="1682"/>
      <c r="D42" s="1684"/>
      <c r="E42" s="1710" t="s">
        <v>1805</v>
      </c>
      <c r="F42" s="1696" t="s">
        <v>1806</v>
      </c>
      <c r="G42" s="1689" t="s">
        <v>1716</v>
      </c>
      <c r="H42" s="565"/>
      <c r="I42" s="565"/>
      <c r="J42" s="277" t="s">
        <v>1807</v>
      </c>
      <c r="K42" s="551"/>
      <c r="L42" s="1682"/>
      <c r="M42" s="1682"/>
      <c r="R42" s="1682"/>
      <c r="U42" s="552"/>
      <c r="AA42" s="1678"/>
      <c r="AB42" s="1678"/>
      <c r="AC42" s="1678"/>
      <c r="AD42" s="1678"/>
      <c r="AE42" s="1678"/>
    </row>
    <row s="3145" customFormat="1" customHeight="1" ht="33.75">
      <c r="A43" s="1000"/>
      <c r="C43" s="1682" t="s">
        <v>1745</v>
      </c>
      <c r="D43" s="1684"/>
      <c r="E43" s="1710" t="s">
        <v>111</v>
      </c>
      <c r="F43" s="715" t="s">
        <v>1485</v>
      </c>
      <c r="G43" s="1692" t="s">
        <v>1808</v>
      </c>
      <c r="H43" s="408"/>
      <c r="I43" s="408"/>
      <c r="J43" s="277" t="s">
        <v>1809</v>
      </c>
      <c r="K43" s="551"/>
      <c r="L43" s="1682"/>
      <c r="M43" s="1682"/>
      <c r="R43" s="1682"/>
      <c r="U43" s="552"/>
      <c r="AA43" s="1678"/>
      <c r="AB43" s="1678"/>
      <c r="AC43" s="1678"/>
      <c r="AD43" s="1678"/>
      <c r="AE43" s="1678"/>
    </row>
    <row s="3145" customFormat="1" customHeight="1" ht="22.5">
      <c r="A44" s="1000"/>
      <c r="C44" s="1682"/>
      <c r="D44" s="1684"/>
      <c r="E44" s="1710" t="s">
        <v>91</v>
      </c>
      <c r="F44" s="715" t="s">
        <v>1810</v>
      </c>
      <c r="G44" s="1689" t="s">
        <v>1811</v>
      </c>
      <c r="H44" s="553"/>
      <c r="I44" s="553"/>
      <c r="J44" s="277" t="s">
        <v>1812</v>
      </c>
      <c r="K44" s="551"/>
      <c r="L44" s="1682"/>
      <c r="M44" s="1682"/>
      <c r="R44" s="1682"/>
      <c r="U44" s="552"/>
      <c r="AA44" s="1678"/>
      <c r="AB44" s="1678"/>
      <c r="AC44" s="1678"/>
      <c r="AD44" s="1678"/>
      <c r="AE44" s="1678"/>
    </row>
    <row s="3145" customFormat="1" customHeight="1" ht="22.5">
      <c r="A45" s="1000"/>
      <c r="C45" s="1682"/>
      <c r="D45" s="1684"/>
      <c r="E45" s="1710" t="s">
        <v>92</v>
      </c>
      <c r="F45" s="715" t="s">
        <v>1813</v>
      </c>
      <c r="G45" s="1700" t="s">
        <v>1814</v>
      </c>
      <c r="H45" s="553"/>
      <c r="I45" s="553"/>
      <c r="J45" s="277" t="s">
        <v>1815</v>
      </c>
      <c r="K45" s="551"/>
      <c r="L45" s="1682"/>
      <c r="M45" s="1682"/>
      <c r="R45" s="1682"/>
      <c r="U45" s="552"/>
      <c r="AA45" s="1678"/>
      <c r="AB45" s="1678"/>
      <c r="AC45" s="1678"/>
      <c r="AD45" s="1678"/>
      <c r="AE45" s="1678"/>
    </row>
    <row s="3145" customFormat="1" customHeight="1" ht="18.75">
      <c r="A46" s="1000"/>
      <c r="C46" s="1682"/>
      <c r="D46" s="1684"/>
      <c r="E46" s="1710" t="s">
        <v>112</v>
      </c>
      <c r="F46" s="715" t="s">
        <v>1816</v>
      </c>
      <c r="G46" s="1689" t="s">
        <v>1747</v>
      </c>
      <c r="H46" s="585"/>
      <c r="I46" s="585"/>
      <c r="J46" s="277"/>
      <c r="K46" s="551"/>
      <c r="L46" s="1682"/>
      <c r="M46" s="1682"/>
      <c r="R46" s="1682"/>
      <c r="U46" s="552"/>
      <c r="AA46" s="1678"/>
      <c r="AB46" s="1678"/>
      <c r="AC46" s="1678"/>
      <c r="AD46" s="1678"/>
      <c r="AE46" s="1678"/>
    </row>
    <row customHeight="1" ht="11.25">
      <c r="D47" s="1684"/>
    </row>
    <row customHeight="1" ht="26.25">
      <c r="D48" s="1684"/>
      <c r="E48" s="1279"/>
      <c r="F48" s="2218"/>
      <c r="G48" s="2218"/>
      <c r="H48" s="2218"/>
      <c r="I48" s="2218"/>
      <c r="J48" s="2218"/>
    </row>
    <row s="4306" customFormat="1" customHeight="1" ht="37.5">
      <c r="A49" s="1000"/>
      <c r="B49" s="1682"/>
      <c r="C49" s="1682"/>
      <c r="D49" s="347"/>
      <c r="F49" s="2218"/>
      <c r="G49" s="2218"/>
      <c r="H49" s="2218"/>
      <c r="I49" s="2218"/>
      <c r="J49" s="2218"/>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6"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6"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6"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6"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6"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6"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6"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6"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6"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6"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6"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6"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6"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6"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6"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6"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6"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6"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6"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6"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6"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6"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6"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6"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6"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6"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6"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6"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6"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6"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6"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6"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6"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6"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6"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6"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6"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6"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6"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6"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6"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6"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6"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6"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6"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6"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6"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6"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6"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6"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6"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6"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6"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6"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6"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6"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6"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6"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6"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6"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6"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6"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6"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6"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6"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6"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6"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6"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6"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6"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6"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6"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6"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6"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6"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6"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6"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6"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6"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6"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6"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6"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6"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6"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6"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6"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6"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6"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6"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6"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6"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6"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6"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6"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6"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DDD89-BD23-470E-242D-02B9EE19DFAA}"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704"/>
      <c r="F2" s="548"/>
      <c r="G2" s="1703" t="s">
        <v>1716</v>
      </c>
      <c r="H2" s="549"/>
      <c r="I2" s="549"/>
      <c r="J2" s="550" t="s">
        <v>1719</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1817</v>
      </c>
      <c r="F6" s="2169"/>
      <c r="G6" s="2169"/>
      <c r="H6" s="2169"/>
      <c r="I6" s="2170"/>
      <c r="J6" s="564"/>
    </row>
    <row customHeight="1" ht="24">
      <c r="E7" s="2171" t="str">
        <f>IF(org=0,"Не определено",org)</f>
        <v>Филиал "Печорская ГРЭС" АО "Интер РАО-Электрогенерация"</v>
      </c>
      <c r="F7" s="2172"/>
      <c r="G7" s="2172"/>
      <c r="H7" s="2172"/>
      <c r="I7" s="2173"/>
    </row>
    <row customHeight="1" ht="11.25">
      <c r="E8" s="1149"/>
      <c r="F8" s="1149"/>
      <c r="G8" s="1149"/>
      <c r="H8" s="1149"/>
      <c r="I8" s="1149"/>
    </row>
    <row s="3151" customFormat="1" customHeight="1" ht="0.75">
      <c r="A9" s="1181"/>
      <c r="D9" s="1688"/>
      <c r="H9" s="900"/>
      <c r="I9" s="900" t="s">
        <v>117</v>
      </c>
    </row>
    <row customHeight="1" ht="11.25">
      <c r="E10" s="719"/>
      <c r="F10" s="2308" t="s">
        <v>105</v>
      </c>
      <c r="G10" s="2309"/>
      <c r="H10" s="1705" t="str">
        <f>IF(H9="","",INDEX(DIFFERENTIATION_UNMERGE_VD,MATCH(H9,DIFFERENTIATION_ID_DIFF,0)))</f>
        <v/>
      </c>
      <c r="I10" s="1705" t="str">
        <f>IF(I9="","",INDEX(DIFFERENTIATION_UNMERGE_VD,MATCH(I9,DIFFERENTIATION_ID_DIFF,0)))</f>
        <v>Транспортировка. Питьевая вода</v>
      </c>
      <c r="J10" s="1966"/>
    </row>
    <row customHeight="1" ht="11.25">
      <c r="E11" s="719"/>
      <c r="F11" s="2308" t="s">
        <v>413</v>
      </c>
      <c r="G11" s="2309"/>
      <c r="H11" s="1705" t="str">
        <f>IF(H9="","",INDEX(DIFFERENTIATION_UNMERGE_AREA,MATCH(H9,DIFFERENTIATION_ID_DIFF,0)))</f>
        <v/>
      </c>
      <c r="I11" s="1705"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702"/>
      <c r="I13" s="1702"/>
      <c r="J13" s="1966"/>
    </row>
    <row customHeight="1" ht="22.5">
      <c r="E14" s="1703" t="s">
        <v>87</v>
      </c>
      <c r="F14" s="1706" t="s">
        <v>289</v>
      </c>
      <c r="G14" s="1706" t="s">
        <v>1612</v>
      </c>
      <c r="H14" s="1706" t="s">
        <v>290</v>
      </c>
      <c r="I14" s="1706" t="s">
        <v>290</v>
      </c>
      <c r="J14" s="1966"/>
    </row>
    <row customHeight="1" ht="18.75">
      <c r="D15" s="1684"/>
      <c r="E15" s="1676" t="s">
        <v>109</v>
      </c>
      <c r="F15" s="715" t="s">
        <v>1818</v>
      </c>
      <c r="G15" s="1703" t="s">
        <v>1716</v>
      </c>
      <c r="H15" s="565"/>
      <c r="I15" s="565"/>
      <c r="J15" s="277" t="s">
        <v>1819</v>
      </c>
      <c r="K15" s="551" t="s">
        <v>1770</v>
      </c>
    </row>
    <row customHeight="1" ht="22.5">
      <c r="D16" s="1684"/>
      <c r="E16" s="1676" t="s">
        <v>110</v>
      </c>
      <c r="F16" s="1711" t="s">
        <v>1820</v>
      </c>
      <c r="G16" s="1703" t="s">
        <v>1716</v>
      </c>
      <c r="H16" s="566">
        <f>SUM(H17,H20:H27)</f>
        <v>0</v>
      </c>
      <c r="I16" s="566">
        <f>SUM(I17,I20:I27)</f>
        <v>0</v>
      </c>
      <c r="J16" s="277" t="s">
        <v>1821</v>
      </c>
      <c r="K16" s="551" t="s">
        <v>1770</v>
      </c>
    </row>
    <row customHeight="1" ht="33.75">
      <c r="D17" s="1684"/>
      <c r="E17" s="1710" t="s">
        <v>451</v>
      </c>
      <c r="F17" s="1713" t="s">
        <v>1822</v>
      </c>
      <c r="G17" s="1700" t="s">
        <v>1716</v>
      </c>
      <c r="H17" s="565"/>
      <c r="I17" s="565"/>
      <c r="J17" s="277" t="s">
        <v>1823</v>
      </c>
      <c r="K17" s="551"/>
    </row>
    <row customHeight="1" ht="18.75">
      <c r="D18" s="1684"/>
      <c r="E18" s="1710" t="s">
        <v>453</v>
      </c>
      <c r="F18" s="1714" t="s">
        <v>1824</v>
      </c>
      <c r="G18" s="1700" t="s">
        <v>1716</v>
      </c>
      <c r="H18" s="565"/>
      <c r="I18" s="565"/>
      <c r="J18" s="277"/>
      <c r="K18" s="551"/>
    </row>
    <row customHeight="1" ht="22.5">
      <c r="D19" s="1684"/>
      <c r="E19" s="1710" t="s">
        <v>1777</v>
      </c>
      <c r="F19" s="1714" t="s">
        <v>1825</v>
      </c>
      <c r="G19" s="1700" t="s">
        <v>1716</v>
      </c>
      <c r="H19" s="565"/>
      <c r="I19" s="565"/>
      <c r="J19" s="277"/>
      <c r="K19" s="551"/>
    </row>
    <row customHeight="1" ht="33.75">
      <c r="D20" s="1684"/>
      <c r="E20" s="1710" t="s">
        <v>294</v>
      </c>
      <c r="F20" s="1713" t="s">
        <v>1826</v>
      </c>
      <c r="G20" s="1700" t="s">
        <v>1716</v>
      </c>
      <c r="H20" s="565"/>
      <c r="I20" s="565"/>
      <c r="J20" s="277"/>
      <c r="K20" s="551"/>
    </row>
    <row customHeight="1" ht="33.75">
      <c r="D21" s="1684"/>
      <c r="E21" s="1710" t="s">
        <v>297</v>
      </c>
      <c r="F21" s="1713" t="s">
        <v>1827</v>
      </c>
      <c r="G21" s="1700" t="s">
        <v>1716</v>
      </c>
      <c r="H21" s="565"/>
      <c r="I21" s="565"/>
      <c r="J21" s="277"/>
      <c r="K21" s="551"/>
    </row>
    <row customHeight="1" ht="56.25">
      <c r="D22" s="1684"/>
      <c r="E22" s="1710" t="s">
        <v>1363</v>
      </c>
      <c r="F22" s="1713" t="s">
        <v>1828</v>
      </c>
      <c r="G22" s="1700" t="s">
        <v>1716</v>
      </c>
      <c r="H22" s="565"/>
      <c r="I22" s="565"/>
      <c r="J22" s="277"/>
      <c r="K22" s="551"/>
    </row>
    <row customHeight="1" ht="33.75">
      <c r="D23" s="1684"/>
      <c r="E23" s="1710" t="s">
        <v>1365</v>
      </c>
      <c r="F23" s="1713" t="s">
        <v>1829</v>
      </c>
      <c r="G23" s="1700" t="s">
        <v>1716</v>
      </c>
      <c r="H23" s="565"/>
      <c r="I23" s="565"/>
      <c r="J23" s="277"/>
      <c r="K23" s="551"/>
    </row>
    <row customHeight="1" ht="33.75">
      <c r="D24" s="1684"/>
      <c r="E24" s="1710" t="s">
        <v>1379</v>
      </c>
      <c r="F24" s="1713" t="s">
        <v>1830</v>
      </c>
      <c r="G24" s="1700" t="s">
        <v>1716</v>
      </c>
      <c r="H24" s="565"/>
      <c r="I24" s="565"/>
      <c r="J24" s="277"/>
      <c r="K24" s="551"/>
    </row>
    <row customHeight="1" ht="22.5">
      <c r="D25" s="1684"/>
      <c r="E25" s="1710" t="s">
        <v>1390</v>
      </c>
      <c r="F25" s="1713" t="s">
        <v>1831</v>
      </c>
      <c r="G25" s="1700" t="s">
        <v>1716</v>
      </c>
      <c r="H25" s="565"/>
      <c r="I25" s="565"/>
      <c r="J25" s="277"/>
      <c r="K25" s="551"/>
    </row>
    <row customHeight="1" ht="67.5">
      <c r="D26" s="1684"/>
      <c r="E26" s="1710" t="s">
        <v>1401</v>
      </c>
      <c r="F26" s="1713" t="s">
        <v>1832</v>
      </c>
      <c r="G26" s="1700" t="s">
        <v>1716</v>
      </c>
      <c r="H26" s="565"/>
      <c r="I26" s="565"/>
      <c r="J26" s="277"/>
      <c r="K26" s="551"/>
    </row>
    <row s="3145" customFormat="1" customHeight="1" ht="22.5">
      <c r="A27" s="1000"/>
      <c r="C27" s="1682"/>
      <c r="D27" s="1684"/>
      <c r="E27" s="1675" t="s">
        <v>1409</v>
      </c>
      <c r="F27" s="1674" t="s">
        <v>1833</v>
      </c>
      <c r="G27" s="1701" t="s">
        <v>1716</v>
      </c>
      <c r="H27" s="587">
        <f>SUM(H28:H29)</f>
        <v>0</v>
      </c>
      <c r="I27" s="587">
        <f>SUM(I28:I29)</f>
        <v>0</v>
      </c>
      <c r="J27" s="277" t="s">
        <v>1795</v>
      </c>
      <c r="K27" s="551"/>
      <c r="L27" s="1682"/>
      <c r="M27" s="1682"/>
      <c r="R27" s="1682"/>
      <c r="U27" s="552"/>
      <c r="AA27" s="1678"/>
      <c r="AB27" s="1678"/>
      <c r="AC27" s="1678"/>
      <c r="AD27" s="1678"/>
      <c r="AE27" s="1678"/>
    </row>
    <row s="3151" customFormat="1" customHeight="1" ht="0.75">
      <c r="A28" s="1181"/>
      <c r="D28" s="556"/>
      <c r="E28" s="812" t="str">
        <f>E27&amp;".0"</f>
        <v>2.9.0</v>
      </c>
      <c r="F28" s="1004"/>
      <c r="G28" s="559"/>
      <c r="H28" s="1005"/>
      <c r="I28" s="1005"/>
      <c r="J28" s="1006"/>
    </row>
    <row s="3145" customFormat="1" customHeight="1" ht="18.75">
      <c r="A29" s="1000"/>
      <c r="C29" s="1682"/>
      <c r="D29" s="1679"/>
      <c r="E29" s="578"/>
      <c r="F29" s="1712" t="s">
        <v>1736</v>
      </c>
      <c r="G29" s="580"/>
      <c r="H29" s="581"/>
      <c r="I29" s="581"/>
      <c r="J29" s="289" t="s">
        <v>1796</v>
      </c>
      <c r="K29" s="551"/>
      <c r="L29" s="1682"/>
      <c r="M29" s="1682"/>
      <c r="R29" s="1682"/>
      <c r="U29" s="552"/>
      <c r="AA29" s="1678"/>
      <c r="AB29" s="1678"/>
      <c r="AC29" s="1678"/>
      <c r="AD29" s="1678"/>
      <c r="AE29" s="1678"/>
    </row>
    <row s="3145" customFormat="1" customHeight="1" ht="22.5">
      <c r="A30" s="1000"/>
      <c r="C30" s="1682"/>
      <c r="D30" s="1684"/>
      <c r="E30" s="1710" t="s">
        <v>89</v>
      </c>
      <c r="F30" s="1707" t="s">
        <v>1834</v>
      </c>
      <c r="G30" s="1700" t="s">
        <v>1716</v>
      </c>
      <c r="H30" s="565"/>
      <c r="I30" s="565"/>
      <c r="J30" s="277"/>
      <c r="K30" s="551"/>
      <c r="L30" s="1682"/>
      <c r="M30" s="1682"/>
      <c r="R30" s="1682"/>
      <c r="U30" s="552"/>
      <c r="AA30" s="1678"/>
      <c r="AB30" s="1678"/>
      <c r="AC30" s="1678"/>
      <c r="AD30" s="1678"/>
      <c r="AE30" s="1678"/>
    </row>
    <row s="3145" customFormat="1" customHeight="1" ht="33.75">
      <c r="A31" s="1000"/>
      <c r="C31" s="1682"/>
      <c r="D31" s="583"/>
      <c r="E31" s="1710" t="s">
        <v>90</v>
      </c>
      <c r="F31" s="1707" t="s">
        <v>1835</v>
      </c>
      <c r="G31" s="1700" t="s">
        <v>1716</v>
      </c>
      <c r="H31" s="565"/>
      <c r="I31" s="565"/>
      <c r="J31" s="277" t="s">
        <v>1836</v>
      </c>
      <c r="K31" s="551"/>
      <c r="L31" s="1682"/>
      <c r="M31" s="1682"/>
      <c r="R31" s="1682"/>
      <c r="U31" s="552"/>
      <c r="AA31" s="1678"/>
      <c r="AB31" s="1678"/>
      <c r="AC31" s="1678"/>
      <c r="AD31" s="1678"/>
      <c r="AE31" s="1678"/>
    </row>
    <row s="3145" customFormat="1" customHeight="1" ht="22.5">
      <c r="A32" s="1000"/>
      <c r="C32" s="1682"/>
      <c r="D32" s="1684"/>
      <c r="E32" s="1710" t="s">
        <v>1462</v>
      </c>
      <c r="F32" s="698" t="s">
        <v>1803</v>
      </c>
      <c r="G32" s="1700" t="s">
        <v>1716</v>
      </c>
      <c r="H32" s="565"/>
      <c r="I32" s="565"/>
      <c r="J32" s="277" t="s">
        <v>1837</v>
      </c>
      <c r="K32" s="551"/>
      <c r="L32" s="1682"/>
      <c r="M32" s="1682"/>
      <c r="R32" s="1682"/>
      <c r="U32" s="552"/>
      <c r="AA32" s="1678"/>
      <c r="AB32" s="1678"/>
      <c r="AC32" s="1678"/>
      <c r="AD32" s="1678"/>
      <c r="AE32" s="1678"/>
    </row>
    <row s="3145" customFormat="1" customHeight="1" ht="22.5">
      <c r="A33" s="1000"/>
      <c r="C33" s="1682"/>
      <c r="D33" s="1684"/>
      <c r="E33" s="1710" t="s">
        <v>1479</v>
      </c>
      <c r="F33" s="698" t="s">
        <v>1838</v>
      </c>
      <c r="G33" s="1700" t="s">
        <v>1716</v>
      </c>
      <c r="H33" s="565"/>
      <c r="I33" s="565"/>
      <c r="J33" s="277" t="s">
        <v>1839</v>
      </c>
      <c r="K33" s="551"/>
      <c r="L33" s="1682"/>
      <c r="M33" s="1682"/>
      <c r="R33" s="1682"/>
      <c r="U33" s="552"/>
      <c r="AA33" s="1678"/>
      <c r="AB33" s="1678"/>
      <c r="AC33" s="1678"/>
      <c r="AD33" s="1678"/>
      <c r="AE33" s="1678"/>
    </row>
    <row s="3145" customFormat="1" customHeight="1" ht="22.5">
      <c r="A34" s="1000"/>
      <c r="C34" s="1682"/>
      <c r="D34" s="1684"/>
      <c r="E34" s="1710" t="s">
        <v>1627</v>
      </c>
      <c r="F34" s="698" t="s">
        <v>1806</v>
      </c>
      <c r="G34" s="1700" t="s">
        <v>1716</v>
      </c>
      <c r="H34" s="565"/>
      <c r="I34" s="565"/>
      <c r="J34" s="277" t="s">
        <v>1840</v>
      </c>
      <c r="K34" s="551"/>
      <c r="L34" s="1682"/>
      <c r="M34" s="1682"/>
      <c r="R34" s="1682"/>
      <c r="U34" s="552"/>
      <c r="AA34" s="1678"/>
      <c r="AB34" s="1678"/>
      <c r="AC34" s="1678"/>
      <c r="AD34" s="1678"/>
      <c r="AE34" s="1678"/>
    </row>
    <row s="3145" customFormat="1" customHeight="1" ht="33.75">
      <c r="A35" s="1000"/>
      <c r="C35" s="1682" t="s">
        <v>1745</v>
      </c>
      <c r="D35" s="1684"/>
      <c r="E35" s="1710" t="s">
        <v>111</v>
      </c>
      <c r="F35" s="1707" t="s">
        <v>1485</v>
      </c>
      <c r="G35" s="1703" t="s">
        <v>293</v>
      </c>
      <c r="H35" s="408"/>
      <c r="I35" s="408"/>
      <c r="J35" s="277" t="s">
        <v>1841</v>
      </c>
      <c r="K35" s="551"/>
      <c r="L35" s="1682"/>
      <c r="M35" s="1682"/>
      <c r="R35" s="1682"/>
      <c r="U35" s="552"/>
      <c r="AA35" s="1678"/>
      <c r="AB35" s="1678"/>
      <c r="AC35" s="1678"/>
      <c r="AD35" s="1678"/>
      <c r="AE35" s="1678"/>
    </row>
    <row s="3145" customFormat="1" customHeight="1" ht="22.5">
      <c r="A36" s="1000"/>
      <c r="C36" s="1682"/>
      <c r="D36" s="1684"/>
      <c r="E36" s="1710" t="s">
        <v>91</v>
      </c>
      <c r="F36" s="1707" t="s">
        <v>1842</v>
      </c>
      <c r="G36" s="1700" t="s">
        <v>1811</v>
      </c>
      <c r="H36" s="553"/>
      <c r="I36" s="553"/>
      <c r="J36" s="277" t="s">
        <v>1812</v>
      </c>
      <c r="K36" s="551"/>
      <c r="L36" s="1682"/>
      <c r="M36" s="1682"/>
      <c r="R36" s="1682"/>
      <c r="U36" s="552"/>
      <c r="AA36" s="1678"/>
      <c r="AB36" s="1678"/>
      <c r="AC36" s="1678"/>
      <c r="AD36" s="1678"/>
      <c r="AE36" s="1678"/>
    </row>
    <row s="3145" customFormat="1" customHeight="1" ht="22.5">
      <c r="A37" s="1000"/>
      <c r="C37" s="1682"/>
      <c r="D37" s="1684"/>
      <c r="E37" s="1710" t="s">
        <v>92</v>
      </c>
      <c r="F37" s="1707" t="s">
        <v>1843</v>
      </c>
      <c r="G37" s="1700" t="s">
        <v>1814</v>
      </c>
      <c r="H37" s="553"/>
      <c r="I37" s="553"/>
      <c r="J37" s="277" t="s">
        <v>1815</v>
      </c>
      <c r="K37" s="551"/>
      <c r="L37" s="1682"/>
      <c r="M37" s="1682"/>
      <c r="R37" s="1682"/>
      <c r="U37" s="552"/>
      <c r="AA37" s="1678"/>
      <c r="AB37" s="1678"/>
      <c r="AC37" s="1678"/>
      <c r="AD37" s="1678"/>
      <c r="AE37" s="1678"/>
    </row>
    <row customHeight="1" ht="11.25">
      <c r="D38" s="1684"/>
    </row>
    <row customHeight="1" ht="26.25">
      <c r="D39" s="1684"/>
      <c r="E39" s="1279" t="s">
        <v>505</v>
      </c>
      <c r="F39" s="2218" t="s">
        <v>1844</v>
      </c>
      <c r="G39" s="2218"/>
      <c r="H39" s="2218"/>
      <c r="I39" s="2218"/>
      <c r="J39" s="2218"/>
    </row>
    <row s="4306" customFormat="1" customHeight="1" ht="37.5">
      <c r="A40" s="1000"/>
      <c r="B40" s="1682"/>
      <c r="C40" s="1682"/>
      <c r="D40" s="347"/>
      <c r="F40" s="2218" t="s">
        <v>1845</v>
      </c>
      <c r="G40" s="2218"/>
      <c r="H40" s="2218"/>
      <c r="I40" s="2218"/>
      <c r="J40" s="2218"/>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306"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306"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306"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306"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306"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306"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306"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306"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306"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6"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6"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6"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6"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6"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6"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6"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6"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6"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6"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6"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6"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6"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6"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6"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6"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6"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6"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6"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6"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6"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6"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6"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6"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6"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6"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6"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6"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6"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6"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6"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6"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6"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6"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6"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6"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6"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6"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6"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6"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6"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6"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6"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6"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6"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6"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6"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6"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6"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6"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6"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6"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6"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6"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6"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6"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6"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6"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6"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6"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6"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6"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6"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6"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6"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6"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6"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6"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6"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6"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6"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6"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6"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6"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6"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6"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6"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6"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6"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6"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6"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6"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6"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6"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6"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6"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7095F-543F-C5D9-7257-8996E45B0836}" mc:Ignorable="x14ac xr xr2 xr3">
  <sheetPr>
    <tabColor theme="9" tint="-0.25"/>
  </sheetPr>
  <dimension ref="A1:W101"/>
  <sheetViews>
    <sheetView topLeftCell="A1" showGridLines="0" zoomScale="90" workbookViewId="0">
      <selection activeCell="J62" sqref="J62"/>
    </sheetView>
  </sheetViews>
  <sheetFormatPr defaultColWidth="10.57421875" customHeight="1" defaultRowHeight="11.25"/>
  <cols>
    <col min="1" max="1" style="4449" width="9.140625" hidden="1" customWidth="1"/>
    <col min="2" max="2" style="2587" width="3.57421875" hidden="1" customWidth="1"/>
    <col min="3" max="3" style="3076" width="3.7109375" customWidth="1"/>
    <col min="4" max="4" style="3076" width="7.7109375" customWidth="1"/>
    <col min="5" max="5" style="3076" width="69.8515625" customWidth="1"/>
    <col min="6" max="6" style="3076" width="11.140625" customWidth="1"/>
    <col min="7" max="8" style="3076" width="44.00390625" hidden="1" customWidth="1"/>
    <col min="9" max="10" style="2599" width="44.00390625" customWidth="1"/>
    <col min="11" max="11" style="3076" width="74.00390625" customWidth="1"/>
    <col min="12" max="12" style="3076" width="3.7109375" customWidth="1"/>
    <col min="13" max="23" style="3076" width="10.57421875"/>
  </cols>
  <sheetData>
    <row s="2600" customFormat="1" customHeight="1" ht="11.25" hidden="1">
      <c r="A1" s="544"/>
      <c r="B1" s="519"/>
      <c r="G1" s="424">
        <v>4</v>
      </c>
      <c r="I1" s="424">
        <v>4</v>
      </c>
      <c r="K1" s="424">
        <v>5</v>
      </c>
    </row>
    <row customHeight="1" ht="3"/>
    <row customHeight="1" ht="35.25">
      <c r="D3" s="1996"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97"/>
      <c r="F3" s="1998"/>
    </row>
    <row s="2599" customFormat="1" customHeight="1" ht="20.25">
      <c r="A4" s="964"/>
      <c r="B4" s="519"/>
      <c r="D4" s="2053" t="str">
        <f>IF(org=0,"Не определено",org)</f>
        <v>Филиал "Печорская ГРЭС" АО "Интер РАО-Электрогенерация"</v>
      </c>
      <c r="E4" s="2054"/>
      <c r="F4" s="2055"/>
    </row>
    <row customHeight="1" ht="11.25">
      <c r="C5" s="517"/>
      <c r="D5" s="596"/>
      <c r="E5" s="596"/>
      <c r="F5" s="596"/>
      <c r="G5" s="596"/>
      <c r="H5" s="762"/>
      <c r="I5" s="596"/>
      <c r="J5" s="762"/>
      <c r="K5" s="596"/>
    </row>
    <row customHeight="1" ht="0.75">
      <c r="C6" s="517"/>
      <c r="D6" s="517"/>
      <c r="E6" s="530"/>
      <c r="F6" s="622"/>
      <c r="G6" s="1035"/>
      <c r="H6" s="1035"/>
      <c r="I6" s="1035" t="s">
        <v>117</v>
      </c>
      <c r="J6" s="1035"/>
    </row>
    <row customHeight="1" ht="11.25">
      <c r="D7" s="719"/>
      <c r="E7" s="2308" t="s">
        <v>105</v>
      </c>
      <c r="F7" s="2309"/>
      <c r="G7" s="2347" t="str">
        <f>IF(G6="","",INDEX(DIFFERENTIATION_UNMERGE_VD,MATCH(G6,DIFFERENTIATION_ID_DIFF,0)))</f>
        <v/>
      </c>
      <c r="H7" s="2348"/>
      <c r="I7" s="2347" t="str">
        <f>IF(I6="","",INDEX(DIFFERENTIATION_UNMERGE_VD,MATCH(I6,DIFFERENTIATION_ID_DIFF,0)))</f>
        <v>Транспортировка. Питьевая вода</v>
      </c>
      <c r="J7" s="2348"/>
      <c r="K7" s="2012"/>
      <c r="L7" s="517"/>
    </row>
    <row customHeight="1" ht="11.25">
      <c r="A8" s="712"/>
      <c r="D8" s="719"/>
      <c r="E8" s="2308" t="s">
        <v>413</v>
      </c>
      <c r="F8" s="2309"/>
      <c r="G8" s="2347" t="str">
        <f>IF(G6="","",INDEX(DIFFERENTIATION_UNMERGE_AREA,MATCH(G6,DIFFERENTIATION_ID_DIFF,0)))</f>
        <v/>
      </c>
      <c r="H8" s="2348"/>
      <c r="I8" s="2347" t="str">
        <f>IF(I6="","",INDEX(DIFFERENTIATION_UNMERGE_AREA,MATCH(I6,DIFFERENTIATION_ID_DIFF,0)))</f>
        <v>без дифференциации</v>
      </c>
      <c r="J8" s="2348"/>
      <c r="K8" s="2036"/>
      <c r="L8" s="517"/>
    </row>
    <row customHeight="1" ht="11.25">
      <c r="A9" s="712"/>
      <c r="D9" s="719"/>
      <c r="E9" s="2308" t="s">
        <v>414</v>
      </c>
      <c r="F9" s="2309"/>
      <c r="G9" s="2347" t="str">
        <f>IF(G6="","",INDEX(DIFFERENTIATION_UNMERGE_SYSTEM,MATCH(G6,DIFFERENTIATION_ID_DIFF,0)))</f>
        <v/>
      </c>
      <c r="H9" s="2348"/>
      <c r="I9" s="2347" t="str">
        <f>IF(I6="","",INDEX(DIFFERENTIATION_UNMERGE_SYSTEM,MATCH(I6,DIFFERENTIATION_ID_DIFF,0)))</f>
        <v>без дифференциации</v>
      </c>
      <c r="J9" s="2348"/>
      <c r="K9" s="2036"/>
      <c r="L9" s="517"/>
    </row>
    <row s="2599" customFormat="1" customHeight="1" ht="11.25">
      <c r="A10" s="1034"/>
      <c r="B10" s="519"/>
      <c r="D10" s="1940" t="s">
        <v>287</v>
      </c>
      <c r="E10" s="1941"/>
      <c r="F10" s="1941"/>
      <c r="G10" s="1941"/>
      <c r="H10" s="1941"/>
      <c r="I10" s="1941"/>
      <c r="J10" s="1942"/>
      <c r="K10" s="2036"/>
      <c r="L10" s="517"/>
    </row>
    <row s="2603" customFormat="1" customHeight="1" ht="22.5">
      <c r="A11" s="2305"/>
      <c r="B11" s="2305"/>
      <c r="C11" s="665"/>
      <c r="D11" s="711" t="s">
        <v>87</v>
      </c>
      <c r="E11" s="713" t="s">
        <v>1846</v>
      </c>
      <c r="F11" s="713" t="s">
        <v>1612</v>
      </c>
      <c r="G11" s="473" t="s">
        <v>290</v>
      </c>
      <c r="H11" s="473" t="s">
        <v>379</v>
      </c>
      <c r="I11" s="817" t="s">
        <v>290</v>
      </c>
      <c r="J11" s="818" t="s">
        <v>379</v>
      </c>
      <c r="K11" s="2071"/>
      <c r="L11" s="666"/>
    </row>
    <row s="2587" customFormat="1" customHeight="1" ht="10.5">
      <c r="A12" s="965"/>
      <c r="D12" s="1038" t="s">
        <v>109</v>
      </c>
      <c r="E12" s="1038" t="s">
        <v>110</v>
      </c>
      <c r="F12" s="1038" t="s">
        <v>89</v>
      </c>
      <c r="G12" s="1039" t="str">
        <f>G1&amp;".1"</f>
        <v>4.1</v>
      </c>
      <c r="H12" s="1039" t="str">
        <f>G1&amp;".2"</f>
        <v>4.2</v>
      </c>
      <c r="I12" s="1039" t="str">
        <f>I1&amp;".1"</f>
        <v>4.1</v>
      </c>
      <c r="J12" s="1039" t="str">
        <f>I1&amp;".2"</f>
        <v>4.2</v>
      </c>
      <c r="K12" s="1039"/>
    </row>
    <row customHeight="1" ht="22.5" hidden="1">
      <c r="A13" s="2346" t="s">
        <v>592</v>
      </c>
      <c r="D13" s="966" t="s">
        <v>109</v>
      </c>
      <c r="E13" s="267" t="s">
        <v>1613</v>
      </c>
      <c r="F13" s="668" t="s">
        <v>1614</v>
      </c>
      <c r="G13" s="565"/>
      <c r="H13" s="669"/>
      <c r="I13" s="565"/>
      <c r="J13" s="669"/>
      <c r="K13" s="277" t="s">
        <v>1615</v>
      </c>
      <c r="L13" s="728"/>
    </row>
    <row customHeight="1" ht="22.5" hidden="1">
      <c r="A14" s="2346"/>
      <c r="D14" s="547" t="s">
        <v>110</v>
      </c>
      <c r="E14" s="267" t="s">
        <v>1616</v>
      </c>
      <c r="F14" s="668" t="s">
        <v>1617</v>
      </c>
      <c r="G14" s="565"/>
      <c r="H14" s="670"/>
      <c r="I14" s="565"/>
      <c r="J14" s="670"/>
      <c r="K14" s="277" t="s">
        <v>1618</v>
      </c>
      <c r="L14" s="728"/>
    </row>
    <row s="2599" customFormat="1" customHeight="1" ht="78.75" hidden="1">
      <c r="A15" s="2346"/>
      <c r="B15" s="519"/>
      <c r="D15" s="966" t="s">
        <v>89</v>
      </c>
      <c r="E15" s="715" t="s">
        <v>1621</v>
      </c>
      <c r="F15" s="963" t="s">
        <v>293</v>
      </c>
      <c r="G15" s="963" t="s">
        <v>293</v>
      </c>
      <c r="H15" s="92"/>
      <c r="I15" s="963" t="s">
        <v>293</v>
      </c>
      <c r="J15" s="92"/>
      <c r="K15" s="277" t="s">
        <v>1847</v>
      </c>
      <c r="L15" s="728"/>
    </row>
    <row s="2599" customFormat="1" customHeight="1" ht="22.5" hidden="1">
      <c r="A16" s="2346"/>
      <c r="B16" s="519"/>
      <c r="D16" s="966" t="s">
        <v>313</v>
      </c>
      <c r="E16" s="967" t="s">
        <v>1623</v>
      </c>
      <c r="F16" s="963" t="s">
        <v>1624</v>
      </c>
      <c r="G16" s="827"/>
      <c r="H16" s="92"/>
      <c r="I16" s="827"/>
      <c r="J16" s="92"/>
      <c r="K16" s="277"/>
      <c r="L16" s="728"/>
    </row>
    <row s="2599" customFormat="1" customHeight="1" ht="22.5" hidden="1">
      <c r="A17" s="2346"/>
      <c r="B17" s="519"/>
      <c r="D17" s="966" t="s">
        <v>321</v>
      </c>
      <c r="E17" s="967" t="s">
        <v>1625</v>
      </c>
      <c r="F17" s="963" t="s">
        <v>1626</v>
      </c>
      <c r="G17" s="827"/>
      <c r="H17" s="92"/>
      <c r="I17" s="827"/>
      <c r="J17" s="92"/>
      <c r="K17" s="277"/>
      <c r="L17" s="728"/>
    </row>
    <row s="2599" customFormat="1" customHeight="1" ht="33.75" hidden="1">
      <c r="A18" s="2346"/>
      <c r="B18" s="519"/>
      <c r="D18" s="966" t="s">
        <v>323</v>
      </c>
      <c r="E18" s="967" t="s">
        <v>1628</v>
      </c>
      <c r="F18" s="963" t="s">
        <v>1241</v>
      </c>
      <c r="G18" s="688"/>
      <c r="H18" s="92"/>
      <c r="I18" s="688"/>
      <c r="J18" s="92"/>
      <c r="K18" s="277"/>
      <c r="L18" s="728"/>
    </row>
    <row customHeight="1" ht="101.25" hidden="1">
      <c r="A19" s="2346"/>
      <c r="D19" s="966" t="s">
        <v>90</v>
      </c>
      <c r="E19" s="267" t="s">
        <v>1848</v>
      </c>
      <c r="F19" s="668" t="s">
        <v>425</v>
      </c>
      <c r="G19" s="671"/>
      <c r="H19" s="670"/>
      <c r="I19" s="968"/>
      <c r="J19" s="670"/>
      <c r="K19" s="277" t="s">
        <v>1849</v>
      </c>
      <c r="L19" s="728"/>
    </row>
    <row s="2599" customFormat="1" customHeight="1" ht="18.75" hidden="1">
      <c r="A20" s="2346"/>
      <c r="C20" s="969"/>
      <c r="D20" s="966" t="s">
        <v>1462</v>
      </c>
      <c r="E20" s="967" t="s">
        <v>1850</v>
      </c>
      <c r="F20" s="963" t="s">
        <v>293</v>
      </c>
      <c r="G20" s="963" t="s">
        <v>293</v>
      </c>
      <c r="H20" s="962" t="s">
        <v>293</v>
      </c>
      <c r="I20" s="963" t="s">
        <v>293</v>
      </c>
      <c r="J20" s="962" t="s">
        <v>293</v>
      </c>
      <c r="K20" s="961"/>
      <c r="L20" s="728"/>
      <c r="W20" s="683"/>
    </row>
    <row s="2599" customFormat="1" customHeight="1" ht="33.75" hidden="1">
      <c r="A21" s="2346"/>
      <c r="C21" s="969"/>
      <c r="D21" s="966" t="s">
        <v>1470</v>
      </c>
      <c r="E21" s="584" t="s">
        <v>1851</v>
      </c>
      <c r="F21" s="963" t="s">
        <v>1852</v>
      </c>
      <c r="G21" s="955"/>
      <c r="H21" s="92"/>
      <c r="I21" s="955"/>
      <c r="J21" s="92"/>
      <c r="K21" s="961"/>
      <c r="L21" s="728"/>
      <c r="W21" s="683"/>
    </row>
    <row s="2599" customFormat="1" customHeight="1" ht="33.75" hidden="1">
      <c r="A22" s="2346"/>
      <c r="C22" s="969"/>
      <c r="D22" s="966" t="s">
        <v>1475</v>
      </c>
      <c r="E22" s="584" t="s">
        <v>1853</v>
      </c>
      <c r="F22" s="963" t="s">
        <v>1854</v>
      </c>
      <c r="G22" s="955"/>
      <c r="H22" s="92"/>
      <c r="I22" s="955"/>
      <c r="J22" s="92"/>
      <c r="K22" s="961"/>
      <c r="L22" s="728"/>
      <c r="W22" s="683"/>
    </row>
    <row s="2599" customFormat="1" customHeight="1" ht="22.5" hidden="1">
      <c r="A23" s="2346"/>
      <c r="C23" s="969"/>
      <c r="D23" s="966" t="s">
        <v>1479</v>
      </c>
      <c r="E23" s="967" t="s">
        <v>1855</v>
      </c>
      <c r="F23" s="963" t="s">
        <v>293</v>
      </c>
      <c r="G23" s="963" t="s">
        <v>293</v>
      </c>
      <c r="H23" s="962" t="s">
        <v>293</v>
      </c>
      <c r="I23" s="963" t="s">
        <v>293</v>
      </c>
      <c r="J23" s="962" t="s">
        <v>293</v>
      </c>
      <c r="K23" s="961"/>
      <c r="L23" s="728"/>
      <c r="W23" s="683"/>
    </row>
    <row s="2599" customFormat="1" customHeight="1" ht="22.5" hidden="1">
      <c r="A24" s="2346"/>
      <c r="C24" s="969"/>
      <c r="D24" s="966" t="s">
        <v>1856</v>
      </c>
      <c r="E24" s="584" t="s">
        <v>1857</v>
      </c>
      <c r="F24" s="963" t="s">
        <v>1858</v>
      </c>
      <c r="G24" s="955"/>
      <c r="H24" s="694"/>
      <c r="I24" s="955"/>
      <c r="J24" s="694"/>
      <c r="K24" s="961"/>
      <c r="L24" s="728"/>
      <c r="W24" s="683"/>
    </row>
    <row s="2599" customFormat="1" customHeight="1" ht="22.5" hidden="1">
      <c r="A25" s="2346"/>
      <c r="C25" s="969"/>
      <c r="D25" s="966" t="s">
        <v>1859</v>
      </c>
      <c r="E25" s="584" t="s">
        <v>1860</v>
      </c>
      <c r="F25" s="963" t="s">
        <v>293</v>
      </c>
      <c r="G25" s="963" t="s">
        <v>293</v>
      </c>
      <c r="H25" s="962" t="s">
        <v>293</v>
      </c>
      <c r="I25" s="963" t="s">
        <v>293</v>
      </c>
      <c r="J25" s="962" t="s">
        <v>293</v>
      </c>
      <c r="K25" s="961"/>
      <c r="L25" s="728"/>
      <c r="W25" s="683"/>
    </row>
    <row s="2599" customFormat="1" customHeight="1" ht="18.75" hidden="1">
      <c r="A26" s="2346"/>
      <c r="C26" s="969"/>
      <c r="D26" s="966" t="s">
        <v>1861</v>
      </c>
      <c r="E26" s="561" t="s">
        <v>1862</v>
      </c>
      <c r="F26" s="963" t="s">
        <v>1863</v>
      </c>
      <c r="G26" s="688"/>
      <c r="H26" s="694"/>
      <c r="I26" s="688"/>
      <c r="J26" s="694"/>
      <c r="K26" s="961"/>
      <c r="L26" s="728"/>
      <c r="W26" s="683"/>
    </row>
    <row s="2599" customFormat="1" customHeight="1" ht="18.75" hidden="1">
      <c r="A27" s="2346"/>
      <c r="C27" s="969"/>
      <c r="D27" s="966" t="s">
        <v>1864</v>
      </c>
      <c r="E27" s="561" t="s">
        <v>1865</v>
      </c>
      <c r="F27" s="963" t="s">
        <v>1866</v>
      </c>
      <c r="G27" s="688"/>
      <c r="H27" s="694"/>
      <c r="I27" s="688"/>
      <c r="J27" s="694"/>
      <c r="K27" s="961"/>
      <c r="L27" s="728"/>
      <c r="W27" s="683"/>
    </row>
    <row s="2599" customFormat="1" customHeight="1" ht="18.75" hidden="1">
      <c r="A28" s="2346"/>
      <c r="C28" s="969"/>
      <c r="D28" s="966" t="s">
        <v>1867</v>
      </c>
      <c r="E28" s="584" t="s">
        <v>1868</v>
      </c>
      <c r="F28" s="963" t="s">
        <v>293</v>
      </c>
      <c r="G28" s="963" t="s">
        <v>293</v>
      </c>
      <c r="H28" s="962" t="s">
        <v>293</v>
      </c>
      <c r="I28" s="963" t="s">
        <v>293</v>
      </c>
      <c r="J28" s="962" t="s">
        <v>293</v>
      </c>
      <c r="K28" s="961"/>
      <c r="L28" s="728"/>
      <c r="W28" s="683"/>
    </row>
    <row s="2599" customFormat="1" customHeight="1" ht="18.75" hidden="1">
      <c r="A29" s="2346"/>
      <c r="C29" s="969"/>
      <c r="D29" s="966" t="s">
        <v>1869</v>
      </c>
      <c r="E29" s="561" t="s">
        <v>1862</v>
      </c>
      <c r="F29" s="963" t="s">
        <v>1870</v>
      </c>
      <c r="G29" s="688"/>
      <c r="H29" s="694"/>
      <c r="I29" s="688"/>
      <c r="J29" s="694"/>
      <c r="K29" s="961"/>
      <c r="L29" s="728"/>
      <c r="W29" s="683"/>
    </row>
    <row s="2599" customFormat="1" customHeight="1" ht="18.75" hidden="1">
      <c r="A30" s="2346"/>
      <c r="C30" s="969"/>
      <c r="D30" s="966" t="s">
        <v>1871</v>
      </c>
      <c r="E30" s="561" t="s">
        <v>1872</v>
      </c>
      <c r="F30" s="963" t="s">
        <v>1873</v>
      </c>
      <c r="G30" s="688"/>
      <c r="H30" s="694"/>
      <c r="I30" s="688"/>
      <c r="J30" s="694"/>
      <c r="K30" s="961"/>
      <c r="L30" s="728"/>
      <c r="W30" s="683"/>
    </row>
    <row customHeight="1" ht="126.75" hidden="1">
      <c r="A31" s="2346"/>
      <c r="D31" s="966" t="s">
        <v>111</v>
      </c>
      <c r="E31" s="267" t="s">
        <v>1874</v>
      </c>
      <c r="F31" s="668" t="s">
        <v>1630</v>
      </c>
      <c r="G31" s="565"/>
      <c r="H31" s="670"/>
      <c r="I31" s="565"/>
      <c r="J31" s="670"/>
      <c r="K31" s="277" t="s">
        <v>1875</v>
      </c>
      <c r="L31" s="728"/>
    </row>
    <row customHeight="1" ht="56.25" hidden="1">
      <c r="A32" s="2346"/>
      <c r="D32" s="966" t="s">
        <v>91</v>
      </c>
      <c r="E32" s="267" t="s">
        <v>1876</v>
      </c>
      <c r="F32" s="547" t="s">
        <v>1626</v>
      </c>
      <c r="G32" s="565"/>
      <c r="H32" s="670"/>
      <c r="I32" s="565"/>
      <c r="J32" s="670"/>
      <c r="K32" s="277" t="s">
        <v>1877</v>
      </c>
      <c r="L32" s="728"/>
    </row>
    <row customHeight="1" ht="11.25" hidden="1">
      <c r="A33" s="2346"/>
      <c r="E33" s="672"/>
      <c r="F33" s="167"/>
      <c r="G33" s="167"/>
      <c r="H33" s="167"/>
      <c r="I33" s="167"/>
      <c r="J33" s="167"/>
      <c r="K33" s="167"/>
    </row>
    <row customHeight="1" ht="12.75" hidden="1">
      <c r="A34" s="2346"/>
      <c r="D34" s="49">
        <v>1</v>
      </c>
      <c r="E34" s="331" t="s">
        <v>1878</v>
      </c>
    </row>
    <row customHeight="1" ht="11.25" hidden="1">
      <c r="A35" s="2346"/>
      <c r="D35" s="369"/>
      <c r="E35" s="331" t="s">
        <v>1879</v>
      </c>
    </row>
    <row s="2603" customFormat="1" customHeight="1" ht="11.25">
      <c r="A36" s="1046"/>
      <c r="B36" s="526"/>
      <c r="D36" s="1047"/>
      <c r="E36" s="1048"/>
    </row>
    <row s="2599" customFormat="1" customHeight="1" ht="22.5">
      <c r="A37" s="2346" t="s">
        <v>983</v>
      </c>
      <c r="B37" s="519"/>
      <c r="D37" s="966">
        <v>1</v>
      </c>
      <c r="E37" s="715" t="s">
        <v>1880</v>
      </c>
      <c r="F37" s="668" t="s">
        <v>1614</v>
      </c>
      <c r="G37" s="565"/>
      <c r="H37" s="527"/>
      <c r="I37" s="565">
        <v>0</v>
      </c>
      <c r="J37" s="527"/>
      <c r="K37" s="277" t="s">
        <v>1881</v>
      </c>
    </row>
    <row s="2599" customFormat="1" customHeight="1" ht="22.5">
      <c r="A38" s="2346"/>
      <c r="B38" s="519"/>
      <c r="D38" s="677" t="s">
        <v>110</v>
      </c>
      <c r="E38" s="1045" t="s">
        <v>1882</v>
      </c>
      <c r="F38" s="1049" t="s">
        <v>425</v>
      </c>
      <c r="G38" s="1049" t="s">
        <v>425</v>
      </c>
      <c r="H38" s="1043"/>
      <c r="I38" s="1049" t="s">
        <v>425</v>
      </c>
      <c r="J38" s="1043"/>
      <c r="K38" s="1044"/>
    </row>
    <row s="2599" customFormat="1" customHeight="1" ht="33.75">
      <c r="A39" s="2346"/>
      <c r="B39" s="519"/>
      <c r="D39" s="673" t="s">
        <v>453</v>
      </c>
      <c r="E39" s="732" t="s">
        <v>1883</v>
      </c>
      <c r="F39" s="668" t="s">
        <v>1884</v>
      </c>
      <c r="G39" s="676"/>
      <c r="H39" s="1036"/>
      <c r="I39" s="676">
        <v>0</v>
      </c>
      <c r="J39" s="1036"/>
      <c r="K39" s="277" t="s">
        <v>1885</v>
      </c>
    </row>
    <row s="2599" customFormat="1" customHeight="1" ht="33.75">
      <c r="A40" s="2346"/>
      <c r="B40" s="519"/>
      <c r="D40" s="673" t="s">
        <v>1777</v>
      </c>
      <c r="E40" s="732" t="s">
        <v>1886</v>
      </c>
      <c r="F40" s="1040" t="s">
        <v>1887</v>
      </c>
      <c r="G40" s="750"/>
      <c r="H40" s="1036"/>
      <c r="I40" s="750">
        <v>0</v>
      </c>
      <c r="J40" s="1036"/>
      <c r="K40" s="277" t="s">
        <v>1888</v>
      </c>
    </row>
    <row s="2599" customFormat="1" customHeight="1" ht="22.5">
      <c r="A41" s="2346"/>
      <c r="B41" s="519"/>
      <c r="D41" s="673" t="s">
        <v>89</v>
      </c>
      <c r="E41" s="731" t="s">
        <v>1889</v>
      </c>
      <c r="F41" s="668" t="s">
        <v>425</v>
      </c>
      <c r="G41" s="668" t="s">
        <v>425</v>
      </c>
      <c r="H41" s="1037"/>
      <c r="I41" s="668" t="s">
        <v>425</v>
      </c>
      <c r="J41" s="1037"/>
      <c r="K41" s="290"/>
    </row>
    <row s="2599" customFormat="1" customHeight="1" ht="45">
      <c r="A42" s="2346"/>
      <c r="B42" s="519"/>
      <c r="D42" s="673" t="s">
        <v>313</v>
      </c>
      <c r="E42" s="732" t="s">
        <v>1890</v>
      </c>
      <c r="F42" s="668" t="s">
        <v>1630</v>
      </c>
      <c r="G42" s="565"/>
      <c r="H42" s="1037"/>
      <c r="I42" s="565">
        <v>0</v>
      </c>
      <c r="J42" s="1037"/>
      <c r="K42" s="290" t="s">
        <v>1891</v>
      </c>
    </row>
    <row s="2599" customFormat="1" customHeight="1" ht="45">
      <c r="A43" s="2346"/>
      <c r="B43" s="519"/>
      <c r="D43" s="673" t="s">
        <v>321</v>
      </c>
      <c r="E43" s="675" t="s">
        <v>1892</v>
      </c>
      <c r="F43" s="1041" t="s">
        <v>1630</v>
      </c>
      <c r="G43" s="751"/>
      <c r="H43" s="1036"/>
      <c r="I43" s="751">
        <v>0</v>
      </c>
      <c r="J43" s="1036"/>
      <c r="K43" s="290" t="s">
        <v>1893</v>
      </c>
    </row>
    <row s="2599" customFormat="1" customHeight="1" ht="11.25">
      <c r="A44" s="2346"/>
      <c r="B44" s="519"/>
      <c r="D44" s="673" t="s">
        <v>90</v>
      </c>
      <c r="E44" s="674" t="s">
        <v>1894</v>
      </c>
      <c r="F44" s="668" t="s">
        <v>1884</v>
      </c>
      <c r="G44" s="676"/>
      <c r="H44" s="1036"/>
      <c r="I44" s="676">
        <v>12</v>
      </c>
      <c r="J44" s="1036"/>
      <c r="K44" s="277"/>
    </row>
    <row s="2599" customFormat="1" customHeight="1" ht="11.25">
      <c r="A45" s="2346"/>
      <c r="B45" s="519"/>
      <c r="D45" s="673" t="s">
        <v>1462</v>
      </c>
      <c r="E45" s="675" t="s">
        <v>1895</v>
      </c>
      <c r="F45" s="668" t="s">
        <v>1884</v>
      </c>
      <c r="G45" s="676"/>
      <c r="H45" s="1036"/>
      <c r="I45" s="676">
        <v>12</v>
      </c>
      <c r="J45" s="1036"/>
      <c r="K45" s="277"/>
    </row>
    <row s="2599" customFormat="1" customHeight="1" ht="11.25">
      <c r="A46" s="2346"/>
      <c r="B46" s="519"/>
      <c r="D46" s="673" t="s">
        <v>1479</v>
      </c>
      <c r="E46" s="675" t="s">
        <v>1896</v>
      </c>
      <c r="F46" s="668" t="s">
        <v>1884</v>
      </c>
      <c r="G46" s="676"/>
      <c r="H46" s="1036"/>
      <c r="I46" s="676">
        <v>12</v>
      </c>
      <c r="J46" s="1036"/>
      <c r="K46" s="277"/>
    </row>
    <row s="2599" customFormat="1" customHeight="1" ht="11.25">
      <c r="A47" s="2346"/>
      <c r="B47" s="519"/>
      <c r="D47" s="673" t="s">
        <v>1627</v>
      </c>
      <c r="E47" s="675" t="s">
        <v>1897</v>
      </c>
      <c r="F47" s="668" t="s">
        <v>1884</v>
      </c>
      <c r="G47" s="676"/>
      <c r="H47" s="1036"/>
      <c r="I47" s="676">
        <v>12</v>
      </c>
      <c r="J47" s="1036"/>
      <c r="K47" s="277"/>
    </row>
    <row s="2599" customFormat="1" customHeight="1" ht="11.25">
      <c r="A48" s="2346"/>
      <c r="B48" s="519"/>
      <c r="D48" s="673" t="s">
        <v>1898</v>
      </c>
      <c r="E48" s="679" t="s">
        <v>1899</v>
      </c>
      <c r="F48" s="668" t="s">
        <v>1884</v>
      </c>
      <c r="G48" s="676"/>
      <c r="H48" s="1036"/>
      <c r="I48" s="676">
        <v>0</v>
      </c>
      <c r="J48" s="1036"/>
      <c r="K48" s="277"/>
    </row>
    <row s="2599" customFormat="1" customHeight="1" ht="11.25">
      <c r="A49" s="2346"/>
      <c r="B49" s="519"/>
      <c r="D49" s="673" t="s">
        <v>1900</v>
      </c>
      <c r="E49" s="679" t="s">
        <v>1901</v>
      </c>
      <c r="F49" s="668" t="s">
        <v>1884</v>
      </c>
      <c r="G49" s="676"/>
      <c r="H49" s="1036"/>
      <c r="I49" s="676">
        <v>12</v>
      </c>
      <c r="J49" s="1036"/>
      <c r="K49" s="277"/>
    </row>
    <row s="2599" customFormat="1" customHeight="1" ht="11.25">
      <c r="A50" s="2346"/>
      <c r="B50" s="519"/>
      <c r="D50" s="673" t="s">
        <v>1902</v>
      </c>
      <c r="E50" s="675" t="s">
        <v>1903</v>
      </c>
      <c r="F50" s="668" t="s">
        <v>1884</v>
      </c>
      <c r="G50" s="676"/>
      <c r="H50" s="1036"/>
      <c r="I50" s="676">
        <v>12</v>
      </c>
      <c r="J50" s="1036"/>
      <c r="K50" s="277"/>
    </row>
    <row s="2599" customFormat="1" customHeight="1" ht="11.25">
      <c r="A51" s="2346"/>
      <c r="B51" s="519"/>
      <c r="D51" s="673" t="s">
        <v>1904</v>
      </c>
      <c r="E51" s="675" t="s">
        <v>1905</v>
      </c>
      <c r="F51" s="668" t="s">
        <v>1884</v>
      </c>
      <c r="G51" s="676"/>
      <c r="H51" s="1036"/>
      <c r="I51" s="676">
        <v>12</v>
      </c>
      <c r="J51" s="1036"/>
      <c r="K51" s="277"/>
    </row>
    <row s="2599" customFormat="1" customHeight="1" ht="45">
      <c r="A52" s="2346"/>
      <c r="B52" s="519"/>
      <c r="D52" s="673" t="s">
        <v>111</v>
      </c>
      <c r="E52" s="674" t="s">
        <v>1906</v>
      </c>
      <c r="F52" s="668" t="s">
        <v>1884</v>
      </c>
      <c r="G52" s="676"/>
      <c r="H52" s="1036"/>
      <c r="I52" s="676">
        <v>0</v>
      </c>
      <c r="J52" s="1036"/>
      <c r="K52" s="277"/>
    </row>
    <row s="2599" customFormat="1" customHeight="1" ht="11.25">
      <c r="A53" s="2346"/>
      <c r="B53" s="519"/>
      <c r="D53" s="673" t="s">
        <v>302</v>
      </c>
      <c r="E53" s="675" t="s">
        <v>1895</v>
      </c>
      <c r="F53" s="668" t="s">
        <v>1884</v>
      </c>
      <c r="G53" s="676"/>
      <c r="H53" s="1036"/>
      <c r="I53" s="676">
        <v>0</v>
      </c>
      <c r="J53" s="1036"/>
      <c r="K53" s="277"/>
    </row>
    <row s="2599" customFormat="1" customHeight="1" ht="11.25">
      <c r="A54" s="2346"/>
      <c r="B54" s="519"/>
      <c r="D54" s="673" t="s">
        <v>304</v>
      </c>
      <c r="E54" s="675" t="s">
        <v>1896</v>
      </c>
      <c r="F54" s="668" t="s">
        <v>1884</v>
      </c>
      <c r="G54" s="676"/>
      <c r="H54" s="1036"/>
      <c r="I54" s="676">
        <v>0</v>
      </c>
      <c r="J54" s="1036"/>
      <c r="K54" s="277"/>
    </row>
    <row s="2599" customFormat="1" customHeight="1" ht="11.25">
      <c r="A55" s="2346"/>
      <c r="B55" s="519"/>
      <c r="D55" s="673" t="s">
        <v>307</v>
      </c>
      <c r="E55" s="675" t="s">
        <v>1897</v>
      </c>
      <c r="F55" s="668" t="s">
        <v>1884</v>
      </c>
      <c r="G55" s="676"/>
      <c r="H55" s="1036"/>
      <c r="I55" s="676">
        <v>0</v>
      </c>
      <c r="J55" s="1036"/>
      <c r="K55" s="277"/>
    </row>
    <row s="2599" customFormat="1" customHeight="1" ht="11.25">
      <c r="A56" s="2346"/>
      <c r="B56" s="519"/>
      <c r="D56" s="673" t="s">
        <v>1607</v>
      </c>
      <c r="E56" s="679" t="s">
        <v>1899</v>
      </c>
      <c r="F56" s="668" t="s">
        <v>1884</v>
      </c>
      <c r="G56" s="676"/>
      <c r="H56" s="1036"/>
      <c r="I56" s="676">
        <v>0</v>
      </c>
      <c r="J56" s="1036"/>
      <c r="K56" s="277"/>
    </row>
    <row s="2599" customFormat="1" customHeight="1" ht="11.25">
      <c r="A57" s="2346"/>
      <c r="B57" s="519"/>
      <c r="D57" s="673" t="s">
        <v>1907</v>
      </c>
      <c r="E57" s="679" t="s">
        <v>1901</v>
      </c>
      <c r="F57" s="668" t="s">
        <v>1884</v>
      </c>
      <c r="G57" s="676"/>
      <c r="H57" s="1036"/>
      <c r="I57" s="676">
        <v>0</v>
      </c>
      <c r="J57" s="1036"/>
      <c r="K57" s="277"/>
    </row>
    <row s="2599" customFormat="1" customHeight="1" ht="11.25">
      <c r="A58" s="2346"/>
      <c r="B58" s="519"/>
      <c r="D58" s="673" t="s">
        <v>309</v>
      </c>
      <c r="E58" s="675" t="s">
        <v>1903</v>
      </c>
      <c r="F58" s="668" t="s">
        <v>1884</v>
      </c>
      <c r="G58" s="676"/>
      <c r="H58" s="1036"/>
      <c r="I58" s="676">
        <v>0</v>
      </c>
      <c r="J58" s="1036"/>
      <c r="K58" s="277"/>
    </row>
    <row s="2599" customFormat="1" customHeight="1" ht="11.25">
      <c r="A59" s="2346"/>
      <c r="B59" s="519"/>
      <c r="D59" s="673" t="s">
        <v>1908</v>
      </c>
      <c r="E59" s="675" t="s">
        <v>1905</v>
      </c>
      <c r="F59" s="668" t="s">
        <v>1884</v>
      </c>
      <c r="G59" s="676"/>
      <c r="H59" s="1036"/>
      <c r="I59" s="676">
        <v>0</v>
      </c>
      <c r="J59" s="1036"/>
      <c r="K59" s="277"/>
    </row>
    <row s="2599" customFormat="1" customHeight="1" ht="33.75">
      <c r="A60" s="2346"/>
      <c r="B60" s="519"/>
      <c r="D60" s="673" t="s">
        <v>91</v>
      </c>
      <c r="E60" s="674" t="s">
        <v>1909</v>
      </c>
      <c r="F60" s="730" t="s">
        <v>1630</v>
      </c>
      <c r="G60" s="751"/>
      <c r="H60" s="1036"/>
      <c r="I60" s="751">
        <v>100</v>
      </c>
      <c r="J60" s="1036"/>
      <c r="K60" s="290" t="s">
        <v>1910</v>
      </c>
    </row>
    <row s="2599" customFormat="1" customHeight="1" ht="33.75">
      <c r="A61" s="2346"/>
      <c r="B61" s="519"/>
      <c r="D61" s="673" t="s">
        <v>92</v>
      </c>
      <c r="E61" s="674" t="s">
        <v>1911</v>
      </c>
      <c r="F61" s="735" t="s">
        <v>1626</v>
      </c>
      <c r="G61" s="676"/>
      <c r="H61" s="1036"/>
      <c r="I61" s="676">
        <v>0</v>
      </c>
      <c r="J61" s="1036"/>
      <c r="K61" s="277"/>
    </row>
    <row s="2599" customFormat="1" customHeight="1" ht="22.5">
      <c r="A62" s="2346"/>
      <c r="B62" s="519" t="s">
        <v>1745</v>
      </c>
      <c r="D62" s="673" t="s">
        <v>112</v>
      </c>
      <c r="E62" s="674" t="s">
        <v>1912</v>
      </c>
      <c r="F62" s="735" t="s">
        <v>293</v>
      </c>
      <c r="G62" s="388"/>
      <c r="H62" s="1036"/>
      <c r="I62" s="388" t="s">
        <v>1913</v>
      </c>
      <c r="J62" s="1036"/>
      <c r="K62" s="277" t="s">
        <v>1557</v>
      </c>
    </row>
    <row s="2599" customFormat="1" customHeight="1" ht="45">
      <c r="A63" s="2346"/>
      <c r="B63" s="519" t="s">
        <v>1745</v>
      </c>
      <c r="D63" s="673" t="s">
        <v>1914</v>
      </c>
      <c r="E63" s="675" t="s">
        <v>1915</v>
      </c>
      <c r="F63" s="730" t="s">
        <v>293</v>
      </c>
      <c r="G63" s="388"/>
      <c r="H63" s="1036"/>
      <c r="I63" s="388" t="s">
        <v>1913</v>
      </c>
      <c r="J63" s="1036"/>
      <c r="K63" s="277" t="s">
        <v>1557</v>
      </c>
    </row>
    <row s="2603" customFormat="1" customHeight="1" ht="11.25">
      <c r="A64" s="1046"/>
      <c r="B64" s="526"/>
      <c r="D64" s="1047"/>
      <c r="E64" s="1048"/>
    </row>
    <row s="2599" customFormat="1" customHeight="1" ht="22.5" hidden="1">
      <c r="A65" s="2346" t="s">
        <v>1006</v>
      </c>
      <c r="B65" s="519"/>
      <c r="D65" s="673">
        <v>1</v>
      </c>
      <c r="E65" s="753" t="s">
        <v>1916</v>
      </c>
      <c r="F65" s="749" t="s">
        <v>1614</v>
      </c>
      <c r="G65" s="750"/>
      <c r="H65" s="1042"/>
      <c r="I65" s="750"/>
      <c r="J65" s="1042"/>
      <c r="K65" s="289" t="s">
        <v>1917</v>
      </c>
    </row>
    <row s="2599" customFormat="1" customHeight="1" ht="56.25" hidden="1">
      <c r="A66" s="2346"/>
      <c r="B66" s="519"/>
      <c r="D66" s="752" t="s">
        <v>110</v>
      </c>
      <c r="E66" s="715" t="s">
        <v>1918</v>
      </c>
      <c r="F66" s="668" t="s">
        <v>425</v>
      </c>
      <c r="G66" s="668" t="s">
        <v>425</v>
      </c>
      <c r="H66" s="527"/>
      <c r="I66" s="668" t="s">
        <v>425</v>
      </c>
      <c r="J66" s="527"/>
      <c r="K66" s="277"/>
    </row>
    <row s="2599" customFormat="1" customHeight="1" ht="33.75" hidden="1">
      <c r="A67" s="2346"/>
      <c r="B67" s="519"/>
      <c r="D67" s="752" t="s">
        <v>451</v>
      </c>
      <c r="E67" s="967" t="s">
        <v>1919</v>
      </c>
      <c r="F67" s="668" t="s">
        <v>1887</v>
      </c>
      <c r="G67" s="736"/>
      <c r="H67" s="527"/>
      <c r="I67" s="736"/>
      <c r="J67" s="527"/>
      <c r="K67" s="277"/>
    </row>
    <row s="2599" customFormat="1" customHeight="1" ht="22.5" hidden="1">
      <c r="A68" s="2346"/>
      <c r="B68" s="519"/>
      <c r="D68" s="752" t="s">
        <v>294</v>
      </c>
      <c r="E68" s="967" t="s">
        <v>1920</v>
      </c>
      <c r="F68" s="668" t="s">
        <v>1887</v>
      </c>
      <c r="G68" s="736"/>
      <c r="H68" s="527"/>
      <c r="I68" s="736"/>
      <c r="J68" s="527"/>
      <c r="K68" s="277"/>
    </row>
    <row s="2599" customFormat="1" customHeight="1" ht="22.5" hidden="1">
      <c r="A69" s="2346"/>
      <c r="B69" s="519"/>
      <c r="D69" s="752" t="s">
        <v>297</v>
      </c>
      <c r="E69" s="967" t="s">
        <v>1921</v>
      </c>
      <c r="F69" s="730" t="s">
        <v>1630</v>
      </c>
      <c r="G69" s="751"/>
      <c r="H69" s="527"/>
      <c r="I69" s="751"/>
      <c r="J69" s="527"/>
      <c r="K69" s="277"/>
    </row>
    <row s="2599" customFormat="1" customHeight="1" ht="22.5" hidden="1">
      <c r="A70" s="2346"/>
      <c r="B70" s="519"/>
      <c r="D70" s="752" t="s">
        <v>1363</v>
      </c>
      <c r="E70" s="967" t="s">
        <v>1922</v>
      </c>
      <c r="F70" s="730" t="s">
        <v>1630</v>
      </c>
      <c r="G70" s="751"/>
      <c r="H70" s="527"/>
      <c r="I70" s="751"/>
      <c r="J70" s="527"/>
      <c r="K70" s="277"/>
    </row>
    <row s="2599" customFormat="1" customHeight="1" ht="22.5" hidden="1">
      <c r="A71" s="2346"/>
      <c r="B71" s="519"/>
      <c r="D71" s="673" t="s">
        <v>89</v>
      </c>
      <c r="E71" s="674" t="s">
        <v>1923</v>
      </c>
      <c r="F71" s="668" t="s">
        <v>1887</v>
      </c>
      <c r="G71" s="565"/>
      <c r="H71" s="1043"/>
      <c r="I71" s="565"/>
      <c r="J71" s="1043"/>
      <c r="K71" s="290"/>
    </row>
    <row s="2599" customFormat="1" customHeight="1" ht="56.25" hidden="1">
      <c r="A72" s="2346"/>
      <c r="B72" s="519"/>
      <c r="D72" s="673" t="s">
        <v>90</v>
      </c>
      <c r="E72" s="674" t="s">
        <v>1924</v>
      </c>
      <c r="F72" s="730" t="s">
        <v>1630</v>
      </c>
      <c r="G72" s="751"/>
      <c r="H72" s="1036"/>
      <c r="I72" s="751"/>
      <c r="J72" s="1036"/>
      <c r="K72" s="290"/>
    </row>
    <row s="2599" customFormat="1" customHeight="1" ht="33.75" hidden="1">
      <c r="A73" s="2346"/>
      <c r="B73" s="519"/>
      <c r="D73" s="673" t="s">
        <v>111</v>
      </c>
      <c r="E73" s="674" t="s">
        <v>1925</v>
      </c>
      <c r="F73" s="735" t="s">
        <v>1626</v>
      </c>
      <c r="G73" s="676"/>
      <c r="H73" s="1036"/>
      <c r="I73" s="676"/>
      <c r="J73" s="1036"/>
      <c r="K73" s="277"/>
    </row>
    <row s="2599" customFormat="1" customHeight="1" ht="22.5" hidden="1">
      <c r="A74" s="2346"/>
      <c r="B74" s="519" t="s">
        <v>1745</v>
      </c>
      <c r="D74" s="673" t="s">
        <v>91</v>
      </c>
      <c r="E74" s="674" t="s">
        <v>1926</v>
      </c>
      <c r="F74" s="735" t="s">
        <v>293</v>
      </c>
      <c r="G74" s="388"/>
      <c r="H74" s="1036"/>
      <c r="I74" s="388"/>
      <c r="J74" s="1036"/>
      <c r="K74" s="277" t="s">
        <v>1557</v>
      </c>
    </row>
    <row s="2599" customFormat="1" customHeight="1" ht="45" hidden="1">
      <c r="A75" s="2346"/>
      <c r="B75" s="519" t="s">
        <v>1745</v>
      </c>
      <c r="D75" s="673" t="s">
        <v>1367</v>
      </c>
      <c r="E75" s="675" t="s">
        <v>1927</v>
      </c>
      <c r="F75" s="730" t="s">
        <v>293</v>
      </c>
      <c r="G75" s="388"/>
      <c r="H75" s="1036"/>
      <c r="I75" s="388"/>
      <c r="J75" s="1036"/>
      <c r="K75" s="277" t="s">
        <v>1557</v>
      </c>
    </row>
    <row s="2603" customFormat="1" customHeight="1" ht="11.25">
      <c r="A76" s="1046"/>
      <c r="B76" s="526"/>
      <c r="D76" s="1047"/>
      <c r="E76" s="1048"/>
    </row>
    <row s="2599" customFormat="1" customHeight="1" ht="11.25" hidden="1">
      <c r="A77" s="2346" t="s">
        <v>594</v>
      </c>
      <c r="B77" s="519"/>
      <c r="D77" s="673">
        <v>1</v>
      </c>
      <c r="E77" s="674" t="s">
        <v>1928</v>
      </c>
      <c r="F77" s="730" t="s">
        <v>1614</v>
      </c>
      <c r="G77" s="733"/>
      <c r="H77" s="1036"/>
      <c r="I77" s="733"/>
      <c r="J77" s="1036"/>
      <c r="K77" s="277" t="s">
        <v>1929</v>
      </c>
    </row>
    <row s="2599" customFormat="1" customHeight="1" ht="11.25" hidden="1">
      <c r="A78" s="2346"/>
      <c r="B78" s="519"/>
      <c r="D78" s="673" t="s">
        <v>110</v>
      </c>
      <c r="E78" s="674" t="s">
        <v>1930</v>
      </c>
      <c r="F78" s="730" t="s">
        <v>1614</v>
      </c>
      <c r="G78" s="733"/>
      <c r="H78" s="1036"/>
      <c r="I78" s="733"/>
      <c r="J78" s="1036"/>
      <c r="K78" s="277" t="s">
        <v>1931</v>
      </c>
    </row>
    <row s="2599" customFormat="1" customHeight="1" ht="22.5" hidden="1">
      <c r="A79" s="2346"/>
      <c r="B79" s="519"/>
      <c r="D79" s="673" t="s">
        <v>89</v>
      </c>
      <c r="E79" s="731" t="s">
        <v>1932</v>
      </c>
      <c r="F79" s="668" t="s">
        <v>1884</v>
      </c>
      <c r="G79" s="733"/>
      <c r="H79" s="1036"/>
      <c r="I79" s="733"/>
      <c r="J79" s="1036"/>
      <c r="K79" s="277" t="s">
        <v>1933</v>
      </c>
    </row>
    <row s="2599" customFormat="1" customHeight="1" ht="11.25" hidden="1">
      <c r="A80" s="2346"/>
      <c r="B80" s="519"/>
      <c r="D80" s="673" t="s">
        <v>313</v>
      </c>
      <c r="E80" s="732" t="s">
        <v>1934</v>
      </c>
      <c r="F80" s="668" t="s">
        <v>1884</v>
      </c>
      <c r="G80" s="733"/>
      <c r="H80" s="1036"/>
      <c r="I80" s="733"/>
      <c r="J80" s="1036"/>
      <c r="K80" s="277"/>
    </row>
    <row s="2599" customFormat="1" customHeight="1" ht="11.25" hidden="1">
      <c r="A81" s="2346"/>
      <c r="B81" s="519"/>
      <c r="D81" s="673" t="s">
        <v>321</v>
      </c>
      <c r="E81" s="732" t="s">
        <v>1935</v>
      </c>
      <c r="F81" s="668" t="s">
        <v>1884</v>
      </c>
      <c r="G81" s="733"/>
      <c r="H81" s="1036"/>
      <c r="I81" s="733"/>
      <c r="J81" s="1036"/>
      <c r="K81" s="277"/>
    </row>
    <row s="2599" customFormat="1" customHeight="1" ht="11.25" hidden="1">
      <c r="A82" s="2346"/>
      <c r="B82" s="519"/>
      <c r="D82" s="673" t="s">
        <v>323</v>
      </c>
      <c r="E82" s="732" t="s">
        <v>1936</v>
      </c>
      <c r="F82" s="668" t="s">
        <v>1884</v>
      </c>
      <c r="G82" s="733"/>
      <c r="H82" s="1036"/>
      <c r="I82" s="733"/>
      <c r="J82" s="1036"/>
      <c r="K82" s="277"/>
    </row>
    <row s="2599" customFormat="1" customHeight="1" ht="11.25" hidden="1">
      <c r="A83" s="2346"/>
      <c r="B83" s="519"/>
      <c r="D83" s="673" t="s">
        <v>325</v>
      </c>
      <c r="E83" s="732" t="s">
        <v>1937</v>
      </c>
      <c r="F83" s="668" t="s">
        <v>1884</v>
      </c>
      <c r="G83" s="733"/>
      <c r="H83" s="1036"/>
      <c r="I83" s="733"/>
      <c r="J83" s="1036"/>
      <c r="K83" s="277"/>
    </row>
    <row s="2599" customFormat="1" customHeight="1" ht="11.25" hidden="1">
      <c r="A84" s="2346"/>
      <c r="B84" s="519"/>
      <c r="D84" s="673" t="s">
        <v>1938</v>
      </c>
      <c r="E84" s="732" t="s">
        <v>1939</v>
      </c>
      <c r="F84" s="668" t="s">
        <v>1884</v>
      </c>
      <c r="G84" s="733"/>
      <c r="H84" s="1036"/>
      <c r="I84" s="733"/>
      <c r="J84" s="1036"/>
      <c r="K84" s="277"/>
    </row>
    <row s="2599" customFormat="1" customHeight="1" ht="11.25" hidden="1">
      <c r="A85" s="2346"/>
      <c r="B85" s="519"/>
      <c r="D85" s="673" t="s">
        <v>1940</v>
      </c>
      <c r="E85" s="732" t="s">
        <v>1941</v>
      </c>
      <c r="F85" s="668" t="s">
        <v>1884</v>
      </c>
      <c r="G85" s="733"/>
      <c r="H85" s="1036"/>
      <c r="I85" s="733"/>
      <c r="J85" s="1036"/>
      <c r="K85" s="277"/>
    </row>
    <row s="2599" customFormat="1" customHeight="1" ht="11.25" hidden="1">
      <c r="A86" s="2346"/>
      <c r="B86" s="519"/>
      <c r="D86" s="673" t="s">
        <v>1942</v>
      </c>
      <c r="E86" s="732" t="s">
        <v>1943</v>
      </c>
      <c r="F86" s="668" t="s">
        <v>1884</v>
      </c>
      <c r="G86" s="733"/>
      <c r="H86" s="1036"/>
      <c r="I86" s="733"/>
      <c r="J86" s="1036"/>
      <c r="K86" s="277"/>
    </row>
    <row s="2599" customFormat="1" customHeight="1" ht="45" hidden="1">
      <c r="A87" s="2346"/>
      <c r="B87" s="519"/>
      <c r="D87" s="673" t="s">
        <v>90</v>
      </c>
      <c r="E87" s="674" t="s">
        <v>1944</v>
      </c>
      <c r="F87" s="668" t="s">
        <v>1884</v>
      </c>
      <c r="G87" s="733"/>
      <c r="H87" s="1036"/>
      <c r="I87" s="733"/>
      <c r="J87" s="1036"/>
      <c r="K87" s="277" t="s">
        <v>1945</v>
      </c>
    </row>
    <row s="2599" customFormat="1" customHeight="1" ht="11.25" hidden="1">
      <c r="A88" s="2346"/>
      <c r="B88" s="519"/>
      <c r="D88" s="673" t="s">
        <v>1462</v>
      </c>
      <c r="E88" s="732" t="s">
        <v>1934</v>
      </c>
      <c r="F88" s="668" t="s">
        <v>1884</v>
      </c>
      <c r="G88" s="733"/>
      <c r="H88" s="1036"/>
      <c r="I88" s="733"/>
      <c r="J88" s="1036"/>
      <c r="K88" s="277"/>
    </row>
    <row s="2599" customFormat="1" customHeight="1" ht="11.25" hidden="1">
      <c r="A89" s="2346"/>
      <c r="B89" s="519"/>
      <c r="D89" s="673" t="s">
        <v>1479</v>
      </c>
      <c r="E89" s="732" t="s">
        <v>1935</v>
      </c>
      <c r="F89" s="668" t="s">
        <v>1884</v>
      </c>
      <c r="G89" s="733"/>
      <c r="H89" s="1036"/>
      <c r="I89" s="733"/>
      <c r="J89" s="1036"/>
      <c r="K89" s="277"/>
    </row>
    <row s="2599" customFormat="1" customHeight="1" ht="11.25" hidden="1">
      <c r="A90" s="2346"/>
      <c r="B90" s="519"/>
      <c r="D90" s="673" t="s">
        <v>1627</v>
      </c>
      <c r="E90" s="732" t="s">
        <v>1936</v>
      </c>
      <c r="F90" s="668" t="s">
        <v>1884</v>
      </c>
      <c r="G90" s="733"/>
      <c r="H90" s="1036"/>
      <c r="I90" s="733"/>
      <c r="J90" s="1036"/>
      <c r="K90" s="277"/>
    </row>
    <row s="2599" customFormat="1" customHeight="1" ht="11.25" hidden="1">
      <c r="A91" s="2346"/>
      <c r="B91" s="519"/>
      <c r="D91" s="673" t="s">
        <v>1902</v>
      </c>
      <c r="E91" s="732" t="s">
        <v>1937</v>
      </c>
      <c r="F91" s="668" t="s">
        <v>1884</v>
      </c>
      <c r="G91" s="733"/>
      <c r="H91" s="1036"/>
      <c r="I91" s="733"/>
      <c r="J91" s="1036"/>
      <c r="K91" s="277"/>
    </row>
    <row s="2599" customFormat="1" customHeight="1" ht="11.25" hidden="1">
      <c r="A92" s="2346"/>
      <c r="B92" s="519"/>
      <c r="D92" s="673" t="s">
        <v>1904</v>
      </c>
      <c r="E92" s="732" t="s">
        <v>1939</v>
      </c>
      <c r="F92" s="668" t="s">
        <v>1884</v>
      </c>
      <c r="G92" s="733"/>
      <c r="H92" s="1036"/>
      <c r="I92" s="733"/>
      <c r="J92" s="1036"/>
      <c r="K92" s="277"/>
    </row>
    <row s="2599" customFormat="1" customHeight="1" ht="11.25" hidden="1">
      <c r="A93" s="2346"/>
      <c r="B93" s="519"/>
      <c r="D93" s="673" t="s">
        <v>1946</v>
      </c>
      <c r="E93" s="732" t="s">
        <v>1941</v>
      </c>
      <c r="F93" s="668" t="s">
        <v>1884</v>
      </c>
      <c r="G93" s="733"/>
      <c r="H93" s="1036"/>
      <c r="I93" s="733"/>
      <c r="J93" s="1036"/>
      <c r="K93" s="277"/>
    </row>
    <row s="2599" customFormat="1" customHeight="1" ht="11.25" hidden="1">
      <c r="A94" s="2346"/>
      <c r="B94" s="519"/>
      <c r="D94" s="673" t="s">
        <v>1947</v>
      </c>
      <c r="E94" s="732" t="s">
        <v>1943</v>
      </c>
      <c r="F94" s="668" t="s">
        <v>1884</v>
      </c>
      <c r="G94" s="733"/>
      <c r="H94" s="1036"/>
      <c r="I94" s="733"/>
      <c r="J94" s="1036"/>
      <c r="K94" s="277"/>
    </row>
    <row s="2599" customFormat="1" customHeight="1" ht="24.75" hidden="1">
      <c r="A95" s="2346"/>
      <c r="B95" s="519"/>
      <c r="D95" s="673" t="s">
        <v>111</v>
      </c>
      <c r="E95" s="674" t="s">
        <v>1948</v>
      </c>
      <c r="F95" s="734" t="s">
        <v>1630</v>
      </c>
      <c r="G95" s="736"/>
      <c r="H95" s="1036"/>
      <c r="I95" s="736"/>
      <c r="J95" s="1036"/>
      <c r="K95" s="277" t="s">
        <v>1949</v>
      </c>
    </row>
    <row s="2599" customFormat="1" customHeight="1" ht="33.75" hidden="1">
      <c r="A96" s="2346"/>
      <c r="B96" s="519"/>
      <c r="D96" s="673" t="s">
        <v>91</v>
      </c>
      <c r="E96" s="674" t="s">
        <v>1950</v>
      </c>
      <c r="F96" s="735" t="s">
        <v>1626</v>
      </c>
      <c r="G96" s="737"/>
      <c r="H96" s="1036"/>
      <c r="I96" s="737"/>
      <c r="J96" s="1036"/>
      <c r="K96" s="277"/>
    </row>
    <row s="2599" customFormat="1" customHeight="1" ht="22.5" hidden="1">
      <c r="A97" s="2346"/>
      <c r="B97" s="519" t="s">
        <v>1745</v>
      </c>
      <c r="D97" s="673" t="s">
        <v>92</v>
      </c>
      <c r="E97" s="674" t="s">
        <v>1951</v>
      </c>
      <c r="F97" s="735" t="s">
        <v>293</v>
      </c>
      <c r="G97" s="391"/>
      <c r="H97" s="1036"/>
      <c r="I97" s="391"/>
      <c r="J97" s="1036"/>
      <c r="K97" s="277" t="s">
        <v>1557</v>
      </c>
    </row>
    <row s="2599" customFormat="1" customHeight="1" ht="45" hidden="1">
      <c r="A98" s="2346"/>
      <c r="B98" s="519" t="s">
        <v>1745</v>
      </c>
      <c r="D98" s="673" t="s">
        <v>1952</v>
      </c>
      <c r="E98" s="675" t="s">
        <v>1953</v>
      </c>
      <c r="F98" s="730" t="s">
        <v>293</v>
      </c>
      <c r="G98" s="391"/>
      <c r="H98" s="1036"/>
      <c r="I98" s="391"/>
      <c r="J98" s="1036"/>
      <c r="K98" s="277" t="s">
        <v>1557</v>
      </c>
    </row>
    <row s="2599" customFormat="1" customHeight="1" ht="95.25" hidden="1">
      <c r="A99" s="2346"/>
      <c r="B99" s="519" t="s">
        <v>1745</v>
      </c>
      <c r="D99" s="673" t="s">
        <v>112</v>
      </c>
      <c r="E99" s="674" t="s">
        <v>1954</v>
      </c>
      <c r="F99" s="730" t="s">
        <v>293</v>
      </c>
      <c r="G99" s="391"/>
      <c r="H99" s="1036"/>
      <c r="I99" s="391"/>
      <c r="J99" s="1036"/>
      <c r="K99" s="277" t="s">
        <v>1557</v>
      </c>
    </row>
    <row s="2599" customFormat="1" customHeight="1" ht="22.5" hidden="1">
      <c r="A100" s="2346"/>
      <c r="B100" s="519" t="s">
        <v>1745</v>
      </c>
      <c r="D100" s="673" t="s">
        <v>149</v>
      </c>
      <c r="E100" s="674" t="s">
        <v>1955</v>
      </c>
      <c r="F100" s="730" t="s">
        <v>293</v>
      </c>
      <c r="G100" s="391"/>
      <c r="H100" s="1036"/>
      <c r="I100" s="391"/>
      <c r="J100" s="1036"/>
      <c r="K100" s="277" t="s">
        <v>1557</v>
      </c>
    </row>
    <row s="2603" customFormat="1" customHeight="1" ht="11.25">
      <c r="A101" s="1046"/>
      <c r="B101" s="526"/>
      <c r="D101" s="1047"/>
      <c r="E101" s="104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B6D6B5ED-6A69-75E4-C46E-ABFE667594FF}"/>
    <hyperlink ref="I63" r:id="rId2" tooltip="Кликните по гиперссылке, чтобы перейти по ней или отредактировать её" xr:uid="{CC2685B2-391E-EEE5-D844-147888A3D00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5E96-94AF-A931-DEA8-A8CA403C46E4}"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505" width="6.7109375" hidden="1" customWidth="1"/>
    <col min="4" max="4" style="2600" width="6.7109375" hidden="1" customWidth="1"/>
    <col min="5" max="5" style="2603" width="3.7109375" customWidth="1"/>
    <col min="6" max="6" style="2599" width="6.28125" customWidth="1"/>
    <col min="7" max="7" style="2599" width="37.7109375" customWidth="1"/>
    <col min="8" max="8" style="2862" width="16.57421875" customWidth="1"/>
    <col min="9" max="10" style="2599" width="19.7109375" customWidth="1"/>
    <col min="11" max="11" style="2599" width="25.00390625" customWidth="1"/>
    <col min="12" max="13" style="2599" width="25.7109375" customWidth="1"/>
    <col min="14" max="16" style="2599" width="17.7109375" customWidth="1"/>
    <col min="17" max="24" style="2599" width="19.7109375" customWidth="1"/>
    <col min="25" max="25" style="2599" width="8.00390625" customWidth="1"/>
    <col min="26" max="26" style="2599" width="3.28125" customWidth="1"/>
    <col min="27" max="27" style="2599" width="6.28125" customWidth="1"/>
    <col min="28" max="28" style="2599" width="34.140625" customWidth="1"/>
    <col min="29" max="30" style="2599" width="9.140625"/>
  </cols>
  <sheetData>
    <row s="2600" customFormat="1" customHeight="1" ht="10.5" hidden="1">
      <c r="A1" s="907"/>
      <c r="B1" s="907"/>
      <c r="C1" s="907"/>
      <c r="E1" s="545"/>
      <c r="H1" s="1174"/>
    </row>
    <row customHeight="1" ht="10.5" hidden="1"/>
    <row s="3020" customFormat="1" customHeight="1" ht="10.5" hidden="1">
      <c r="A3" s="907"/>
      <c r="B3" s="907"/>
      <c r="C3" s="907"/>
      <c r="D3" s="424"/>
      <c r="E3" s="360"/>
      <c r="H3" s="1170"/>
    </row>
    <row customHeight="1" ht="3"/>
    <row customHeight="1" ht="30">
      <c r="F5" s="2181" t="s">
        <v>1956</v>
      </c>
      <c r="G5" s="2181"/>
      <c r="H5" s="2181"/>
      <c r="I5" s="2181"/>
      <c r="J5" s="2181"/>
      <c r="K5" s="2181"/>
      <c r="M5" s="590"/>
      <c r="AB5" s="918"/>
    </row>
    <row s="2871" customFormat="1" customHeight="1" ht="15.75">
      <c r="A6" s="1180"/>
      <c r="B6" s="1180"/>
      <c r="C6" s="1180"/>
      <c r="D6" s="1174"/>
      <c r="E6" s="1681"/>
      <c r="F6" s="2182" t="str">
        <f>IF(org=0,"Не определено",org)</f>
        <v>Филиал "Печорская ГРЭС" АО "Интер РАО-Электрогенерация"</v>
      </c>
      <c r="G6" s="2182"/>
      <c r="H6" s="2182"/>
      <c r="I6" s="2182"/>
      <c r="J6" s="2182"/>
      <c r="K6" s="2182"/>
      <c r="M6" s="590"/>
      <c r="AB6" s="1162"/>
    </row>
    <row r="8" customHeight="1" ht="10.5">
      <c r="A8" s="1064"/>
      <c r="B8" s="1064"/>
      <c r="C8" s="1064"/>
      <c r="F8" s="1940" t="s">
        <v>287</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66" t="s">
        <v>87</v>
      </c>
      <c r="G9" s="1966" t="s">
        <v>1957</v>
      </c>
      <c r="H9" s="2012" t="s">
        <v>1958</v>
      </c>
      <c r="I9" s="1966" t="s">
        <v>1959</v>
      </c>
      <c r="J9" s="1966" t="s">
        <v>1960</v>
      </c>
      <c r="K9" s="1966" t="s">
        <v>1961</v>
      </c>
      <c r="L9" s="1966" t="s">
        <v>1962</v>
      </c>
      <c r="M9" s="1966" t="s">
        <v>1963</v>
      </c>
      <c r="N9" s="2047" t="s">
        <v>1964</v>
      </c>
      <c r="O9" s="2047"/>
      <c r="P9" s="2047"/>
      <c r="Q9" s="2349" t="s">
        <v>1965</v>
      </c>
      <c r="R9" s="2350"/>
      <c r="S9" s="2350"/>
      <c r="T9" s="2351"/>
      <c r="U9" s="2349" t="s">
        <v>1966</v>
      </c>
      <c r="V9" s="2350"/>
      <c r="W9" s="2350"/>
      <c r="X9" s="2351"/>
      <c r="Y9" s="1940" t="s">
        <v>1967</v>
      </c>
      <c r="Z9" s="1941"/>
      <c r="AA9" s="1941"/>
      <c r="AB9" s="1942"/>
    </row>
    <row customHeight="1" ht="41.25">
      <c r="A10" s="917"/>
      <c r="B10" s="917"/>
      <c r="C10" s="917"/>
      <c r="F10" s="2012"/>
      <c r="G10" s="2012"/>
      <c r="H10" s="2071"/>
      <c r="I10" s="2012"/>
      <c r="J10" s="2012"/>
      <c r="K10" s="2012"/>
      <c r="L10" s="2012"/>
      <c r="M10" s="2012"/>
      <c r="N10" s="915" t="s">
        <v>1968</v>
      </c>
      <c r="O10" s="915" t="s">
        <v>1969</v>
      </c>
      <c r="P10" s="916" t="s">
        <v>1970</v>
      </c>
      <c r="Q10" s="927" t="s">
        <v>88</v>
      </c>
      <c r="R10" s="927" t="s">
        <v>1971</v>
      </c>
      <c r="S10" s="927" t="s">
        <v>1972</v>
      </c>
      <c r="T10" s="928" t="s">
        <v>1973</v>
      </c>
      <c r="U10" s="927" t="s">
        <v>88</v>
      </c>
      <c r="V10" s="927" t="s">
        <v>1974</v>
      </c>
      <c r="W10" s="927" t="s">
        <v>1972</v>
      </c>
      <c r="X10" s="928" t="s">
        <v>1973</v>
      </c>
      <c r="Y10" s="289" t="s">
        <v>1975</v>
      </c>
      <c r="Z10" s="1940" t="s">
        <v>87</v>
      </c>
      <c r="AA10" s="1942"/>
      <c r="AB10" s="1062" t="s">
        <v>1976</v>
      </c>
    </row>
    <row s="2587" customFormat="1" customHeight="1" ht="5.25" hidden="1">
      <c r="A11" s="1065"/>
      <c r="B11" s="1065"/>
      <c r="C11" s="1065"/>
      <c r="E11" s="1063"/>
      <c r="F11" s="2078" t="s">
        <v>365</v>
      </c>
      <c r="G11" s="2302"/>
      <c r="H11" s="2352"/>
      <c r="I11" s="2352"/>
      <c r="J11" s="2352"/>
      <c r="K11" s="2353"/>
      <c r="L11" s="2353"/>
      <c r="M11" s="2353"/>
      <c r="N11" s="2352"/>
      <c r="O11" s="2352"/>
      <c r="P11" s="1966"/>
      <c r="Q11" s="2016"/>
      <c r="R11" s="2016"/>
      <c r="S11" s="2016"/>
      <c r="T11" s="2352"/>
      <c r="U11" s="2016"/>
      <c r="V11" s="2016"/>
      <c r="W11" s="2016"/>
      <c r="X11" s="2352"/>
      <c r="Y11" s="1947"/>
      <c r="Z11" s="1947"/>
      <c r="AA11" s="1947"/>
      <c r="AB11" s="1947"/>
      <c r="AD11" s="519" t="s">
        <v>1977</v>
      </c>
    </row>
    <row s="2587" customFormat="1" customHeight="1" ht="5.25" hidden="1">
      <c r="A12" s="908"/>
      <c r="B12" s="908"/>
      <c r="C12" s="908"/>
      <c r="E12" s="526"/>
      <c r="F12" s="2078"/>
      <c r="G12" s="2302"/>
      <c r="H12" s="2352"/>
      <c r="I12" s="2352"/>
      <c r="J12" s="2352"/>
      <c r="K12" s="2353"/>
      <c r="L12" s="2353"/>
      <c r="M12" s="2353"/>
      <c r="N12" s="2352"/>
      <c r="O12" s="2352"/>
      <c r="P12" s="1966"/>
      <c r="Q12" s="2016"/>
      <c r="R12" s="2016"/>
      <c r="S12" s="2016"/>
      <c r="T12" s="2352"/>
      <c r="U12" s="2016"/>
      <c r="V12" s="2016"/>
      <c r="W12" s="2016"/>
      <c r="X12" s="2352"/>
      <c r="Y12" s="2354"/>
      <c r="Z12" s="2354"/>
      <c r="AA12" s="2354"/>
      <c r="AB12" s="2354"/>
    </row>
    <row customHeight="1" ht="10.5">
      <c r="F13" s="914"/>
      <c r="G13" s="658" t="s">
        <v>1978</v>
      </c>
      <c r="H13" s="1182"/>
      <c r="I13" s="580"/>
      <c r="J13" s="580"/>
      <c r="K13" s="580"/>
      <c r="L13" s="580"/>
      <c r="M13" s="580"/>
      <c r="N13" s="580"/>
      <c r="O13" s="580"/>
      <c r="P13" s="580"/>
      <c r="Q13" s="580"/>
      <c r="R13" s="580"/>
      <c r="S13" s="580"/>
      <c r="T13" s="580"/>
      <c r="U13" s="580"/>
      <c r="V13" s="580"/>
      <c r="W13" s="580"/>
      <c r="X13" s="580"/>
      <c r="Y13" s="580"/>
      <c r="Z13" s="704"/>
      <c r="AA13" s="704"/>
      <c r="AB13" s="929"/>
    </row>
    <row r="15" s="2587"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A46AD-0D8C-0663-7ADC-1ABC6C7E809C}"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505" width="4.140625" hidden="1" customWidth="1"/>
    <col min="4" max="4" style="2600" width="4.140625" hidden="1" customWidth="1"/>
    <col min="5" max="5" style="2603" width="3.7109375" customWidth="1"/>
    <col min="6" max="6" style="2599" width="14.421875" customWidth="1"/>
    <col min="7" max="7" style="2599" width="3.7109375" customWidth="1"/>
    <col min="8" max="8" style="2862" width="7.7109375" customWidth="1"/>
    <col min="9" max="10" style="2599" width="16.7109375" customWidth="1"/>
    <col min="11" max="11" style="2599" width="25.7109375" customWidth="1"/>
    <col min="12" max="12" style="4554" width="8.00390625" customWidth="1"/>
    <col min="13" max="13" style="4554" width="15.57421875" customWidth="1"/>
    <col min="14" max="14" style="2599" width="3.28125" customWidth="1"/>
    <col min="15" max="15" style="2599" width="4.7109375" customWidth="1"/>
    <col min="16" max="16" style="2599" width="9.00390625" customWidth="1"/>
    <col min="17" max="17" style="2599" width="21.7109375" customWidth="1"/>
    <col min="18" max="18" style="2599" width="14.7109375" customWidth="1"/>
    <col min="19" max="20" style="2599" width="17.7109375" customWidth="1"/>
    <col min="21" max="21" style="2599" width="9.7109375" customWidth="1"/>
    <col min="22" max="22" style="2599" width="12.7109375" customWidth="1"/>
    <col min="23" max="23" style="2599" width="9.7109375" customWidth="1"/>
    <col min="24" max="24" style="2599" width="21.7109375" customWidth="1"/>
    <col min="25" max="25" style="2599" width="12.7109375" customWidth="1"/>
    <col min="26" max="26" style="2599" width="3.28125" customWidth="1"/>
    <col min="27" max="27" style="2599" width="7.140625" customWidth="1"/>
    <col min="28" max="28" style="2599" width="38.421875" customWidth="1"/>
    <col min="29" max="29" style="2599" width="15.7109375" customWidth="1"/>
    <col min="30" max="30" style="4554" width="37.57421875" customWidth="1"/>
    <col min="31" max="31" style="2599" width="15.7109375" customWidth="1"/>
    <col min="32" max="33" style="2599" width="16.7109375" customWidth="1"/>
    <col min="34" max="34" style="4575" width="16.7109375" customWidth="1"/>
    <col min="35" max="35" style="4576" width="16.7109375" customWidth="1"/>
    <col min="36" max="37" style="2599" width="16.7109375" customWidth="1"/>
    <col min="38" max="58" style="2599" width="9.140625"/>
  </cols>
  <sheetData>
    <row s="2600" customFormat="1" customHeight="1" ht="10.5" hidden="1">
      <c r="A1" s="907"/>
      <c r="B1" s="907"/>
      <c r="C1" s="907"/>
      <c r="E1" s="545"/>
      <c r="H1" s="1174"/>
      <c r="L1" s="1142"/>
      <c r="M1" s="1142"/>
      <c r="AD1" s="1142"/>
      <c r="AH1" s="1161"/>
      <c r="AI1" s="1154"/>
    </row>
    <row customHeight="1" ht="10.5" hidden="1"/>
    <row s="3020" customFormat="1" customHeight="1" ht="10.5" hidden="1">
      <c r="A3" s="907"/>
      <c r="B3" s="907"/>
      <c r="C3" s="907"/>
      <c r="D3" s="424"/>
      <c r="E3" s="360"/>
      <c r="H3" s="1170"/>
      <c r="L3" s="1140"/>
      <c r="M3" s="1140"/>
      <c r="AD3" s="1140"/>
      <c r="AH3" s="1159"/>
      <c r="AI3" s="1152"/>
    </row>
    <row customHeight="1" ht="3"/>
    <row customHeight="1" ht="30">
      <c r="F5" s="2181" t="s">
        <v>1956</v>
      </c>
      <c r="G5" s="2181"/>
      <c r="H5" s="2181"/>
      <c r="I5" s="2181"/>
      <c r="J5" s="2181"/>
      <c r="K5" s="2181"/>
      <c r="L5" s="1149"/>
      <c r="M5" s="1149"/>
      <c r="AG5" s="918"/>
      <c r="AH5" s="1162"/>
    </row>
    <row customHeight="1" ht="10.5">
      <c r="F6" s="2049" t="str">
        <f>IF(org=0,"Не определено",org)</f>
        <v>Филиал "Печорская ГРЭС" АО "Интер РАО-Электрогенерация"</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3" t="s">
        <v>287</v>
      </c>
      <c r="G8" s="2364"/>
      <c r="H8" s="2364"/>
      <c r="I8" s="2364"/>
      <c r="J8" s="2364"/>
      <c r="K8" s="2364"/>
      <c r="L8" s="2364"/>
      <c r="M8" s="2364"/>
      <c r="N8" s="2364"/>
      <c r="O8" s="2364"/>
      <c r="P8" s="2364"/>
      <c r="Q8" s="2364"/>
      <c r="R8" s="2364"/>
      <c r="S8" s="2364"/>
      <c r="T8" s="2364"/>
      <c r="U8" s="2364"/>
      <c r="V8" s="2364"/>
      <c r="W8" s="2364"/>
      <c r="X8" s="2364"/>
      <c r="Y8" s="2364"/>
      <c r="Z8" s="2364"/>
      <c r="AA8" s="2364"/>
      <c r="AB8" s="2364"/>
      <c r="AC8" s="2364"/>
      <c r="AD8" s="2364"/>
      <c r="AE8" s="2364"/>
      <c r="AF8" s="2364"/>
      <c r="AG8" s="2364"/>
      <c r="AH8" s="2364"/>
      <c r="AI8" s="2364"/>
      <c r="AJ8" s="2364"/>
      <c r="AK8" s="2365"/>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6" t="s">
        <v>1979</v>
      </c>
      <c r="G9" s="2357" t="s">
        <v>1980</v>
      </c>
      <c r="H9" s="2358"/>
      <c r="I9" s="1966" t="s">
        <v>1981</v>
      </c>
      <c r="J9" s="1966"/>
      <c r="K9" s="1966" t="s">
        <v>1982</v>
      </c>
      <c r="L9" s="1966"/>
      <c r="M9" s="1966"/>
      <c r="N9" s="1966"/>
      <c r="O9" s="1966"/>
      <c r="P9" s="1966"/>
      <c r="Q9" s="1966"/>
      <c r="R9" s="1966"/>
      <c r="S9" s="1966"/>
      <c r="T9" s="1966"/>
      <c r="U9" s="1966"/>
      <c r="V9" s="1966"/>
      <c r="W9" s="1966"/>
      <c r="X9" s="1966"/>
      <c r="Y9" s="1966"/>
      <c r="Z9" s="2029" t="s">
        <v>1983</v>
      </c>
      <c r="AA9" s="2030"/>
      <c r="AB9" s="1966" t="s">
        <v>1984</v>
      </c>
      <c r="AC9" s="1966"/>
      <c r="AD9" s="1966"/>
      <c r="AE9" s="1966"/>
      <c r="AF9" s="2012" t="s">
        <v>1985</v>
      </c>
      <c r="AG9" s="1966" t="s">
        <v>1986</v>
      </c>
      <c r="AH9" s="1966"/>
      <c r="AI9" s="2012" t="s">
        <v>1987</v>
      </c>
      <c r="AJ9" s="1966" t="s">
        <v>1988</v>
      </c>
      <c r="AK9" s="196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6"/>
      <c r="G10" s="2359"/>
      <c r="H10" s="2360"/>
      <c r="I10" s="1966"/>
      <c r="J10" s="1966"/>
      <c r="K10" s="1966" t="s">
        <v>1989</v>
      </c>
      <c r="L10" s="1940" t="s">
        <v>1990</v>
      </c>
      <c r="M10" s="1942"/>
      <c r="N10" s="1966" t="s">
        <v>1991</v>
      </c>
      <c r="O10" s="1966"/>
      <c r="P10" s="1966"/>
      <c r="Q10" s="1966"/>
      <c r="R10" s="1966"/>
      <c r="S10" s="1966"/>
      <c r="T10" s="1966"/>
      <c r="U10" s="1966"/>
      <c r="V10" s="1966"/>
      <c r="W10" s="1966"/>
      <c r="X10" s="1966"/>
      <c r="Y10" s="1966"/>
      <c r="Z10" s="2031"/>
      <c r="AA10" s="2032"/>
      <c r="AB10" s="1966"/>
      <c r="AC10" s="1966"/>
      <c r="AD10" s="1966"/>
      <c r="AE10" s="1966"/>
      <c r="AF10" s="2036"/>
      <c r="AG10" s="1966"/>
      <c r="AH10" s="1966"/>
      <c r="AI10" s="2036"/>
      <c r="AJ10" s="1966"/>
      <c r="AK10" s="196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554" customFormat="1" customHeight="1" ht="23.25">
      <c r="A11" s="1143"/>
      <c r="B11" s="1143"/>
      <c r="C11" s="1143"/>
      <c r="D11" s="1142"/>
      <c r="E11" s="1144"/>
      <c r="F11" s="2356"/>
      <c r="G11" s="2359"/>
      <c r="H11" s="2360"/>
      <c r="I11" s="1966"/>
      <c r="J11" s="1966"/>
      <c r="K11" s="1966"/>
      <c r="L11" s="2012" t="s">
        <v>1992</v>
      </c>
      <c r="M11" s="2012" t="s">
        <v>1993</v>
      </c>
      <c r="N11" s="1966" t="s">
        <v>1994</v>
      </c>
      <c r="O11" s="1966"/>
      <c r="P11" s="2366" t="s">
        <v>1975</v>
      </c>
      <c r="Q11" s="2366" t="s">
        <v>1995</v>
      </c>
      <c r="R11" s="2366" t="s">
        <v>1996</v>
      </c>
      <c r="S11" s="2366" t="s">
        <v>1997</v>
      </c>
      <c r="T11" s="2366"/>
      <c r="U11" s="2366"/>
      <c r="V11" s="2366"/>
      <c r="W11" s="2366"/>
      <c r="X11" s="2366"/>
      <c r="Y11" s="2366"/>
      <c r="Z11" s="2031"/>
      <c r="AA11" s="2032"/>
      <c r="AB11" s="1966" t="s">
        <v>1998</v>
      </c>
      <c r="AC11" s="1966"/>
      <c r="AD11" s="1940" t="s">
        <v>1999</v>
      </c>
      <c r="AE11" s="1942"/>
      <c r="AF11" s="2036"/>
      <c r="AG11" s="1966"/>
      <c r="AH11" s="1966"/>
      <c r="AI11" s="2036"/>
      <c r="AJ11" s="1966"/>
      <c r="AK11" s="196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6"/>
      <c r="G12" s="2361"/>
      <c r="H12" s="2362"/>
      <c r="I12" s="1167" t="s">
        <v>88</v>
      </c>
      <c r="J12" s="1167" t="s">
        <v>2000</v>
      </c>
      <c r="K12" s="1966"/>
      <c r="L12" s="2071"/>
      <c r="M12" s="2071"/>
      <c r="N12" s="1966"/>
      <c r="O12" s="1966"/>
      <c r="P12" s="2366"/>
      <c r="Q12" s="2366"/>
      <c r="R12" s="2366"/>
      <c r="S12" s="1148" t="s">
        <v>85</v>
      </c>
      <c r="T12" s="1148" t="s">
        <v>86</v>
      </c>
      <c r="U12" s="1148" t="s">
        <v>84</v>
      </c>
      <c r="V12" s="1148" t="s">
        <v>2001</v>
      </c>
      <c r="W12" s="1148" t="s">
        <v>84</v>
      </c>
      <c r="X12" s="1148" t="s">
        <v>2002</v>
      </c>
      <c r="Y12" s="1148" t="s">
        <v>2003</v>
      </c>
      <c r="Z12" s="2037"/>
      <c r="AA12" s="2038"/>
      <c r="AB12" s="1155" t="s">
        <v>2004</v>
      </c>
      <c r="AC12" s="1155" t="s">
        <v>2005</v>
      </c>
      <c r="AD12" s="1155" t="s">
        <v>2004</v>
      </c>
      <c r="AE12" s="1155" t="s">
        <v>2005</v>
      </c>
      <c r="AF12" s="2071"/>
      <c r="AG12" s="1168" t="s">
        <v>2006</v>
      </c>
      <c r="AH12" s="1168" t="s">
        <v>2007</v>
      </c>
      <c r="AI12" s="2071"/>
      <c r="AJ12" s="1168" t="s">
        <v>2006</v>
      </c>
      <c r="AK12" s="1168" t="s">
        <v>2007</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2008</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5"/>
      <c r="G17" s="2355"/>
      <c r="H17" s="2355"/>
      <c r="I17" s="2355"/>
      <c r="J17" s="2355"/>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5"/>
      <c r="G18" s="2355"/>
      <c r="H18" s="2355"/>
      <c r="I18" s="2355"/>
      <c r="J18" s="2355"/>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5"/>
      <c r="G19" s="2355"/>
      <c r="H19" s="2355"/>
      <c r="I19" s="2355"/>
      <c r="J19" s="2355"/>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7754-80DC-227F-FA63-621CD94A54D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198" width="4.140625" hidden="1" customWidth="1"/>
    <col min="4" max="4" style="3145" width="4.140625" hidden="1" customWidth="1"/>
    <col min="5" max="5" style="2603" width="3.7109375" customWidth="1"/>
    <col min="6" max="6" style="2862" width="6.28125" customWidth="1"/>
    <col min="7" max="7" style="2862" width="60.140625" customWidth="1"/>
    <col min="8" max="9" style="2862" width="21.7109375" hidden="1" customWidth="1"/>
    <col min="10" max="10" style="2862" width="0.140625" customWidth="1"/>
    <col min="11" max="11" style="2862" width="1.7109375" customWidth="1"/>
    <col min="12" max="22" style="2862" width="9.140625"/>
  </cols>
  <sheetData>
    <row s="3145" customFormat="1" customHeight="1" ht="10.5" hidden="1">
      <c r="A1" s="1180"/>
      <c r="B1" s="1180"/>
      <c r="C1" s="1180"/>
      <c r="E1" s="545"/>
    </row>
    <row customHeight="1" ht="10.5" hidden="1"/>
    <row s="2861" customFormat="1" customHeight="1" ht="10.5" hidden="1">
      <c r="A3" s="1180"/>
      <c r="B3" s="1180"/>
      <c r="C3" s="1180"/>
      <c r="D3" s="1174"/>
      <c r="E3" s="360"/>
    </row>
    <row customHeight="1" ht="3"/>
    <row customHeight="1" ht="30">
      <c r="F5" s="2181" t="s">
        <v>2009</v>
      </c>
      <c r="G5" s="2181"/>
      <c r="H5" s="2181"/>
      <c r="I5" s="2181"/>
      <c r="J5" s="2181"/>
    </row>
    <row customHeight="1" ht="10.5">
      <c r="F6" s="2049" t="str">
        <f>IF(org=0,"Не определено",org)</f>
        <v>Филиал "Печорская ГРЭС" АО "Интер РАО-Электрогенерация"</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7"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7" t="s">
        <v>287</v>
      </c>
      <c r="G9" s="2368"/>
      <c r="H9" s="2368"/>
      <c r="I9" s="2368"/>
      <c r="J9" s="2368"/>
      <c r="K9" s="1264"/>
      <c r="L9" s="1171"/>
      <c r="M9" s="1171"/>
      <c r="N9" s="1171"/>
      <c r="O9" s="1171"/>
      <c r="P9" s="1171"/>
      <c r="Q9" s="1171"/>
      <c r="R9" s="1171"/>
      <c r="S9" s="1171"/>
      <c r="T9" s="1171"/>
      <c r="U9" s="1171"/>
      <c r="V9" s="1171"/>
    </row>
    <row customHeight="1" ht="24">
      <c r="E10" s="1171"/>
      <c r="F10" s="2371" t="s">
        <v>87</v>
      </c>
      <c r="G10" s="2376" t="s">
        <v>2010</v>
      </c>
      <c r="H10" s="2374" t="s">
        <v>2011</v>
      </c>
      <c r="I10" s="2374"/>
      <c r="J10" s="2374"/>
      <c r="K10" s="1257"/>
      <c r="L10" s="1171"/>
      <c r="M10" s="1171"/>
      <c r="N10" s="1171"/>
      <c r="O10" s="1171"/>
      <c r="P10" s="1171"/>
      <c r="Q10" s="1171"/>
      <c r="R10" s="1171"/>
      <c r="S10" s="1171"/>
      <c r="T10" s="1171"/>
      <c r="U10" s="1171"/>
      <c r="V10" s="1171"/>
    </row>
    <row customHeight="1" ht="24">
      <c r="E11" s="1171"/>
      <c r="F11" s="2372"/>
      <c r="G11" s="2376"/>
      <c r="H11" s="2375">
        <f>INDEX(IP_MAIN_LIST_NAME_IP,MATCH(H8,IP_MAIN_LIST_IP_ID,0))&amp;" ("&amp;INDEX(IP_MAIN_START_DATE,MATCH(H8,IP_MAIN_LIST_IP_ID,0))&amp;"-"&amp;INDEX(IP_MAIN_END_DATE,MATCH(H8,IP_MAIN_LIST_IP_ID,0))&amp;")"</f>
      </c>
      <c r="I11" s="2375"/>
      <c r="J11" s="2375"/>
      <c r="K11" s="1257"/>
      <c r="L11" s="1171"/>
      <c r="M11" s="1171"/>
      <c r="N11" s="1171"/>
      <c r="O11" s="1171"/>
      <c r="P11" s="1171"/>
      <c r="Q11" s="1171"/>
      <c r="R11" s="1171"/>
      <c r="S11" s="1171"/>
      <c r="T11" s="1171"/>
      <c r="U11" s="1171"/>
      <c r="V11" s="1171"/>
    </row>
    <row customHeight="1" ht="10.5">
      <c r="F12" s="2373"/>
      <c r="G12" s="2376"/>
      <c r="H12" s="1250" t="s">
        <v>2012</v>
      </c>
      <c r="I12" s="1256"/>
      <c r="J12" s="1250"/>
      <c r="K12" s="1258"/>
    </row>
    <row customHeight="1" ht="10.5" hidden="1">
      <c r="F13" s="1250">
        <v>1</v>
      </c>
      <c r="G13" s="1250">
        <v>2</v>
      </c>
      <c r="H13" s="1250">
        <v>3</v>
      </c>
      <c r="I13" s="1250">
        <v>4</v>
      </c>
      <c r="J13" s="1250">
        <v>5</v>
      </c>
      <c r="K13" s="1258"/>
    </row>
    <row customHeight="1" ht="11.25">
      <c r="F14" s="1249" t="s">
        <v>1070</v>
      </c>
      <c r="G14" s="2369" t="s">
        <v>2013</v>
      </c>
      <c r="H14" s="2369"/>
      <c r="I14" s="2369"/>
      <c r="J14" s="2369"/>
      <c r="K14" s="1258"/>
    </row>
    <row customHeight="1" ht="11.25">
      <c r="F15" s="1254">
        <v>1</v>
      </c>
      <c r="G15" s="698" t="s">
        <v>2014</v>
      </c>
      <c r="H15" s="1260">
        <f>SUM(I15:J15)</f>
        <v>0</v>
      </c>
      <c r="I15" s="1260">
        <f>SUM(I16:I27)</f>
        <v>0</v>
      </c>
      <c r="J15" s="1249"/>
      <c r="K15" s="1258"/>
    </row>
    <row customHeight="1" ht="22.5">
      <c r="F16" s="1254" t="s">
        <v>426</v>
      </c>
      <c r="G16" s="1261" t="s">
        <v>1018</v>
      </c>
      <c r="H16" s="1260">
        <f>SUM(I16:J16)</f>
        <v>0</v>
      </c>
      <c r="I16" s="1259"/>
      <c r="J16" s="1249"/>
      <c r="K16" s="1258"/>
    </row>
    <row customHeight="1" ht="22.5">
      <c r="F17" s="1254" t="s">
        <v>441</v>
      </c>
      <c r="G17" s="1261" t="s">
        <v>1023</v>
      </c>
      <c r="H17" s="1260">
        <f>SUM(I17:J17)</f>
        <v>0</v>
      </c>
      <c r="I17" s="1259"/>
      <c r="J17" s="1249"/>
      <c r="K17" s="1258"/>
    </row>
    <row customHeight="1" ht="33.75">
      <c r="F18" s="1254" t="s">
        <v>444</v>
      </c>
      <c r="G18" s="1261" t="s">
        <v>1010</v>
      </c>
      <c r="H18" s="1260">
        <f>SUM(I18:J18)</f>
        <v>0</v>
      </c>
      <c r="I18" s="1259"/>
      <c r="J18" s="1249"/>
      <c r="K18" s="1258"/>
    </row>
    <row customHeight="1" ht="33.75">
      <c r="F19" s="1254" t="s">
        <v>2015</v>
      </c>
      <c r="G19" s="1261" t="s">
        <v>1049</v>
      </c>
      <c r="H19" s="1260">
        <f>SUM(I19:J19)</f>
        <v>0</v>
      </c>
      <c r="I19" s="1259"/>
      <c r="J19" s="1249"/>
      <c r="K19" s="1258"/>
    </row>
    <row customHeight="1" ht="45">
      <c r="F20" s="1254" t="s">
        <v>2016</v>
      </c>
      <c r="G20" s="1261" t="s">
        <v>1054</v>
      </c>
      <c r="H20" s="1260">
        <f>SUM(I20:J20)</f>
        <v>0</v>
      </c>
      <c r="I20" s="1259"/>
      <c r="J20" s="1249"/>
      <c r="K20" s="1258"/>
    </row>
    <row customHeight="1" ht="33.75">
      <c r="F21" s="1254" t="s">
        <v>2017</v>
      </c>
      <c r="G21" s="1261" t="s">
        <v>1060</v>
      </c>
      <c r="H21" s="1260">
        <f>SUM(I21:J21)</f>
        <v>0</v>
      </c>
      <c r="I21" s="1259"/>
      <c r="J21" s="1249"/>
      <c r="K21" s="1258"/>
    </row>
    <row customHeight="1" ht="33.75">
      <c r="F22" s="1254" t="s">
        <v>2018</v>
      </c>
      <c r="G22" s="1261" t="s">
        <v>1067</v>
      </c>
      <c r="H22" s="1260">
        <f>SUM(I22:J22)</f>
        <v>0</v>
      </c>
      <c r="I22" s="1259"/>
      <c r="J22" s="1249"/>
      <c r="K22" s="1258"/>
    </row>
    <row customHeight="1" ht="22.5">
      <c r="F23" s="1254" t="s">
        <v>2019</v>
      </c>
      <c r="G23" s="1261" t="s">
        <v>1072</v>
      </c>
      <c r="H23" s="1260">
        <f>SUM(I23:J23)</f>
        <v>0</v>
      </c>
      <c r="I23" s="1259"/>
      <c r="J23" s="1249"/>
      <c r="K23" s="1258"/>
    </row>
    <row customHeight="1" ht="22.5">
      <c r="F24" s="1254" t="s">
        <v>2020</v>
      </c>
      <c r="G24" s="1261" t="s">
        <v>1044</v>
      </c>
      <c r="H24" s="1260">
        <f>SUM(I24:J24)</f>
        <v>0</v>
      </c>
      <c r="I24" s="1259"/>
      <c r="J24" s="1249"/>
      <c r="K24" s="1258"/>
    </row>
    <row customHeight="1" ht="33.75">
      <c r="F25" s="1254" t="s">
        <v>2021</v>
      </c>
      <c r="G25" s="1261" t="s">
        <v>1110</v>
      </c>
      <c r="H25" s="1260">
        <f>SUM(I25:J25)</f>
        <v>0</v>
      </c>
      <c r="I25" s="1259"/>
      <c r="J25" s="1249"/>
      <c r="K25" s="1258"/>
    </row>
    <row customHeight="1" ht="33.75">
      <c r="F26" s="1254" t="s">
        <v>2022</v>
      </c>
      <c r="G26" s="1261" t="s">
        <v>1112</v>
      </c>
      <c r="H26" s="1260">
        <f>SUM(I26:J26)</f>
        <v>0</v>
      </c>
      <c r="I26" s="1259"/>
      <c r="J26" s="1249"/>
      <c r="K26" s="1258"/>
    </row>
    <row customHeight="1" ht="11.25">
      <c r="F27" s="1254" t="s">
        <v>2023</v>
      </c>
      <c r="G27" s="1261" t="s">
        <v>1022</v>
      </c>
      <c r="H27" s="1260">
        <f>SUM(I27:J27)</f>
        <v>0</v>
      </c>
      <c r="I27" s="1259"/>
      <c r="J27" s="1249"/>
      <c r="K27" s="1258"/>
    </row>
    <row customHeight="1" ht="11.25">
      <c r="F28" s="1254">
        <v>2</v>
      </c>
      <c r="G28" s="698" t="s">
        <v>2024</v>
      </c>
      <c r="H28" s="1260">
        <f>SUM(I28:J28)</f>
        <v>0</v>
      </c>
      <c r="I28" s="1260">
        <f>SUM(I29:I31)</f>
        <v>0</v>
      </c>
      <c r="J28" s="1249"/>
      <c r="K28" s="1258"/>
    </row>
    <row customHeight="1" ht="11.25">
      <c r="F29" s="1254" t="s">
        <v>451</v>
      </c>
      <c r="G29" s="1261" t="s">
        <v>2025</v>
      </c>
      <c r="H29" s="1260">
        <f>SUM(I29:J29)</f>
        <v>0</v>
      </c>
      <c r="I29" s="1259"/>
      <c r="J29" s="1249"/>
      <c r="K29" s="1258"/>
    </row>
    <row customHeight="1" ht="11.25">
      <c r="F30" s="1254" t="s">
        <v>294</v>
      </c>
      <c r="G30" s="1261" t="s">
        <v>1019</v>
      </c>
      <c r="H30" s="1260">
        <f>SUM(I30:J30)</f>
        <v>0</v>
      </c>
      <c r="I30" s="1259"/>
      <c r="J30" s="1249"/>
      <c r="K30" s="1258"/>
    </row>
    <row customHeight="1" ht="11.25">
      <c r="F31" s="1254" t="s">
        <v>297</v>
      </c>
      <c r="G31" s="1261" t="s">
        <v>1066</v>
      </c>
      <c r="H31" s="1260">
        <f>SUM(I31:J31)</f>
        <v>0</v>
      </c>
      <c r="I31" s="1259"/>
      <c r="J31" s="1249"/>
      <c r="K31" s="1258"/>
    </row>
    <row customHeight="1" ht="11.25">
      <c r="F32" s="1254">
        <v>3</v>
      </c>
      <c r="G32" s="698" t="s">
        <v>2026</v>
      </c>
      <c r="H32" s="1260">
        <f>SUM(I32:J32)</f>
        <v>0</v>
      </c>
      <c r="I32" s="1260">
        <f>SUM(I33:I34)</f>
        <v>0</v>
      </c>
      <c r="J32" s="1249"/>
      <c r="K32" s="1258"/>
    </row>
    <row customHeight="1" ht="33.75">
      <c r="F33" s="1254" t="s">
        <v>313</v>
      </c>
      <c r="G33" s="1261" t="s">
        <v>2027</v>
      </c>
      <c r="H33" s="1260">
        <f>SUM(I33:J33)</f>
        <v>0</v>
      </c>
      <c r="I33" s="1259"/>
      <c r="J33" s="1249"/>
      <c r="K33" s="1258"/>
    </row>
    <row customHeight="1" ht="11.25">
      <c r="F34" s="1254" t="s">
        <v>321</v>
      </c>
      <c r="G34" s="1261" t="s">
        <v>2028</v>
      </c>
      <c r="H34" s="1260">
        <f>SUM(I34:J34)</f>
        <v>0</v>
      </c>
      <c r="I34" s="1259"/>
      <c r="J34" s="1249"/>
      <c r="K34" s="1258"/>
    </row>
    <row customHeight="1" ht="11.25">
      <c r="F35" s="1254">
        <v>4</v>
      </c>
      <c r="G35" s="698" t="s">
        <v>2029</v>
      </c>
      <c r="H35" s="1260">
        <f>SUM(I35:J35)</f>
        <v>0</v>
      </c>
      <c r="I35" s="1259"/>
      <c r="J35" s="1249"/>
      <c r="K35" s="1258"/>
    </row>
    <row customHeight="1" ht="11.25">
      <c r="F36" s="1254"/>
      <c r="G36" s="701" t="s">
        <v>2030</v>
      </c>
      <c r="H36" s="1260">
        <f>SUM(I36:J36)</f>
        <v>0</v>
      </c>
      <c r="I36" s="1260">
        <f>SUM(I15,I28,I32,I35)</f>
        <v>0</v>
      </c>
      <c r="J36" s="1249"/>
      <c r="K36" s="1258"/>
    </row>
    <row customHeight="1" ht="27.75">
      <c r="F37" s="1255" t="s">
        <v>1201</v>
      </c>
      <c r="G37" s="2370" t="s">
        <v>2031</v>
      </c>
      <c r="H37" s="2370"/>
      <c r="I37" s="2370"/>
      <c r="J37" s="2370"/>
      <c r="K37" s="1258"/>
    </row>
    <row customHeight="1" ht="22.5">
      <c r="F38" s="1254" t="s">
        <v>109</v>
      </c>
      <c r="G38" s="698" t="s">
        <v>2032</v>
      </c>
      <c r="H38" s="1260">
        <f>SUM(I38:J38)</f>
        <v>0</v>
      </c>
      <c r="I38" s="1260">
        <f>SUM(I39,I44,I47)</f>
        <v>0</v>
      </c>
      <c r="J38" s="1249"/>
      <c r="K38" s="1258"/>
    </row>
    <row customHeight="1" ht="11.25">
      <c r="F39" s="1254" t="s">
        <v>426</v>
      </c>
      <c r="G39" s="1261" t="s">
        <v>2014</v>
      </c>
      <c r="H39" s="1260">
        <f>SUM(I39:J39)</f>
        <v>0</v>
      </c>
      <c r="I39" s="1260">
        <f>SUM(I40:I43)</f>
        <v>0</v>
      </c>
      <c r="J39" s="1249"/>
      <c r="K39" s="1258"/>
    </row>
    <row customHeight="1" ht="22.5">
      <c r="F40" s="1254" t="s">
        <v>439</v>
      </c>
      <c r="G40" s="1262" t="s">
        <v>2033</v>
      </c>
      <c r="H40" s="1260">
        <f>SUM(I40:J40)</f>
        <v>0</v>
      </c>
      <c r="I40" s="1259"/>
      <c r="J40" s="1249"/>
      <c r="K40" s="1258"/>
    </row>
    <row customHeight="1" ht="11.25">
      <c r="F41" s="1254" t="s">
        <v>2034</v>
      </c>
      <c r="G41" s="1262" t="s">
        <v>1011</v>
      </c>
      <c r="H41" s="1260">
        <f>SUM(I41:J41)</f>
        <v>0</v>
      </c>
      <c r="I41" s="1259"/>
      <c r="J41" s="1249"/>
      <c r="K41" s="1258"/>
    </row>
    <row customHeight="1" ht="11.25">
      <c r="F42" s="1254" t="s">
        <v>2035</v>
      </c>
      <c r="G42" s="1262" t="s">
        <v>2036</v>
      </c>
      <c r="H42" s="1260">
        <f>SUM(I42:J42)</f>
        <v>0</v>
      </c>
      <c r="I42" s="1259"/>
      <c r="J42" s="1249"/>
      <c r="K42" s="1258"/>
    </row>
    <row customHeight="1" ht="33.75">
      <c r="F43" s="1254" t="s">
        <v>2037</v>
      </c>
      <c r="G43" s="1262" t="s">
        <v>2038</v>
      </c>
      <c r="H43" s="1260">
        <f>SUM(I43:J43)</f>
        <v>0</v>
      </c>
      <c r="I43" s="1259"/>
      <c r="J43" s="1249"/>
      <c r="K43" s="1258"/>
    </row>
    <row customHeight="1" ht="11.25">
      <c r="F44" s="1254" t="s">
        <v>441</v>
      </c>
      <c r="G44" s="1261" t="s">
        <v>2026</v>
      </c>
      <c r="H44" s="1260">
        <f>SUM(I44:J44)</f>
        <v>0</v>
      </c>
      <c r="I44" s="1260">
        <f>SUM(I45:I46)</f>
        <v>0</v>
      </c>
      <c r="J44" s="1249"/>
      <c r="K44" s="1258"/>
    </row>
    <row customHeight="1" ht="45">
      <c r="F45" s="1254" t="s">
        <v>442</v>
      </c>
      <c r="G45" s="1262" t="s">
        <v>2027</v>
      </c>
      <c r="H45" s="1260">
        <f>SUM(I45:J45)</f>
        <v>0</v>
      </c>
      <c r="I45" s="1259"/>
      <c r="J45" s="1249"/>
      <c r="K45" s="1258"/>
    </row>
    <row customHeight="1" ht="11.25">
      <c r="F46" s="1254" t="s">
        <v>2039</v>
      </c>
      <c r="G46" s="1262" t="s">
        <v>2028</v>
      </c>
      <c r="H46" s="1260">
        <f>SUM(I46:J46)</f>
        <v>0</v>
      </c>
      <c r="I46" s="1259"/>
      <c r="J46" s="1249"/>
      <c r="K46" s="1258"/>
    </row>
    <row customHeight="1" ht="11.25">
      <c r="F47" s="1254" t="s">
        <v>444</v>
      </c>
      <c r="G47" s="1261" t="s">
        <v>2040</v>
      </c>
      <c r="H47" s="1260">
        <f>SUM(I47:J47)</f>
        <v>0</v>
      </c>
      <c r="I47" s="1259"/>
      <c r="J47" s="1249"/>
      <c r="K47" s="1258"/>
    </row>
    <row customHeight="1" ht="22.5">
      <c r="F48" s="1254" t="s">
        <v>110</v>
      </c>
      <c r="G48" s="698" t="s">
        <v>2041</v>
      </c>
      <c r="H48" s="1260">
        <f>SUM(I48:J48)</f>
        <v>0</v>
      </c>
      <c r="I48" s="1260">
        <f>SUM(I49,I54,I57)</f>
        <v>0</v>
      </c>
      <c r="J48" s="1249"/>
      <c r="K48" s="1258"/>
    </row>
    <row customHeight="1" ht="11.25">
      <c r="F49" s="1254" t="s">
        <v>451</v>
      </c>
      <c r="G49" s="1261" t="s">
        <v>2014</v>
      </c>
      <c r="H49" s="1260">
        <f>SUM(I49:J49)</f>
        <v>0</v>
      </c>
      <c r="I49" s="1260">
        <f>SUM(I50:I53)</f>
        <v>0</v>
      </c>
      <c r="J49" s="1249"/>
      <c r="K49" s="1258"/>
    </row>
    <row customHeight="1" ht="22.5">
      <c r="F50" s="1254" t="s">
        <v>453</v>
      </c>
      <c r="G50" s="1262" t="s">
        <v>2033</v>
      </c>
      <c r="H50" s="1260">
        <f>SUM(I50:J50)</f>
        <v>0</v>
      </c>
      <c r="I50" s="1259"/>
      <c r="J50" s="1249"/>
      <c r="K50" s="1258"/>
    </row>
    <row customHeight="1" ht="11.25">
      <c r="F51" s="1254" t="s">
        <v>1777</v>
      </c>
      <c r="G51" s="1262" t="s">
        <v>1011</v>
      </c>
      <c r="H51" s="1260">
        <f>SUM(I51:J51)</f>
        <v>0</v>
      </c>
      <c r="I51" s="1259"/>
      <c r="J51" s="1249"/>
      <c r="K51" s="1258"/>
    </row>
    <row customHeight="1" ht="11.25">
      <c r="F52" s="1254" t="s">
        <v>2042</v>
      </c>
      <c r="G52" s="1262" t="s">
        <v>2036</v>
      </c>
      <c r="H52" s="1260">
        <f>SUM(I52:J52)</f>
        <v>0</v>
      </c>
      <c r="I52" s="1259"/>
      <c r="J52" s="1249"/>
      <c r="K52" s="1258"/>
    </row>
    <row customHeight="1" ht="33.75">
      <c r="F53" s="1254" t="s">
        <v>2043</v>
      </c>
      <c r="G53" s="1262" t="s">
        <v>2038</v>
      </c>
      <c r="H53" s="1260">
        <f>SUM(I53:J53)</f>
        <v>0</v>
      </c>
      <c r="I53" s="1259"/>
      <c r="J53" s="1249"/>
      <c r="K53" s="1258"/>
    </row>
    <row customHeight="1" ht="11.25">
      <c r="F54" s="1254" t="s">
        <v>294</v>
      </c>
      <c r="G54" s="1261" t="s">
        <v>2026</v>
      </c>
      <c r="H54" s="1260">
        <f>SUM(I54:J54)</f>
        <v>0</v>
      </c>
      <c r="I54" s="1260">
        <f>SUM(I55:I56)</f>
        <v>0</v>
      </c>
      <c r="J54" s="1249"/>
      <c r="K54" s="1258"/>
    </row>
    <row customHeight="1" ht="45">
      <c r="F55" s="1254" t="s">
        <v>1369</v>
      </c>
      <c r="G55" s="1262" t="s">
        <v>2027</v>
      </c>
      <c r="H55" s="1260">
        <f>SUM(I55:J55)</f>
        <v>0</v>
      </c>
      <c r="I55" s="1259"/>
      <c r="J55" s="1249"/>
      <c r="K55" s="1258"/>
    </row>
    <row customHeight="1" ht="11.25">
      <c r="F56" s="1254" t="s">
        <v>1374</v>
      </c>
      <c r="G56" s="1262" t="s">
        <v>2028</v>
      </c>
      <c r="H56" s="1260">
        <f>SUM(I56:J56)</f>
        <v>0</v>
      </c>
      <c r="I56" s="1259"/>
      <c r="J56" s="1249"/>
      <c r="K56" s="1258"/>
    </row>
    <row customHeight="1" ht="11.25">
      <c r="F57" s="1254" t="s">
        <v>297</v>
      </c>
      <c r="G57" s="1261" t="s">
        <v>2040</v>
      </c>
      <c r="H57" s="1260">
        <f>SUM(I57:J57)</f>
        <v>0</v>
      </c>
      <c r="I57" s="1259"/>
      <c r="J57" s="1249"/>
      <c r="K57" s="1258"/>
    </row>
    <row customHeight="1" ht="11.25">
      <c r="F58" s="1254"/>
      <c r="G58" s="1263" t="s">
        <v>2030</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989B3-14BD-81B1-349C-832657495C5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661" width="4.7109375" hidden="1" customWidth="1"/>
    <col min="2" max="2" style="4662" width="4.7109375" hidden="1" customWidth="1"/>
    <col min="3" max="4" style="4661" width="4.7109375" hidden="1" customWidth="1"/>
    <col min="5" max="5" style="4661" width="3.57421875" customWidth="1"/>
    <col min="6" max="6" style="4661" width="6.7109375" customWidth="1"/>
    <col min="7" max="7" style="4661" width="18.7109375" customWidth="1"/>
    <col min="8" max="8" style="4661" width="27.28125" customWidth="1"/>
    <col min="9" max="9" style="4661" width="18.7109375" customWidth="1"/>
    <col min="10" max="14" style="4661" width="0.8515625" hidden="1" customWidth="1"/>
    <col min="15" max="28" style="4661" width="21.7109375" hidden="1" customWidth="1"/>
    <col min="29" max="71" style="4661" width="0.8515625" hidden="1" customWidth="1"/>
    <col min="72" max="79" style="4661" width="21.7109375" customWidth="1"/>
    <col min="80" max="81" style="4661" width="29.140625" customWidth="1"/>
    <col min="82" max="89" style="4661" width="21.7109375" customWidth="1"/>
    <col min="90" max="102" style="4661" width="0.7109375" customWidth="1"/>
    <col min="103" max="114" style="4661" width="21.7109375" hidden="1" customWidth="1"/>
    <col min="115" max="178" style="4661" width="0.7109375" hidden="1" customWidth="1"/>
    <col min="179" max="179" style="4661" width="0.140625" customWidth="1"/>
    <col min="180" max="184" style="4661" width="9.140625"/>
  </cols>
  <sheetData>
    <row s="3289" customFormat="1" customHeight="1" ht="12" hidden="1">
      <c r="B1" s="935"/>
      <c r="C1" s="936"/>
      <c r="D1" s="936"/>
    </row>
    <row s="3289"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289"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609" customFormat="1" customHeight="1" ht="24">
      <c r="B5" s="956"/>
      <c r="E5" s="958"/>
      <c r="F5" s="199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4609" customFormat="1" customHeight="1" ht="18">
      <c r="B6" s="956"/>
      <c r="E6" s="958"/>
      <c r="F6" s="2053" t="str">
        <f>IF(org=0,"Не определено",org)</f>
        <v>Филиал "Печорская ГРЭС" АО "Интер РАО-Электрогенерация"</v>
      </c>
      <c r="G6" s="2054"/>
      <c r="H6" s="2054"/>
      <c r="I6" s="2054"/>
      <c r="J6" s="2054"/>
      <c r="K6" s="2054"/>
      <c r="L6" s="2054"/>
      <c r="M6" s="2054"/>
      <c r="N6" s="2054"/>
      <c r="O6" s="2054"/>
      <c r="P6" s="2054"/>
      <c r="Q6" s="2054"/>
      <c r="R6" s="2054"/>
      <c r="S6" s="2054"/>
      <c r="T6" s="2054"/>
      <c r="U6" s="2054"/>
      <c r="V6" s="2054"/>
      <c r="W6" s="2054"/>
      <c r="X6" s="2054"/>
      <c r="Y6" s="2054"/>
      <c r="Z6" s="2054"/>
      <c r="AA6" s="2054"/>
      <c r="AB6" s="2054"/>
      <c r="AC6" s="2054"/>
      <c r="AD6" s="2054"/>
      <c r="AE6" s="2054"/>
      <c r="AF6" s="2054"/>
      <c r="AG6" s="2054"/>
      <c r="AH6" s="2054"/>
      <c r="AI6" s="2054"/>
      <c r="AJ6" s="2054"/>
      <c r="AK6" s="2054"/>
      <c r="AL6" s="2054"/>
      <c r="AM6" s="2054"/>
      <c r="AN6" s="2054"/>
      <c r="AO6" s="2054"/>
      <c r="AP6" s="2054"/>
      <c r="AQ6" s="2054"/>
      <c r="AR6" s="2054"/>
      <c r="AS6" s="2054"/>
      <c r="AT6" s="2054"/>
      <c r="AU6" s="2054"/>
      <c r="AV6" s="2054"/>
      <c r="AW6" s="2054"/>
      <c r="AX6" s="2054"/>
      <c r="AY6" s="2054"/>
      <c r="AZ6" s="2054"/>
      <c r="BA6" s="2054"/>
      <c r="BB6" s="2054"/>
      <c r="BC6" s="2054"/>
      <c r="BD6" s="2054"/>
      <c r="BE6" s="2054"/>
      <c r="BF6" s="2054"/>
      <c r="BG6" s="2054"/>
      <c r="BH6" s="2054"/>
      <c r="BI6" s="2054"/>
      <c r="BJ6" s="2054"/>
      <c r="BK6" s="2054"/>
      <c r="BL6" s="2054"/>
      <c r="BM6" s="2054"/>
      <c r="BN6" s="2054"/>
      <c r="BO6" s="2054"/>
      <c r="BP6" s="2054"/>
      <c r="BQ6" s="2054"/>
      <c r="BR6" s="2054"/>
      <c r="BS6" s="2054"/>
    </row>
    <row s="4612"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614" customFormat="1" customHeight="1" ht="11.25" hidden="1">
      <c r="B8" s="946"/>
      <c r="F8" s="1069"/>
      <c r="G8" s="773"/>
      <c r="H8" s="356"/>
      <c r="I8" s="356"/>
      <c r="J8" s="356"/>
      <c r="K8" s="356"/>
      <c r="L8" s="356"/>
      <c r="M8" s="1069"/>
      <c r="N8" s="1069"/>
      <c r="O8" s="2397" t="s">
        <v>2044</v>
      </c>
      <c r="P8" s="2398"/>
      <c r="Q8" s="2398"/>
      <c r="R8" s="2398"/>
      <c r="S8" s="2398"/>
      <c r="T8" s="2398"/>
      <c r="U8" s="2398"/>
      <c r="V8" s="2398"/>
      <c r="W8" s="2398"/>
      <c r="X8" s="2398"/>
      <c r="Y8" s="2398"/>
      <c r="Z8" s="2398"/>
      <c r="AA8" s="2398"/>
      <c r="AB8" s="2398"/>
      <c r="AC8" s="2398"/>
      <c r="AD8" s="2398"/>
      <c r="AE8" s="2398"/>
      <c r="AF8" s="2398"/>
      <c r="AG8" s="2398"/>
      <c r="AH8" s="2398"/>
      <c r="AI8" s="2398"/>
      <c r="AJ8" s="2398"/>
      <c r="AK8" s="2398"/>
      <c r="AL8" s="2398"/>
      <c r="AM8" s="2398"/>
      <c r="AN8" s="2398"/>
      <c r="AO8" s="2398"/>
      <c r="AP8" s="2398"/>
      <c r="AQ8" s="2398"/>
      <c r="AR8" s="2398"/>
      <c r="AS8" s="2398"/>
      <c r="AT8" s="2398"/>
      <c r="AU8" s="2398"/>
      <c r="AV8" s="2398"/>
      <c r="AW8" s="2398"/>
      <c r="AX8" s="2398"/>
      <c r="AY8" s="2398"/>
      <c r="AZ8" s="2398"/>
      <c r="BA8" s="2398"/>
      <c r="BB8" s="2398"/>
      <c r="BC8" s="2398"/>
      <c r="BD8" s="2398"/>
      <c r="BE8" s="2398"/>
      <c r="BF8" s="2398"/>
      <c r="BG8" s="2398"/>
      <c r="BH8" s="2398"/>
      <c r="BI8" s="2398"/>
      <c r="BJ8" s="2398"/>
      <c r="BK8" s="2398"/>
      <c r="BL8" s="2398"/>
      <c r="BM8" s="2398"/>
      <c r="BN8" s="2398"/>
      <c r="BO8" s="2398"/>
      <c r="BP8" s="2398"/>
      <c r="BQ8" s="2398"/>
      <c r="BR8" s="2398"/>
      <c r="BS8" s="2399"/>
      <c r="BT8" s="2386"/>
      <c r="BU8" s="2387"/>
      <c r="BV8" s="2387"/>
      <c r="BW8" s="2387"/>
      <c r="BX8" s="2387"/>
      <c r="BY8" s="2387"/>
      <c r="BZ8" s="2387"/>
      <c r="CA8" s="2387"/>
      <c r="CB8" s="2387"/>
      <c r="CC8" s="2387"/>
      <c r="CD8" s="2387"/>
      <c r="CE8" s="2387"/>
      <c r="CF8" s="2387"/>
      <c r="CG8" s="2387"/>
      <c r="CH8" s="2387"/>
      <c r="CI8" s="2387"/>
      <c r="CJ8" s="2387"/>
      <c r="CK8" s="2387"/>
      <c r="CL8" s="2387"/>
      <c r="CM8" s="2387"/>
      <c r="CN8" s="2387"/>
      <c r="CO8" s="2387"/>
      <c r="CP8" s="2387"/>
      <c r="CQ8" s="2387"/>
      <c r="CR8" s="2387"/>
      <c r="CS8" s="2387"/>
      <c r="CT8" s="2387"/>
      <c r="CU8" s="2387"/>
      <c r="CV8" s="2387"/>
      <c r="CW8" s="2387"/>
      <c r="CX8" s="2388"/>
      <c r="CY8" s="2389"/>
      <c r="CZ8" s="2390"/>
      <c r="DA8" s="2390"/>
      <c r="DB8" s="2390"/>
      <c r="DC8" s="2390"/>
      <c r="DD8" s="2390"/>
      <c r="DE8" s="2390"/>
      <c r="DF8" s="2390"/>
      <c r="DG8" s="2390"/>
      <c r="DH8" s="2390"/>
      <c r="DI8" s="2390"/>
      <c r="DJ8" s="2390"/>
      <c r="DK8" s="2390"/>
      <c r="DL8" s="2390"/>
      <c r="DM8" s="2390"/>
      <c r="DN8" s="2390"/>
      <c r="DO8" s="2390"/>
      <c r="DP8" s="2390"/>
      <c r="DQ8" s="2390"/>
      <c r="DR8" s="2390"/>
      <c r="DS8" s="2390"/>
      <c r="DT8" s="2390"/>
      <c r="DU8" s="2390"/>
      <c r="DV8" s="2390"/>
      <c r="DW8" s="2390"/>
      <c r="DX8" s="2391"/>
      <c r="DY8" s="2392" t="s">
        <v>2045</v>
      </c>
      <c r="DZ8" s="2393"/>
      <c r="EA8" s="2393"/>
      <c r="EB8" s="2393"/>
      <c r="EC8" s="2393"/>
      <c r="ED8" s="2393"/>
      <c r="EE8" s="2393"/>
      <c r="EF8" s="2393"/>
      <c r="EG8" s="2393"/>
      <c r="EH8" s="2393"/>
      <c r="EI8" s="2393"/>
      <c r="EJ8" s="2393"/>
      <c r="EK8" s="2393"/>
      <c r="EL8" s="2393"/>
      <c r="EM8" s="2393"/>
      <c r="EN8" s="2393"/>
      <c r="EO8" s="2393"/>
      <c r="EP8" s="2393"/>
      <c r="EQ8" s="2393"/>
      <c r="ER8" s="2393"/>
      <c r="ES8" s="2393"/>
      <c r="ET8" s="2393"/>
      <c r="EU8" s="2393"/>
      <c r="EV8" s="2393"/>
      <c r="EW8" s="2393"/>
      <c r="EX8" s="2393"/>
      <c r="EY8" s="2393"/>
      <c r="EZ8" s="2393"/>
      <c r="FA8" s="2393"/>
      <c r="FB8" s="2393"/>
      <c r="FC8" s="2393"/>
      <c r="FD8" s="2393"/>
      <c r="FE8" s="2393"/>
      <c r="FF8" s="2393"/>
      <c r="FG8" s="2393"/>
      <c r="FH8" s="2393"/>
      <c r="FI8" s="2393"/>
      <c r="FJ8" s="2393"/>
      <c r="FK8" s="2393"/>
      <c r="FL8" s="2393"/>
      <c r="FM8" s="2393"/>
      <c r="FN8" s="2393"/>
      <c r="FO8" s="2393"/>
      <c r="FP8" s="2393"/>
      <c r="FQ8" s="2393"/>
      <c r="FR8" s="2393"/>
      <c r="FS8" s="2393"/>
      <c r="FT8" s="2393"/>
      <c r="FU8" s="2393"/>
      <c r="FV8" s="2393"/>
      <c r="FW8" s="2394"/>
      <c r="FX8" s="1069"/>
    </row>
    <row s="4614"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95"/>
      <c r="FX9" s="1069"/>
    </row>
    <row s="4614" customFormat="1" customHeight="1" ht="11.25">
      <c r="B10" s="946"/>
      <c r="F10" s="2377" t="s">
        <v>287</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95"/>
      <c r="FX10" s="1069"/>
    </row>
    <row customHeight="1" ht="12">
      <c r="E11" s="949"/>
      <c r="F11" s="2042" t="s">
        <v>87</v>
      </c>
      <c r="G11" s="2042" t="s">
        <v>2046</v>
      </c>
      <c r="H11" s="2384" t="s">
        <v>2047</v>
      </c>
      <c r="I11" s="2384" t="s">
        <v>2048</v>
      </c>
      <c r="J11" s="2385"/>
      <c r="K11" s="2385"/>
      <c r="L11" s="2385"/>
      <c r="M11" s="2385"/>
      <c r="N11" s="2385"/>
      <c r="O11" s="2047" t="s">
        <v>2049</v>
      </c>
      <c r="P11" s="2047"/>
      <c r="Q11" s="2047"/>
      <c r="R11" s="2047"/>
      <c r="S11" s="2047"/>
      <c r="T11" s="2047"/>
      <c r="U11" s="2047"/>
      <c r="V11" s="2047"/>
      <c r="W11" s="2047"/>
      <c r="X11" s="2047"/>
      <c r="Y11" s="2047"/>
      <c r="Z11" s="2047"/>
      <c r="AA11" s="2047"/>
      <c r="AB11" s="204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400"/>
      <c r="BT11" s="2317" t="s">
        <v>2049</v>
      </c>
      <c r="BU11" s="2318"/>
      <c r="BV11" s="2318"/>
      <c r="BW11" s="2318"/>
      <c r="BX11" s="2318"/>
      <c r="BY11" s="2318"/>
      <c r="BZ11" s="2318"/>
      <c r="CA11" s="2318"/>
      <c r="CB11" s="2318"/>
      <c r="CC11" s="2318"/>
      <c r="CD11" s="2318"/>
      <c r="CE11" s="2318"/>
      <c r="CF11" s="2318"/>
      <c r="CG11" s="2318"/>
      <c r="CH11" s="2318"/>
      <c r="CI11" s="2318"/>
      <c r="CJ11" s="2318"/>
      <c r="CK11" s="2319"/>
      <c r="CL11" s="2383"/>
      <c r="CM11" s="2380"/>
      <c r="CN11" s="2380"/>
      <c r="CO11" s="2380"/>
      <c r="CP11" s="2380"/>
      <c r="CQ11" s="2380"/>
      <c r="CR11" s="2380"/>
      <c r="CS11" s="2380"/>
      <c r="CT11" s="2380"/>
      <c r="CU11" s="2380"/>
      <c r="CV11" s="2380"/>
      <c r="CW11" s="2380"/>
      <c r="CX11" s="2400"/>
      <c r="CY11" s="2317" t="s">
        <v>2049</v>
      </c>
      <c r="CZ11" s="2318"/>
      <c r="DA11" s="2318"/>
      <c r="DB11" s="2318"/>
      <c r="DC11" s="2318"/>
      <c r="DD11" s="2318"/>
      <c r="DE11" s="2318"/>
      <c r="DF11" s="2318"/>
      <c r="DG11" s="2318"/>
      <c r="DH11" s="2318"/>
      <c r="DI11" s="2318"/>
      <c r="DJ11" s="2319"/>
      <c r="DK11" s="2383"/>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95"/>
      <c r="FX11" s="772"/>
    </row>
    <row customHeight="1" ht="12">
      <c r="D12" s="950"/>
      <c r="E12" s="949"/>
      <c r="F12" s="2042"/>
      <c r="G12" s="2042"/>
      <c r="H12" s="2384"/>
      <c r="I12" s="2384"/>
      <c r="J12" s="2385"/>
      <c r="K12" s="2385"/>
      <c r="L12" s="2385"/>
      <c r="M12" s="2385"/>
      <c r="N12" s="2385"/>
      <c r="O12" s="2047" t="s">
        <v>2050</v>
      </c>
      <c r="P12" s="2047"/>
      <c r="Q12" s="2047"/>
      <c r="R12" s="2047"/>
      <c r="S12" s="2047" t="s">
        <v>2051</v>
      </c>
      <c r="T12" s="2047"/>
      <c r="U12" s="2047"/>
      <c r="V12" s="2047"/>
      <c r="W12" s="2047"/>
      <c r="X12" s="2047"/>
      <c r="Y12" s="2047"/>
      <c r="Z12" s="2047"/>
      <c r="AA12" s="2047"/>
      <c r="AB12" s="204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400"/>
      <c r="BT12" s="2317" t="s">
        <v>2052</v>
      </c>
      <c r="BU12" s="2318"/>
      <c r="BV12" s="2318"/>
      <c r="BW12" s="2319"/>
      <c r="BX12" s="2317" t="s">
        <v>2053</v>
      </c>
      <c r="BY12" s="2318"/>
      <c r="BZ12" s="2318"/>
      <c r="CA12" s="2319"/>
      <c r="CB12" s="2317" t="s">
        <v>2054</v>
      </c>
      <c r="CC12" s="2319"/>
      <c r="CD12" s="2317" t="s">
        <v>2055</v>
      </c>
      <c r="CE12" s="2318"/>
      <c r="CF12" s="2318"/>
      <c r="CG12" s="2318"/>
      <c r="CH12" s="2318"/>
      <c r="CI12" s="2318"/>
      <c r="CJ12" s="2318"/>
      <c r="CK12" s="2319"/>
      <c r="CL12" s="2383"/>
      <c r="CM12" s="2380"/>
      <c r="CN12" s="2380"/>
      <c r="CO12" s="2380"/>
      <c r="CP12" s="2380"/>
      <c r="CQ12" s="2380"/>
      <c r="CR12" s="2380"/>
      <c r="CS12" s="2380"/>
      <c r="CT12" s="2380"/>
      <c r="CU12" s="2380"/>
      <c r="CV12" s="2380"/>
      <c r="CW12" s="2380"/>
      <c r="CX12" s="2400"/>
      <c r="CY12" s="2317" t="s">
        <v>2056</v>
      </c>
      <c r="CZ12" s="2318"/>
      <c r="DA12" s="2318"/>
      <c r="DB12" s="2318"/>
      <c r="DC12" s="2318"/>
      <c r="DD12" s="2319"/>
      <c r="DE12" s="2317" t="s">
        <v>2057</v>
      </c>
      <c r="DF12" s="2319"/>
      <c r="DG12" s="2317" t="s">
        <v>2055</v>
      </c>
      <c r="DH12" s="2318"/>
      <c r="DI12" s="2318"/>
      <c r="DJ12" s="2319"/>
      <c r="DK12" s="2383"/>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95"/>
      <c r="FX12" s="772"/>
    </row>
    <row customHeight="1" ht="36">
      <c r="D13" s="950"/>
      <c r="E13" s="949"/>
      <c r="F13" s="2042"/>
      <c r="G13" s="2042"/>
      <c r="H13" s="2384"/>
      <c r="I13" s="2384"/>
      <c r="J13" s="2385"/>
      <c r="K13" s="2385"/>
      <c r="L13" s="2385"/>
      <c r="M13" s="2385"/>
      <c r="N13" s="2385"/>
      <c r="O13" s="2047" t="s">
        <v>2058</v>
      </c>
      <c r="P13" s="2047"/>
      <c r="Q13" s="2047"/>
      <c r="R13" s="2047"/>
      <c r="S13" s="2261" t="s">
        <v>2059</v>
      </c>
      <c r="T13" s="2381"/>
      <c r="U13" s="1966" t="s">
        <v>2060</v>
      </c>
      <c r="V13" s="1966"/>
      <c r="W13" s="1966"/>
      <c r="X13" s="1966"/>
      <c r="Y13" s="1966" t="s">
        <v>2061</v>
      </c>
      <c r="Z13" s="1966"/>
      <c r="AA13" s="1966"/>
      <c r="AB13" s="1966"/>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400"/>
      <c r="BT13" s="2261" t="s">
        <v>2062</v>
      </c>
      <c r="BU13" s="2381"/>
      <c r="BV13" s="2261" t="s">
        <v>2063</v>
      </c>
      <c r="BW13" s="2381"/>
      <c r="BX13" s="2261" t="s">
        <v>2064</v>
      </c>
      <c r="BY13" s="2381"/>
      <c r="BZ13" s="2261" t="s">
        <v>2065</v>
      </c>
      <c r="CA13" s="2381"/>
      <c r="CB13" s="2261" t="s">
        <v>2066</v>
      </c>
      <c r="CC13" s="2381"/>
      <c r="CD13" s="2261" t="s">
        <v>2067</v>
      </c>
      <c r="CE13" s="2381"/>
      <c r="CF13" s="2261" t="s">
        <v>2068</v>
      </c>
      <c r="CG13" s="2381"/>
      <c r="CH13" s="2317" t="s">
        <v>2069</v>
      </c>
      <c r="CI13" s="2318"/>
      <c r="CJ13" s="2318"/>
      <c r="CK13" s="2319"/>
      <c r="CL13" s="2383"/>
      <c r="CM13" s="2380"/>
      <c r="CN13" s="2380"/>
      <c r="CO13" s="2380"/>
      <c r="CP13" s="2380"/>
      <c r="CQ13" s="2380"/>
      <c r="CR13" s="2380"/>
      <c r="CS13" s="2380"/>
      <c r="CT13" s="2380"/>
      <c r="CU13" s="2380"/>
      <c r="CV13" s="2380"/>
      <c r="CW13" s="2380"/>
      <c r="CX13" s="2400"/>
      <c r="CY13" s="2261" t="s">
        <v>2070</v>
      </c>
      <c r="CZ13" s="2381"/>
      <c r="DA13" s="2261" t="s">
        <v>2071</v>
      </c>
      <c r="DB13" s="2381"/>
      <c r="DC13" s="2261" t="s">
        <v>2072</v>
      </c>
      <c r="DD13" s="2381"/>
      <c r="DE13" s="2261" t="s">
        <v>2073</v>
      </c>
      <c r="DF13" s="2381"/>
      <c r="DG13" s="2317" t="s">
        <v>2074</v>
      </c>
      <c r="DH13" s="2318"/>
      <c r="DI13" s="2318"/>
      <c r="DJ13" s="2319"/>
      <c r="DK13" s="2383"/>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95"/>
      <c r="FX13" s="772"/>
    </row>
    <row customHeight="1" ht="36">
      <c r="D14" s="950"/>
      <c r="E14" s="949"/>
      <c r="F14" s="2042"/>
      <c r="G14" s="2042"/>
      <c r="H14" s="2384"/>
      <c r="I14" s="2384"/>
      <c r="J14" s="2385"/>
      <c r="K14" s="2385"/>
      <c r="L14" s="2385"/>
      <c r="M14" s="2385"/>
      <c r="N14" s="2385"/>
      <c r="O14" s="2261" t="s">
        <v>2075</v>
      </c>
      <c r="P14" s="2381"/>
      <c r="Q14" s="2261" t="s">
        <v>2076</v>
      </c>
      <c r="R14" s="2381"/>
      <c r="S14" s="2262"/>
      <c r="T14" s="2048"/>
      <c r="U14" s="2261" t="s">
        <v>1862</v>
      </c>
      <c r="V14" s="2381"/>
      <c r="W14" s="2261" t="s">
        <v>1865</v>
      </c>
      <c r="X14" s="2381"/>
      <c r="Y14" s="2261" t="s">
        <v>1862</v>
      </c>
      <c r="Z14" s="2381"/>
      <c r="AA14" s="2261" t="s">
        <v>1872</v>
      </c>
      <c r="AB14" s="2381"/>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400"/>
      <c r="BT14" s="2262"/>
      <c r="BU14" s="2048"/>
      <c r="BV14" s="2262"/>
      <c r="BW14" s="2048"/>
      <c r="BX14" s="2262"/>
      <c r="BY14" s="2048"/>
      <c r="BZ14" s="2262"/>
      <c r="CA14" s="2048"/>
      <c r="CB14" s="2262"/>
      <c r="CC14" s="2048"/>
      <c r="CD14" s="2262"/>
      <c r="CE14" s="2048"/>
      <c r="CF14" s="2262"/>
      <c r="CG14" s="2048"/>
      <c r="CH14" s="2261" t="s">
        <v>2077</v>
      </c>
      <c r="CI14" s="2381"/>
      <c r="CJ14" s="2261" t="s">
        <v>2078</v>
      </c>
      <c r="CK14" s="2381"/>
      <c r="CL14" s="2383"/>
      <c r="CM14" s="2380"/>
      <c r="CN14" s="2380"/>
      <c r="CO14" s="2380"/>
      <c r="CP14" s="2380"/>
      <c r="CQ14" s="2380"/>
      <c r="CR14" s="2380"/>
      <c r="CS14" s="2380"/>
      <c r="CT14" s="2380"/>
      <c r="CU14" s="2380"/>
      <c r="CV14" s="2380"/>
      <c r="CW14" s="2380"/>
      <c r="CX14" s="2400"/>
      <c r="CY14" s="2262"/>
      <c r="CZ14" s="2048"/>
      <c r="DA14" s="2262"/>
      <c r="DB14" s="2048"/>
      <c r="DC14" s="2262"/>
      <c r="DD14" s="2048"/>
      <c r="DE14" s="2262"/>
      <c r="DF14" s="2048"/>
      <c r="DG14" s="2261" t="s">
        <v>2079</v>
      </c>
      <c r="DH14" s="2381"/>
      <c r="DI14" s="2261" t="s">
        <v>2080</v>
      </c>
      <c r="DJ14" s="2381"/>
      <c r="DK14" s="2383"/>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95"/>
      <c r="FX14" s="772"/>
    </row>
    <row customHeight="1" ht="36">
      <c r="D15" s="950"/>
      <c r="E15" s="949"/>
      <c r="F15" s="2042"/>
      <c r="G15" s="2042"/>
      <c r="H15" s="2384"/>
      <c r="I15" s="2384"/>
      <c r="J15" s="2385"/>
      <c r="K15" s="2385"/>
      <c r="L15" s="2385"/>
      <c r="M15" s="2385"/>
      <c r="N15" s="2385"/>
      <c r="O15" s="2263"/>
      <c r="P15" s="2382"/>
      <c r="Q15" s="2263"/>
      <c r="R15" s="2382"/>
      <c r="S15" s="2263"/>
      <c r="T15" s="2382"/>
      <c r="U15" s="2263"/>
      <c r="V15" s="2382"/>
      <c r="W15" s="2263"/>
      <c r="X15" s="2382"/>
      <c r="Y15" s="2263"/>
      <c r="Z15" s="2382"/>
      <c r="AA15" s="2263"/>
      <c r="AB15" s="2382"/>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400"/>
      <c r="BT15" s="2263"/>
      <c r="BU15" s="2382"/>
      <c r="BV15" s="2263"/>
      <c r="BW15" s="2382"/>
      <c r="BX15" s="2263"/>
      <c r="BY15" s="2382"/>
      <c r="BZ15" s="2263"/>
      <c r="CA15" s="2382"/>
      <c r="CB15" s="2263"/>
      <c r="CC15" s="2382"/>
      <c r="CD15" s="2263"/>
      <c r="CE15" s="2382"/>
      <c r="CF15" s="2263"/>
      <c r="CG15" s="2382"/>
      <c r="CH15" s="2263"/>
      <c r="CI15" s="2382"/>
      <c r="CJ15" s="2263"/>
      <c r="CK15" s="2382"/>
      <c r="CL15" s="2383"/>
      <c r="CM15" s="2380"/>
      <c r="CN15" s="2380"/>
      <c r="CO15" s="2380"/>
      <c r="CP15" s="2380"/>
      <c r="CQ15" s="2380"/>
      <c r="CR15" s="2380"/>
      <c r="CS15" s="2380"/>
      <c r="CT15" s="2380"/>
      <c r="CU15" s="2380"/>
      <c r="CV15" s="2380"/>
      <c r="CW15" s="2380"/>
      <c r="CX15" s="2400"/>
      <c r="CY15" s="2263"/>
      <c r="CZ15" s="2382"/>
      <c r="DA15" s="2263"/>
      <c r="DB15" s="2382"/>
      <c r="DC15" s="2263"/>
      <c r="DD15" s="2382"/>
      <c r="DE15" s="2263"/>
      <c r="DF15" s="2382"/>
      <c r="DG15" s="2263"/>
      <c r="DH15" s="2382"/>
      <c r="DI15" s="2263"/>
      <c r="DJ15" s="2382"/>
      <c r="DK15" s="2383"/>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95"/>
      <c r="FX15" s="772"/>
    </row>
    <row customHeight="1" ht="12">
      <c r="D16" s="950"/>
      <c r="E16" s="949"/>
      <c r="F16" s="2042"/>
      <c r="G16" s="2042"/>
      <c r="H16" s="2384"/>
      <c r="I16" s="2384"/>
      <c r="J16" s="2385"/>
      <c r="K16" s="2385"/>
      <c r="L16" s="2385"/>
      <c r="M16" s="2385"/>
      <c r="N16" s="2385"/>
      <c r="O16" s="2317" t="s">
        <v>1852</v>
      </c>
      <c r="P16" s="2319"/>
      <c r="Q16" s="2317" t="s">
        <v>1854</v>
      </c>
      <c r="R16" s="2319"/>
      <c r="S16" s="2317" t="s">
        <v>1858</v>
      </c>
      <c r="T16" s="2319"/>
      <c r="U16" s="2317" t="s">
        <v>1863</v>
      </c>
      <c r="V16" s="2319"/>
      <c r="W16" s="2317" t="s">
        <v>1866</v>
      </c>
      <c r="X16" s="2319"/>
      <c r="Y16" s="2317" t="s">
        <v>1870</v>
      </c>
      <c r="Z16" s="2319"/>
      <c r="AA16" s="2317" t="s">
        <v>1873</v>
      </c>
      <c r="AB16" s="231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400"/>
      <c r="BT16" s="2317" t="s">
        <v>1630</v>
      </c>
      <c r="BU16" s="2319"/>
      <c r="BV16" s="2317" t="s">
        <v>1630</v>
      </c>
      <c r="BW16" s="2319"/>
      <c r="BX16" s="2317" t="s">
        <v>1630</v>
      </c>
      <c r="BY16" s="2319"/>
      <c r="BZ16" s="2317" t="s">
        <v>1630</v>
      </c>
      <c r="CA16" s="2319"/>
      <c r="CB16" s="2317" t="s">
        <v>2081</v>
      </c>
      <c r="CC16" s="2319"/>
      <c r="CD16" s="2317" t="s">
        <v>1630</v>
      </c>
      <c r="CE16" s="2319"/>
      <c r="CF16" s="2317" t="s">
        <v>2082</v>
      </c>
      <c r="CG16" s="2319"/>
      <c r="CH16" s="2317" t="s">
        <v>2083</v>
      </c>
      <c r="CI16" s="2319"/>
      <c r="CJ16" s="2317" t="s">
        <v>2083</v>
      </c>
      <c r="CK16" s="2319"/>
      <c r="CL16" s="2383"/>
      <c r="CM16" s="2380"/>
      <c r="CN16" s="2380"/>
      <c r="CO16" s="2380"/>
      <c r="CP16" s="2380"/>
      <c r="CQ16" s="2380"/>
      <c r="CR16" s="2380"/>
      <c r="CS16" s="2380"/>
      <c r="CT16" s="2380"/>
      <c r="CU16" s="2380"/>
      <c r="CV16" s="2380"/>
      <c r="CW16" s="2380"/>
      <c r="CX16" s="2400"/>
      <c r="CY16" s="2261" t="s">
        <v>1630</v>
      </c>
      <c r="CZ16" s="2381"/>
      <c r="DA16" s="2261" t="s">
        <v>1630</v>
      </c>
      <c r="DB16" s="2381"/>
      <c r="DC16" s="2261" t="s">
        <v>1630</v>
      </c>
      <c r="DD16" s="2381"/>
      <c r="DE16" s="2317" t="s">
        <v>2081</v>
      </c>
      <c r="DF16" s="2319"/>
      <c r="DG16" s="2317" t="s">
        <v>2084</v>
      </c>
      <c r="DH16" s="2319"/>
      <c r="DI16" s="2317" t="s">
        <v>2084</v>
      </c>
      <c r="DJ16" s="2319"/>
      <c r="DK16" s="2383"/>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95"/>
      <c r="FX16" s="772"/>
    </row>
    <row customHeight="1" ht="15">
      <c r="E17" s="949"/>
      <c r="F17" s="2042"/>
      <c r="G17" s="2042"/>
      <c r="H17" s="2384"/>
      <c r="I17" s="2384"/>
      <c r="J17" s="2385"/>
      <c r="K17" s="2385"/>
      <c r="L17" s="2385"/>
      <c r="M17" s="2385"/>
      <c r="N17" s="2385"/>
      <c r="O17" s="1207" t="s">
        <v>2085</v>
      </c>
      <c r="P17" s="1207" t="s">
        <v>2086</v>
      </c>
      <c r="Q17" s="1207" t="s">
        <v>2085</v>
      </c>
      <c r="R17" s="1207" t="s">
        <v>2086</v>
      </c>
      <c r="S17" s="1207" t="s">
        <v>2085</v>
      </c>
      <c r="T17" s="1207" t="s">
        <v>2086</v>
      </c>
      <c r="U17" s="1207" t="s">
        <v>2085</v>
      </c>
      <c r="V17" s="1207" t="s">
        <v>2086</v>
      </c>
      <c r="W17" s="1207" t="s">
        <v>2085</v>
      </c>
      <c r="X17" s="1207" t="s">
        <v>2086</v>
      </c>
      <c r="Y17" s="1207" t="s">
        <v>2085</v>
      </c>
      <c r="Z17" s="1207" t="s">
        <v>2086</v>
      </c>
      <c r="AA17" s="1207" t="s">
        <v>2085</v>
      </c>
      <c r="AB17" s="1207" t="s">
        <v>2086</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400"/>
      <c r="BT17" s="1207" t="s">
        <v>2085</v>
      </c>
      <c r="BU17" s="1207" t="s">
        <v>2086</v>
      </c>
      <c r="BV17" s="1207" t="s">
        <v>2085</v>
      </c>
      <c r="BW17" s="1207" t="s">
        <v>2086</v>
      </c>
      <c r="BX17" s="1207" t="s">
        <v>2085</v>
      </c>
      <c r="BY17" s="1207" t="s">
        <v>2086</v>
      </c>
      <c r="BZ17" s="1207" t="s">
        <v>2085</v>
      </c>
      <c r="CA17" s="1207" t="s">
        <v>2086</v>
      </c>
      <c r="CB17" s="1207" t="s">
        <v>2085</v>
      </c>
      <c r="CC17" s="1207" t="s">
        <v>2086</v>
      </c>
      <c r="CD17" s="1207" t="s">
        <v>2085</v>
      </c>
      <c r="CE17" s="1207" t="s">
        <v>2086</v>
      </c>
      <c r="CF17" s="1207" t="s">
        <v>2085</v>
      </c>
      <c r="CG17" s="1207" t="s">
        <v>2086</v>
      </c>
      <c r="CH17" s="1207" t="s">
        <v>2085</v>
      </c>
      <c r="CI17" s="1207" t="s">
        <v>2086</v>
      </c>
      <c r="CJ17" s="1207" t="s">
        <v>2085</v>
      </c>
      <c r="CK17" s="1207" t="s">
        <v>2086</v>
      </c>
      <c r="CL17" s="2383"/>
      <c r="CM17" s="2380"/>
      <c r="CN17" s="2380"/>
      <c r="CO17" s="2380"/>
      <c r="CP17" s="2380"/>
      <c r="CQ17" s="2380"/>
      <c r="CR17" s="2380"/>
      <c r="CS17" s="2380"/>
      <c r="CT17" s="2380"/>
      <c r="CU17" s="2380"/>
      <c r="CV17" s="2380"/>
      <c r="CW17" s="2380"/>
      <c r="CX17" s="2400"/>
      <c r="CY17" s="1207" t="s">
        <v>2085</v>
      </c>
      <c r="CZ17" s="1207" t="s">
        <v>2086</v>
      </c>
      <c r="DA17" s="1207" t="s">
        <v>2085</v>
      </c>
      <c r="DB17" s="1207" t="s">
        <v>2086</v>
      </c>
      <c r="DC17" s="1207" t="s">
        <v>2085</v>
      </c>
      <c r="DD17" s="1207" t="s">
        <v>2086</v>
      </c>
      <c r="DE17" s="1207" t="s">
        <v>2085</v>
      </c>
      <c r="DF17" s="1207" t="s">
        <v>2086</v>
      </c>
      <c r="DG17" s="1207" t="s">
        <v>2085</v>
      </c>
      <c r="DH17" s="1207" t="s">
        <v>2086</v>
      </c>
      <c r="DI17" s="1207" t="s">
        <v>2085</v>
      </c>
      <c r="DJ17" s="1207" t="s">
        <v>2086</v>
      </c>
      <c r="DK17" s="2383"/>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96"/>
      <c r="FX17" s="772"/>
    </row>
    <row s="3291"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291"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289" customFormat="1" customHeight="1" ht="11.25" hidden="1">
      <c r="B20" s="952"/>
      <c r="D20" s="936"/>
      <c r="E20" s="951"/>
      <c r="F20" s="1213" t="s">
        <v>365</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289"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289" customFormat="1" customHeight="1" ht="12">
      <c r="A22" s="953"/>
      <c r="B22" s="953"/>
      <c r="C22" s="953"/>
      <c r="D22" s="953"/>
      <c r="E22" s="953"/>
      <c r="FX22" s="953"/>
      <c r="FY22" s="953"/>
      <c r="FZ22" s="953"/>
      <c r="GA22" s="953"/>
      <c r="GB22" s="953"/>
    </row>
    <row s="4657"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F753F-AC3E-96C9-7EB8-940EB56909F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2087</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2088</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2089</v>
      </c>
      <c r="W38" s="2195" t="s">
        <v>2090</v>
      </c>
      <c r="X38" s="2196"/>
      <c r="Y38" s="2195" t="s">
        <v>493</v>
      </c>
      <c r="Z38" s="2202"/>
      <c r="AA38" s="2196"/>
      <c r="AB38" s="2211"/>
      <c r="AC38" s="1519" t="s">
        <v>2089</v>
      </c>
      <c r="AD38" s="2195" t="s">
        <v>2090</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2091</v>
      </c>
      <c r="W39" s="1243" t="s">
        <v>2092</v>
      </c>
      <c r="X39" s="1243" t="s">
        <v>2093</v>
      </c>
      <c r="Y39" s="1525" t="s">
        <v>503</v>
      </c>
      <c r="Z39" s="2203" t="s">
        <v>504</v>
      </c>
      <c r="AA39" s="2204"/>
      <c r="AB39" s="2212"/>
      <c r="AC39" s="1519" t="s">
        <v>2091</v>
      </c>
      <c r="AD39" s="1243" t="s">
        <v>2092</v>
      </c>
      <c r="AE39" s="1243" t="s">
        <v>2093</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2087</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2088</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2094</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2094</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2094</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2094</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2094</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2094</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2094</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2095</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2096</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A2D63-D4FC-87D2-56AB-8B727D0BF5B9}"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53" width="3.7109375" hidden="1" customWidth="1"/>
    <col min="3" max="3" style="2854" width="3.7109375" customWidth="1"/>
    <col min="4" max="4" style="2854" width="6.140625" customWidth="1"/>
    <col min="5" max="5" style="2854" width="43.140625" customWidth="1"/>
    <col min="6" max="6" style="2828" width="15.00390625" customWidth="1"/>
    <col min="7" max="7" style="2854" width="43.140625" customWidth="1"/>
    <col min="8" max="8" style="2854" width="3.7109375" customWidth="1"/>
    <col min="9" max="9" style="2854" width="5.421875" customWidth="1"/>
    <col min="10" max="10" style="2854" width="47.8515625" customWidth="1"/>
    <col min="11" max="12" style="2854" width="3.7109375" customWidth="1"/>
    <col min="13" max="13" style="2854" width="5.7109375" customWidth="1"/>
    <col min="14" max="14" style="2854" width="28.140625" customWidth="1"/>
    <col min="15" max="16" style="2854" width="3.7109375" customWidth="1"/>
    <col min="17" max="17" style="2854" width="5.7109375" customWidth="1"/>
    <col min="18" max="18" style="2854" width="34.421875" customWidth="1"/>
    <col min="19" max="20" style="2855" width="3.7109375" hidden="1" customWidth="1"/>
    <col min="21" max="21" style="2855" width="5.7109375" hidden="1" customWidth="1"/>
    <col min="22" max="22" style="2855" width="34.421875" hidden="1" customWidth="1"/>
    <col min="23" max="23" style="2854" width="30.7109375" customWidth="1"/>
    <col min="24" max="24" style="2854" width="3.7109375" customWidth="1"/>
    <col min="25" max="28" style="2776" width="9.8515625" hidden="1" customWidth="1"/>
    <col min="29" max="29" style="2776" width="27.00390625" hidden="1" customWidth="1"/>
    <col min="30" max="30" style="2776" width="10.57421875" hidden="1" customWidth="1"/>
    <col min="31" max="31" style="2776" width="10.7109375" hidden="1" customWidth="1"/>
    <col min="32" max="32" style="2776" width="10.00390625" hidden="1" customWidth="1"/>
    <col min="33" max="33" style="2776" width="12.8515625" hidden="1" customWidth="1"/>
    <col min="34" max="34" style="2776" width="10.28125" hidden="1" customWidth="1"/>
    <col min="35" max="35" style="2776" width="15.8515625" hidden="1" customWidth="1"/>
    <col min="36" max="36" style="2776" width="19.421875" hidden="1" customWidth="1"/>
    <col min="37" max="37" style="2776" width="11.00390625" hidden="1" customWidth="1"/>
    <col min="38" max="38" style="2776" width="23.57421875" hidden="1" customWidth="1"/>
    <col min="39" max="39" style="2776" width="23.8515625" hidden="1" customWidth="1"/>
    <col min="40" max="40" style="2776" width="25.28125" hidden="1" customWidth="1"/>
    <col min="41" max="41" style="2776" width="16.8515625" hidden="1" customWidth="1"/>
    <col min="42" max="42" style="2776" width="29.57421875" hidden="1" customWidth="1"/>
    <col min="43" max="43" style="2776" width="29.8515625" hidden="1" customWidth="1"/>
    <col min="44" max="44" style="2854" width="9.140625" hidden="1"/>
  </cols>
  <sheetData>
    <row customHeight="1" ht="11.25" hidden="1">
      <c r="A1" s="142"/>
    </row>
    <row customHeight="1" ht="11.25" hidden="1"/>
    <row customHeight="1" ht="11.25" hidden="1"/>
    <row customHeight="1" ht="3"/>
    <row s="2753" customFormat="1" customHeight="1" ht="39">
      <c r="A5" s="140"/>
      <c r="B5" s="140"/>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97"/>
      <c r="F5" s="1997"/>
      <c r="G5" s="1997"/>
      <c r="H5" s="1997"/>
      <c r="I5" s="1997"/>
      <c r="J5" s="1998"/>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3" customFormat="1" customHeight="1" ht="15">
      <c r="A6" s="593"/>
      <c r="B6" s="593"/>
      <c r="C6" s="593"/>
      <c r="D6" s="2002" t="str">
        <f>IF(org=0,"Не определено",org)</f>
        <v>Филиал "Печорская ГРЭС" АО "Интер РАО-Электрогенерация"</v>
      </c>
      <c r="E6" s="2002"/>
      <c r="F6" s="2002"/>
      <c r="G6" s="2002"/>
      <c r="H6" s="2002"/>
      <c r="I6" s="2002"/>
      <c r="J6" s="2002"/>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3" customFormat="1" customHeight="1" ht="11.25">
      <c r="A7" s="197"/>
      <c r="B7" s="197"/>
      <c r="D7" s="1999"/>
      <c r="E7" s="2000"/>
      <c r="F7" s="2000"/>
      <c r="G7" s="2000"/>
      <c r="H7" s="2000"/>
      <c r="I7" s="2000"/>
      <c r="J7" s="2001"/>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3"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66" t="s">
        <v>87</v>
      </c>
      <c r="E9" s="1940" t="s">
        <v>123</v>
      </c>
      <c r="F9" s="1942"/>
      <c r="G9" s="1966" t="s">
        <v>105</v>
      </c>
      <c r="H9" s="1966" t="s">
        <v>87</v>
      </c>
      <c r="I9" s="1966"/>
      <c r="J9" s="1966" t="s">
        <v>124</v>
      </c>
      <c r="K9" s="1994" t="s">
        <v>125</v>
      </c>
      <c r="L9" s="1994"/>
      <c r="M9" s="1994"/>
      <c r="N9" s="1994"/>
      <c r="O9" s="1994" t="s">
        <v>126</v>
      </c>
      <c r="P9" s="1994"/>
      <c r="Q9" s="1994"/>
      <c r="R9" s="1994"/>
      <c r="S9" s="1994" t="s">
        <v>127</v>
      </c>
      <c r="T9" s="1994"/>
      <c r="U9" s="1994"/>
      <c r="V9" s="1994"/>
      <c r="W9" s="1966" t="s">
        <v>128</v>
      </c>
    </row>
    <row customHeight="1" ht="30">
      <c r="D10" s="1966"/>
      <c r="E10" s="1320" t="s">
        <v>88</v>
      </c>
      <c r="F10" s="1320" t="s">
        <v>129</v>
      </c>
      <c r="G10" s="1966"/>
      <c r="H10" s="1966"/>
      <c r="I10" s="1966"/>
      <c r="J10" s="1966"/>
      <c r="K10" s="96" t="s">
        <v>108</v>
      </c>
      <c r="L10" s="1966" t="s">
        <v>87</v>
      </c>
      <c r="M10" s="1966"/>
      <c r="N10" s="96" t="s">
        <v>130</v>
      </c>
      <c r="O10" s="96" t="s">
        <v>108</v>
      </c>
      <c r="P10" s="1966" t="s">
        <v>87</v>
      </c>
      <c r="Q10" s="1966"/>
      <c r="R10" s="96" t="s">
        <v>130</v>
      </c>
      <c r="S10" s="271" t="s">
        <v>108</v>
      </c>
      <c r="T10" s="1966" t="s">
        <v>87</v>
      </c>
      <c r="U10" s="1966"/>
      <c r="V10" s="271" t="s">
        <v>88</v>
      </c>
      <c r="W10" s="1966"/>
      <c r="Z10" s="1294" t="s">
        <v>131</v>
      </c>
      <c r="AA10" s="1294" t="s">
        <v>132</v>
      </c>
      <c r="AB10" s="1294" t="s">
        <v>133</v>
      </c>
      <c r="AC10" s="1294" t="s">
        <v>134</v>
      </c>
      <c r="AD10" s="1294" t="s">
        <v>135</v>
      </c>
      <c r="AE10" s="1294" t="s">
        <v>136</v>
      </c>
      <c r="AF10" s="1294" t="s">
        <v>137</v>
      </c>
      <c r="AG10" s="1294" t="s">
        <v>138</v>
      </c>
      <c r="AH10" s="1294" t="s">
        <v>139</v>
      </c>
      <c r="AI10" s="1294" t="s">
        <v>140</v>
      </c>
      <c r="AJ10" s="1294" t="s">
        <v>141</v>
      </c>
      <c r="AK10" s="1294" t="s">
        <v>142</v>
      </c>
      <c r="AL10" s="1294" t="s">
        <v>143</v>
      </c>
      <c r="AM10" s="1294" t="s">
        <v>144</v>
      </c>
      <c r="AN10" s="1294" t="s">
        <v>145</v>
      </c>
      <c r="AO10" s="1294" t="s">
        <v>146</v>
      </c>
      <c r="AP10" s="1294" t="s">
        <v>147</v>
      </c>
      <c r="AQ10" s="1294" t="s">
        <v>148</v>
      </c>
    </row>
    <row s="2777" customFormat="1" customHeight="1" ht="12" hidden="1">
      <c r="D11" s="1274" t="s">
        <v>109</v>
      </c>
      <c r="E11" s="1274" t="s">
        <v>110</v>
      </c>
      <c r="F11" s="1274"/>
      <c r="G11" s="1274" t="s">
        <v>89</v>
      </c>
      <c r="H11" s="1995" t="s">
        <v>111</v>
      </c>
      <c r="I11" s="1995"/>
      <c r="J11" s="1274" t="s">
        <v>91</v>
      </c>
      <c r="K11" s="1274" t="s">
        <v>92</v>
      </c>
      <c r="L11" s="1995" t="s">
        <v>112</v>
      </c>
      <c r="M11" s="1995"/>
      <c r="N11" s="1274" t="s">
        <v>149</v>
      </c>
      <c r="O11" s="1274" t="s">
        <v>150</v>
      </c>
      <c r="P11" s="1995" t="s">
        <v>151</v>
      </c>
      <c r="Q11" s="1995"/>
      <c r="R11" s="1274" t="s">
        <v>152</v>
      </c>
      <c r="S11" s="1274" t="s">
        <v>151</v>
      </c>
      <c r="T11" s="1995" t="s">
        <v>152</v>
      </c>
      <c r="U11" s="1995"/>
      <c r="V11" s="1274" t="s">
        <v>153</v>
      </c>
      <c r="W11" s="1274" t="s">
        <v>154</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2" customFormat="1" customHeight="1" ht="17.25" hidden="1">
      <c r="A13" s="314"/>
      <c r="C13" s="195"/>
      <c r="D13" s="1980">
        <v>1</v>
      </c>
      <c r="E13" s="1982" t="s">
        <v>155</v>
      </c>
      <c r="F13" s="1984" t="s">
        <v>56</v>
      </c>
      <c r="G13" s="1982"/>
      <c r="H13" s="1987"/>
      <c r="I13" s="1989"/>
      <c r="J13" s="1991"/>
      <c r="K13" s="1974"/>
      <c r="L13" s="1974"/>
      <c r="M13" s="1974"/>
      <c r="N13" s="1976"/>
      <c r="O13" s="1974"/>
      <c r="P13" s="1974"/>
      <c r="Q13" s="1974"/>
      <c r="R13" s="1979"/>
      <c r="S13" s="1974"/>
      <c r="T13" s="1456"/>
      <c r="U13" s="1456"/>
      <c r="V13" s="1455"/>
      <c r="W13" s="1332"/>
      <c r="Y13" s="1302"/>
      <c r="Z13" s="1302"/>
      <c r="AA13" s="1302"/>
      <c r="AB13" s="1302"/>
      <c r="AC13" s="1302" t="s">
        <v>156</v>
      </c>
      <c r="AD13" s="1302" t="s">
        <v>157</v>
      </c>
      <c r="AE13" s="1302" t="s">
        <v>158</v>
      </c>
      <c r="AF13" s="1302" t="s">
        <v>159</v>
      </c>
      <c r="AG13" s="1302" t="s">
        <v>160</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2" customFormat="1" customHeight="1" ht="17.25" hidden="1">
      <c r="A14" s="314"/>
      <c r="C14" s="313"/>
      <c r="D14" s="1980"/>
      <c r="E14" s="1982"/>
      <c r="F14" s="1985"/>
      <c r="G14" s="1982"/>
      <c r="H14" s="1988"/>
      <c r="I14" s="1990"/>
      <c r="J14" s="1992"/>
      <c r="K14" s="1975"/>
      <c r="L14" s="1975"/>
      <c r="M14" s="1975"/>
      <c r="N14" s="1977"/>
      <c r="O14" s="1975"/>
      <c r="P14" s="1975"/>
      <c r="Q14" s="1975"/>
      <c r="R14" s="1978"/>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7" customFormat="1" customHeight="1" ht="17.25" hidden="1">
      <c r="A15" s="314"/>
      <c r="C15" s="195"/>
      <c r="D15" s="1980"/>
      <c r="E15" s="1982"/>
      <c r="F15" s="1985"/>
      <c r="G15" s="1982"/>
      <c r="H15" s="1988"/>
      <c r="I15" s="1990"/>
      <c r="J15" s="1993"/>
      <c r="K15" s="1975"/>
      <c r="L15" s="1975"/>
      <c r="M15" s="1975"/>
      <c r="N15" s="1978"/>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7" customFormat="1" customHeight="1" ht="17.25" hidden="1">
      <c r="A16" s="314"/>
      <c r="C16" s="313"/>
      <c r="D16" s="1980"/>
      <c r="E16" s="1982"/>
      <c r="F16" s="1985"/>
      <c r="G16" s="1982"/>
      <c r="H16" s="1988"/>
      <c r="I16" s="1990"/>
      <c r="J16" s="1993"/>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2" customFormat="1" customHeight="1" ht="17.25" hidden="1">
      <c r="A17" s="314"/>
      <c r="C17" s="313"/>
      <c r="D17" s="1981"/>
      <c r="E17" s="1983"/>
      <c r="F17" s="1986"/>
      <c r="G17" s="1983"/>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8" customFormat="1" customHeight="1" ht="17.25" hidden="1">
      <c r="A18" s="314"/>
      <c r="C18" s="195"/>
      <c r="D18" s="1980">
        <v>2</v>
      </c>
      <c r="E18" s="1982" t="s">
        <v>161</v>
      </c>
      <c r="F18" s="1984" t="s">
        <v>56</v>
      </c>
      <c r="G18" s="1982"/>
      <c r="H18" s="1987"/>
      <c r="I18" s="1989"/>
      <c r="J18" s="1991"/>
      <c r="K18" s="1974"/>
      <c r="L18" s="1974"/>
      <c r="M18" s="1974"/>
      <c r="N18" s="1976"/>
      <c r="O18" s="1974"/>
      <c r="P18" s="1974"/>
      <c r="Q18" s="1974"/>
      <c r="R18" s="1979"/>
      <c r="S18" s="1974"/>
      <c r="T18" s="1456"/>
      <c r="U18" s="1456"/>
      <c r="V18" s="1455"/>
      <c r="W18" s="1332"/>
      <c r="X18" s="1302"/>
      <c r="Y18" s="1302"/>
      <c r="Z18" s="1302"/>
      <c r="AA18" s="1302"/>
      <c r="AB18" s="1302"/>
      <c r="AC18" s="1302" t="s">
        <v>162</v>
      </c>
      <c r="AD18" s="1302" t="s">
        <v>163</v>
      </c>
      <c r="AE18" s="1302" t="s">
        <v>164</v>
      </c>
      <c r="AF18" s="1302" t="s">
        <v>165</v>
      </c>
      <c r="AG18" s="1302" t="s">
        <v>166</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8" customFormat="1" customHeight="1" ht="17.25" hidden="1">
      <c r="A19" s="314"/>
      <c r="C19" s="313"/>
      <c r="D19" s="1980"/>
      <c r="E19" s="1982"/>
      <c r="F19" s="1985"/>
      <c r="G19" s="1982"/>
      <c r="H19" s="1988"/>
      <c r="I19" s="1990"/>
      <c r="J19" s="1992"/>
      <c r="K19" s="1975"/>
      <c r="L19" s="1975"/>
      <c r="M19" s="1975"/>
      <c r="N19" s="1977"/>
      <c r="O19" s="1975"/>
      <c r="P19" s="1975"/>
      <c r="Q19" s="1975"/>
      <c r="R19" s="1978"/>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8" customFormat="1" customHeight="1" ht="17.25" hidden="1">
      <c r="A20" s="314"/>
      <c r="C20" s="313"/>
      <c r="D20" s="1981"/>
      <c r="E20" s="1983"/>
      <c r="F20" s="1985"/>
      <c r="G20" s="1983"/>
      <c r="H20" s="1988"/>
      <c r="I20" s="1990"/>
      <c r="J20" s="1993"/>
      <c r="K20" s="1975"/>
      <c r="L20" s="1975"/>
      <c r="M20" s="1975"/>
      <c r="N20" s="1978"/>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8" customFormat="1" customHeight="1" ht="17.25" hidden="1">
      <c r="A21" s="314"/>
      <c r="C21" s="313"/>
      <c r="D21" s="1981"/>
      <c r="E21" s="1983"/>
      <c r="F21" s="1985"/>
      <c r="G21" s="1983"/>
      <c r="H21" s="1988"/>
      <c r="I21" s="1990"/>
      <c r="J21" s="1993"/>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8" customFormat="1" customHeight="1" ht="17.25" hidden="1">
      <c r="A22" s="314"/>
      <c r="C22" s="313"/>
      <c r="D22" s="1981"/>
      <c r="E22" s="1983"/>
      <c r="F22" s="1986"/>
      <c r="G22" s="1983"/>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8" customFormat="1" customHeight="1" ht="17.25" hidden="1">
      <c r="A23" s="314"/>
      <c r="C23" s="195"/>
      <c r="D23" s="1980">
        <v>3</v>
      </c>
      <c r="E23" s="1982" t="s">
        <v>167</v>
      </c>
      <c r="F23" s="1984" t="s">
        <v>56</v>
      </c>
      <c r="G23" s="1982"/>
      <c r="H23" s="1987"/>
      <c r="I23" s="1989"/>
      <c r="J23" s="1991"/>
      <c r="K23" s="1974"/>
      <c r="L23" s="1974"/>
      <c r="M23" s="1974"/>
      <c r="N23" s="1976"/>
      <c r="O23" s="1974"/>
      <c r="P23" s="1974"/>
      <c r="Q23" s="1974"/>
      <c r="R23" s="1979"/>
      <c r="S23" s="1974"/>
      <c r="T23" s="1456"/>
      <c r="U23" s="1456"/>
      <c r="V23" s="1455"/>
      <c r="W23" s="1332"/>
      <c r="X23" s="1302"/>
      <c r="Y23" s="1302"/>
      <c r="Z23" s="1302"/>
      <c r="AA23" s="1302"/>
      <c r="AB23" s="1302"/>
      <c r="AC23" s="1302" t="s">
        <v>168</v>
      </c>
      <c r="AD23" s="1302" t="s">
        <v>169</v>
      </c>
      <c r="AE23" s="1302" t="s">
        <v>170</v>
      </c>
      <c r="AF23" s="1302" t="s">
        <v>171</v>
      </c>
      <c r="AG23" s="1302" t="s">
        <v>172</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8" customFormat="1" customHeight="1" ht="17.25" hidden="1">
      <c r="A24" s="314"/>
      <c r="C24" s="313"/>
      <c r="D24" s="1980"/>
      <c r="E24" s="1982"/>
      <c r="F24" s="1985"/>
      <c r="G24" s="1982"/>
      <c r="H24" s="1988"/>
      <c r="I24" s="1990"/>
      <c r="J24" s="1992"/>
      <c r="K24" s="1975"/>
      <c r="L24" s="1975"/>
      <c r="M24" s="1975"/>
      <c r="N24" s="1977"/>
      <c r="O24" s="1975"/>
      <c r="P24" s="1975"/>
      <c r="Q24" s="1975"/>
      <c r="R24" s="1978"/>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8" customFormat="1" customHeight="1" ht="17.25" hidden="1">
      <c r="A25" s="314"/>
      <c r="C25" s="313"/>
      <c r="D25" s="1981"/>
      <c r="E25" s="1983"/>
      <c r="F25" s="1985"/>
      <c r="G25" s="1983"/>
      <c r="H25" s="1988"/>
      <c r="I25" s="1990"/>
      <c r="J25" s="1993"/>
      <c r="K25" s="1975"/>
      <c r="L25" s="1975"/>
      <c r="M25" s="1975"/>
      <c r="N25" s="1978"/>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8" customFormat="1" customHeight="1" ht="17.25" hidden="1">
      <c r="A26" s="314"/>
      <c r="C26" s="313"/>
      <c r="D26" s="1981"/>
      <c r="E26" s="1983"/>
      <c r="F26" s="1985"/>
      <c r="G26" s="1983"/>
      <c r="H26" s="1988"/>
      <c r="I26" s="1990"/>
      <c r="J26" s="1993"/>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8" customFormat="1" customHeight="1" ht="17.25" hidden="1">
      <c r="A27" s="314"/>
      <c r="C27" s="313"/>
      <c r="D27" s="1981"/>
      <c r="E27" s="1983"/>
      <c r="F27" s="1986"/>
      <c r="G27" s="1983"/>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8" customFormat="1" customHeight="1" ht="17.25" hidden="1">
      <c r="A28" s="314"/>
      <c r="C28" s="195"/>
      <c r="D28" s="1980">
        <v>4</v>
      </c>
      <c r="E28" s="1982" t="s">
        <v>173</v>
      </c>
      <c r="F28" s="1984" t="s">
        <v>56</v>
      </c>
      <c r="G28" s="1982"/>
      <c r="H28" s="1987"/>
      <c r="I28" s="1989"/>
      <c r="J28" s="1991"/>
      <c r="K28" s="1974"/>
      <c r="L28" s="1974"/>
      <c r="M28" s="1974"/>
      <c r="N28" s="1976"/>
      <c r="O28" s="1974"/>
      <c r="P28" s="1974"/>
      <c r="Q28" s="1974"/>
      <c r="R28" s="1979"/>
      <c r="S28" s="1974"/>
      <c r="T28" s="1456"/>
      <c r="U28" s="1456"/>
      <c r="V28" s="1455"/>
      <c r="W28" s="1332"/>
      <c r="X28" s="1302"/>
      <c r="Y28" s="1302"/>
      <c r="Z28" s="1302"/>
      <c r="AA28" s="1302"/>
      <c r="AB28" s="1302"/>
      <c r="AC28" s="1302" t="s">
        <v>174</v>
      </c>
      <c r="AD28" s="1302" t="s">
        <v>175</v>
      </c>
      <c r="AE28" s="1302" t="s">
        <v>176</v>
      </c>
      <c r="AF28" s="1302" t="s">
        <v>177</v>
      </c>
      <c r="AG28" s="1302" t="s">
        <v>178</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8" customFormat="1" customHeight="1" ht="17.25" hidden="1">
      <c r="A29" s="314"/>
      <c r="C29" s="313"/>
      <c r="D29" s="1980"/>
      <c r="E29" s="1982"/>
      <c r="F29" s="1985"/>
      <c r="G29" s="1982"/>
      <c r="H29" s="1988"/>
      <c r="I29" s="1990"/>
      <c r="J29" s="1992"/>
      <c r="K29" s="1975"/>
      <c r="L29" s="1975"/>
      <c r="M29" s="1975"/>
      <c r="N29" s="1977"/>
      <c r="O29" s="1975"/>
      <c r="P29" s="1975"/>
      <c r="Q29" s="1975"/>
      <c r="R29" s="1978"/>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8" customFormat="1" customHeight="1" ht="17.25" hidden="1">
      <c r="A30" s="314"/>
      <c r="C30" s="313"/>
      <c r="D30" s="1981"/>
      <c r="E30" s="1983"/>
      <c r="F30" s="1985"/>
      <c r="G30" s="1983"/>
      <c r="H30" s="1988"/>
      <c r="I30" s="1990"/>
      <c r="J30" s="1993"/>
      <c r="K30" s="1975"/>
      <c r="L30" s="1975"/>
      <c r="M30" s="1975"/>
      <c r="N30" s="1978"/>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8" customFormat="1" customHeight="1" ht="17.25" hidden="1">
      <c r="A31" s="314"/>
      <c r="C31" s="313"/>
      <c r="D31" s="1981"/>
      <c r="E31" s="1983"/>
      <c r="F31" s="1985"/>
      <c r="G31" s="1983"/>
      <c r="H31" s="1988"/>
      <c r="I31" s="1990"/>
      <c r="J31" s="1993"/>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8" customFormat="1" customHeight="1" ht="17.25" hidden="1">
      <c r="A32" s="314"/>
      <c r="C32" s="313"/>
      <c r="D32" s="1981"/>
      <c r="E32" s="1983"/>
      <c r="F32" s="1986"/>
      <c r="G32" s="1983"/>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8" customFormat="1" customHeight="1" ht="17.25" hidden="1">
      <c r="A33" s="314"/>
      <c r="C33" s="195"/>
      <c r="D33" s="1980">
        <v>5</v>
      </c>
      <c r="E33" s="1982" t="s">
        <v>179</v>
      </c>
      <c r="F33" s="1984" t="s">
        <v>56</v>
      </c>
      <c r="G33" s="1982"/>
      <c r="H33" s="1987"/>
      <c r="I33" s="1989"/>
      <c r="J33" s="1991"/>
      <c r="K33" s="1974"/>
      <c r="L33" s="1974"/>
      <c r="M33" s="1974"/>
      <c r="N33" s="1976"/>
      <c r="O33" s="1974"/>
      <c r="P33" s="1974"/>
      <c r="Q33" s="1974"/>
      <c r="R33" s="1979"/>
      <c r="S33" s="1974"/>
      <c r="T33" s="1456"/>
      <c r="U33" s="1456"/>
      <c r="V33" s="1455"/>
      <c r="W33" s="1332"/>
      <c r="X33" s="1302"/>
      <c r="Y33" s="1302"/>
      <c r="Z33" s="1302"/>
      <c r="AA33" s="1302"/>
      <c r="AB33" s="1302"/>
      <c r="AC33" s="1302" t="s">
        <v>180</v>
      </c>
      <c r="AD33" s="1302" t="s">
        <v>181</v>
      </c>
      <c r="AE33" s="1302" t="s">
        <v>182</v>
      </c>
      <c r="AF33" s="1302" t="s">
        <v>183</v>
      </c>
      <c r="AG33" s="1302" t="s">
        <v>184</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28" customFormat="1" customHeight="1" ht="17.25" hidden="1">
      <c r="A34" s="314"/>
      <c r="C34" s="313"/>
      <c r="D34" s="1980"/>
      <c r="E34" s="1982"/>
      <c r="F34" s="1985"/>
      <c r="G34" s="1982"/>
      <c r="H34" s="1988"/>
      <c r="I34" s="1990"/>
      <c r="J34" s="1992"/>
      <c r="K34" s="1975"/>
      <c r="L34" s="1975"/>
      <c r="M34" s="1975"/>
      <c r="N34" s="1977"/>
      <c r="O34" s="1975"/>
      <c r="P34" s="1975"/>
      <c r="Q34" s="1975"/>
      <c r="R34" s="1978"/>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8" customFormat="1" customHeight="1" ht="17.25" hidden="1">
      <c r="A35" s="314"/>
      <c r="C35" s="313"/>
      <c r="D35" s="1981"/>
      <c r="E35" s="1983"/>
      <c r="F35" s="1985"/>
      <c r="G35" s="1983"/>
      <c r="H35" s="1988"/>
      <c r="I35" s="1990"/>
      <c r="J35" s="1993"/>
      <c r="K35" s="1975"/>
      <c r="L35" s="1975"/>
      <c r="M35" s="1975"/>
      <c r="N35" s="1978"/>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8" customFormat="1" customHeight="1" ht="17.25" hidden="1">
      <c r="A36" s="314"/>
      <c r="C36" s="313"/>
      <c r="D36" s="1981"/>
      <c r="E36" s="1983"/>
      <c r="F36" s="1985"/>
      <c r="G36" s="1983"/>
      <c r="H36" s="1988"/>
      <c r="I36" s="1990"/>
      <c r="J36" s="1993"/>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8" customFormat="1" customHeight="1" ht="17.25" hidden="1">
      <c r="A37" s="314"/>
      <c r="C37" s="313"/>
      <c r="D37" s="1981"/>
      <c r="E37" s="1983"/>
      <c r="F37" s="1986"/>
      <c r="G37" s="1983"/>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8" customFormat="1" customHeight="1" ht="17.25" hidden="1">
      <c r="A38" s="314"/>
      <c r="C38" s="195"/>
      <c r="D38" s="1980">
        <v>6</v>
      </c>
      <c r="E38" s="1982" t="s">
        <v>185</v>
      </c>
      <c r="F38" s="1984" t="s">
        <v>56</v>
      </c>
      <c r="G38" s="1982"/>
      <c r="H38" s="1987"/>
      <c r="I38" s="1989"/>
      <c r="J38" s="1991"/>
      <c r="K38" s="1974"/>
      <c r="L38" s="1974"/>
      <c r="M38" s="1974"/>
      <c r="N38" s="1976"/>
      <c r="O38" s="1974"/>
      <c r="P38" s="1974"/>
      <c r="Q38" s="1974"/>
      <c r="R38" s="1979"/>
      <c r="S38" s="1974"/>
      <c r="T38" s="1456"/>
      <c r="U38" s="1456"/>
      <c r="V38" s="1455"/>
      <c r="W38" s="1332"/>
      <c r="X38" s="1302"/>
      <c r="Y38" s="1302"/>
      <c r="Z38" s="1302"/>
      <c r="AA38" s="1302"/>
      <c r="AB38" s="1302"/>
      <c r="AC38" s="1302" t="s">
        <v>186</v>
      </c>
      <c r="AD38" s="1302" t="s">
        <v>187</v>
      </c>
      <c r="AE38" s="1302" t="s">
        <v>188</v>
      </c>
      <c r="AF38" s="1302" t="s">
        <v>189</v>
      </c>
      <c r="AG38" s="1302" t="s">
        <v>190</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8" customFormat="1" customHeight="1" ht="17.25" hidden="1">
      <c r="A39" s="314"/>
      <c r="C39" s="313"/>
      <c r="D39" s="1980"/>
      <c r="E39" s="1982"/>
      <c r="F39" s="1985"/>
      <c r="G39" s="1982"/>
      <c r="H39" s="1988"/>
      <c r="I39" s="1990"/>
      <c r="J39" s="1992"/>
      <c r="K39" s="1975"/>
      <c r="L39" s="1975"/>
      <c r="M39" s="1975"/>
      <c r="N39" s="1977"/>
      <c r="O39" s="1975"/>
      <c r="P39" s="1975"/>
      <c r="Q39" s="1975"/>
      <c r="R39" s="1978"/>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8" customFormat="1" customHeight="1" ht="17.25" hidden="1">
      <c r="A40" s="314"/>
      <c r="C40" s="313"/>
      <c r="D40" s="1981"/>
      <c r="E40" s="1983"/>
      <c r="F40" s="1985"/>
      <c r="G40" s="1983"/>
      <c r="H40" s="1988"/>
      <c r="I40" s="1990"/>
      <c r="J40" s="1993"/>
      <c r="K40" s="1975"/>
      <c r="L40" s="1975"/>
      <c r="M40" s="1975"/>
      <c r="N40" s="1978"/>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30" customFormat="1" customHeight="1" ht="17.25" hidden="1">
      <c r="A41" s="314"/>
      <c r="C41" s="195"/>
      <c r="D41" s="1981"/>
      <c r="E41" s="1983"/>
      <c r="F41" s="1985"/>
      <c r="G41" s="1983"/>
      <c r="H41" s="1988"/>
      <c r="I41" s="1990"/>
      <c r="J41" s="1993"/>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8" customFormat="1" customHeight="1" ht="17.25" hidden="1">
      <c r="A42" s="314"/>
      <c r="C42" s="313"/>
      <c r="D42" s="1981"/>
      <c r="E42" s="1983"/>
      <c r="F42" s="1986"/>
      <c r="G42" s="1983"/>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31" customFormat="1" customHeight="1" ht="17.25" hidden="1">
      <c r="A43" s="314"/>
      <c r="C43" s="195"/>
      <c r="D43" s="2003">
        <v>7</v>
      </c>
      <c r="E43" s="2006" t="s">
        <v>191</v>
      </c>
      <c r="F43" s="1984" t="s">
        <v>56</v>
      </c>
      <c r="G43" s="2006"/>
      <c r="H43" s="1987"/>
      <c r="I43" s="1989"/>
      <c r="J43" s="1991"/>
      <c r="K43" s="1974"/>
      <c r="L43" s="1974"/>
      <c r="M43" s="1974"/>
      <c r="N43" s="1976"/>
      <c r="O43" s="1974"/>
      <c r="P43" s="1974"/>
      <c r="Q43" s="1974"/>
      <c r="R43" s="1979"/>
      <c r="S43" s="1974"/>
      <c r="T43" s="1456"/>
      <c r="U43" s="1456"/>
      <c r="V43" s="1455"/>
      <c r="W43" s="1332"/>
      <c r="X43" s="1302"/>
      <c r="Y43" s="1302"/>
      <c r="Z43" s="1302"/>
      <c r="AA43" s="1302"/>
      <c r="AB43" s="1302"/>
      <c r="AC43" s="1302" t="s">
        <v>192</v>
      </c>
      <c r="AD43" s="1302" t="s">
        <v>193</v>
      </c>
      <c r="AE43" s="1302" t="s">
        <v>194</v>
      </c>
      <c r="AF43" s="1302" t="s">
        <v>195</v>
      </c>
      <c r="AG43" s="1302" t="s">
        <v>196</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31" customFormat="1" customHeight="1" ht="17.25" hidden="1">
      <c r="A44" s="314"/>
      <c r="C44" s="313"/>
      <c r="D44" s="2004"/>
      <c r="E44" s="2007"/>
      <c r="F44" s="1985"/>
      <c r="G44" s="2007"/>
      <c r="H44" s="1988"/>
      <c r="I44" s="1990"/>
      <c r="J44" s="1992"/>
      <c r="K44" s="1975"/>
      <c r="L44" s="1975"/>
      <c r="M44" s="1975"/>
      <c r="N44" s="1977"/>
      <c r="O44" s="1975"/>
      <c r="P44" s="1975"/>
      <c r="Q44" s="1975"/>
      <c r="R44" s="1978"/>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31" customFormat="1" customHeight="1" ht="17.25" hidden="1">
      <c r="A45" s="314"/>
      <c r="C45" s="313"/>
      <c r="D45" s="2004"/>
      <c r="E45" s="2007"/>
      <c r="F45" s="1985"/>
      <c r="G45" s="2007"/>
      <c r="H45" s="1988"/>
      <c r="I45" s="1990"/>
      <c r="J45" s="1993"/>
      <c r="K45" s="1975"/>
      <c r="L45" s="1975"/>
      <c r="M45" s="1975"/>
      <c r="N45" s="1978"/>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30" customFormat="1" customHeight="1" ht="17.25" hidden="1">
      <c r="A46" s="314"/>
      <c r="C46" s="195"/>
      <c r="D46" s="2004"/>
      <c r="E46" s="2007"/>
      <c r="F46" s="1985"/>
      <c r="G46" s="2007"/>
      <c r="H46" s="1988"/>
      <c r="I46" s="1990"/>
      <c r="J46" s="1993"/>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31" customFormat="1" customHeight="1" ht="17.25" hidden="1">
      <c r="A47" s="314"/>
      <c r="C47" s="313"/>
      <c r="D47" s="2005"/>
      <c r="E47" s="2008"/>
      <c r="F47" s="1986"/>
      <c r="G47" s="2008"/>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31" customFormat="1" customHeight="1" ht="17.25" hidden="1">
      <c r="A48" s="314"/>
      <c r="C48" s="195"/>
      <c r="D48" s="1980">
        <v>8</v>
      </c>
      <c r="E48" s="1982" t="s">
        <v>197</v>
      </c>
      <c r="F48" s="1984" t="s">
        <v>56</v>
      </c>
      <c r="G48" s="1982"/>
      <c r="H48" s="1987"/>
      <c r="I48" s="1989"/>
      <c r="J48" s="1991"/>
      <c r="K48" s="1974"/>
      <c r="L48" s="1974"/>
      <c r="M48" s="1974"/>
      <c r="N48" s="1976"/>
      <c r="O48" s="1974"/>
      <c r="P48" s="1974"/>
      <c r="Q48" s="1974"/>
      <c r="R48" s="1979"/>
      <c r="S48" s="1974"/>
      <c r="T48" s="1506"/>
      <c r="U48" s="1506"/>
      <c r="V48" s="1508"/>
      <c r="W48" s="1332"/>
      <c r="X48" s="1302"/>
      <c r="Y48" s="1302"/>
      <c r="Z48" s="1302"/>
      <c r="AA48" s="1302"/>
      <c r="AB48" s="1302"/>
      <c r="AC48" s="1302" t="s">
        <v>198</v>
      </c>
      <c r="AD48" s="1302" t="s">
        <v>199</v>
      </c>
      <c r="AE48" s="1302" t="s">
        <v>200</v>
      </c>
      <c r="AF48" s="1302" t="s">
        <v>201</v>
      </c>
      <c r="AG48" s="1302" t="s">
        <v>202</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31" customFormat="1" customHeight="1" ht="17.25" hidden="1">
      <c r="A49" s="314"/>
      <c r="C49" s="313"/>
      <c r="D49" s="1980"/>
      <c r="E49" s="1982"/>
      <c r="F49" s="1985"/>
      <c r="G49" s="1982"/>
      <c r="H49" s="1988"/>
      <c r="I49" s="1990"/>
      <c r="J49" s="1992"/>
      <c r="K49" s="1975"/>
      <c r="L49" s="1975"/>
      <c r="M49" s="1975"/>
      <c r="N49" s="1977"/>
      <c r="O49" s="1975"/>
      <c r="P49" s="1975"/>
      <c r="Q49" s="1975"/>
      <c r="R49" s="1978"/>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31" customFormat="1" customHeight="1" ht="17.25" hidden="1">
      <c r="A50" s="314"/>
      <c r="C50" s="313"/>
      <c r="D50" s="1981"/>
      <c r="E50" s="1983"/>
      <c r="F50" s="1985"/>
      <c r="G50" s="1983"/>
      <c r="H50" s="1988"/>
      <c r="I50" s="1990"/>
      <c r="J50" s="1993"/>
      <c r="K50" s="1975"/>
      <c r="L50" s="1975"/>
      <c r="M50" s="1975"/>
      <c r="N50" s="1978"/>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30" customFormat="1" customHeight="1" ht="17.25" hidden="1">
      <c r="A51" s="314"/>
      <c r="C51" s="195"/>
      <c r="D51" s="1981"/>
      <c r="E51" s="1983"/>
      <c r="F51" s="1985"/>
      <c r="G51" s="1983"/>
      <c r="H51" s="1988"/>
      <c r="I51" s="1990"/>
      <c r="J51" s="1993"/>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31" customFormat="1" customHeight="1" ht="17.25" hidden="1">
      <c r="A52" s="314"/>
      <c r="C52" s="313"/>
      <c r="D52" s="1981"/>
      <c r="E52" s="1983"/>
      <c r="F52" s="1986"/>
      <c r="G52" s="1983"/>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hidden="1"/>
    <row customHeight="1" ht="11.25" hidden="1">
      <c r="E54" s="2011" t="s">
        <v>203</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204</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205</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206</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207</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21"/>
      <c r="G59" s="143"/>
      <c r="H59" s="143"/>
      <c r="I59" s="143"/>
      <c r="J59" s="143"/>
      <c r="K59" s="143"/>
      <c r="L59" s="143"/>
      <c r="M59" s="143"/>
      <c r="N59" s="143"/>
      <c r="O59" s="143"/>
      <c r="P59" s="143"/>
      <c r="Q59" s="143"/>
      <c r="R59" s="143"/>
      <c r="S59" s="143"/>
      <c r="T59" s="143"/>
      <c r="U59" s="143"/>
      <c r="V59" s="143"/>
      <c r="W59" s="143"/>
    </row>
    <row customHeight="1" ht="15" hidden="1">
      <c r="E60" s="2011" t="s">
        <v>208</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209</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210</v>
      </c>
      <c r="F62" s="2009"/>
      <c r="G62" s="2010"/>
      <c r="H62" s="2010"/>
      <c r="I62" s="2010"/>
      <c r="J62" s="2010"/>
      <c r="K62" s="2010"/>
      <c r="L62" s="2010"/>
      <c r="M62" s="2010"/>
      <c r="N62" s="2010"/>
      <c r="O62" s="2010"/>
      <c r="P62" s="2010"/>
      <c r="Q62" s="2010"/>
      <c r="R62" s="2010"/>
      <c r="S62" s="2010"/>
      <c r="T62" s="2010"/>
      <c r="U62" s="2010"/>
      <c r="V62" s="2010"/>
      <c r="W62" s="2010"/>
    </row>
    <row s="2847"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847" customFormat="1" customHeight="1" ht="17.25" hidden="1">
      <c r="A64" s="314"/>
      <c r="C64" s="195"/>
      <c r="D64" s="1980">
        <v>1</v>
      </c>
      <c r="E64" s="1982" t="s">
        <v>211</v>
      </c>
      <c r="F64" s="1984" t="s">
        <v>56</v>
      </c>
      <c r="G64" s="1982"/>
      <c r="H64" s="1987"/>
      <c r="I64" s="1989"/>
      <c r="J64" s="1991"/>
      <c r="K64" s="1974"/>
      <c r="L64" s="1974"/>
      <c r="M64" s="1974"/>
      <c r="N64" s="1976"/>
      <c r="O64" s="1974"/>
      <c r="P64" s="1974"/>
      <c r="Q64" s="1974"/>
      <c r="R64" s="1979"/>
      <c r="S64" s="1974"/>
      <c r="T64" s="1506"/>
      <c r="U64" s="1506"/>
      <c r="V64" s="1508"/>
      <c r="W64" s="1332"/>
      <c r="Y64" s="1302"/>
      <c r="Z64" s="1302"/>
      <c r="AA64" s="1302"/>
      <c r="AB64" s="1302"/>
      <c r="AC64" s="1302" t="s">
        <v>212</v>
      </c>
      <c r="AD64" s="1302" t="s">
        <v>213</v>
      </c>
      <c r="AE64" s="1302" t="s">
        <v>214</v>
      </c>
      <c r="AF64" s="1302" t="s">
        <v>215</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847" customFormat="1" customHeight="1" ht="17.25" hidden="1">
      <c r="A65" s="314"/>
      <c r="C65" s="313"/>
      <c r="D65" s="1980"/>
      <c r="E65" s="1982"/>
      <c r="F65" s="1985"/>
      <c r="G65" s="1982"/>
      <c r="H65" s="1988"/>
      <c r="I65" s="1990"/>
      <c r="J65" s="1992"/>
      <c r="K65" s="1975"/>
      <c r="L65" s="1975"/>
      <c r="M65" s="1975"/>
      <c r="N65" s="1977"/>
      <c r="O65" s="1975"/>
      <c r="P65" s="1975"/>
      <c r="Q65" s="1975"/>
      <c r="R65" s="1978"/>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848" customFormat="1" customHeight="1" ht="17.25" hidden="1">
      <c r="A66" s="314"/>
      <c r="C66" s="195"/>
      <c r="D66" s="1980"/>
      <c r="E66" s="1982"/>
      <c r="F66" s="1985"/>
      <c r="G66" s="1982"/>
      <c r="H66" s="1988"/>
      <c r="I66" s="1990"/>
      <c r="J66" s="1993"/>
      <c r="K66" s="1975"/>
      <c r="L66" s="1975"/>
      <c r="M66" s="1975"/>
      <c r="N66" s="1978"/>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848" customFormat="1" customHeight="1" ht="17.25" hidden="1">
      <c r="A67" s="314"/>
      <c r="C67" s="313"/>
      <c r="D67" s="1980"/>
      <c r="E67" s="1982"/>
      <c r="F67" s="1985"/>
      <c r="G67" s="1982"/>
      <c r="H67" s="1988"/>
      <c r="I67" s="1990"/>
      <c r="J67" s="1993"/>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847" customFormat="1" customHeight="1" ht="17.25" hidden="1">
      <c r="A68" s="314"/>
      <c r="C68" s="313"/>
      <c r="D68" s="1981"/>
      <c r="E68" s="1983"/>
      <c r="F68" s="1986"/>
      <c r="G68" s="1983"/>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847" customFormat="1" customHeight="1" ht="17.25" hidden="1">
      <c r="A69" s="314"/>
      <c r="C69" s="195"/>
      <c r="D69" s="1980">
        <v>2</v>
      </c>
      <c r="E69" s="1982" t="s">
        <v>216</v>
      </c>
      <c r="F69" s="1984" t="s">
        <v>56</v>
      </c>
      <c r="G69" s="1982"/>
      <c r="H69" s="1987"/>
      <c r="I69" s="1989"/>
      <c r="J69" s="1991"/>
      <c r="K69" s="1974"/>
      <c r="L69" s="1974"/>
      <c r="M69" s="1974"/>
      <c r="N69" s="1976"/>
      <c r="O69" s="1974"/>
      <c r="P69" s="1974"/>
      <c r="Q69" s="1974"/>
      <c r="R69" s="1979"/>
      <c r="S69" s="1974"/>
      <c r="T69" s="1479"/>
      <c r="U69" s="1479"/>
      <c r="V69" s="1481"/>
      <c r="W69" s="1332"/>
      <c r="X69" s="1302"/>
      <c r="Y69" s="1302"/>
      <c r="Z69" s="1302"/>
      <c r="AA69" s="1302"/>
      <c r="AB69" s="1302"/>
      <c r="AC69" s="1302" t="s">
        <v>217</v>
      </c>
      <c r="AD69" s="1302" t="s">
        <v>218</v>
      </c>
      <c r="AE69" s="1302" t="s">
        <v>219</v>
      </c>
      <c r="AF69" s="1302" t="s">
        <v>220</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847" customFormat="1" customHeight="1" ht="17.25" hidden="1">
      <c r="A70" s="314"/>
      <c r="C70" s="313"/>
      <c r="D70" s="1980"/>
      <c r="E70" s="1982"/>
      <c r="F70" s="1985"/>
      <c r="G70" s="1982"/>
      <c r="H70" s="1988"/>
      <c r="I70" s="1990"/>
      <c r="J70" s="1992"/>
      <c r="K70" s="1975"/>
      <c r="L70" s="1975"/>
      <c r="M70" s="1975"/>
      <c r="N70" s="1977"/>
      <c r="O70" s="1975"/>
      <c r="P70" s="1975"/>
      <c r="Q70" s="1975"/>
      <c r="R70" s="1978"/>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847" customFormat="1" customHeight="1" ht="17.25" hidden="1">
      <c r="A71" s="314"/>
      <c r="C71" s="313"/>
      <c r="D71" s="1981"/>
      <c r="E71" s="1983"/>
      <c r="F71" s="1985"/>
      <c r="G71" s="1983"/>
      <c r="H71" s="1988"/>
      <c r="I71" s="1990"/>
      <c r="J71" s="1993"/>
      <c r="K71" s="1975"/>
      <c r="L71" s="1975"/>
      <c r="M71" s="1975"/>
      <c r="N71" s="1978"/>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847" customFormat="1" customHeight="1" ht="17.25" hidden="1">
      <c r="A72" s="314"/>
      <c r="C72" s="313"/>
      <c r="D72" s="1981"/>
      <c r="E72" s="1983"/>
      <c r="F72" s="1985"/>
      <c r="G72" s="1983"/>
      <c r="H72" s="1988"/>
      <c r="I72" s="1990"/>
      <c r="J72" s="1993"/>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847" customFormat="1" customHeight="1" ht="17.25" hidden="1">
      <c r="A73" s="314"/>
      <c r="C73" s="313"/>
      <c r="D73" s="1981"/>
      <c r="E73" s="1983"/>
      <c r="F73" s="1986"/>
      <c r="G73" s="1983"/>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847" customFormat="1" customHeight="1" ht="17.25" hidden="1">
      <c r="A74" s="314"/>
      <c r="C74" s="195"/>
      <c r="D74" s="1980">
        <v>3</v>
      </c>
      <c r="E74" s="1982" t="s">
        <v>221</v>
      </c>
      <c r="F74" s="1984" t="s">
        <v>56</v>
      </c>
      <c r="G74" s="1982"/>
      <c r="H74" s="1987"/>
      <c r="I74" s="1989"/>
      <c r="J74" s="1991"/>
      <c r="K74" s="1974"/>
      <c r="L74" s="1974"/>
      <c r="M74" s="1974"/>
      <c r="N74" s="1976"/>
      <c r="O74" s="1974"/>
      <c r="P74" s="1974"/>
      <c r="Q74" s="1974"/>
      <c r="R74" s="1979"/>
      <c r="S74" s="1974"/>
      <c r="T74" s="1479"/>
      <c r="U74" s="1479"/>
      <c r="V74" s="1481"/>
      <c r="W74" s="1332"/>
      <c r="X74" s="1302"/>
      <c r="Y74" s="1302"/>
      <c r="Z74" s="1302"/>
      <c r="AA74" s="1302"/>
      <c r="AB74" s="1302"/>
      <c r="AC74" s="1302" t="s">
        <v>222</v>
      </c>
      <c r="AD74" s="1302" t="s">
        <v>223</v>
      </c>
      <c r="AE74" s="1302" t="s">
        <v>224</v>
      </c>
      <c r="AF74" s="1302" t="s">
        <v>225</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847" customFormat="1" customHeight="1" ht="17.25" hidden="1">
      <c r="A75" s="314"/>
      <c r="C75" s="313"/>
      <c r="D75" s="1980"/>
      <c r="E75" s="1982"/>
      <c r="F75" s="1985"/>
      <c r="G75" s="1982"/>
      <c r="H75" s="1988"/>
      <c r="I75" s="1990"/>
      <c r="J75" s="1992"/>
      <c r="K75" s="1975"/>
      <c r="L75" s="1975"/>
      <c r="M75" s="1975"/>
      <c r="N75" s="1977"/>
      <c r="O75" s="1975"/>
      <c r="P75" s="1975"/>
      <c r="Q75" s="1975"/>
      <c r="R75" s="1978"/>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847" customFormat="1" customHeight="1" ht="17.25" hidden="1">
      <c r="A76" s="314"/>
      <c r="C76" s="313"/>
      <c r="D76" s="1981"/>
      <c r="E76" s="1983"/>
      <c r="F76" s="1985"/>
      <c r="G76" s="1983"/>
      <c r="H76" s="1988"/>
      <c r="I76" s="1990"/>
      <c r="J76" s="1993"/>
      <c r="K76" s="1975"/>
      <c r="L76" s="1975"/>
      <c r="M76" s="1975"/>
      <c r="N76" s="1978"/>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847" customFormat="1" customHeight="1" ht="17.25" hidden="1">
      <c r="A77" s="314"/>
      <c r="C77" s="313"/>
      <c r="D77" s="1981"/>
      <c r="E77" s="1983"/>
      <c r="F77" s="1985"/>
      <c r="G77" s="1983"/>
      <c r="H77" s="1988"/>
      <c r="I77" s="1990"/>
      <c r="J77" s="1993"/>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847" customFormat="1" customHeight="1" ht="17.25" hidden="1">
      <c r="A78" s="314"/>
      <c r="C78" s="313"/>
      <c r="D78" s="1981"/>
      <c r="E78" s="1983"/>
      <c r="F78" s="1986"/>
      <c r="G78" s="1983"/>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847" customFormat="1" customHeight="1" ht="17.25" hidden="1">
      <c r="A79" s="314"/>
      <c r="C79" s="195"/>
      <c r="D79" s="1980">
        <v>4</v>
      </c>
      <c r="E79" s="1982" t="s">
        <v>226</v>
      </c>
      <c r="F79" s="1984" t="s">
        <v>56</v>
      </c>
      <c r="G79" s="1982"/>
      <c r="H79" s="1987"/>
      <c r="I79" s="1989"/>
      <c r="J79" s="1991"/>
      <c r="K79" s="1974"/>
      <c r="L79" s="1974"/>
      <c r="M79" s="1974"/>
      <c r="N79" s="1976"/>
      <c r="O79" s="1974"/>
      <c r="P79" s="1974"/>
      <c r="Q79" s="1974"/>
      <c r="R79" s="1979"/>
      <c r="S79" s="1974"/>
      <c r="T79" s="1479"/>
      <c r="U79" s="1479"/>
      <c r="V79" s="1481"/>
      <c r="W79" s="1332"/>
      <c r="X79" s="1302"/>
      <c r="Y79" s="1302"/>
      <c r="Z79" s="1302"/>
      <c r="AA79" s="1302"/>
      <c r="AB79" s="1302"/>
      <c r="AC79" s="1302" t="s">
        <v>227</v>
      </c>
      <c r="AD79" s="1302" t="s">
        <v>228</v>
      </c>
      <c r="AE79" s="1302" t="s">
        <v>229</v>
      </c>
      <c r="AF79" s="1302" t="s">
        <v>230</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847" customFormat="1" customHeight="1" ht="17.25" hidden="1">
      <c r="A80" s="314"/>
      <c r="C80" s="313"/>
      <c r="D80" s="1980"/>
      <c r="E80" s="1982"/>
      <c r="F80" s="1985"/>
      <c r="G80" s="1982"/>
      <c r="H80" s="1988"/>
      <c r="I80" s="1990"/>
      <c r="J80" s="1992"/>
      <c r="K80" s="1975"/>
      <c r="L80" s="1975"/>
      <c r="M80" s="1975"/>
      <c r="N80" s="1977"/>
      <c r="O80" s="1975"/>
      <c r="P80" s="1975"/>
      <c r="Q80" s="1975"/>
      <c r="R80" s="1978"/>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847" customFormat="1" customHeight="1" ht="17.25" hidden="1">
      <c r="A81" s="314"/>
      <c r="C81" s="313"/>
      <c r="D81" s="1981"/>
      <c r="E81" s="1983"/>
      <c r="F81" s="1985"/>
      <c r="G81" s="1983"/>
      <c r="H81" s="1988"/>
      <c r="I81" s="1990"/>
      <c r="J81" s="1993"/>
      <c r="K81" s="1975"/>
      <c r="L81" s="1975"/>
      <c r="M81" s="1975"/>
      <c r="N81" s="1978"/>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847" customFormat="1" customHeight="1" ht="17.25" hidden="1">
      <c r="A82" s="314"/>
      <c r="C82" s="313"/>
      <c r="D82" s="1981"/>
      <c r="E82" s="1983"/>
      <c r="F82" s="1985"/>
      <c r="G82" s="1983"/>
      <c r="H82" s="1988"/>
      <c r="I82" s="1990"/>
      <c r="J82" s="1993"/>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847" customFormat="1" customHeight="1" ht="17.25" hidden="1">
      <c r="A83" s="314"/>
      <c r="C83" s="313"/>
      <c r="D83" s="1981"/>
      <c r="E83" s="1983"/>
      <c r="F83" s="1986"/>
      <c r="G83" s="1983"/>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847" customFormat="1" customHeight="1" ht="17.25" hidden="1">
      <c r="A84" s="314"/>
      <c r="C84" s="195"/>
      <c r="D84" s="1980">
        <v>5</v>
      </c>
      <c r="E84" s="1982" t="s">
        <v>231</v>
      </c>
      <c r="F84" s="1984" t="s">
        <v>56</v>
      </c>
      <c r="G84" s="1982"/>
      <c r="H84" s="1987"/>
      <c r="I84" s="1989"/>
      <c r="J84" s="1991"/>
      <c r="K84" s="1974"/>
      <c r="L84" s="1974"/>
      <c r="M84" s="1974"/>
      <c r="N84" s="1976"/>
      <c r="O84" s="1974"/>
      <c r="P84" s="1974"/>
      <c r="Q84" s="1974"/>
      <c r="R84" s="1979"/>
      <c r="S84" s="1974"/>
      <c r="T84" s="1506"/>
      <c r="U84" s="1506"/>
      <c r="V84" s="1508"/>
      <c r="W84" s="1332"/>
      <c r="X84" s="1302"/>
      <c r="Y84" s="1302"/>
      <c r="Z84" s="1302"/>
      <c r="AA84" s="1302"/>
      <c r="AB84" s="1302"/>
      <c r="AC84" s="1302" t="s">
        <v>232</v>
      </c>
      <c r="AD84" s="1302" t="s">
        <v>233</v>
      </c>
      <c r="AE84" s="1302" t="s">
        <v>234</v>
      </c>
      <c r="AF84" s="1302" t="s">
        <v>235</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847" customFormat="1" customHeight="1" ht="17.25" hidden="1">
      <c r="A85" s="314"/>
      <c r="C85" s="313"/>
      <c r="D85" s="1980"/>
      <c r="E85" s="1982"/>
      <c r="F85" s="1985"/>
      <c r="G85" s="1982"/>
      <c r="H85" s="1988"/>
      <c r="I85" s="1990"/>
      <c r="J85" s="1992"/>
      <c r="K85" s="1975"/>
      <c r="L85" s="1975"/>
      <c r="M85" s="1975"/>
      <c r="N85" s="1977"/>
      <c r="O85" s="1975"/>
      <c r="P85" s="1975"/>
      <c r="Q85" s="1975"/>
      <c r="R85" s="1978"/>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847" customFormat="1" customHeight="1" ht="17.25" hidden="1">
      <c r="A86" s="314"/>
      <c r="C86" s="313"/>
      <c r="D86" s="1981"/>
      <c r="E86" s="1983"/>
      <c r="F86" s="1985"/>
      <c r="G86" s="1983"/>
      <c r="H86" s="1988"/>
      <c r="I86" s="1990"/>
      <c r="J86" s="1993"/>
      <c r="K86" s="1975"/>
      <c r="L86" s="1975"/>
      <c r="M86" s="1975"/>
      <c r="N86" s="1978"/>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847" customFormat="1" customHeight="1" ht="17.25" hidden="1">
      <c r="A87" s="314"/>
      <c r="C87" s="313"/>
      <c r="D87" s="1981"/>
      <c r="E87" s="1983"/>
      <c r="F87" s="1985"/>
      <c r="G87" s="1983"/>
      <c r="H87" s="1988"/>
      <c r="I87" s="1990"/>
      <c r="J87" s="1993"/>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847" customFormat="1" customHeight="1" ht="17.25" hidden="1">
      <c r="A88" s="314"/>
      <c r="C88" s="313"/>
      <c r="D88" s="1981"/>
      <c r="E88" s="1983"/>
      <c r="F88" s="1986"/>
      <c r="G88" s="1983"/>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852"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852" customFormat="1" customHeight="1" ht="17.25" hidden="1">
      <c r="A90" s="314"/>
      <c r="C90" s="195"/>
      <c r="D90" s="1980">
        <v>1</v>
      </c>
      <c r="E90" s="1982" t="s">
        <v>236</v>
      </c>
      <c r="F90" s="1984" t="s">
        <v>56</v>
      </c>
      <c r="G90" s="1982"/>
      <c r="H90" s="1987"/>
      <c r="I90" s="1989"/>
      <c r="J90" s="1991"/>
      <c r="K90" s="1974"/>
      <c r="L90" s="1974"/>
      <c r="M90" s="1974"/>
      <c r="N90" s="1976"/>
      <c r="O90" s="1974"/>
      <c r="P90" s="1974"/>
      <c r="Q90" s="1974"/>
      <c r="R90" s="1979"/>
      <c r="S90" s="1974"/>
      <c r="T90" s="1506"/>
      <c r="U90" s="1506"/>
      <c r="V90" s="1508"/>
      <c r="W90" s="1332"/>
      <c r="Y90" s="1302"/>
      <c r="Z90" s="1302"/>
      <c r="AA90" s="1302"/>
      <c r="AB90" s="1302"/>
      <c r="AC90" s="1302" t="s">
        <v>237</v>
      </c>
      <c r="AD90" s="1302" t="s">
        <v>238</v>
      </c>
      <c r="AE90" s="1302" t="s">
        <v>239</v>
      </c>
      <c r="AF90" s="1302" t="s">
        <v>240</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852" customFormat="1" customHeight="1" ht="17.25" hidden="1">
      <c r="A91" s="314"/>
      <c r="C91" s="313"/>
      <c r="D91" s="1980"/>
      <c r="E91" s="1982"/>
      <c r="F91" s="1985"/>
      <c r="G91" s="1982"/>
      <c r="H91" s="1988"/>
      <c r="I91" s="1990"/>
      <c r="J91" s="1992"/>
      <c r="K91" s="1975"/>
      <c r="L91" s="1975"/>
      <c r="M91" s="1975"/>
      <c r="N91" s="1977"/>
      <c r="O91" s="1975"/>
      <c r="P91" s="1975"/>
      <c r="Q91" s="1975"/>
      <c r="R91" s="1978"/>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852" customFormat="1" customHeight="1" ht="17.25" hidden="1">
      <c r="A92" s="314"/>
      <c r="C92" s="195"/>
      <c r="D92" s="1980"/>
      <c r="E92" s="1982"/>
      <c r="F92" s="1985"/>
      <c r="G92" s="1982"/>
      <c r="H92" s="1988"/>
      <c r="I92" s="1990"/>
      <c r="J92" s="1993"/>
      <c r="K92" s="1975"/>
      <c r="L92" s="1975"/>
      <c r="M92" s="1975"/>
      <c r="N92" s="1978"/>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852" customFormat="1" customHeight="1" ht="17.25" hidden="1">
      <c r="A93" s="314"/>
      <c r="C93" s="313"/>
      <c r="D93" s="1980"/>
      <c r="E93" s="1982"/>
      <c r="F93" s="1985"/>
      <c r="G93" s="1982"/>
      <c r="H93" s="1988"/>
      <c r="I93" s="1990"/>
      <c r="J93" s="1993"/>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852" customFormat="1" customHeight="1" ht="17.25" hidden="1">
      <c r="A94" s="314"/>
      <c r="C94" s="313"/>
      <c r="D94" s="1981"/>
      <c r="E94" s="1983"/>
      <c r="F94" s="1986"/>
      <c r="G94" s="1983"/>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852" customFormat="1" customHeight="1" ht="17.25" hidden="1">
      <c r="A95" s="314"/>
      <c r="C95" s="195"/>
      <c r="D95" s="1980">
        <v>2</v>
      </c>
      <c r="E95" s="1982" t="s">
        <v>241</v>
      </c>
      <c r="F95" s="1984" t="s">
        <v>56</v>
      </c>
      <c r="G95" s="1982"/>
      <c r="H95" s="1987"/>
      <c r="I95" s="1989"/>
      <c r="J95" s="1991"/>
      <c r="K95" s="1974"/>
      <c r="L95" s="1974"/>
      <c r="M95" s="1974"/>
      <c r="N95" s="1976"/>
      <c r="O95" s="1974"/>
      <c r="P95" s="1974"/>
      <c r="Q95" s="1974"/>
      <c r="R95" s="1979"/>
      <c r="S95" s="1974"/>
      <c r="T95" s="1506"/>
      <c r="U95" s="1506"/>
      <c r="V95" s="1508"/>
      <c r="W95" s="1332"/>
      <c r="X95" s="1302"/>
      <c r="Y95" s="1302"/>
      <c r="Z95" s="1302"/>
      <c r="AA95" s="1302"/>
      <c r="AB95" s="1302"/>
      <c r="AC95" s="1302" t="s">
        <v>242</v>
      </c>
      <c r="AD95" s="1302" t="s">
        <v>243</v>
      </c>
      <c r="AE95" s="1302" t="s">
        <v>244</v>
      </c>
      <c r="AF95" s="1302" t="s">
        <v>245</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852" customFormat="1" customHeight="1" ht="17.25" hidden="1">
      <c r="A96" s="314"/>
      <c r="C96" s="313"/>
      <c r="D96" s="1980"/>
      <c r="E96" s="1982"/>
      <c r="F96" s="1985"/>
      <c r="G96" s="1982"/>
      <c r="H96" s="1988"/>
      <c r="I96" s="1990"/>
      <c r="J96" s="1992"/>
      <c r="K96" s="1975"/>
      <c r="L96" s="1975"/>
      <c r="M96" s="1975"/>
      <c r="N96" s="1977"/>
      <c r="O96" s="1975"/>
      <c r="P96" s="1975"/>
      <c r="Q96" s="1975"/>
      <c r="R96" s="1978"/>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852" customFormat="1" customHeight="1" ht="17.25" hidden="1">
      <c r="A97" s="314"/>
      <c r="C97" s="313"/>
      <c r="D97" s="1981"/>
      <c r="E97" s="1983"/>
      <c r="F97" s="1985"/>
      <c r="G97" s="1983"/>
      <c r="H97" s="1988"/>
      <c r="I97" s="1990"/>
      <c r="J97" s="1993"/>
      <c r="K97" s="1975"/>
      <c r="L97" s="1975"/>
      <c r="M97" s="1975"/>
      <c r="N97" s="1978"/>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852" customFormat="1" customHeight="1" ht="17.25" hidden="1">
      <c r="A98" s="314"/>
      <c r="C98" s="313"/>
      <c r="D98" s="1981"/>
      <c r="E98" s="1983"/>
      <c r="F98" s="1985"/>
      <c r="G98" s="1983"/>
      <c r="H98" s="1988"/>
      <c r="I98" s="1990"/>
      <c r="J98" s="1993"/>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852" customFormat="1" customHeight="1" ht="17.25" hidden="1">
      <c r="A99" s="314"/>
      <c r="C99" s="313"/>
      <c r="D99" s="1981"/>
      <c r="E99" s="1983"/>
      <c r="F99" s="1986"/>
      <c r="G99" s="1983"/>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852" customFormat="1" customHeight="1" ht="17.25" hidden="1">
      <c r="A100" s="314"/>
      <c r="C100" s="195"/>
      <c r="D100" s="1980">
        <v>3</v>
      </c>
      <c r="E100" s="1982" t="s">
        <v>246</v>
      </c>
      <c r="F100" s="1984" t="s">
        <v>56</v>
      </c>
      <c r="G100" s="1982"/>
      <c r="H100" s="1987"/>
      <c r="I100" s="1989"/>
      <c r="J100" s="1991"/>
      <c r="K100" s="1974"/>
      <c r="L100" s="1974"/>
      <c r="M100" s="1974"/>
      <c r="N100" s="1976"/>
      <c r="O100" s="1974"/>
      <c r="P100" s="1974"/>
      <c r="Q100" s="1974"/>
      <c r="R100" s="1979"/>
      <c r="S100" s="1974"/>
      <c r="T100" s="1506"/>
      <c r="U100" s="1506"/>
      <c r="V100" s="1508"/>
      <c r="W100" s="1332"/>
      <c r="X100" s="1302"/>
      <c r="Y100" s="1302"/>
      <c r="Z100" s="1302"/>
      <c r="AA100" s="1302"/>
      <c r="AB100" s="1302"/>
      <c r="AC100" s="1302" t="s">
        <v>247</v>
      </c>
      <c r="AD100" s="1302" t="s">
        <v>248</v>
      </c>
      <c r="AE100" s="1302" t="s">
        <v>249</v>
      </c>
      <c r="AF100" s="1302" t="s">
        <v>250</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852" customFormat="1" customHeight="1" ht="17.25" hidden="1">
      <c r="A101" s="314"/>
      <c r="C101" s="313"/>
      <c r="D101" s="1980"/>
      <c r="E101" s="1982"/>
      <c r="F101" s="1985"/>
      <c r="G101" s="1982"/>
      <c r="H101" s="1988"/>
      <c r="I101" s="1990"/>
      <c r="J101" s="1992"/>
      <c r="K101" s="1975"/>
      <c r="L101" s="1975"/>
      <c r="M101" s="1975"/>
      <c r="N101" s="1977"/>
      <c r="O101" s="1975"/>
      <c r="P101" s="1975"/>
      <c r="Q101" s="1975"/>
      <c r="R101" s="1978"/>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852" customFormat="1" customHeight="1" ht="17.25" hidden="1">
      <c r="A102" s="314"/>
      <c r="C102" s="313"/>
      <c r="D102" s="1981"/>
      <c r="E102" s="1983"/>
      <c r="F102" s="1985"/>
      <c r="G102" s="1983"/>
      <c r="H102" s="1988"/>
      <c r="I102" s="1990"/>
      <c r="J102" s="1993"/>
      <c r="K102" s="1975"/>
      <c r="L102" s="1975"/>
      <c r="M102" s="1975"/>
      <c r="N102" s="1978"/>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852" customFormat="1" customHeight="1" ht="17.25" hidden="1">
      <c r="A103" s="314"/>
      <c r="C103" s="313"/>
      <c r="D103" s="1981"/>
      <c r="E103" s="1983"/>
      <c r="F103" s="1985"/>
      <c r="G103" s="1983"/>
      <c r="H103" s="1988"/>
      <c r="I103" s="1990"/>
      <c r="J103" s="1993"/>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852" customFormat="1" customHeight="1" ht="17.25" hidden="1">
      <c r="A104" s="314"/>
      <c r="C104" s="313"/>
      <c r="D104" s="1981"/>
      <c r="E104" s="1983"/>
      <c r="F104" s="1986"/>
      <c r="G104" s="1983"/>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852"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852" customFormat="1" customHeight="1" ht="17.25" hidden="1">
      <c r="A106" s="314"/>
      <c r="C106" s="195"/>
      <c r="D106" s="1980">
        <v>1</v>
      </c>
      <c r="E106" s="1982" t="s">
        <v>251</v>
      </c>
      <c r="F106" s="1984" t="s">
        <v>56</v>
      </c>
      <c r="G106" s="1982"/>
      <c r="H106" s="1987"/>
      <c r="I106" s="1989"/>
      <c r="J106" s="1991"/>
      <c r="K106" s="1974"/>
      <c r="L106" s="1974"/>
      <c r="M106" s="1974"/>
      <c r="N106" s="1976"/>
      <c r="O106" s="1974"/>
      <c r="P106" s="1974"/>
      <c r="Q106" s="1974"/>
      <c r="R106" s="1979"/>
      <c r="S106" s="1974"/>
      <c r="T106" s="1506"/>
      <c r="U106" s="1506"/>
      <c r="V106" s="1508"/>
      <c r="W106" s="1332"/>
      <c r="Y106" s="1302"/>
      <c r="Z106" s="1302"/>
      <c r="AA106" s="1302"/>
      <c r="AB106" s="1302"/>
      <c r="AC106" s="1302" t="s">
        <v>252</v>
      </c>
      <c r="AD106" s="1302" t="s">
        <v>253</v>
      </c>
      <c r="AE106" s="1302" t="s">
        <v>254</v>
      </c>
      <c r="AF106" s="1302" t="s">
        <v>255</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852" customFormat="1" customHeight="1" ht="17.25" hidden="1">
      <c r="A107" s="314"/>
      <c r="C107" s="313"/>
      <c r="D107" s="1980"/>
      <c r="E107" s="1982"/>
      <c r="F107" s="1985"/>
      <c r="G107" s="1982"/>
      <c r="H107" s="1988"/>
      <c r="I107" s="1990"/>
      <c r="J107" s="1992"/>
      <c r="K107" s="1975"/>
      <c r="L107" s="1975"/>
      <c r="M107" s="1975"/>
      <c r="N107" s="1977"/>
      <c r="O107" s="1975"/>
      <c r="P107" s="1975"/>
      <c r="Q107" s="1975"/>
      <c r="R107" s="1978"/>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852" customFormat="1" customHeight="1" ht="17.25" hidden="1">
      <c r="A108" s="314"/>
      <c r="C108" s="195"/>
      <c r="D108" s="1980"/>
      <c r="E108" s="1982"/>
      <c r="F108" s="1985"/>
      <c r="G108" s="1982"/>
      <c r="H108" s="1988"/>
      <c r="I108" s="1990"/>
      <c r="J108" s="1993"/>
      <c r="K108" s="1975"/>
      <c r="L108" s="1975"/>
      <c r="M108" s="1975"/>
      <c r="N108" s="1978"/>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852" customFormat="1" customHeight="1" ht="17.25" hidden="1">
      <c r="A109" s="314"/>
      <c r="C109" s="313"/>
      <c r="D109" s="1980"/>
      <c r="E109" s="1982"/>
      <c r="F109" s="1985"/>
      <c r="G109" s="1982"/>
      <c r="H109" s="1988"/>
      <c r="I109" s="1990"/>
      <c r="J109" s="1993"/>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852" customFormat="1" customHeight="1" ht="17.25" hidden="1">
      <c r="A110" s="314"/>
      <c r="C110" s="313"/>
      <c r="D110" s="1981"/>
      <c r="E110" s="1983"/>
      <c r="F110" s="1986"/>
      <c r="G110" s="1983"/>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852" customFormat="1" customHeight="1" ht="17.25" hidden="1">
      <c r="A111" s="314"/>
      <c r="C111" s="195"/>
      <c r="D111" s="1980">
        <v>2</v>
      </c>
      <c r="E111" s="1982" t="s">
        <v>256</v>
      </c>
      <c r="F111" s="1984" t="s">
        <v>56</v>
      </c>
      <c r="G111" s="1982"/>
      <c r="H111" s="1987"/>
      <c r="I111" s="1989"/>
      <c r="J111" s="1991"/>
      <c r="K111" s="1974"/>
      <c r="L111" s="1974"/>
      <c r="M111" s="1974"/>
      <c r="N111" s="1976"/>
      <c r="O111" s="1974"/>
      <c r="P111" s="1974"/>
      <c r="Q111" s="1974"/>
      <c r="R111" s="1979"/>
      <c r="S111" s="1974"/>
      <c r="T111" s="1506"/>
      <c r="U111" s="1506"/>
      <c r="V111" s="1508"/>
      <c r="W111" s="1332"/>
      <c r="X111" s="1302"/>
      <c r="Y111" s="1302"/>
      <c r="Z111" s="1302"/>
      <c r="AA111" s="1302"/>
      <c r="AB111" s="1302"/>
      <c r="AC111" s="1302" t="s">
        <v>257</v>
      </c>
      <c r="AD111" s="1302" t="s">
        <v>258</v>
      </c>
      <c r="AE111" s="1302" t="s">
        <v>259</v>
      </c>
      <c r="AF111" s="1302" t="s">
        <v>260</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852" customFormat="1" customHeight="1" ht="17.25" hidden="1">
      <c r="A112" s="314"/>
      <c r="C112" s="313"/>
      <c r="D112" s="1980"/>
      <c r="E112" s="1982"/>
      <c r="F112" s="1985"/>
      <c r="G112" s="1982"/>
      <c r="H112" s="1988"/>
      <c r="I112" s="1990"/>
      <c r="J112" s="1992"/>
      <c r="K112" s="1975"/>
      <c r="L112" s="1975"/>
      <c r="M112" s="1975"/>
      <c r="N112" s="1977"/>
      <c r="O112" s="1975"/>
      <c r="P112" s="1975"/>
      <c r="Q112" s="1975"/>
      <c r="R112" s="1978"/>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852" customFormat="1" customHeight="1" ht="17.25" hidden="1">
      <c r="A113" s="314"/>
      <c r="C113" s="313"/>
      <c r="D113" s="1981"/>
      <c r="E113" s="1983"/>
      <c r="F113" s="1985"/>
      <c r="G113" s="1983"/>
      <c r="H113" s="1988"/>
      <c r="I113" s="1990"/>
      <c r="J113" s="1993"/>
      <c r="K113" s="1975"/>
      <c r="L113" s="1975"/>
      <c r="M113" s="1975"/>
      <c r="N113" s="1978"/>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852" customFormat="1" customHeight="1" ht="17.25" hidden="1">
      <c r="A114" s="314"/>
      <c r="C114" s="313"/>
      <c r="D114" s="1981"/>
      <c r="E114" s="1983"/>
      <c r="F114" s="1985"/>
      <c r="G114" s="1983"/>
      <c r="H114" s="1988"/>
      <c r="I114" s="1990"/>
      <c r="J114" s="1993"/>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852" customFormat="1" customHeight="1" ht="17.25" hidden="1">
      <c r="A115" s="314"/>
      <c r="C115" s="313"/>
      <c r="D115" s="1981"/>
      <c r="E115" s="1983"/>
      <c r="F115" s="1986"/>
      <c r="G115" s="1983"/>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852" customFormat="1" customHeight="1" ht="17.25" hidden="1">
      <c r="A116" s="314"/>
      <c r="C116" s="195"/>
      <c r="D116" s="1980">
        <v>3</v>
      </c>
      <c r="E116" s="1982" t="s">
        <v>261</v>
      </c>
      <c r="F116" s="1984" t="s">
        <v>56</v>
      </c>
      <c r="G116" s="1982"/>
      <c r="H116" s="1987"/>
      <c r="I116" s="1989"/>
      <c r="J116" s="1991"/>
      <c r="K116" s="1974"/>
      <c r="L116" s="1974"/>
      <c r="M116" s="1974"/>
      <c r="N116" s="1976"/>
      <c r="O116" s="1974"/>
      <c r="P116" s="1974"/>
      <c r="Q116" s="1974"/>
      <c r="R116" s="1979"/>
      <c r="S116" s="1974"/>
      <c r="T116" s="1506"/>
      <c r="U116" s="1506"/>
      <c r="V116" s="1508"/>
      <c r="W116" s="1332"/>
      <c r="X116" s="1302"/>
      <c r="Y116" s="1302"/>
      <c r="Z116" s="1302"/>
      <c r="AA116" s="1302"/>
      <c r="AB116" s="1302"/>
      <c r="AC116" s="1302" t="s">
        <v>262</v>
      </c>
      <c r="AD116" s="1302" t="s">
        <v>263</v>
      </c>
      <c r="AE116" s="1302" t="s">
        <v>264</v>
      </c>
      <c r="AF116" s="1302" t="s">
        <v>265</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852" customFormat="1" customHeight="1" ht="17.25" hidden="1">
      <c r="A117" s="314"/>
      <c r="C117" s="313"/>
      <c r="D117" s="1980"/>
      <c r="E117" s="1982"/>
      <c r="F117" s="1985"/>
      <c r="G117" s="1982"/>
      <c r="H117" s="1988"/>
      <c r="I117" s="1990"/>
      <c r="J117" s="1992"/>
      <c r="K117" s="1975"/>
      <c r="L117" s="1975"/>
      <c r="M117" s="1975"/>
      <c r="N117" s="1977"/>
      <c r="O117" s="1975"/>
      <c r="P117" s="1975"/>
      <c r="Q117" s="1975"/>
      <c r="R117" s="1978"/>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852" customFormat="1" customHeight="1" ht="17.25" hidden="1">
      <c r="A118" s="314"/>
      <c r="C118" s="313"/>
      <c r="D118" s="1981"/>
      <c r="E118" s="1983"/>
      <c r="F118" s="1985"/>
      <c r="G118" s="1983"/>
      <c r="H118" s="1988"/>
      <c r="I118" s="1990"/>
      <c r="J118" s="1993"/>
      <c r="K118" s="1975"/>
      <c r="L118" s="1975"/>
      <c r="M118" s="1975"/>
      <c r="N118" s="1978"/>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852" customFormat="1" customHeight="1" ht="17.25" hidden="1">
      <c r="A119" s="314"/>
      <c r="C119" s="313"/>
      <c r="D119" s="1981"/>
      <c r="E119" s="1983"/>
      <c r="F119" s="1985"/>
      <c r="G119" s="1983"/>
      <c r="H119" s="1988"/>
      <c r="I119" s="1990"/>
      <c r="J119" s="1993"/>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852" customFormat="1" customHeight="1" ht="17.25" hidden="1">
      <c r="A120" s="314"/>
      <c r="C120" s="313"/>
      <c r="D120" s="1981"/>
      <c r="E120" s="1983"/>
      <c r="F120" s="1986"/>
      <c r="G120" s="1983"/>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9C87C-D8CA-73A1-207E-94C6D320D85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2087</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2088</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2089</v>
      </c>
      <c r="W38" s="2195" t="s">
        <v>2090</v>
      </c>
      <c r="X38" s="2196"/>
      <c r="Y38" s="2195" t="s">
        <v>493</v>
      </c>
      <c r="Z38" s="2202"/>
      <c r="AA38" s="2196"/>
      <c r="AB38" s="2211"/>
      <c r="AC38" s="1519" t="s">
        <v>2089</v>
      </c>
      <c r="AD38" s="2195" t="s">
        <v>2090</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2091</v>
      </c>
      <c r="W39" s="1243" t="s">
        <v>2092</v>
      </c>
      <c r="X39" s="1243" t="s">
        <v>2093</v>
      </c>
      <c r="Y39" s="1525" t="s">
        <v>503</v>
      </c>
      <c r="Z39" s="2203" t="s">
        <v>504</v>
      </c>
      <c r="AA39" s="2204"/>
      <c r="AB39" s="2212"/>
      <c r="AC39" s="1519" t="s">
        <v>2091</v>
      </c>
      <c r="AD39" s="1243" t="s">
        <v>2092</v>
      </c>
      <c r="AE39" s="1243" t="s">
        <v>2093</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2087</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2088</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2094</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2094</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2094</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2094</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2094</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2094</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2094</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2095</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2096</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3ABA-85D8-B19A-7303-5B924FEE001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68"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2087</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2088</v>
      </c>
      <c r="BE4" s="508"/>
      <c r="BF4" s="508" t="str">
        <f>IF(T4="","",T4)</f>
        <v>Наименование централизованной системы горячего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6"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248</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248</v>
      </c>
      <c r="B47" s="1399" t="s">
        <v>249</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248</v>
      </c>
      <c r="B48" s="1399" t="s">
        <v>249</v>
      </c>
      <c r="C48" s="1399" t="s">
        <v>250</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2087</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2088</v>
      </c>
      <c r="BE48" s="508"/>
      <c r="BF48" s="508" t="str">
        <f>IF(T48="","",T48)</f>
        <v>Наименование централизованной системы горячего водоснабжения</v>
      </c>
      <c r="BG48" s="508"/>
      <c r="BH48" s="508"/>
    </row>
    <row s="2587" customFormat="1" customHeight="1" ht="0">
      <c r="A49" s="1379" t="s">
        <v>248</v>
      </c>
      <c r="B49" s="1379" t="s">
        <v>249</v>
      </c>
      <c r="C49" s="1379" t="s">
        <v>250</v>
      </c>
      <c r="D49" s="1379" t="s">
        <v>2097</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248</v>
      </c>
      <c r="B50" s="1379" t="s">
        <v>249</v>
      </c>
      <c r="C50" s="1379" t="s">
        <v>250</v>
      </c>
      <c r="D50" s="1379" t="s">
        <v>2097</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248</v>
      </c>
      <c r="B51" s="1379" t="s">
        <v>249</v>
      </c>
      <c r="C51" s="1379" t="s">
        <v>250</v>
      </c>
      <c r="D51" s="1379" t="s">
        <v>2097</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248</v>
      </c>
      <c r="B52" s="1399" t="s">
        <v>249</v>
      </c>
      <c r="C52" s="1399" t="s">
        <v>250</v>
      </c>
      <c r="D52" s="1399" t="s">
        <v>2097</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248</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248</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248</v>
      </c>
      <c r="B56" s="1399" t="s">
        <v>249</v>
      </c>
      <c r="C56" s="1399" t="s">
        <v>250</v>
      </c>
      <c r="D56" s="1399" t="s">
        <v>2097</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248</v>
      </c>
      <c r="B57" s="1399" t="s">
        <v>249</v>
      </c>
      <c r="C57" s="1399" t="s">
        <v>250</v>
      </c>
      <c r="D57" s="1399" t="s">
        <v>2097</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248</v>
      </c>
      <c r="B58" s="1379" t="s">
        <v>249</v>
      </c>
      <c r="C58" s="1379" t="s">
        <v>250</v>
      </c>
      <c r="D58" s="1379" t="s">
        <v>2097</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248</v>
      </c>
      <c r="B59" s="1379" t="s">
        <v>249</v>
      </c>
      <c r="C59" s="1379" t="s">
        <v>250</v>
      </c>
      <c r="D59" s="1379" t="s">
        <v>2097</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248</v>
      </c>
      <c r="B60" s="1379" t="s">
        <v>249</v>
      </c>
      <c r="C60" s="1379" t="s">
        <v>250</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248</v>
      </c>
      <c r="B61" s="1379" t="s">
        <v>249</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248</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EB33-2A0C-AB1F-FD87-2925392AE6B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2098</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2099</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2100</v>
      </c>
      <c r="W39" s="1243" t="s">
        <v>2101</v>
      </c>
      <c r="X39" s="1243" t="s">
        <v>1686</v>
      </c>
      <c r="Y39" s="1525" t="s">
        <v>503</v>
      </c>
      <c r="Z39" s="2203" t="s">
        <v>504</v>
      </c>
      <c r="AA39" s="2204"/>
      <c r="AB39" s="2212"/>
      <c r="AC39" s="1519" t="s">
        <v>2100</v>
      </c>
      <c r="AD39" s="1243" t="s">
        <v>2101</v>
      </c>
      <c r="AE39" s="1243" t="s">
        <v>1686</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253</v>
      </c>
      <c r="B42" s="1399" t="s">
        <v>254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253</v>
      </c>
      <c r="B43" s="1399" t="s">
        <v>254</v>
      </c>
      <c r="C43" s="1399" t="s">
        <v>255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2098</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2099</v>
      </c>
      <c r="AM43" s="508"/>
      <c r="AN43" s="508" t="str">
        <f>IF(T43="","",T43)</f>
        <v>Наименование централизованной системы водоотведения</v>
      </c>
      <c r="AO43" s="508"/>
      <c r="AP43" s="508"/>
    </row>
    <row customHeight="1" ht="23.25">
      <c r="A44" s="1399" t="s">
        <v>253</v>
      </c>
      <c r="B44" s="1399" t="s">
        <v>254</v>
      </c>
      <c r="C44" s="1399" t="s">
        <v>255</v>
      </c>
      <c r="D44" s="1399" t="s">
        <v>2102</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253</v>
      </c>
      <c r="B45" s="1399" t="s">
        <v>254</v>
      </c>
      <c r="C45" s="1399" t="s">
        <v>255</v>
      </c>
      <c r="D45" s="1399" t="s">
        <v>2102</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253</v>
      </c>
      <c r="B46" s="1399" t="s">
        <v>254</v>
      </c>
      <c r="C46" s="1399" t="s">
        <v>255</v>
      </c>
      <c r="D46" s="1399" t="s">
        <v>2102</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253</v>
      </c>
      <c r="B47" s="1399" t="s">
        <v>254</v>
      </c>
      <c r="C47" s="1399" t="s">
        <v>255</v>
      </c>
      <c r="D47" s="1399" t="s">
        <v>2102</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253</v>
      </c>
      <c r="B48" s="1399" t="s">
        <v>254</v>
      </c>
      <c r="C48" s="1399" t="s">
        <v>255</v>
      </c>
      <c r="D48" s="1399" t="s">
        <v>2102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253</v>
      </c>
      <c r="B49" s="1399" t="s">
        <v>254</v>
      </c>
      <c r="C49" s="1399" t="s">
        <v>255</v>
      </c>
      <c r="D49" s="1399" t="s">
        <v>2102</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253</v>
      </c>
      <c r="B50" s="1399" t="s">
        <v>254</v>
      </c>
      <c r="C50" s="1399" t="s">
        <v>255</v>
      </c>
      <c r="D50" s="1399" t="s">
        <v>2102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253</v>
      </c>
      <c r="B51" s="1379" t="s">
        <v>254</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253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DBF36-3B32-0FE1-BB31-CB9DE164056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2098</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2099</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2100</v>
      </c>
      <c r="W39" s="1243" t="s">
        <v>2101</v>
      </c>
      <c r="X39" s="1243" t="s">
        <v>1686</v>
      </c>
      <c r="Y39" s="1525" t="s">
        <v>503</v>
      </c>
      <c r="Z39" s="2203" t="s">
        <v>504</v>
      </c>
      <c r="AA39" s="2204"/>
      <c r="AB39" s="2212"/>
      <c r="AC39" s="1519" t="s">
        <v>2100</v>
      </c>
      <c r="AD39" s="1243" t="s">
        <v>2101</v>
      </c>
      <c r="AE39" s="1243" t="s">
        <v>1686</v>
      </c>
      <c r="AF39" s="1525"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258</v>
      </c>
      <c r="B42" s="1399" t="s">
        <v>259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258</v>
      </c>
      <c r="B43" s="1399" t="s">
        <v>259</v>
      </c>
      <c r="C43" s="1399" t="s">
        <v>260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2098</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2099</v>
      </c>
      <c r="AM43" s="508"/>
      <c r="AN43" s="508" t="str">
        <f>IF(T43="","",T43)</f>
        <v>Наименование централизованной системы водоотведения</v>
      </c>
      <c r="AO43" s="508"/>
      <c r="AP43" s="508"/>
    </row>
    <row customHeight="1" ht="23.25">
      <c r="A44" s="1399" t="s">
        <v>258</v>
      </c>
      <c r="B44" s="1399" t="s">
        <v>259</v>
      </c>
      <c r="C44" s="1399" t="s">
        <v>260</v>
      </c>
      <c r="D44" s="1399" t="s">
        <v>2105</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258</v>
      </c>
      <c r="B45" s="1399" t="s">
        <v>259</v>
      </c>
      <c r="C45" s="1399" t="s">
        <v>260</v>
      </c>
      <c r="D45" s="1399" t="s">
        <v>2105</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258</v>
      </c>
      <c r="B46" s="1399" t="s">
        <v>259</v>
      </c>
      <c r="C46" s="1399" t="s">
        <v>260</v>
      </c>
      <c r="D46" s="1399" t="s">
        <v>2105</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258</v>
      </c>
      <c r="B47" s="1399" t="s">
        <v>259</v>
      </c>
      <c r="C47" s="1399" t="s">
        <v>260</v>
      </c>
      <c r="D47" s="1399" t="s">
        <v>2105</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258</v>
      </c>
      <c r="B48" s="1399" t="s">
        <v>259</v>
      </c>
      <c r="C48" s="1399" t="s">
        <v>260</v>
      </c>
      <c r="D48" s="1399" t="s">
        <v>2105</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258</v>
      </c>
      <c r="B49" s="1399" t="s">
        <v>259</v>
      </c>
      <c r="C49" s="1399" t="s">
        <v>260</v>
      </c>
      <c r="D49" s="1399" t="s">
        <v>2105</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258</v>
      </c>
      <c r="B50" s="1399" t="s">
        <v>259</v>
      </c>
      <c r="C50" s="1399" t="s">
        <v>260</v>
      </c>
      <c r="D50" s="1399" t="s">
        <v>2105</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258</v>
      </c>
      <c r="B51" s="1379" t="s">
        <v>259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258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A8316-23E8-A13A-13D1-D5207703B7F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68"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2098</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2099</v>
      </c>
      <c r="BE4" s="508"/>
      <c r="BF4" s="508" t="str">
        <f>IF(T4="","",T4)</f>
        <v>Наименование централизованной системы водоотведения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2106</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2107</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2108</v>
      </c>
      <c r="AE41" s="2222"/>
      <c r="AF41" s="2222"/>
      <c r="AG41" s="2254"/>
      <c r="AH41" s="2253" t="s">
        <v>2109</v>
      </c>
      <c r="AI41" s="2222"/>
      <c r="AJ41" s="2222"/>
      <c r="AK41" s="2254"/>
      <c r="AL41" s="2253" t="s">
        <v>2110</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2111</v>
      </c>
      <c r="AU42" s="2030"/>
      <c r="AV42" s="2029" t="s">
        <v>2112</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263</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263</v>
      </c>
      <c r="B47" s="1399" t="s">
        <v>264</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263</v>
      </c>
      <c r="B48" s="1399" t="s">
        <v>264</v>
      </c>
      <c r="C48" s="1399" t="s">
        <v>265</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2098</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2099</v>
      </c>
      <c r="BE48" s="508"/>
      <c r="BF48" s="508" t="str">
        <f>IF(T48="","",T48)</f>
        <v>Наименование централизованной системы водоотведения</v>
      </c>
      <c r="BG48" s="508"/>
      <c r="BH48" s="508"/>
    </row>
    <row s="2587" customFormat="1" customHeight="1" ht="0">
      <c r="A49" s="1379" t="s">
        <v>263</v>
      </c>
      <c r="B49" s="1379" t="s">
        <v>264</v>
      </c>
      <c r="C49" s="1379" t="s">
        <v>265</v>
      </c>
      <c r="D49" s="1379" t="s">
        <v>2113</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263</v>
      </c>
      <c r="B50" s="1379" t="s">
        <v>264</v>
      </c>
      <c r="C50" s="1379" t="s">
        <v>265</v>
      </c>
      <c r="D50" s="1379" t="s">
        <v>2113</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263</v>
      </c>
      <c r="B51" s="1379" t="s">
        <v>264</v>
      </c>
      <c r="C51" s="1379" t="s">
        <v>265</v>
      </c>
      <c r="D51" s="1379" t="s">
        <v>2113</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263</v>
      </c>
      <c r="B52" s="1399" t="s">
        <v>264</v>
      </c>
      <c r="C52" s="1399" t="s">
        <v>265</v>
      </c>
      <c r="D52" s="1399" t="s">
        <v>2113</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263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2106</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263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2107</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263</v>
      </c>
      <c r="B56" s="1399" t="s">
        <v>264</v>
      </c>
      <c r="C56" s="1399" t="s">
        <v>265</v>
      </c>
      <c r="D56" s="1399" t="s">
        <v>2113</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263</v>
      </c>
      <c r="B57" s="1399" t="s">
        <v>264</v>
      </c>
      <c r="C57" s="1399" t="s">
        <v>265</v>
      </c>
      <c r="D57" s="1399" t="s">
        <v>2113</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263</v>
      </c>
      <c r="B58" s="1379" t="s">
        <v>264</v>
      </c>
      <c r="C58" s="1379" t="s">
        <v>265</v>
      </c>
      <c r="D58" s="1379" t="s">
        <v>2113</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263</v>
      </c>
      <c r="B59" s="1379" t="s">
        <v>264</v>
      </c>
      <c r="C59" s="1379" t="s">
        <v>265</v>
      </c>
      <c r="D59" s="1379" t="s">
        <v>2113</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263</v>
      </c>
      <c r="B60" s="1379" t="s">
        <v>264</v>
      </c>
      <c r="C60" s="1379" t="s">
        <v>265</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263</v>
      </c>
      <c r="B61" s="1379" t="s">
        <v>264</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263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3CCC8-9C2F-B47D-60F9-DE962B8B5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1FB59-16A6-BD97-ED17-6D68A8A9B2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D106F-40BF-6A0C-A213-C309F56A6D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68DC-9F0C-3919-BB4A-29BBF07EBE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C7ED4-E40F-7E69-8C8A-D900BC416F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9371F-F38D-437C-FF59-2DE2061B9397}"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22" width="9.140625" hidden="1"/>
    <col min="3" max="4" style="2722" width="3.7109375" customWidth="1"/>
    <col min="5" max="6" style="2722" width="16.00390625" customWidth="1"/>
    <col min="7" max="7" style="2722" width="11.57421875" customWidth="1"/>
    <col min="8" max="9" style="2722" width="3.7109375" customWidth="1"/>
    <col min="10" max="10" style="2722" width="13.140625" customWidth="1"/>
    <col min="11" max="11" style="2722" width="0.28125" customWidth="1"/>
    <col min="12" max="13" style="2722" width="10.7109375" customWidth="1"/>
    <col min="14" max="15" style="2722" width="3.7109375" customWidth="1"/>
    <col min="16" max="16" style="2722" width="19.7109375" customWidth="1"/>
    <col min="17" max="17" style="2722" width="0.28125" customWidth="1"/>
    <col min="18" max="19" style="2722" width="10.7109375" customWidth="1"/>
    <col min="20" max="21" style="2722" width="3.7109375" customWidth="1"/>
    <col min="22" max="22" style="2722" width="25.7109375" customWidth="1"/>
    <col min="23" max="23" style="2722" width="0.28125" customWidth="1"/>
    <col min="24" max="25" style="2722" width="10.7109375" customWidth="1"/>
    <col min="26" max="27" style="2722" width="3.7109375" customWidth="1"/>
    <col min="28" max="28" style="2722" width="16.421875" customWidth="1"/>
    <col min="29" max="29" style="2722" width="0.28125" customWidth="1"/>
    <col min="30" max="31" style="2722" width="10.7109375" customWidth="1"/>
    <col min="32" max="33" style="2722" width="3.7109375" customWidth="1"/>
    <col min="34" max="34" style="2722" width="8.7109375" customWidth="1"/>
    <col min="35" max="35" style="2722" width="21.7109375" customWidth="1"/>
    <col min="36" max="36" style="2641" width="9.140625"/>
    <col min="37" max="37" style="2860" width="9.140625"/>
    <col min="38" max="64" style="2641" width="9.140625"/>
  </cols>
  <sheetData>
    <row s="2649"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856" customFormat="1" customHeight="1" ht="11.25" hidden="1">
      <c r="L2" s="1599" t="s">
        <v>266</v>
      </c>
      <c r="M2" s="1599" t="s">
        <v>267</v>
      </c>
      <c r="R2" s="1599" t="s">
        <v>268</v>
      </c>
      <c r="S2" s="1599" t="s">
        <v>267</v>
      </c>
      <c r="X2" s="1599" t="s">
        <v>266</v>
      </c>
      <c r="Y2" s="1599" t="s">
        <v>267</v>
      </c>
      <c r="AD2" s="1599" t="s">
        <v>266</v>
      </c>
      <c r="AE2" s="1599" t="s">
        <v>267</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858"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2" customFormat="1" customHeight="1" ht="33">
      <c r="A4" s="1170"/>
      <c r="B4" s="1169"/>
      <c r="C4" s="1551"/>
      <c r="D4" s="2028" t="s">
        <v>269</v>
      </c>
      <c r="E4" s="2028"/>
      <c r="F4" s="2028"/>
      <c r="G4" s="2028"/>
      <c r="H4" s="2028"/>
      <c r="I4" s="2028"/>
      <c r="J4" s="2028"/>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869" customFormat="1" customHeight="1" ht="14.25">
      <c r="A5" s="1678"/>
      <c r="B5" s="1677"/>
      <c r="C5" s="1551"/>
      <c r="D5" s="2013" t="str">
        <f>IF(org=0,"Не определено",org)</f>
        <v>Филиал "Печорская ГРЭС" АО "Интер РАО-Электрогенерация"</v>
      </c>
      <c r="E5" s="2013"/>
      <c r="F5" s="2013"/>
      <c r="G5" s="2013"/>
      <c r="H5" s="2013"/>
      <c r="I5" s="2013"/>
      <c r="J5" s="2013"/>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2"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49"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66" t="s">
        <v>87</v>
      </c>
      <c r="E8" s="1966" t="s">
        <v>105</v>
      </c>
      <c r="F8" s="2029" t="s">
        <v>123</v>
      </c>
      <c r="G8" s="2030"/>
      <c r="H8" s="2029" t="s">
        <v>87</v>
      </c>
      <c r="I8" s="2030"/>
      <c r="J8" s="1966" t="s">
        <v>124</v>
      </c>
      <c r="K8" s="1602"/>
      <c r="L8" s="2033" t="s">
        <v>270</v>
      </c>
      <c r="M8" s="2033"/>
      <c r="N8" s="2033"/>
      <c r="O8" s="2033"/>
      <c r="P8" s="2033"/>
      <c r="Q8" s="1603"/>
      <c r="R8" s="1935" t="s">
        <v>271</v>
      </c>
      <c r="S8" s="2034"/>
      <c r="T8" s="2034"/>
      <c r="U8" s="2034"/>
      <c r="V8" s="2034"/>
      <c r="W8" s="1603"/>
      <c r="X8" s="2035" t="s">
        <v>272</v>
      </c>
      <c r="Y8" s="2035"/>
      <c r="Z8" s="2035"/>
      <c r="AA8" s="2035"/>
      <c r="AB8" s="2035"/>
      <c r="AC8" s="1604"/>
      <c r="AD8" s="1966" t="s">
        <v>273</v>
      </c>
      <c r="AE8" s="1966"/>
      <c r="AF8" s="1966"/>
      <c r="AG8" s="1966"/>
      <c r="AH8" s="1940"/>
      <c r="AI8" s="1966" t="s">
        <v>274</v>
      </c>
      <c r="AJ8" s="1620"/>
    </row>
    <row customHeight="1" ht="22.5">
      <c r="D9" s="1966"/>
      <c r="E9" s="1966"/>
      <c r="F9" s="2012" t="s">
        <v>88</v>
      </c>
      <c r="G9" s="2012" t="s">
        <v>129</v>
      </c>
      <c r="H9" s="2031"/>
      <c r="I9" s="2032"/>
      <c r="J9" s="1940"/>
      <c r="K9" s="1605"/>
      <c r="L9" s="1966" t="s">
        <v>275</v>
      </c>
      <c r="M9" s="1940"/>
      <c r="N9" s="2029" t="s">
        <v>87</v>
      </c>
      <c r="O9" s="2030"/>
      <c r="P9" s="1966" t="s">
        <v>130</v>
      </c>
      <c r="Q9" s="1602"/>
      <c r="R9" s="1966" t="s">
        <v>275</v>
      </c>
      <c r="S9" s="1940"/>
      <c r="T9" s="2029" t="s">
        <v>87</v>
      </c>
      <c r="U9" s="2030"/>
      <c r="V9" s="1966" t="s">
        <v>130</v>
      </c>
      <c r="W9" s="1602"/>
      <c r="X9" s="1966" t="s">
        <v>275</v>
      </c>
      <c r="Y9" s="1940"/>
      <c r="Z9" s="2029" t="s">
        <v>87</v>
      </c>
      <c r="AA9" s="2030"/>
      <c r="AB9" s="1966" t="s">
        <v>276</v>
      </c>
      <c r="AC9" s="1602"/>
      <c r="AD9" s="1966" t="s">
        <v>275</v>
      </c>
      <c r="AE9" s="1940"/>
      <c r="AF9" s="2029" t="s">
        <v>87</v>
      </c>
      <c r="AG9" s="2030"/>
      <c r="AH9" s="1940" t="s">
        <v>276</v>
      </c>
      <c r="AI9" s="1966"/>
      <c r="AJ9" s="1620"/>
    </row>
    <row customHeight="1" ht="22.5">
      <c r="D10" s="2012"/>
      <c r="E10" s="2012"/>
      <c r="F10" s="2036"/>
      <c r="G10" s="2036"/>
      <c r="H10" s="2037"/>
      <c r="I10" s="2038"/>
      <c r="J10" s="2029"/>
      <c r="K10" s="1605"/>
      <c r="L10" s="1624" t="s">
        <v>277</v>
      </c>
      <c r="M10" s="1619" t="s">
        <v>278</v>
      </c>
      <c r="N10" s="2031"/>
      <c r="O10" s="2032"/>
      <c r="P10" s="2012"/>
      <c r="Q10" s="1602"/>
      <c r="R10" s="1624" t="s">
        <v>277</v>
      </c>
      <c r="S10" s="1619" t="s">
        <v>278</v>
      </c>
      <c r="T10" s="2031"/>
      <c r="U10" s="2032"/>
      <c r="V10" s="2012"/>
      <c r="W10" s="1602"/>
      <c r="X10" s="1624" t="s">
        <v>277</v>
      </c>
      <c r="Y10" s="1619" t="s">
        <v>278</v>
      </c>
      <c r="Z10" s="2031"/>
      <c r="AA10" s="2032"/>
      <c r="AB10" s="2012"/>
      <c r="AC10" s="1602"/>
      <c r="AD10" s="1624" t="s">
        <v>277</v>
      </c>
      <c r="AE10" s="1619" t="s">
        <v>278</v>
      </c>
      <c r="AF10" s="2031"/>
      <c r="AG10" s="2032"/>
      <c r="AH10" s="2029"/>
      <c r="AI10" s="2012"/>
      <c r="AJ10" s="1620"/>
      <c r="AK10" s="240" t="s">
        <v>279</v>
      </c>
      <c r="AL10" s="240" t="s">
        <v>131</v>
      </c>
    </row>
    <row customHeight="1" ht="14.25">
      <c r="D11" s="2020" t="s">
        <v>109</v>
      </c>
      <c r="E11" s="2016" t="s">
        <v>280</v>
      </c>
      <c r="F11" s="2016" t="s">
        <v>281</v>
      </c>
      <c r="G11" s="2022" t="s">
        <v>56</v>
      </c>
      <c r="H11" s="1645"/>
      <c r="I11" s="2018"/>
      <c r="J11" s="1991"/>
      <c r="K11" s="1550"/>
      <c r="L11" s="1974"/>
      <c r="M11" s="1974"/>
      <c r="N11" s="1630"/>
      <c r="O11" s="1974"/>
      <c r="P11" s="1991"/>
      <c r="Q11" s="1631"/>
      <c r="R11" s="1974"/>
      <c r="S11" s="1974"/>
      <c r="T11" s="1632"/>
      <c r="U11" s="1974"/>
      <c r="V11" s="1991"/>
      <c r="W11" s="1633"/>
      <c r="X11" s="1974"/>
      <c r="Y11" s="1974"/>
      <c r="Z11" s="1630"/>
      <c r="AA11" s="1974"/>
      <c r="AB11" s="1991"/>
      <c r="AC11" s="1634"/>
      <c r="AD11" s="1974"/>
      <c r="AE11" s="1974"/>
      <c r="AF11" s="1549"/>
      <c r="AG11" s="1549"/>
      <c r="AH11" s="1635"/>
      <c r="AI11" s="1332"/>
      <c r="AJ11" s="1620"/>
    </row>
    <row customHeight="1" ht="14.25">
      <c r="D12" s="2020"/>
      <c r="E12" s="2016"/>
      <c r="F12" s="2016"/>
      <c r="G12" s="2023"/>
      <c r="H12" s="1646"/>
      <c r="I12" s="2019"/>
      <c r="J12" s="1992"/>
      <c r="K12" s="1656"/>
      <c r="L12" s="1975"/>
      <c r="M12" s="1975"/>
      <c r="N12" s="1636"/>
      <c r="O12" s="1975"/>
      <c r="P12" s="1992"/>
      <c r="Q12" s="1637"/>
      <c r="R12" s="1975"/>
      <c r="S12" s="1975"/>
      <c r="T12" s="1638"/>
      <c r="U12" s="1975"/>
      <c r="V12" s="1992"/>
      <c r="W12" s="1639"/>
      <c r="X12" s="1975"/>
      <c r="Y12" s="1975"/>
      <c r="Z12" s="1636"/>
      <c r="AA12" s="1975"/>
      <c r="AB12" s="1992"/>
      <c r="AC12" s="1640"/>
      <c r="AD12" s="1975"/>
      <c r="AE12" s="1975"/>
      <c r="AF12" s="1641"/>
      <c r="AG12" s="1641"/>
      <c r="AH12" s="2014"/>
      <c r="AI12" s="2015"/>
      <c r="AJ12" s="1620"/>
    </row>
    <row customHeight="1" ht="14.25">
      <c r="D13" s="2020"/>
      <c r="E13" s="2016"/>
      <c r="F13" s="2016"/>
      <c r="G13" s="2023"/>
      <c r="H13" s="1646"/>
      <c r="I13" s="2019"/>
      <c r="J13" s="1992"/>
      <c r="K13" s="1656"/>
      <c r="L13" s="1975"/>
      <c r="M13" s="1975"/>
      <c r="N13" s="1636"/>
      <c r="O13" s="1975"/>
      <c r="P13" s="1992"/>
      <c r="Q13" s="1637"/>
      <c r="R13" s="1975"/>
      <c r="S13" s="1975"/>
      <c r="T13" s="1638"/>
      <c r="U13" s="1975"/>
      <c r="V13" s="1992"/>
      <c r="W13" s="1639"/>
      <c r="X13" s="1975"/>
      <c r="Y13" s="1975"/>
      <c r="Z13" s="1548"/>
      <c r="AA13" s="1641"/>
      <c r="AB13" s="2014"/>
      <c r="AC13" s="2014"/>
      <c r="AD13" s="2014"/>
      <c r="AE13" s="2014"/>
      <c r="AF13" s="2014"/>
      <c r="AG13" s="2014"/>
      <c r="AH13" s="2014"/>
      <c r="AI13" s="2015"/>
      <c r="AJ13" s="1620"/>
    </row>
    <row customHeight="1" ht="14.25">
      <c r="D14" s="2020"/>
      <c r="E14" s="2016"/>
      <c r="F14" s="2016"/>
      <c r="G14" s="2023"/>
      <c r="H14" s="1646"/>
      <c r="I14" s="2019"/>
      <c r="J14" s="1992"/>
      <c r="K14" s="1656"/>
      <c r="L14" s="1975"/>
      <c r="M14" s="1975"/>
      <c r="N14" s="1636"/>
      <c r="O14" s="1975"/>
      <c r="P14" s="1992"/>
      <c r="Q14" s="1637"/>
      <c r="R14" s="1975"/>
      <c r="S14" s="1975"/>
      <c r="T14" s="1642"/>
      <c r="U14" s="1643"/>
      <c r="V14" s="2014"/>
      <c r="W14" s="2014"/>
      <c r="X14" s="2014"/>
      <c r="Y14" s="2014"/>
      <c r="Z14" s="2014"/>
      <c r="AA14" s="2014"/>
      <c r="AB14" s="2014"/>
      <c r="AC14" s="2014"/>
      <c r="AD14" s="2014"/>
      <c r="AE14" s="2014"/>
      <c r="AF14" s="2014"/>
      <c r="AG14" s="2014"/>
      <c r="AH14" s="2014"/>
      <c r="AI14" s="2015"/>
      <c r="AJ14" s="1620"/>
    </row>
    <row customHeight="1" ht="11.25">
      <c r="D15" s="2020"/>
      <c r="E15" s="2016"/>
      <c r="F15" s="2016"/>
      <c r="G15" s="2023"/>
      <c r="H15" s="1647"/>
      <c r="I15" s="2019"/>
      <c r="J15" s="1992"/>
      <c r="K15" s="1656"/>
      <c r="L15" s="1975"/>
      <c r="M15" s="1975"/>
      <c r="N15" s="1641"/>
      <c r="O15" s="1641"/>
      <c r="P15" s="2014"/>
      <c r="Q15" s="2014"/>
      <c r="R15" s="2014"/>
      <c r="S15" s="2014"/>
      <c r="T15" s="2014"/>
      <c r="U15" s="2014"/>
      <c r="V15" s="2014"/>
      <c r="W15" s="2014"/>
      <c r="X15" s="2014"/>
      <c r="Y15" s="2014"/>
      <c r="Z15" s="2014"/>
      <c r="AA15" s="2014"/>
      <c r="AB15" s="2014"/>
      <c r="AC15" s="2014"/>
      <c r="AD15" s="2014"/>
      <c r="AE15" s="2014"/>
      <c r="AF15" s="2014"/>
      <c r="AG15" s="2014"/>
      <c r="AH15" s="2014"/>
      <c r="AI15" s="2015"/>
      <c r="AJ15" s="1620"/>
    </row>
    <row s="2858" customFormat="1" customHeight="1" ht="11.25">
      <c r="D16" s="2026"/>
      <c r="E16" s="2027"/>
      <c r="F16" s="2017"/>
      <c r="G16" s="1951"/>
      <c r="H16" s="1644"/>
      <c r="I16" s="1648"/>
      <c r="J16" s="2024"/>
      <c r="K16" s="2024"/>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c r="AH16" s="2024"/>
      <c r="AI16" s="2025"/>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0" t="s">
        <v>110</v>
      </c>
      <c r="E17" s="2016" t="s">
        <v>280</v>
      </c>
      <c r="F17" s="2016" t="s">
        <v>282</v>
      </c>
      <c r="G17" s="2022" t="s">
        <v>56</v>
      </c>
      <c r="H17" s="1645"/>
      <c r="I17" s="2018"/>
      <c r="J17" s="1991"/>
      <c r="K17" s="1550"/>
      <c r="L17" s="1974"/>
      <c r="M17" s="1974"/>
      <c r="N17" s="1630"/>
      <c r="O17" s="1974"/>
      <c r="P17" s="1991"/>
      <c r="Q17" s="1631"/>
      <c r="R17" s="1974"/>
      <c r="S17" s="1974"/>
      <c r="T17" s="1632"/>
      <c r="U17" s="1974"/>
      <c r="V17" s="1991"/>
      <c r="W17" s="1633"/>
      <c r="X17" s="1974"/>
      <c r="Y17" s="1974"/>
      <c r="Z17" s="1630"/>
      <c r="AA17" s="1974"/>
      <c r="AB17" s="1991"/>
      <c r="AC17" s="1634"/>
      <c r="AD17" s="1974"/>
      <c r="AE17" s="1974"/>
      <c r="AF17" s="1549"/>
      <c r="AG17" s="1549"/>
      <c r="AH17" s="1635"/>
      <c r="AI17" s="1332"/>
      <c r="AJ17" s="1620"/>
    </row>
    <row customHeight="1" ht="14.25">
      <c r="D18" s="2020"/>
      <c r="E18" s="2016"/>
      <c r="F18" s="2016"/>
      <c r="G18" s="2023"/>
      <c r="H18" s="1646"/>
      <c r="I18" s="2019"/>
      <c r="J18" s="1992"/>
      <c r="K18" s="1629"/>
      <c r="L18" s="1975"/>
      <c r="M18" s="1975"/>
      <c r="N18" s="1636"/>
      <c r="O18" s="1975"/>
      <c r="P18" s="1992"/>
      <c r="Q18" s="1637"/>
      <c r="R18" s="1975"/>
      <c r="S18" s="1975"/>
      <c r="T18" s="1638"/>
      <c r="U18" s="1975"/>
      <c r="V18" s="1992"/>
      <c r="W18" s="1639"/>
      <c r="X18" s="1975"/>
      <c r="Y18" s="1975"/>
      <c r="Z18" s="1636"/>
      <c r="AA18" s="1975"/>
      <c r="AB18" s="1992"/>
      <c r="AC18" s="1640"/>
      <c r="AD18" s="1975"/>
      <c r="AE18" s="1975"/>
      <c r="AF18" s="1641"/>
      <c r="AG18" s="1641"/>
      <c r="AH18" s="2014"/>
      <c r="AI18" s="2015"/>
      <c r="AJ18" s="1620"/>
    </row>
    <row customHeight="1" ht="14.25">
      <c r="D19" s="2020"/>
      <c r="E19" s="2016"/>
      <c r="F19" s="2016"/>
      <c r="G19" s="2023"/>
      <c r="H19" s="1646"/>
      <c r="I19" s="2019"/>
      <c r="J19" s="1992"/>
      <c r="K19" s="1629"/>
      <c r="L19" s="1975"/>
      <c r="M19" s="1975"/>
      <c r="N19" s="1636"/>
      <c r="O19" s="1975"/>
      <c r="P19" s="1992"/>
      <c r="Q19" s="1637"/>
      <c r="R19" s="1975"/>
      <c r="S19" s="1975"/>
      <c r="T19" s="1638"/>
      <c r="U19" s="1975"/>
      <c r="V19" s="1992"/>
      <c r="W19" s="1639"/>
      <c r="X19" s="1975"/>
      <c r="Y19" s="1975"/>
      <c r="Z19" s="1548"/>
      <c r="AA19" s="1641"/>
      <c r="AB19" s="2014"/>
      <c r="AC19" s="2014"/>
      <c r="AD19" s="2014"/>
      <c r="AE19" s="2014"/>
      <c r="AF19" s="2014"/>
      <c r="AG19" s="2014"/>
      <c r="AH19" s="2014"/>
      <c r="AI19" s="2015"/>
      <c r="AJ19" s="1620"/>
    </row>
    <row customHeight="1" ht="14.25">
      <c r="D20" s="2020"/>
      <c r="E20" s="2016"/>
      <c r="F20" s="2016"/>
      <c r="G20" s="2023"/>
      <c r="H20" s="1646"/>
      <c r="I20" s="2019"/>
      <c r="J20" s="1992"/>
      <c r="K20" s="1629"/>
      <c r="L20" s="1975"/>
      <c r="M20" s="1975"/>
      <c r="N20" s="1636"/>
      <c r="O20" s="1975"/>
      <c r="P20" s="1992"/>
      <c r="Q20" s="1637"/>
      <c r="R20" s="1975"/>
      <c r="S20" s="1975"/>
      <c r="T20" s="1642"/>
      <c r="U20" s="1643"/>
      <c r="V20" s="2014"/>
      <c r="W20" s="2014"/>
      <c r="X20" s="2014"/>
      <c r="Y20" s="2014"/>
      <c r="Z20" s="2014"/>
      <c r="AA20" s="2014"/>
      <c r="AB20" s="2014"/>
      <c r="AC20" s="2014"/>
      <c r="AD20" s="2014"/>
      <c r="AE20" s="2014"/>
      <c r="AF20" s="2014"/>
      <c r="AG20" s="2014"/>
      <c r="AH20" s="2014"/>
      <c r="AI20" s="2015"/>
      <c r="AJ20" s="1620"/>
    </row>
    <row customHeight="1" ht="11.25">
      <c r="D21" s="2020"/>
      <c r="E21" s="2016"/>
      <c r="F21" s="2016"/>
      <c r="G21" s="2023"/>
      <c r="H21" s="1647"/>
      <c r="I21" s="2019"/>
      <c r="J21" s="1992"/>
      <c r="K21" s="1629"/>
      <c r="L21" s="1975"/>
      <c r="M21" s="1975"/>
      <c r="N21" s="1641"/>
      <c r="O21" s="1641"/>
      <c r="P21" s="2014"/>
      <c r="Q21" s="2014"/>
      <c r="R21" s="2014"/>
      <c r="S21" s="2014"/>
      <c r="T21" s="2014"/>
      <c r="U21" s="2014"/>
      <c r="V21" s="2014"/>
      <c r="W21" s="2014"/>
      <c r="X21" s="2014"/>
      <c r="Y21" s="2014"/>
      <c r="Z21" s="2014"/>
      <c r="AA21" s="2014"/>
      <c r="AB21" s="2014"/>
      <c r="AC21" s="2014"/>
      <c r="AD21" s="2014"/>
      <c r="AE21" s="2014"/>
      <c r="AF21" s="2014"/>
      <c r="AG21" s="2014"/>
      <c r="AH21" s="2014"/>
      <c r="AI21" s="2015"/>
      <c r="AJ21" s="1620"/>
    </row>
    <row s="2858" customFormat="1" customHeight="1" ht="11.25">
      <c r="D22" s="2026"/>
      <c r="E22" s="2027"/>
      <c r="F22" s="2017"/>
      <c r="G22" s="1951"/>
      <c r="H22" s="1644"/>
      <c r="I22" s="1648"/>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5"/>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0" t="s">
        <v>89</v>
      </c>
      <c r="E23" s="2016" t="s">
        <v>280</v>
      </c>
      <c r="F23" s="2016" t="s">
        <v>283</v>
      </c>
      <c r="G23" s="2022" t="s">
        <v>56</v>
      </c>
      <c r="H23" s="1645"/>
      <c r="I23" s="2018"/>
      <c r="J23" s="1991"/>
      <c r="K23" s="1550"/>
      <c r="L23" s="1974"/>
      <c r="M23" s="1974"/>
      <c r="N23" s="1630"/>
      <c r="O23" s="1974"/>
      <c r="P23" s="1991"/>
      <c r="Q23" s="1631"/>
      <c r="R23" s="1974"/>
      <c r="S23" s="1974"/>
      <c r="T23" s="1632"/>
      <c r="U23" s="1974"/>
      <c r="V23" s="1991"/>
      <c r="W23" s="1633"/>
      <c r="X23" s="1974"/>
      <c r="Y23" s="1974"/>
      <c r="Z23" s="1630"/>
      <c r="AA23" s="1974"/>
      <c r="AB23" s="1991"/>
      <c r="AC23" s="1634"/>
      <c r="AD23" s="1974"/>
      <c r="AE23" s="1974"/>
      <c r="AF23" s="1549"/>
      <c r="AG23" s="1549"/>
      <c r="AH23" s="1635"/>
      <c r="AI23" s="1332"/>
      <c r="AJ23" s="1620"/>
      <c r="AK23" s="295" t="s">
        <v>97</v>
      </c>
    </row>
    <row customHeight="1" ht="14.25">
      <c r="D24" s="2020"/>
      <c r="E24" s="2016"/>
      <c r="F24" s="2016"/>
      <c r="G24" s="2023"/>
      <c r="H24" s="1646"/>
      <c r="I24" s="2019"/>
      <c r="J24" s="1992"/>
      <c r="K24" s="1656"/>
      <c r="L24" s="1975"/>
      <c r="M24" s="1975"/>
      <c r="N24" s="1636"/>
      <c r="O24" s="1975"/>
      <c r="P24" s="1992"/>
      <c r="Q24" s="1637"/>
      <c r="R24" s="1975"/>
      <c r="S24" s="1975"/>
      <c r="T24" s="1638"/>
      <c r="U24" s="1975"/>
      <c r="V24" s="1992"/>
      <c r="W24" s="1639"/>
      <c r="X24" s="1975"/>
      <c r="Y24" s="1975"/>
      <c r="Z24" s="1636"/>
      <c r="AA24" s="1975"/>
      <c r="AB24" s="1992"/>
      <c r="AC24" s="1640"/>
      <c r="AD24" s="1975"/>
      <c r="AE24" s="1975"/>
      <c r="AF24" s="1641"/>
      <c r="AG24" s="1641"/>
      <c r="AH24" s="2014"/>
      <c r="AI24" s="2015"/>
      <c r="AJ24" s="1620"/>
    </row>
    <row customHeight="1" ht="14.25">
      <c r="D25" s="2020"/>
      <c r="E25" s="2016"/>
      <c r="F25" s="2016"/>
      <c r="G25" s="2023"/>
      <c r="H25" s="1646"/>
      <c r="I25" s="2019"/>
      <c r="J25" s="1992"/>
      <c r="K25" s="1656"/>
      <c r="L25" s="1975"/>
      <c r="M25" s="1975"/>
      <c r="N25" s="1636"/>
      <c r="O25" s="1975"/>
      <c r="P25" s="1992"/>
      <c r="Q25" s="1637"/>
      <c r="R25" s="1975"/>
      <c r="S25" s="1975"/>
      <c r="T25" s="1638"/>
      <c r="U25" s="1975"/>
      <c r="V25" s="1992"/>
      <c r="W25" s="1639"/>
      <c r="X25" s="1975"/>
      <c r="Y25" s="1975"/>
      <c r="Z25" s="1548"/>
      <c r="AA25" s="1641"/>
      <c r="AB25" s="2014"/>
      <c r="AC25" s="2014"/>
      <c r="AD25" s="2014"/>
      <c r="AE25" s="2014"/>
      <c r="AF25" s="2014"/>
      <c r="AG25" s="2014"/>
      <c r="AH25" s="2014"/>
      <c r="AI25" s="2015"/>
      <c r="AJ25" s="1620"/>
    </row>
    <row customHeight="1" ht="14.25">
      <c r="D26" s="2020"/>
      <c r="E26" s="2016"/>
      <c r="F26" s="2016"/>
      <c r="G26" s="2023"/>
      <c r="H26" s="1646"/>
      <c r="I26" s="2019"/>
      <c r="J26" s="1992"/>
      <c r="K26" s="1656"/>
      <c r="L26" s="1975"/>
      <c r="M26" s="1975"/>
      <c r="N26" s="1636"/>
      <c r="O26" s="1975"/>
      <c r="P26" s="1992"/>
      <c r="Q26" s="1637"/>
      <c r="R26" s="1975"/>
      <c r="S26" s="1975"/>
      <c r="T26" s="1642"/>
      <c r="U26" s="1643"/>
      <c r="V26" s="2014"/>
      <c r="W26" s="2014"/>
      <c r="X26" s="2014"/>
      <c r="Y26" s="2014"/>
      <c r="Z26" s="2014"/>
      <c r="AA26" s="2014"/>
      <c r="AB26" s="2014"/>
      <c r="AC26" s="2014"/>
      <c r="AD26" s="2014"/>
      <c r="AE26" s="2014"/>
      <c r="AF26" s="2014"/>
      <c r="AG26" s="2014"/>
      <c r="AH26" s="2014"/>
      <c r="AI26" s="2015"/>
      <c r="AJ26" s="1620"/>
    </row>
    <row customHeight="1" ht="11.25">
      <c r="D27" s="2020"/>
      <c r="E27" s="2016"/>
      <c r="F27" s="2016"/>
      <c r="G27" s="2023"/>
      <c r="H27" s="1647"/>
      <c r="I27" s="2019"/>
      <c r="J27" s="1992"/>
      <c r="K27" s="1656"/>
      <c r="L27" s="1975"/>
      <c r="M27" s="1975"/>
      <c r="N27" s="1641"/>
      <c r="O27" s="1641"/>
      <c r="P27" s="2014"/>
      <c r="Q27" s="2014"/>
      <c r="R27" s="2014"/>
      <c r="S27" s="2014"/>
      <c r="T27" s="2014"/>
      <c r="U27" s="2014"/>
      <c r="V27" s="2014"/>
      <c r="W27" s="2014"/>
      <c r="X27" s="2014"/>
      <c r="Y27" s="2014"/>
      <c r="Z27" s="2014"/>
      <c r="AA27" s="2014"/>
      <c r="AB27" s="2014"/>
      <c r="AC27" s="2014"/>
      <c r="AD27" s="2014"/>
      <c r="AE27" s="2014"/>
      <c r="AF27" s="2014"/>
      <c r="AG27" s="2014"/>
      <c r="AH27" s="2014"/>
      <c r="AI27" s="2015"/>
      <c r="AJ27" s="1620"/>
    </row>
    <row s="2858" customFormat="1" customHeight="1" ht="11.25">
      <c r="D28" s="2026"/>
      <c r="E28" s="2027"/>
      <c r="F28" s="2017"/>
      <c r="G28" s="1951"/>
      <c r="H28" s="1644"/>
      <c r="I28" s="1648"/>
      <c r="J28" s="2024"/>
      <c r="K28" s="2024"/>
      <c r="L28" s="2024"/>
      <c r="M28" s="2024"/>
      <c r="N28" s="2024"/>
      <c r="O28" s="2024"/>
      <c r="P28" s="2024"/>
      <c r="Q28" s="2024"/>
      <c r="R28" s="2024"/>
      <c r="S28" s="2024"/>
      <c r="T28" s="2024"/>
      <c r="U28" s="2024"/>
      <c r="V28" s="2024"/>
      <c r="W28" s="2024"/>
      <c r="X28" s="2024"/>
      <c r="Y28" s="2024"/>
      <c r="Z28" s="2024"/>
      <c r="AA28" s="2024"/>
      <c r="AB28" s="2024"/>
      <c r="AC28" s="2024"/>
      <c r="AD28" s="2024"/>
      <c r="AE28" s="2024"/>
      <c r="AF28" s="2024"/>
      <c r="AG28" s="2024"/>
      <c r="AH28" s="2024"/>
      <c r="AI28" s="2025"/>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0" t="s">
        <v>90</v>
      </c>
      <c r="E29" s="2016" t="s">
        <v>280</v>
      </c>
      <c r="F29" s="2016" t="s">
        <v>284</v>
      </c>
      <c r="G29" s="2022" t="s">
        <v>56</v>
      </c>
      <c r="H29" s="1645"/>
      <c r="I29" s="2018"/>
      <c r="J29" s="1991"/>
      <c r="K29" s="1550"/>
      <c r="L29" s="1974"/>
      <c r="M29" s="1974"/>
      <c r="N29" s="1630"/>
      <c r="O29" s="1974"/>
      <c r="P29" s="1991"/>
      <c r="Q29" s="1631"/>
      <c r="R29" s="1974"/>
      <c r="S29" s="1974"/>
      <c r="T29" s="1632"/>
      <c r="U29" s="1974"/>
      <c r="V29" s="1991"/>
      <c r="W29" s="1633"/>
      <c r="X29" s="1974"/>
      <c r="Y29" s="1974"/>
      <c r="Z29" s="1630"/>
      <c r="AA29" s="1974"/>
      <c r="AB29" s="1991"/>
      <c r="AC29" s="1634"/>
      <c r="AD29" s="1974"/>
      <c r="AE29" s="1974"/>
      <c r="AF29" s="1549"/>
      <c r="AG29" s="1549"/>
      <c r="AH29" s="1635"/>
      <c r="AI29" s="1332"/>
      <c r="AJ29" s="1620"/>
    </row>
    <row customHeight="1" ht="14.25">
      <c r="D30" s="2020"/>
      <c r="E30" s="2016"/>
      <c r="F30" s="2016"/>
      <c r="G30" s="2023"/>
      <c r="H30" s="1646"/>
      <c r="I30" s="2019"/>
      <c r="J30" s="1992"/>
      <c r="K30" s="1629"/>
      <c r="L30" s="1975"/>
      <c r="M30" s="1975"/>
      <c r="N30" s="1636"/>
      <c r="O30" s="1975"/>
      <c r="P30" s="1992"/>
      <c r="Q30" s="1637"/>
      <c r="R30" s="1975"/>
      <c r="S30" s="1975"/>
      <c r="T30" s="1638"/>
      <c r="U30" s="1975"/>
      <c r="V30" s="1992"/>
      <c r="W30" s="1639"/>
      <c r="X30" s="1975"/>
      <c r="Y30" s="1975"/>
      <c r="Z30" s="1636"/>
      <c r="AA30" s="1975"/>
      <c r="AB30" s="1992"/>
      <c r="AC30" s="1640"/>
      <c r="AD30" s="1975"/>
      <c r="AE30" s="1975"/>
      <c r="AF30" s="1641"/>
      <c r="AG30" s="1641"/>
      <c r="AH30" s="2014"/>
      <c r="AI30" s="2015"/>
      <c r="AJ30" s="1620"/>
    </row>
    <row customHeight="1" ht="14.25">
      <c r="D31" s="2020"/>
      <c r="E31" s="2016"/>
      <c r="F31" s="2016"/>
      <c r="G31" s="2023"/>
      <c r="H31" s="1646"/>
      <c r="I31" s="2019"/>
      <c r="J31" s="1992"/>
      <c r="K31" s="1629"/>
      <c r="L31" s="1975"/>
      <c r="M31" s="1975"/>
      <c r="N31" s="1636"/>
      <c r="O31" s="1975"/>
      <c r="P31" s="1992"/>
      <c r="Q31" s="1637"/>
      <c r="R31" s="1975"/>
      <c r="S31" s="1975"/>
      <c r="T31" s="1638"/>
      <c r="U31" s="1975"/>
      <c r="V31" s="1992"/>
      <c r="W31" s="1639"/>
      <c r="X31" s="1975"/>
      <c r="Y31" s="1975"/>
      <c r="Z31" s="1548"/>
      <c r="AA31" s="1641"/>
      <c r="AB31" s="2014"/>
      <c r="AC31" s="2014"/>
      <c r="AD31" s="2014"/>
      <c r="AE31" s="2014"/>
      <c r="AF31" s="2014"/>
      <c r="AG31" s="2014"/>
      <c r="AH31" s="2014"/>
      <c r="AI31" s="2015"/>
      <c r="AJ31" s="1620"/>
    </row>
    <row customHeight="1" ht="14.25">
      <c r="D32" s="2020"/>
      <c r="E32" s="2016"/>
      <c r="F32" s="2016"/>
      <c r="G32" s="2023"/>
      <c r="H32" s="1646"/>
      <c r="I32" s="2019"/>
      <c r="J32" s="1992"/>
      <c r="K32" s="1629"/>
      <c r="L32" s="1975"/>
      <c r="M32" s="1975"/>
      <c r="N32" s="1636"/>
      <c r="O32" s="1975"/>
      <c r="P32" s="1992"/>
      <c r="Q32" s="1637"/>
      <c r="R32" s="1975"/>
      <c r="S32" s="1975"/>
      <c r="T32" s="1642"/>
      <c r="U32" s="1643"/>
      <c r="V32" s="2014"/>
      <c r="W32" s="2014"/>
      <c r="X32" s="2014"/>
      <c r="Y32" s="2014"/>
      <c r="Z32" s="2014"/>
      <c r="AA32" s="2014"/>
      <c r="AB32" s="2014"/>
      <c r="AC32" s="2014"/>
      <c r="AD32" s="2014"/>
      <c r="AE32" s="2014"/>
      <c r="AF32" s="2014"/>
      <c r="AG32" s="2014"/>
      <c r="AH32" s="2014"/>
      <c r="AI32" s="2015"/>
      <c r="AJ32" s="1620"/>
    </row>
    <row customHeight="1" ht="11.25">
      <c r="D33" s="2020"/>
      <c r="E33" s="2016"/>
      <c r="F33" s="2016"/>
      <c r="G33" s="2023"/>
      <c r="H33" s="1647"/>
      <c r="I33" s="2019"/>
      <c r="J33" s="1992"/>
      <c r="K33" s="1629"/>
      <c r="L33" s="1975"/>
      <c r="M33" s="1975"/>
      <c r="N33" s="1641"/>
      <c r="O33" s="1641"/>
      <c r="P33" s="2014"/>
      <c r="Q33" s="2014"/>
      <c r="R33" s="2014"/>
      <c r="S33" s="2014"/>
      <c r="T33" s="2014"/>
      <c r="U33" s="2014"/>
      <c r="V33" s="2014"/>
      <c r="W33" s="2014"/>
      <c r="X33" s="2014"/>
      <c r="Y33" s="2014"/>
      <c r="Z33" s="2014"/>
      <c r="AA33" s="2014"/>
      <c r="AB33" s="2014"/>
      <c r="AC33" s="2014"/>
      <c r="AD33" s="2014"/>
      <c r="AE33" s="2014"/>
      <c r="AF33" s="2014"/>
      <c r="AG33" s="2014"/>
      <c r="AH33" s="2014"/>
      <c r="AI33" s="2015"/>
      <c r="AJ33" s="1620"/>
    </row>
    <row s="2858" customFormat="1" customHeight="1" ht="11.25">
      <c r="D34" s="2026"/>
      <c r="E34" s="2027"/>
      <c r="F34" s="2017"/>
      <c r="G34" s="1951"/>
      <c r="H34" s="1644"/>
      <c r="I34" s="1648"/>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5"/>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0" t="s">
        <v>111</v>
      </c>
      <c r="E35" s="2016" t="s">
        <v>280</v>
      </c>
      <c r="F35" s="2016" t="s">
        <v>285</v>
      </c>
      <c r="G35" s="2022" t="s">
        <v>56</v>
      </c>
      <c r="H35" s="1645"/>
      <c r="I35" s="2018"/>
      <c r="J35" s="1991"/>
      <c r="K35" s="1550"/>
      <c r="L35" s="1974"/>
      <c r="M35" s="1974"/>
      <c r="N35" s="1630"/>
      <c r="O35" s="1974"/>
      <c r="P35" s="1991"/>
      <c r="Q35" s="1631"/>
      <c r="R35" s="1974"/>
      <c r="S35" s="1974"/>
      <c r="T35" s="1632"/>
      <c r="U35" s="1974"/>
      <c r="V35" s="1991"/>
      <c r="W35" s="1633"/>
      <c r="X35" s="1974"/>
      <c r="Y35" s="1974"/>
      <c r="Z35" s="1630"/>
      <c r="AA35" s="1974"/>
      <c r="AB35" s="1991"/>
      <c r="AC35" s="1634"/>
      <c r="AD35" s="1974"/>
      <c r="AE35" s="1974"/>
      <c r="AF35" s="1549"/>
      <c r="AG35" s="1549"/>
      <c r="AH35" s="1635"/>
      <c r="AI35" s="1332"/>
      <c r="AJ35" s="1620"/>
    </row>
    <row customHeight="1" ht="14.25">
      <c r="D36" s="2020"/>
      <c r="E36" s="2016"/>
      <c r="F36" s="2016"/>
      <c r="G36" s="2023"/>
      <c r="H36" s="1646"/>
      <c r="I36" s="2019"/>
      <c r="J36" s="1992"/>
      <c r="K36" s="1629"/>
      <c r="L36" s="1975"/>
      <c r="M36" s="1975"/>
      <c r="N36" s="1636"/>
      <c r="O36" s="1975"/>
      <c r="P36" s="1992"/>
      <c r="Q36" s="1637"/>
      <c r="R36" s="1975"/>
      <c r="S36" s="1975"/>
      <c r="T36" s="1638"/>
      <c r="U36" s="1975"/>
      <c r="V36" s="1992"/>
      <c r="W36" s="1639"/>
      <c r="X36" s="1975"/>
      <c r="Y36" s="1975"/>
      <c r="Z36" s="1636"/>
      <c r="AA36" s="1975"/>
      <c r="AB36" s="1992"/>
      <c r="AC36" s="1640"/>
      <c r="AD36" s="1975"/>
      <c r="AE36" s="1975"/>
      <c r="AF36" s="1641"/>
      <c r="AG36" s="1641"/>
      <c r="AH36" s="2014"/>
      <c r="AI36" s="2015"/>
      <c r="AJ36" s="1620"/>
    </row>
    <row customHeight="1" ht="14.25">
      <c r="D37" s="2020"/>
      <c r="E37" s="2016"/>
      <c r="F37" s="2016"/>
      <c r="G37" s="2023"/>
      <c r="H37" s="1646"/>
      <c r="I37" s="2019"/>
      <c r="J37" s="1992"/>
      <c r="K37" s="1629"/>
      <c r="L37" s="1975"/>
      <c r="M37" s="1975"/>
      <c r="N37" s="1636"/>
      <c r="O37" s="1975"/>
      <c r="P37" s="1992"/>
      <c r="Q37" s="1637"/>
      <c r="R37" s="1975"/>
      <c r="S37" s="1975"/>
      <c r="T37" s="1638"/>
      <c r="U37" s="1975"/>
      <c r="V37" s="1992"/>
      <c r="W37" s="1639"/>
      <c r="X37" s="1975"/>
      <c r="Y37" s="1975"/>
      <c r="Z37" s="1548"/>
      <c r="AA37" s="1641"/>
      <c r="AB37" s="2014"/>
      <c r="AC37" s="2014"/>
      <c r="AD37" s="2014"/>
      <c r="AE37" s="2014"/>
      <c r="AF37" s="2014"/>
      <c r="AG37" s="2014"/>
      <c r="AH37" s="2014"/>
      <c r="AI37" s="2015"/>
      <c r="AJ37" s="1620"/>
    </row>
    <row customHeight="1" ht="14.25">
      <c r="D38" s="2020"/>
      <c r="E38" s="2016"/>
      <c r="F38" s="2016"/>
      <c r="G38" s="2023"/>
      <c r="H38" s="1646"/>
      <c r="I38" s="2019"/>
      <c r="J38" s="1992"/>
      <c r="K38" s="1629"/>
      <c r="L38" s="1975"/>
      <c r="M38" s="1975"/>
      <c r="N38" s="1636"/>
      <c r="O38" s="1975"/>
      <c r="P38" s="1992"/>
      <c r="Q38" s="1637"/>
      <c r="R38" s="1975"/>
      <c r="S38" s="1975"/>
      <c r="T38" s="1642"/>
      <c r="U38" s="1643"/>
      <c r="V38" s="2014"/>
      <c r="W38" s="2014"/>
      <c r="X38" s="2014"/>
      <c r="Y38" s="2014"/>
      <c r="Z38" s="2014"/>
      <c r="AA38" s="2014"/>
      <c r="AB38" s="2014"/>
      <c r="AC38" s="2014"/>
      <c r="AD38" s="2014"/>
      <c r="AE38" s="2014"/>
      <c r="AF38" s="2014"/>
      <c r="AG38" s="2014"/>
      <c r="AH38" s="2014"/>
      <c r="AI38" s="2015"/>
      <c r="AJ38" s="1620"/>
    </row>
    <row customHeight="1" ht="11.25">
      <c r="D39" s="2020"/>
      <c r="E39" s="2016"/>
      <c r="F39" s="2016"/>
      <c r="G39" s="2023"/>
      <c r="H39" s="1647"/>
      <c r="I39" s="2019"/>
      <c r="J39" s="1992"/>
      <c r="K39" s="1629"/>
      <c r="L39" s="1975"/>
      <c r="M39" s="1975"/>
      <c r="N39" s="1641"/>
      <c r="O39" s="1641"/>
      <c r="P39" s="2014"/>
      <c r="Q39" s="2014"/>
      <c r="R39" s="2014"/>
      <c r="S39" s="2014"/>
      <c r="T39" s="2014"/>
      <c r="U39" s="2014"/>
      <c r="V39" s="2014"/>
      <c r="W39" s="2014"/>
      <c r="X39" s="2014"/>
      <c r="Y39" s="2014"/>
      <c r="Z39" s="2014"/>
      <c r="AA39" s="2014"/>
      <c r="AB39" s="2014"/>
      <c r="AC39" s="2014"/>
      <c r="AD39" s="2014"/>
      <c r="AE39" s="2014"/>
      <c r="AF39" s="2014"/>
      <c r="AG39" s="2014"/>
      <c r="AH39" s="2014"/>
      <c r="AI39" s="2015"/>
      <c r="AJ39" s="1620"/>
    </row>
    <row s="2858" customFormat="1" customHeight="1" ht="11.25">
      <c r="D40" s="2020"/>
      <c r="E40" s="2016"/>
      <c r="F40" s="2021"/>
      <c r="G40" s="1951"/>
      <c r="H40" s="1644"/>
      <c r="I40" s="1648"/>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5"/>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B5498-023C-C355-11C1-617A81B117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361CB-9587-8DA2-5982-B80D2039BFC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83" width="9.140625" hidden="1"/>
    <col min="2" max="2" style="4684" width="9.140625" hidden="1"/>
    <col min="3" max="3" style="4685" width="3.7109375" customWidth="1"/>
    <col min="4" max="4" style="4691" width="7.00390625" customWidth="1"/>
    <col min="5" max="5" style="4691" width="23.140625" customWidth="1"/>
    <col min="6" max="6" style="4691" width="16.00390625" customWidth="1"/>
    <col min="7" max="7" style="4691" width="14.8515625" customWidth="1"/>
    <col min="8" max="8" style="4691" width="47.8515625" customWidth="1"/>
    <col min="9" max="9" style="4691" width="115.7109375" customWidth="1"/>
    <col min="10" max="10" style="4691" width="3.7109375" customWidth="1"/>
    <col min="11" max="12" style="4691" width="9.140625"/>
  </cols>
  <sheetData>
    <row customHeight="1" ht="14.25" hidden="1"/>
    <row customHeight="1" ht="14.25" hidden="1"/>
    <row customHeight="1" ht="14.25" hidden="1"/>
    <row customHeight="1" ht="3"/>
    <row s="2663" customFormat="1" customHeight="1" ht="30">
      <c r="A5" s="101"/>
      <c r="C5" s="75"/>
      <c r="D5" s="1939" t="s">
        <v>2114</v>
      </c>
      <c r="E5" s="1939"/>
      <c r="F5" s="1939"/>
      <c r="G5" s="1939"/>
      <c r="H5" s="1939"/>
      <c r="I5" s="251"/>
    </row>
    <row customHeight="1" ht="3" hidden="1">
      <c r="D6" s="108"/>
      <c r="E6" s="108"/>
      <c r="F6" s="108"/>
      <c r="G6" s="108"/>
      <c r="H6" s="108"/>
      <c r="I6" s="108"/>
    </row>
    <row s="4683" customFormat="1" customHeight="1" ht="14.25">
      <c r="B7" s="105"/>
      <c r="C7" s="106"/>
      <c r="D7" s="109"/>
      <c r="E7" s="109"/>
      <c r="F7" s="109"/>
      <c r="G7" s="109"/>
      <c r="H7" s="762"/>
      <c r="I7" s="109"/>
      <c r="J7" s="110"/>
    </row>
    <row customHeight="1" ht="14.25">
      <c r="D8" s="2047" t="s">
        <v>287</v>
      </c>
      <c r="E8" s="2047"/>
      <c r="F8" s="2047"/>
      <c r="G8" s="2047"/>
      <c r="H8" s="2047"/>
      <c r="I8" s="2047" t="s">
        <v>288</v>
      </c>
    </row>
    <row customHeight="1" ht="27.75">
      <c r="D9" s="2047" t="s">
        <v>87</v>
      </c>
      <c r="E9" s="2047" t="s">
        <v>2115</v>
      </c>
      <c r="F9" s="2047"/>
      <c r="G9" s="2047"/>
      <c r="H9" s="2047"/>
      <c r="I9" s="2047"/>
    </row>
    <row customHeight="1" ht="22.5">
      <c r="D10" s="2047"/>
      <c r="E10" s="113" t="s">
        <v>2116</v>
      </c>
      <c r="F10" s="113" t="s">
        <v>2117</v>
      </c>
      <c r="G10" s="113" t="s">
        <v>2118</v>
      </c>
      <c r="H10" s="113" t="s">
        <v>379</v>
      </c>
      <c r="I10" s="2047"/>
    </row>
    <row customHeight="1" ht="12" hidden="1">
      <c r="D11" s="72" t="s">
        <v>109</v>
      </c>
      <c r="E11" s="72" t="s">
        <v>90</v>
      </c>
      <c r="F11" s="72" t="s">
        <v>111</v>
      </c>
      <c r="G11" s="72" t="s">
        <v>91</v>
      </c>
      <c r="H11" s="72" t="s">
        <v>92</v>
      </c>
      <c r="I11" s="72" t="s">
        <v>112</v>
      </c>
    </row>
    <row s="4689" customFormat="1" customHeight="1" ht="24.75">
      <c r="A12" s="131" t="s">
        <v>89</v>
      </c>
      <c r="B12" s="111" t="s">
        <v>18</v>
      </c>
      <c r="C12" s="112"/>
      <c r="D12" s="114" t="s">
        <v>109</v>
      </c>
      <c r="E12" s="387"/>
      <c r="F12" s="387"/>
      <c r="G12" s="1780" t="s">
        <v>18</v>
      </c>
      <c r="H12" s="388"/>
      <c r="I12" s="2006" t="s">
        <v>2119</v>
      </c>
      <c r="K12" s="258"/>
      <c r="L12" s="259"/>
    </row>
    <row customHeight="1" ht="15">
      <c r="A13" s="107"/>
      <c r="B13" s="107"/>
      <c r="C13" s="107"/>
      <c r="D13" s="95"/>
      <c r="E13" s="116" t="s">
        <v>537</v>
      </c>
      <c r="F13" s="115"/>
      <c r="G13" s="115"/>
      <c r="H13" s="200"/>
      <c r="I13" s="2008"/>
    </row>
    <row customHeight="1" ht="3">
      <c r="A14" s="107"/>
      <c r="B14" s="107"/>
      <c r="C14" s="107"/>
    </row>
    <row customHeight="1" ht="27.75">
      <c r="E15" s="2401" t="s">
        <v>2120</v>
      </c>
      <c r="F15" s="2401"/>
      <c r="G15" s="2401"/>
      <c r="H15" s="240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EE33E-3E28-A16A-921C-3614DAB329AF}"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3138" width="9.140625" hidden="1"/>
    <col min="3" max="3" style="4710" width="3.7109375" customWidth="1"/>
    <col min="4" max="4" style="3138" width="6.28125" customWidth="1"/>
    <col min="5" max="5" style="3138" width="94.8515625" customWidth="1"/>
    <col min="6" max="9" style="313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2" t="s">
        <v>2121</v>
      </c>
      <c r="E7" s="2403"/>
      <c r="F7" s="253"/>
    </row>
    <row customHeight="1" ht="3">
      <c r="C8" s="77"/>
      <c r="D8" s="55"/>
      <c r="E8" s="55"/>
    </row>
    <row customHeight="1" ht="15.75">
      <c r="C9" s="77"/>
      <c r="D9" s="91" t="s">
        <v>87</v>
      </c>
      <c r="E9" s="246" t="s">
        <v>2122</v>
      </c>
    </row>
    <row customHeight="1" ht="12">
      <c r="C10" s="77"/>
      <c r="D10" s="72" t="s">
        <v>109</v>
      </c>
      <c r="E10" s="72" t="s">
        <v>110</v>
      </c>
    </row>
    <row customHeight="1" ht="11.25" hidden="1">
      <c r="C11" s="77"/>
      <c r="D11" s="136">
        <v>0</v>
      </c>
      <c r="E11" s="247"/>
    </row>
    <row customHeight="1" ht="15">
      <c r="C12" s="122"/>
      <c r="D12" s="99">
        <v>1</v>
      </c>
      <c r="E12" s="380"/>
    </row>
    <row customHeight="1" ht="12">
      <c r="C13" s="77"/>
      <c r="D13" s="248"/>
      <c r="E13" s="249" t="s">
        <v>2123</v>
      </c>
    </row>
    <row customHeight="1" ht="3"/>
    <row customHeight="1" ht="22.5">
      <c r="C15" s="123"/>
      <c r="D15" s="2404" t="s">
        <v>2124</v>
      </c>
      <c r="E15" s="2404"/>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B0EA3-6356-9688-C83D-C75F689B4CF5}" mc:Ignorable="x14ac xr xr2 xr3">
  <dimension ref="A1:I24"/>
  <sheetViews>
    <sheetView topLeftCell="A1" showGridLines="0" zoomScale="90" workbookViewId="0">
      <selection activeCell="A1" sqref="A1"/>
    </sheetView>
  </sheetViews>
  <sheetFormatPr defaultColWidth="9.140625" customHeight="1" defaultRowHeight="11.25"/>
  <cols>
    <col min="1"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93.421875" customWidth="1"/>
    <col min="8" max="8" style="3010" width="9.140625"/>
    <col min="9" max="9" style="3010" width="65.00390625" customWidth="1"/>
  </cols>
  <sheetData>
    <row customHeight="1" ht="11.25" hidden="1">
      <c r="A1" s="509" t="s">
        <v>286</v>
      </c>
    </row>
    <row customHeight="1" ht="22.5" hidden="1">
      <c r="A2" s="510"/>
      <c r="B2" s="510"/>
      <c r="C2" s="465"/>
      <c r="D2" s="1556"/>
      <c r="E2" s="1562"/>
      <c r="F2" s="1592"/>
      <c r="H2" s="483"/>
    </row>
    <row customHeight="1" ht="11.25" hidden="1"/>
    <row customHeight="1" ht="11.25">
      <c r="A4" s="1593"/>
      <c r="B4" s="1593"/>
    </row>
    <row customHeight="1" ht="36.75">
      <c r="D5" s="199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97"/>
      <c r="F5" s="1998"/>
      <c r="I5" s="723"/>
    </row>
    <row customHeight="1" ht="17.25">
      <c r="D6" s="2049" t="str">
        <f>IF(region_name=0,"Не определено",region_name)</f>
        <v>Республика Коми</v>
      </c>
      <c r="E6" s="2049"/>
      <c r="F6" s="2049"/>
      <c r="I6" s="723"/>
    </row>
    <row s="2930"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287</v>
      </c>
      <c r="E9" s="2042"/>
      <c r="F9" s="2042"/>
      <c r="G9" s="2046" t="s">
        <v>288</v>
      </c>
    </row>
    <row customHeight="1" ht="11.25">
      <c r="A10" s="510"/>
      <c r="B10" s="510"/>
      <c r="C10" s="465"/>
      <c r="D10" s="1510" t="s">
        <v>87</v>
      </c>
      <c r="E10" s="1512" t="s">
        <v>289</v>
      </c>
      <c r="F10" s="1512" t="s">
        <v>290</v>
      </c>
      <c r="G10" s="2047"/>
    </row>
    <row customHeight="1" ht="12">
      <c r="A11" s="510"/>
      <c r="B11" s="510"/>
      <c r="C11" s="465"/>
      <c r="D11" s="472"/>
      <c r="E11" s="472"/>
      <c r="F11" s="472"/>
      <c r="G11" s="472"/>
    </row>
    <row customHeight="1" ht="22.5">
      <c r="A12" s="510"/>
      <c r="B12" s="510"/>
      <c r="C12" s="465"/>
      <c r="D12" s="1556">
        <v>1</v>
      </c>
      <c r="E12" s="482" t="s">
        <v>2125</v>
      </c>
      <c r="F12" s="1913" t="str">
        <f>IF(org="","",org)</f>
        <v>Филиал "Печорская ГРЭС" АО "Интер РАО-Электрогенерация"</v>
      </c>
      <c r="G12" s="482" t="s">
        <v>2126</v>
      </c>
      <c r="H12" s="1569"/>
    </row>
    <row customHeight="1" ht="18.75">
      <c r="A13" s="510"/>
      <c r="B13" s="510"/>
      <c r="C13" s="465"/>
      <c r="D13" s="1556">
        <v>2</v>
      </c>
      <c r="E13" s="1563" t="s">
        <v>2127</v>
      </c>
      <c r="F13" s="1557" t="s">
        <v>293</v>
      </c>
      <c r="G13" s="482"/>
      <c r="H13" s="1569"/>
    </row>
    <row customHeight="1" ht="18.75">
      <c r="A14" s="510"/>
      <c r="B14" s="510"/>
      <c r="C14" s="465"/>
      <c r="D14" s="1559" t="s">
        <v>451</v>
      </c>
      <c r="E14" s="1560" t="s">
        <v>2128</v>
      </c>
      <c r="F14" s="1562"/>
      <c r="G14" s="1561" t="s">
        <v>2129</v>
      </c>
      <c r="H14" s="1569"/>
    </row>
    <row customHeight="1" ht="18.75">
      <c r="A15" s="510"/>
      <c r="B15" s="510"/>
      <c r="C15" s="465"/>
      <c r="D15" s="1559" t="s">
        <v>294</v>
      </c>
      <c r="E15" s="1560" t="s">
        <v>2130</v>
      </c>
      <c r="F15" s="1562"/>
      <c r="G15" s="1561" t="s">
        <v>2131</v>
      </c>
      <c r="H15" s="1569"/>
    </row>
    <row customHeight="1" ht="36.75">
      <c r="A16" s="510"/>
      <c r="B16" s="510"/>
      <c r="C16" s="465"/>
      <c r="D16" s="1559" t="s">
        <v>297</v>
      </c>
      <c r="E16" s="1558" t="s">
        <v>2132</v>
      </c>
      <c r="F16" s="1567"/>
      <c r="G16" s="482" t="s">
        <v>2133</v>
      </c>
      <c r="H16" s="1569"/>
    </row>
    <row customHeight="1" ht="45">
      <c r="A17" s="510"/>
      <c r="B17" s="510"/>
      <c r="C17" s="465"/>
      <c r="D17" s="1556">
        <v>3</v>
      </c>
      <c r="E17" s="1563" t="s">
        <v>2134</v>
      </c>
      <c r="F17" s="1562"/>
      <c r="G17" s="482" t="s">
        <v>2135</v>
      </c>
      <c r="H17" s="1569"/>
    </row>
    <row customHeight="1" ht="45">
      <c r="A18" s="1511">
        <v>1</v>
      </c>
      <c r="B18" s="510"/>
      <c r="C18" s="1513"/>
      <c r="D18" s="1556" t="s">
        <v>90</v>
      </c>
      <c r="E18" s="1563" t="s">
        <v>2136</v>
      </c>
      <c r="F18" s="1562"/>
      <c r="G18" s="482" t="s">
        <v>2135</v>
      </c>
      <c r="H18" s="1569"/>
      <c r="I18" s="862"/>
    </row>
    <row customHeight="1" ht="22.5">
      <c r="A19" s="510"/>
      <c r="B19" s="510"/>
      <c r="C19" s="465"/>
      <c r="D19" s="1556" t="s">
        <v>111</v>
      </c>
      <c r="E19" s="1563" t="s">
        <v>2137</v>
      </c>
      <c r="F19" s="1557" t="s">
        <v>293</v>
      </c>
      <c r="G19" s="2405" t="s">
        <v>2138</v>
      </c>
      <c r="H19" s="483"/>
    </row>
    <row s="4729" customFormat="1" customHeight="1" ht="5.25" hidden="1">
      <c r="A20" s="510"/>
      <c r="B20" s="510"/>
      <c r="C20" s="1565"/>
      <c r="D20" s="1564" t="s">
        <v>1636</v>
      </c>
      <c r="E20" s="1027"/>
      <c r="F20" s="1026"/>
      <c r="G20" s="2406"/>
    </row>
    <row customHeight="1" ht="15">
      <c r="A21" s="510"/>
      <c r="B21" s="510"/>
      <c r="C21" s="465"/>
      <c r="D21" s="475"/>
      <c r="E21" s="422" t="s">
        <v>328</v>
      </c>
      <c r="F21" s="477"/>
      <c r="G21" s="2407"/>
      <c r="H21" s="1569"/>
    </row>
    <row s="2931" customFormat="1" customHeight="1" ht="24.75">
      <c r="A22" s="510"/>
      <c r="B22" s="510"/>
      <c r="C22" s="510"/>
      <c r="D22" s="1556" t="s">
        <v>91</v>
      </c>
      <c r="E22" s="482" t="s">
        <v>2139</v>
      </c>
      <c r="F22" s="1562"/>
      <c r="G22" s="482" t="s">
        <v>2140</v>
      </c>
      <c r="H22" s="1568"/>
    </row>
    <row s="2931" customFormat="1" customHeight="1" ht="18.75">
      <c r="A23" s="510"/>
      <c r="B23" s="510"/>
      <c r="C23" s="510"/>
      <c r="D23" s="1556" t="s">
        <v>92</v>
      </c>
      <c r="E23" s="1563" t="s">
        <v>2141</v>
      </c>
      <c r="F23" s="1567"/>
      <c r="G23" s="482" t="s">
        <v>2142</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5F5BC-D75D-360A-825C-56927B07C298}" mc:Ignorable="x14ac xr xr2 xr3">
  <dimension ref="A1:IT23"/>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46.7109375" customWidth="1"/>
    <col min="7" max="8" style="2862" width="16.7109375" customWidth="1"/>
    <col min="9" max="9" style="2862" width="35.28125" customWidth="1"/>
    <col min="10" max="10" style="2862" width="89.57421875" customWidth="1"/>
    <col min="11" max="11" style="2640" width="3.7109375" customWidth="1"/>
    <col min="12" max="14" style="2640" width="9.140625"/>
    <col min="15" max="15" style="2606" width="25.7109375" customWidth="1"/>
    <col min="16" max="16" style="2640" width="14.421875" customWidth="1"/>
    <col min="17" max="20" style="2607" width="9.140625"/>
    <col min="21" max="254" style="2862" width="9.140625"/>
  </cols>
  <sheetData>
    <row customHeight="1" ht="14.25" hidden="1"/>
    <row s="2641"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7" customFormat="1" customHeight="1" ht="5.25" hidden="1">
      <c r="A3" s="504"/>
      <c r="D3" s="502"/>
      <c r="F3" s="233" t="s">
        <v>82</v>
      </c>
      <c r="G3" s="502" t="s">
        <v>83</v>
      </c>
      <c r="H3" s="502"/>
      <c r="I3" s="502"/>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2" customFormat="1" customHeight="1" ht="14.25">
      <c r="A4" s="1169"/>
      <c r="B4" s="1174"/>
      <c r="C4" s="1169"/>
      <c r="D4" s="1531"/>
      <c r="E4" s="517"/>
      <c r="F4" s="517"/>
      <c r="G4" s="517"/>
      <c r="H4" s="517"/>
      <c r="I4" s="517"/>
      <c r="J4" s="152"/>
      <c r="K4" s="233"/>
      <c r="L4" s="508"/>
      <c r="M4" s="508"/>
      <c r="N4" s="508"/>
      <c r="O4" s="212"/>
      <c r="P4" s="508"/>
      <c r="Q4" s="211"/>
      <c r="R4" s="211"/>
      <c r="S4" s="211"/>
      <c r="T4" s="211"/>
    </row>
    <row s="2632"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9"/>
      <c r="G5" s="1939"/>
      <c r="H5" s="1939"/>
      <c r="I5" s="1939"/>
      <c r="J5" s="1939"/>
      <c r="K5" s="233"/>
      <c r="L5" s="508"/>
      <c r="M5" s="508"/>
      <c r="N5" s="508"/>
      <c r="O5" s="212"/>
      <c r="P5" s="508"/>
      <c r="Q5" s="211"/>
      <c r="R5" s="211"/>
      <c r="S5" s="211"/>
      <c r="T5" s="211"/>
    </row>
    <row s="2632" customFormat="1" customHeight="1" ht="14.25">
      <c r="A6" s="1169"/>
      <c r="B6" s="1174"/>
      <c r="C6" s="1169"/>
      <c r="D6" s="1531"/>
      <c r="E6" s="517"/>
      <c r="F6" s="153"/>
      <c r="G6" s="153"/>
      <c r="H6" s="153"/>
      <c r="I6" s="153"/>
      <c r="J6" s="154"/>
      <c r="K6" s="508"/>
      <c r="L6" s="508"/>
      <c r="M6" s="508"/>
      <c r="N6" s="508"/>
      <c r="O6" s="212"/>
      <c r="P6" s="508"/>
      <c r="Q6" s="211"/>
      <c r="R6" s="211"/>
      <c r="S6" s="211"/>
      <c r="T6" s="211"/>
    </row>
    <row s="2632" customFormat="1" customHeight="1" ht="14.25">
      <c r="A7" s="1169"/>
      <c r="B7" s="1174"/>
      <c r="C7" s="1169"/>
      <c r="D7" s="1531"/>
      <c r="E7" s="1940" t="s">
        <v>287</v>
      </c>
      <c r="F7" s="1941"/>
      <c r="G7" s="1941"/>
      <c r="H7" s="1941"/>
      <c r="I7" s="1941"/>
      <c r="J7" s="2408" t="s">
        <v>288</v>
      </c>
      <c r="K7" s="508"/>
      <c r="L7" s="508"/>
      <c r="M7" s="508"/>
      <c r="N7" s="508"/>
      <c r="O7" s="212"/>
      <c r="P7" s="508"/>
      <c r="Q7" s="211"/>
      <c r="R7" s="211"/>
      <c r="S7" s="211"/>
      <c r="T7" s="211"/>
    </row>
    <row s="2632" customFormat="1" customHeight="1" ht="20.25">
      <c r="A8" s="1169"/>
      <c r="B8" s="1174"/>
      <c r="C8" s="1169"/>
      <c r="D8" s="1531"/>
      <c r="E8" s="1591" t="s">
        <v>87</v>
      </c>
      <c r="F8" s="1576" t="s">
        <v>2143</v>
      </c>
      <c r="G8" s="1576" t="s">
        <v>48</v>
      </c>
      <c r="H8" s="1576" t="s">
        <v>50</v>
      </c>
      <c r="I8" s="1576" t="s">
        <v>2144</v>
      </c>
      <c r="J8" s="2409"/>
      <c r="K8" s="508"/>
      <c r="L8" s="508"/>
      <c r="M8" s="508"/>
      <c r="N8" s="508"/>
      <c r="O8" s="212"/>
      <c r="P8" s="508"/>
      <c r="Q8" s="211"/>
      <c r="R8" s="211"/>
      <c r="S8" s="211"/>
      <c r="T8" s="211"/>
    </row>
    <row s="2641" customFormat="1" customHeight="1" ht="22.5">
      <c r="A9" s="1938"/>
      <c r="B9" s="1174">
        <v>1</v>
      </c>
      <c r="C9" s="1174"/>
      <c r="D9" s="811"/>
      <c r="E9" s="1520">
        <v>1</v>
      </c>
      <c r="F9" s="1590"/>
      <c r="G9" s="1527"/>
      <c r="H9" s="1527"/>
      <c r="I9" s="1574"/>
      <c r="J9" s="2410" t="s">
        <v>2145</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1" customFormat="1" customHeight="1" ht="15">
      <c r="A10" s="1938"/>
      <c r="B10" s="1174"/>
      <c r="C10" s="419"/>
      <c r="D10" s="811"/>
      <c r="E10" s="1577"/>
      <c r="F10" s="1536" t="s">
        <v>2146</v>
      </c>
      <c r="G10" s="1578"/>
      <c r="H10" s="1578"/>
      <c r="I10" s="1578"/>
      <c r="J10" s="2411"/>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2"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2"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2"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4" customFormat="1" customHeight="1" ht="10.5">
      <c r="B14" s="844"/>
      <c r="D14" s="168"/>
      <c r="K14" s="508"/>
      <c r="L14" s="508"/>
      <c r="M14" s="508"/>
      <c r="N14" s="508"/>
      <c r="O14" s="212"/>
      <c r="P14" s="508"/>
      <c r="Q14" s="211"/>
      <c r="R14" s="211"/>
      <c r="S14" s="211"/>
      <c r="T14" s="211"/>
    </row>
    <row s="2664"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24342-B3D5-6FE6-6C81-6143DCD2F31E}" mc:Ignorable="x14ac xr xr2 xr3">
  <dimension ref="A1:IV14"/>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27.28125" customWidth="1"/>
    <col min="7" max="7" style="2862" width="16.7109375" customWidth="1"/>
    <col min="8" max="8" style="2862" width="12.7109375" customWidth="1"/>
    <col min="9" max="9" style="2862" width="32.140625" customWidth="1"/>
    <col min="10" max="11" style="2862" width="41.8515625" customWidth="1"/>
    <col min="12" max="12" style="2862" width="89.57421875" customWidth="1"/>
    <col min="13" max="13" style="2640" width="3.7109375" customWidth="1"/>
    <col min="14" max="16" style="2640" width="9.140625"/>
    <col min="17" max="17" style="2606" width="25.7109375" customWidth="1"/>
    <col min="18" max="18" style="2640" width="14.421875" customWidth="1"/>
    <col min="19" max="22" style="2607" width="9.140625"/>
    <col min="23" max="256" style="2862" width="9.140625"/>
  </cols>
  <sheetData>
    <row customHeight="1" ht="14.25" hidden="1"/>
    <row s="2641" customFormat="1" customHeight="1" ht="22.5" hidden="1">
      <c r="A2" s="841"/>
      <c r="B2" s="1174">
        <v>1</v>
      </c>
      <c r="C2" s="1174"/>
      <c r="D2" s="811"/>
      <c r="E2" s="1520"/>
      <c r="F2" s="1575" t="str">
        <f>IF(ROIV_INFO_NAME="","",ROIV_INFO_NAME)</f>
        <v>Филиал "Печорская ГРЭС" АО "Интер РАО-Электрогенерация"</v>
      </c>
      <c r="G2" s="1778" t="s">
        <v>18</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7" customFormat="1" customHeight="1" ht="5.25" hidden="1">
      <c r="A3" s="504"/>
      <c r="D3" s="502"/>
      <c r="F3" s="233" t="s">
        <v>82</v>
      </c>
      <c r="G3" s="1781" t="s">
        <v>83</v>
      </c>
      <c r="H3" s="502"/>
      <c r="I3" s="502"/>
      <c r="J3" s="502"/>
      <c r="K3" s="502"/>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2"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2"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9"/>
      <c r="G5" s="1939"/>
      <c r="H5" s="1939"/>
      <c r="I5" s="1939"/>
      <c r="J5" s="1939"/>
      <c r="K5" s="1939"/>
      <c r="L5" s="596"/>
      <c r="M5" s="233"/>
      <c r="N5" s="508"/>
      <c r="O5" s="508"/>
      <c r="P5" s="508"/>
      <c r="Q5" s="212"/>
      <c r="R5" s="508"/>
      <c r="S5" s="211"/>
      <c r="T5" s="211"/>
      <c r="U5" s="211"/>
      <c r="V5" s="211"/>
    </row>
    <row s="2632"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2" customFormat="1" customHeight="1" ht="14.25">
      <c r="A7" s="1169"/>
      <c r="B7" s="1174"/>
      <c r="C7" s="1169"/>
      <c r="D7" s="1531"/>
      <c r="E7" s="1940" t="s">
        <v>287</v>
      </c>
      <c r="F7" s="1941"/>
      <c r="G7" s="1941"/>
      <c r="H7" s="1941"/>
      <c r="I7" s="1941"/>
      <c r="J7" s="1941"/>
      <c r="K7" s="1941"/>
      <c r="L7" s="2408" t="s">
        <v>288</v>
      </c>
      <c r="M7" s="508"/>
      <c r="N7" s="508"/>
      <c r="O7" s="508"/>
      <c r="P7" s="508"/>
      <c r="Q7" s="212"/>
      <c r="R7" s="508"/>
      <c r="S7" s="211"/>
      <c r="T7" s="211"/>
      <c r="U7" s="211"/>
      <c r="V7" s="211"/>
    </row>
    <row s="2632" customFormat="1" customHeight="1" ht="47.25">
      <c r="A8" s="1169"/>
      <c r="B8" s="1174"/>
      <c r="C8" s="1169"/>
      <c r="D8" s="1531"/>
      <c r="E8" s="2413" t="s">
        <v>87</v>
      </c>
      <c r="F8" s="2413" t="s">
        <v>2125</v>
      </c>
      <c r="G8" s="24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16"/>
      <c r="I8" s="2417"/>
      <c r="J8" s="24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12"/>
      <c r="M8" s="508"/>
      <c r="N8" s="508"/>
      <c r="O8" s="508"/>
      <c r="P8" s="508"/>
      <c r="Q8" s="212"/>
      <c r="R8" s="508"/>
      <c r="S8" s="211"/>
      <c r="T8" s="211"/>
      <c r="U8" s="211"/>
      <c r="V8" s="211"/>
    </row>
    <row s="2632" customFormat="1" customHeight="1" ht="56.25">
      <c r="A9" s="1169"/>
      <c r="B9" s="1174"/>
      <c r="C9" s="1169"/>
      <c r="D9" s="1531"/>
      <c r="E9" s="2414"/>
      <c r="F9" s="2414"/>
      <c r="G9" s="1573" t="s">
        <v>2147</v>
      </c>
      <c r="H9" s="1573" t="s">
        <v>2148</v>
      </c>
      <c r="I9" s="1573" t="s">
        <v>2149</v>
      </c>
      <c r="J9" s="2414"/>
      <c r="K9" s="2414"/>
      <c r="L9" s="2409"/>
      <c r="M9" s="508"/>
      <c r="N9" s="508"/>
      <c r="O9" s="508"/>
      <c r="P9" s="508"/>
      <c r="Q9" s="212"/>
      <c r="R9" s="508"/>
      <c r="S9" s="211"/>
      <c r="T9" s="211"/>
      <c r="U9" s="211"/>
      <c r="V9" s="211"/>
    </row>
    <row s="2641" customFormat="1" customHeight="1" ht="22.5">
      <c r="A10" s="1938"/>
      <c r="B10" s="1174">
        <v>1</v>
      </c>
      <c r="C10" s="1174"/>
      <c r="D10" s="810"/>
      <c r="E10" s="808">
        <v>1</v>
      </c>
      <c r="F10" s="1575" t="str">
        <f>IF(ROIV_INFO_NAME="","",ROIV_INFO_NAME)</f>
        <v>Филиал "Печорская ГРЭС" АО "Интер РАО-Электрогенерация"</v>
      </c>
      <c r="G10" s="1778" t="s">
        <v>18</v>
      </c>
      <c r="H10" s="1570"/>
      <c r="I10" s="1570"/>
      <c r="J10" s="1178"/>
      <c r="K10" s="1178"/>
      <c r="L10" s="2410" t="s">
        <v>2150</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1" customFormat="1" customHeight="1" ht="15">
      <c r="A11" s="1938"/>
      <c r="B11" s="1174"/>
      <c r="C11" s="419"/>
      <c r="D11" s="811"/>
      <c r="E11" s="428"/>
      <c r="F11" s="423" t="s">
        <v>2151</v>
      </c>
      <c r="G11" s="173"/>
      <c r="H11" s="173"/>
      <c r="I11" s="173"/>
      <c r="J11" s="173"/>
      <c r="K11" s="173"/>
      <c r="L11" s="2411"/>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2"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2"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2"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EA144-CA51-BBC5-580B-711484B199E6}" mc:Ignorable="x14ac xr xr2 xr3">
  <dimension ref="A1:IY16"/>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10.140625" customWidth="1"/>
    <col min="6" max="6" style="2862" width="6.28125" customWidth="1"/>
    <col min="7" max="7" style="2862" width="27.28125" customWidth="1"/>
    <col min="8" max="8" style="2862" width="29.28125" customWidth="1"/>
    <col min="9" max="9" style="2862" width="25.421875" customWidth="1"/>
    <col min="10" max="10" style="2862" width="5.57421875" customWidth="1"/>
    <col min="11" max="11" style="2862" width="6.57421875" customWidth="1"/>
    <col min="12" max="12" style="2862" width="41.8515625" customWidth="1"/>
    <col min="13" max="13" style="2862" width="42.421875" customWidth="1"/>
    <col min="14" max="14" style="2862" width="41.57421875" customWidth="1"/>
    <col min="15" max="15" style="2862" width="64.140625" customWidth="1"/>
    <col min="16" max="16" style="2640" width="3.7109375" customWidth="1"/>
    <col min="17" max="19" style="2640" width="9.140625"/>
    <col min="20" max="20" style="2606" width="25.7109375" customWidth="1"/>
    <col min="21" max="21" style="2640" width="14.421875" customWidth="1"/>
    <col min="22" max="25" style="2607" width="9.140625"/>
    <col min="26" max="259" style="2862" width="9.140625"/>
  </cols>
  <sheetData>
    <row customHeight="1" ht="14.25" hidden="1"/>
    <row s="2641" customFormat="1" customHeight="1" ht="22.5" hidden="1">
      <c r="A2" s="504"/>
      <c r="B2" s="1174">
        <v>1</v>
      </c>
      <c r="C2" s="1174"/>
      <c r="D2" s="811"/>
      <c r="E2" s="1966"/>
      <c r="F2" s="1966">
        <v>1</v>
      </c>
      <c r="G2" s="2299" t="str">
        <f>IF(region_name="","",region_name)</f>
        <v>Республика Коми</v>
      </c>
      <c r="H2" s="2425"/>
      <c r="I2" s="2426"/>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1" customFormat="1" customHeight="1" ht="22.5" hidden="1">
      <c r="A3" s="841"/>
      <c r="B3" s="1174"/>
      <c r="C3" s="1174"/>
      <c r="D3" s="811"/>
      <c r="E3" s="1966"/>
      <c r="F3" s="1966"/>
      <c r="G3" s="2299"/>
      <c r="H3" s="2425"/>
      <c r="I3" s="2096"/>
      <c r="J3" s="1580"/>
      <c r="K3" s="1536"/>
      <c r="L3" s="1536" t="s">
        <v>2152</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7" customFormat="1" customHeight="1" ht="5.25" hidden="1">
      <c r="A4" s="504"/>
      <c r="D4" s="502"/>
      <c r="G4" s="233" t="s">
        <v>82</v>
      </c>
      <c r="H4" s="502" t="s">
        <v>83</v>
      </c>
      <c r="I4" s="502"/>
      <c r="J4" s="1585"/>
      <c r="K4" s="1585"/>
      <c r="L4" s="1585"/>
      <c r="M4" s="1585"/>
      <c r="N4" s="1585"/>
      <c r="O4" s="1585"/>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2"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2" customFormat="1" customHeight="1" ht="25.5">
      <c r="A6" s="1169"/>
      <c r="B6" s="1174"/>
      <c r="C6" s="1169"/>
      <c r="D6" s="1531"/>
      <c r="E6" s="1939" t="s">
        <v>2153</v>
      </c>
      <c r="F6" s="1939"/>
      <c r="G6" s="1939"/>
      <c r="H6" s="1939"/>
      <c r="I6" s="1939"/>
      <c r="J6" s="1939"/>
      <c r="K6" s="1939"/>
      <c r="L6" s="1939"/>
      <c r="M6" s="1939"/>
      <c r="N6" s="1939"/>
      <c r="O6" s="1939"/>
      <c r="P6" s="233"/>
      <c r="Q6" s="508"/>
      <c r="R6" s="508"/>
      <c r="S6" s="508"/>
      <c r="T6" s="212"/>
      <c r="U6" s="508"/>
      <c r="V6" s="211"/>
      <c r="W6" s="211"/>
      <c r="X6" s="211"/>
      <c r="Y6" s="211"/>
    </row>
    <row s="2632"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767" customFormat="1" customHeight="1" ht="42.75">
      <c r="A8" s="1504"/>
      <c r="B8" s="1514"/>
      <c r="C8" s="1504"/>
      <c r="D8" s="1531"/>
      <c r="E8" s="1594" t="s">
        <v>288</v>
      </c>
      <c r="F8" s="1594"/>
      <c r="G8" s="1595" t="s">
        <v>292</v>
      </c>
      <c r="H8" s="1595" t="s">
        <v>2154</v>
      </c>
      <c r="I8" s="1595" t="s">
        <v>296</v>
      </c>
      <c r="J8" s="2421"/>
      <c r="K8" s="2422"/>
      <c r="L8" s="2423"/>
      <c r="M8" s="1595" t="s">
        <v>2155</v>
      </c>
      <c r="N8" s="1595" t="s">
        <v>2156</v>
      </c>
      <c r="O8" s="1595" t="s">
        <v>2157</v>
      </c>
      <c r="P8" s="1586"/>
      <c r="Q8" s="1586"/>
      <c r="R8" s="1586"/>
      <c r="S8" s="1586"/>
      <c r="T8" s="1587"/>
      <c r="U8" s="1586"/>
      <c r="V8" s="1588"/>
      <c r="W8" s="1588"/>
      <c r="X8" s="1588"/>
      <c r="Y8" s="1588"/>
    </row>
    <row s="2632" customFormat="1" customHeight="1" ht="47.25">
      <c r="A9" s="1169"/>
      <c r="B9" s="1174"/>
      <c r="C9" s="1169"/>
      <c r="D9" s="1531"/>
      <c r="E9" s="2071" t="s">
        <v>287</v>
      </c>
      <c r="F9" s="2414" t="s">
        <v>87</v>
      </c>
      <c r="G9" s="2414" t="s">
        <v>291</v>
      </c>
      <c r="H9" s="2414" t="s">
        <v>2158</v>
      </c>
      <c r="I9" s="2414"/>
      <c r="J9" s="2414" t="s">
        <v>2159</v>
      </c>
      <c r="K9" s="2414"/>
      <c r="L9" s="2414"/>
      <c r="M9" s="2414" t="s">
        <v>2160</v>
      </c>
      <c r="N9" s="2414" t="s">
        <v>2161</v>
      </c>
      <c r="O9" s="24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8"/>
      <c r="Q9" s="508"/>
      <c r="R9" s="508"/>
      <c r="S9" s="508"/>
      <c r="T9" s="212"/>
      <c r="U9" s="508"/>
      <c r="V9" s="211"/>
      <c r="W9" s="211"/>
      <c r="X9" s="211"/>
      <c r="Y9" s="211"/>
    </row>
    <row s="2632" customFormat="1" customHeight="1" ht="63.75">
      <c r="A10" s="1169"/>
      <c r="B10" s="1174"/>
      <c r="C10" s="1169"/>
      <c r="D10" s="1531"/>
      <c r="E10" s="1966"/>
      <c r="F10" s="2420"/>
      <c r="G10" s="2420"/>
      <c r="H10" s="158" t="s">
        <v>2162</v>
      </c>
      <c r="I10" s="158" t="s">
        <v>295</v>
      </c>
      <c r="J10" s="2413"/>
      <c r="K10" s="2413"/>
      <c r="L10" s="2420"/>
      <c r="M10" s="2420"/>
      <c r="N10" s="2420"/>
      <c r="O10" s="2420"/>
      <c r="P10" s="508"/>
      <c r="Q10" s="508"/>
      <c r="R10" s="508"/>
      <c r="S10" s="508"/>
      <c r="T10" s="212"/>
      <c r="U10" s="508"/>
      <c r="V10" s="211"/>
      <c r="W10" s="211"/>
      <c r="X10" s="211"/>
      <c r="Y10" s="211"/>
    </row>
    <row s="2641" customFormat="1" customHeight="1" ht="22.5">
      <c r="A11" s="1938">
        <v>26379339</v>
      </c>
      <c r="B11" s="1174">
        <v>1</v>
      </c>
      <c r="C11" s="1174"/>
      <c r="D11" s="811"/>
      <c r="E11" s="2071"/>
      <c r="F11" s="2071">
        <v>1</v>
      </c>
      <c r="G11" s="2418" t="str">
        <f>IF(region_name="","",region_name)</f>
        <v>Республика Коми</v>
      </c>
      <c r="H11" s="2419"/>
      <c r="I11" s="2424"/>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1" customFormat="1" customHeight="1" ht="22.5">
      <c r="A12" s="1938"/>
      <c r="B12" s="1174"/>
      <c r="C12" s="1174"/>
      <c r="D12" s="811"/>
      <c r="E12" s="2071"/>
      <c r="F12" s="2071"/>
      <c r="G12" s="2418"/>
      <c r="H12" s="2419"/>
      <c r="I12" s="2107"/>
      <c r="J12" s="1580"/>
      <c r="K12" s="1536"/>
      <c r="L12" s="1536" t="s">
        <v>2152</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1" customFormat="1" customHeight="1" ht="22.5">
      <c r="A13" s="1938"/>
      <c r="B13" s="1174"/>
      <c r="C13" s="419"/>
      <c r="D13" s="811"/>
      <c r="E13" s="1577"/>
      <c r="F13" s="1580"/>
      <c r="G13" s="1536" t="s">
        <v>2146</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2"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2"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2"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22696-2402-7A99-8D34-5D761CA16B51}"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138" width="9.140625" hidden="1"/>
    <col min="3" max="3" style="4710" width="3.7109375" customWidth="1"/>
    <col min="4" max="4" style="3138" width="6.28125" customWidth="1"/>
    <col min="5" max="5" style="3138" width="94.8515625" customWidth="1"/>
    <col min="6" max="12" style="313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2163</v>
      </c>
      <c r="E7" s="1939"/>
      <c r="F7" s="253"/>
    </row>
    <row customHeight="1" ht="3">
      <c r="C8" s="77"/>
      <c r="D8" s="55"/>
      <c r="E8" s="55"/>
    </row>
    <row customHeight="1" ht="15.75">
      <c r="C9" s="77"/>
      <c r="D9" s="91" t="s">
        <v>87</v>
      </c>
      <c r="E9" s="94" t="s">
        <v>274</v>
      </c>
    </row>
    <row customHeight="1" ht="12">
      <c r="C10" s="77"/>
      <c r="D10" s="72" t="s">
        <v>109</v>
      </c>
      <c r="E10" s="72" t="s">
        <v>110</v>
      </c>
    </row>
    <row customHeight="1" ht="15" hidden="1">
      <c r="C11" s="77"/>
      <c r="D11" s="99">
        <v>0</v>
      </c>
      <c r="E11" s="135"/>
    </row>
    <row customHeight="1" ht="14.25">
      <c r="C12" s="77"/>
      <c r="D12" s="95"/>
      <c r="E12" s="93"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E58B2-4726-37EA-300D-6FC7834553D7}"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174" width="1.7109375" customWidth="1"/>
    <col min="2" max="2" style="3174" width="34.57421875" customWidth="1"/>
    <col min="3" max="3" style="3174" width="85.57421875" customWidth="1"/>
    <col min="4" max="4" style="3174" width="17.7109375" customWidth="1"/>
    <col min="5" max="5" style="3174" width="9.140625"/>
  </cols>
  <sheetData>
    <row customHeight="1" ht="3"/>
    <row customHeight="1" ht="22.5">
      <c r="B2" s="2427" t="s">
        <v>2164</v>
      </c>
      <c r="C2" s="2427"/>
      <c r="D2" s="2427"/>
      <c r="E2" s="254"/>
    </row>
    <row customHeight="1" ht="3"/>
    <row customHeight="1" ht="21.75">
      <c r="B4" s="389" t="s">
        <v>2165</v>
      </c>
      <c r="C4" s="389" t="s">
        <v>2166</v>
      </c>
      <c r="D4" s="389" t="s">
        <v>2167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967B6-885D-972C-053C-AEB6F6CC1C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1AFCF-8BCD-52D8-BEB9-29F6A6D47317}"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29" width="15.00390625" hidden="1" customWidth="1"/>
    <col min="2"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121.7109375" customWidth="1"/>
    <col min="8" max="8" style="3010" width="9.140625"/>
    <col min="9" max="9" style="3010" width="65.00390625" customWidth="1"/>
  </cols>
  <sheetData>
    <row customHeight="1" ht="11.25" hidden="1">
      <c r="A1" s="1732" t="s">
        <v>286</v>
      </c>
    </row>
    <row customHeight="1" ht="11.25" hidden="1"/>
    <row s="2930" customFormat="1" customHeight="1" ht="11.25">
      <c r="A3" s="1732"/>
      <c r="B3" s="509"/>
      <c r="D3" s="486"/>
    </row>
    <row customHeight="1" ht="36.75">
      <c r="D4" s="1996"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97"/>
      <c r="F4" s="1998"/>
      <c r="I4" s="723"/>
    </row>
    <row customHeight="1" ht="17.25">
      <c r="D5" s="2049" t="str">
        <f>IF(org=0,"Не определено",org)</f>
        <v>Филиал "Печорская ГРЭС" АО "Интер РАО-Электрогенерация"</v>
      </c>
      <c r="E5" s="2049"/>
      <c r="F5" s="2049"/>
      <c r="I5" s="723"/>
    </row>
    <row s="2930"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287</v>
      </c>
      <c r="E8" s="2042"/>
      <c r="F8" s="2042"/>
      <c r="G8" s="2046" t="s">
        <v>288</v>
      </c>
    </row>
    <row customHeight="1" ht="11.25">
      <c r="A9" s="465"/>
      <c r="B9" s="510"/>
      <c r="C9" s="465"/>
      <c r="D9" s="480" t="s">
        <v>87</v>
      </c>
      <c r="E9" s="454" t="s">
        <v>289</v>
      </c>
      <c r="F9" s="454" t="s">
        <v>290</v>
      </c>
      <c r="G9" s="2047"/>
    </row>
    <row customHeight="1" ht="12" hidden="1">
      <c r="A10" s="465"/>
      <c r="B10" s="510"/>
      <c r="C10" s="465"/>
      <c r="D10" s="472"/>
      <c r="E10" s="472"/>
      <c r="F10" s="472"/>
      <c r="G10" s="472"/>
    </row>
    <row customHeight="1" ht="22.5" hidden="1">
      <c r="A11" s="465"/>
      <c r="B11" s="510"/>
      <c r="C11" s="465"/>
      <c r="D11" s="1022" t="s">
        <v>109</v>
      </c>
      <c r="E11" s="1025" t="s">
        <v>291</v>
      </c>
      <c r="F11" s="1024" t="str">
        <f>IF(region_name="","",region_name)</f>
        <v>Республика Коми</v>
      </c>
      <c r="G11" s="1025" t="s">
        <v>292</v>
      </c>
      <c r="H11" s="483"/>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293</v>
      </c>
      <c r="G12" s="482"/>
      <c r="H12" s="483"/>
    </row>
    <row customHeight="1" ht="2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row>
    <row customHeight="1" ht="22.5" hidden="1">
      <c r="A14" s="465"/>
      <c r="B14" s="510"/>
      <c r="C14" s="465"/>
      <c r="D14" s="1022" t="s">
        <v>294</v>
      </c>
      <c r="E14" s="1023" t="s">
        <v>295</v>
      </c>
      <c r="F14" s="1024" t="str">
        <f>IF(inn="","",inn)</f>
        <v>7704784450</v>
      </c>
      <c r="G14" s="1025" t="s">
        <v>296</v>
      </c>
      <c r="H14" s="483"/>
    </row>
    <row customHeight="1" ht="22.5" hidden="1">
      <c r="A15" s="465"/>
      <c r="B15" s="510"/>
      <c r="C15" s="465"/>
      <c r="D15" s="1022" t="s">
        <v>297</v>
      </c>
      <c r="E15" s="1023" t="s">
        <v>298</v>
      </c>
      <c r="F15" s="1024" t="str">
        <f>IF(kpp="","",kpp)</f>
        <v>110543001</v>
      </c>
      <c r="G15" s="1025" t="s">
        <v>299</v>
      </c>
      <c r="H15" s="483"/>
    </row>
    <row customHeight="1" ht="36.75">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89</v>
      </c>
      <c r="E17" s="450" t="str">
        <f>"Дата присвоения ОГРН"&amp;IF(TEMPLATE_SPHERE="TKO",""," (ОГРНИП)")</f>
        <v>Дата присвоения ОГРН (ОГРНИП)</v>
      </c>
      <c r="F17" s="1778" t="s">
        <v>18</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300</v>
      </c>
      <c r="F19" s="451" t="s">
        <v>293</v>
      </c>
      <c r="G19" s="452" t="s">
        <v>301</v>
      </c>
      <c r="H19" s="483"/>
      <c r="I19" s="862"/>
    </row>
    <row customHeight="1" ht="33.75" hidden="1">
      <c r="A20" s="2043"/>
      <c r="B20" s="510"/>
      <c r="C20" s="2048"/>
      <c r="D20" s="453" t="s">
        <v>302</v>
      </c>
      <c r="E20" s="447" t="s">
        <v>303</v>
      </c>
      <c r="F20" s="891" t="s">
        <v>18</v>
      </c>
      <c r="G20" s="482"/>
      <c r="H20" s="483"/>
      <c r="I20" s="862"/>
    </row>
    <row customHeight="1" ht="22.5" hidden="1">
      <c r="A21" s="2043"/>
      <c r="B21" s="510"/>
      <c r="C21" s="2048"/>
      <c r="D21" s="453" t="s">
        <v>304</v>
      </c>
      <c r="E21" s="447" t="s">
        <v>305</v>
      </c>
      <c r="F21" s="1779" t="s">
        <v>18</v>
      </c>
      <c r="G21" s="452" t="s">
        <v>306</v>
      </c>
      <c r="H21" s="483"/>
      <c r="I21" s="862"/>
    </row>
    <row customHeight="1" ht="22.5" hidden="1">
      <c r="A22" s="2043"/>
      <c r="B22" s="510"/>
      <c r="C22" s="2048"/>
      <c r="D22" s="453" t="s">
        <v>307</v>
      </c>
      <c r="E22" s="447" t="s">
        <v>308</v>
      </c>
      <c r="F22" s="891" t="s">
        <v>18</v>
      </c>
      <c r="G22" s="482"/>
      <c r="H22" s="483"/>
      <c r="I22" s="862"/>
    </row>
    <row customHeight="1" ht="22.5" hidden="1">
      <c r="A23" s="2043"/>
      <c r="B23" s="510"/>
      <c r="C23" s="2048"/>
      <c r="D23" s="453" t="s">
        <v>309</v>
      </c>
      <c r="E23" s="447" t="s">
        <v>310</v>
      </c>
      <c r="F23" s="891" t="s">
        <v>18</v>
      </c>
      <c r="G23" s="452" t="s">
        <v>311</v>
      </c>
      <c r="H23" s="483"/>
      <c r="I23" s="862"/>
    </row>
    <row s="2931" customFormat="1" customHeight="1" ht="24.75" hidden="1">
      <c r="A24" s="465"/>
      <c r="B24" s="510"/>
      <c r="C24" s="510"/>
      <c r="D24" s="1019" t="s">
        <v>89</v>
      </c>
      <c r="E24" s="1021" t="s">
        <v>312</v>
      </c>
      <c r="F24" s="1026" t="s">
        <v>293</v>
      </c>
      <c r="G24" s="1021"/>
    </row>
    <row s="2931" customFormat="1" customHeight="1" ht="11.25" hidden="1">
      <c r="A25" s="465"/>
      <c r="B25" s="510"/>
      <c r="C25" s="510"/>
      <c r="D25" s="1019" t="s">
        <v>313</v>
      </c>
      <c r="E25" s="1020" t="s">
        <v>314</v>
      </c>
      <c r="F25" s="1026" t="s">
        <v>293</v>
      </c>
      <c r="G25" s="1021"/>
    </row>
    <row s="2931" customFormat="1" customHeight="1" ht="11.25" hidden="1">
      <c r="A26" s="465"/>
      <c r="B26" s="510"/>
      <c r="C26" s="510"/>
      <c r="D26" s="1019" t="s">
        <v>315</v>
      </c>
      <c r="E26" s="1027" t="s">
        <v>316</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1" customFormat="1" customHeight="1" ht="11.25" hidden="1">
      <c r="A27" s="465"/>
      <c r="B27" s="510"/>
      <c r="C27" s="510"/>
      <c r="D27" s="1019" t="s">
        <v>317</v>
      </c>
      <c r="E27" s="1027" t="s">
        <v>318</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1" customFormat="1" customHeight="1" ht="11.25" hidden="1">
      <c r="A28" s="465"/>
      <c r="B28" s="510"/>
      <c r="C28" s="510"/>
      <c r="D28" s="1019" t="s">
        <v>319</v>
      </c>
      <c r="E28" s="1027" t="s">
        <v>320</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2931" customFormat="1" customHeight="1" ht="11.25" hidden="1">
      <c r="A29" s="465"/>
      <c r="B29" s="510"/>
      <c r="C29" s="510"/>
      <c r="D29" s="1019" t="s">
        <v>321</v>
      </c>
      <c r="E29" s="1020" t="s">
        <v>322</v>
      </c>
      <c r="F29" s="1028"/>
      <c r="G29" s="1021"/>
    </row>
    <row s="2931" customFormat="1" customHeight="1" ht="11.25" hidden="1">
      <c r="A30" s="465"/>
      <c r="B30" s="510"/>
      <c r="C30" s="510"/>
      <c r="D30" s="1019" t="s">
        <v>323</v>
      </c>
      <c r="E30" s="1020" t="s">
        <v>324</v>
      </c>
      <c r="F30" s="1028"/>
      <c r="G30" s="1021"/>
    </row>
    <row s="2931" customFormat="1" customHeight="1" ht="11.25" hidden="1">
      <c r="A31" s="465"/>
      <c r="B31" s="510"/>
      <c r="C31" s="510"/>
      <c r="D31" s="1019" t="s">
        <v>325</v>
      </c>
      <c r="E31" s="1020" t="s">
        <v>326</v>
      </c>
      <c r="F31" s="1029"/>
      <c r="G31" s="1021"/>
    </row>
    <row customHeight="1" ht="22.5">
      <c r="A32" s="465" t="str">
        <f>IF(TEMPLATE_SPHERE="HEAT","6","5")</f>
        <v>5</v>
      </c>
      <c r="B32" s="510"/>
      <c r="C32" s="465"/>
      <c r="D32" s="448" t="str">
        <f>A32</f>
        <v>5</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51" t="s">
        <v>293</v>
      </c>
      <c r="G32" s="482"/>
      <c r="H32" s="483"/>
    </row>
    <row customHeight="1" ht="22.5">
      <c r="A33" s="465"/>
      <c r="B33" s="510"/>
      <c r="C33" s="465"/>
      <c r="D33" s="448" t="str">
        <f>D32&amp;".1"</f>
        <v>5.1</v>
      </c>
      <c r="E33" s="450" t="str">
        <f>"фамилия"&amp;IF(TEMPLATE_SPHERE&lt;&gt;"HEAT"," руководителя","")</f>
        <v>фамилия руководителя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3"/>
    </row>
    <row customHeight="1" ht="22.5">
      <c r="A34" s="465"/>
      <c r="B34" s="510"/>
      <c r="C34" s="465"/>
      <c r="D34" s="448" t="str">
        <f>D32&amp;".2"</f>
        <v>5.2</v>
      </c>
      <c r="E34" s="450" t="str">
        <f>"имя"&amp;IF(TEMPLATE_SPHERE&lt;&gt;"HEAT"," руководителя","")</f>
        <v>имя руководителя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3"/>
    </row>
    <row customHeight="1" ht="22.5">
      <c r="A35" s="465"/>
      <c r="B35" s="510"/>
      <c r="C35" s="465"/>
      <c r="D35" s="448" t="str">
        <f>D32&amp;".3"</f>
        <v>5.3</v>
      </c>
      <c r="E35" s="450" t="str">
        <f>"отчество"&amp;IF(TEMPLATE_SPHERE&lt;&gt;"HEAT"," руководителя","")</f>
        <v>отчество руководителя</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3"/>
    </row>
    <row customHeight="1" ht="33.75">
      <c r="A36" s="465"/>
      <c r="B36" s="510"/>
      <c r="C36" s="465"/>
      <c r="D36" s="448">
        <f>D32+1</f>
        <v>6</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9"/>
      <c r="G36" s="452" t="s">
        <v>327</v>
      </c>
      <c r="H36" s="483"/>
    </row>
    <row customHeight="1" ht="33.75">
      <c r="A37" s="465"/>
      <c r="B37" s="510"/>
      <c r="C37" s="465"/>
      <c r="D37" s="448">
        <f>D36+1</f>
        <v>7</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9"/>
      <c r="G37" s="452" t="s">
        <v>327</v>
      </c>
      <c r="H37" s="483"/>
    </row>
    <row customHeight="1" ht="22.5">
      <c r="A38" s="465"/>
      <c r="B38" s="510"/>
      <c r="C38" s="465"/>
      <c r="D38" s="448">
        <f>D37+1</f>
        <v>8</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51" t="s">
        <v>293</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8.0</v>
      </c>
      <c r="E39" s="1651"/>
      <c r="F39" s="891"/>
      <c r="G39" s="2051"/>
      <c r="H39" s="483"/>
    </row>
    <row customHeight="1" ht="22.5">
      <c r="A40" s="465"/>
      <c r="B40" s="465"/>
      <c r="C40" s="1734"/>
      <c r="D40" s="448" t="str">
        <f>D38&amp;".1"</f>
        <v>8.1</v>
      </c>
      <c r="E40" s="870"/>
      <c r="F40" s="871"/>
      <c r="G40" s="2051"/>
      <c r="H40" s="483"/>
    </row>
    <row customHeight="1" ht="15">
      <c r="A41" s="465"/>
      <c r="B41" s="510"/>
      <c r="C41" s="465"/>
      <c r="D41" s="475"/>
      <c r="E41" s="422" t="s">
        <v>328</v>
      </c>
      <c r="F41" s="477"/>
      <c r="G41" s="2052"/>
      <c r="H41" s="484"/>
    </row>
    <row customHeight="1" ht="25.5">
      <c r="A42" s="465"/>
      <c r="B42" s="510"/>
      <c r="C42" s="465"/>
      <c r="D42" s="448">
        <f>D38+1</f>
        <v>9</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10</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2" t="s">
        <v>329</v>
      </c>
      <c r="H43" s="483"/>
    </row>
    <row customHeight="1" ht="22.5">
      <c r="A44" s="465"/>
      <c r="B44" s="510"/>
      <c r="C44" s="465"/>
      <c r="D44" s="448">
        <f>D43+1</f>
        <v>11</v>
      </c>
      <c r="E44" s="446" t="s">
        <v>330</v>
      </c>
      <c r="F44" s="451" t="s">
        <v>293</v>
      </c>
      <c r="G44" s="445" t="str">
        <f>IF(TEMPLATE_SPHERE="TKO","Указывается режим работы организации.","")</f>
        <v/>
      </c>
      <c r="H44" s="483"/>
    </row>
    <row customHeight="1" ht="22.5">
      <c r="A45" s="465"/>
      <c r="B45" s="510"/>
      <c r="C45" s="465"/>
      <c r="D45" s="448" t="str">
        <f>D44&amp;".1"</f>
        <v>11.1</v>
      </c>
      <c r="E45" s="450" t="str">
        <f>"режим работы регулируемой организации"&amp;IF(TEMPLATE_SPHERE="HEAT",", ЕТО, ТО","")</f>
        <v>режим работы регулируемой организации</v>
      </c>
      <c r="F45" s="1730"/>
      <c r="G45" s="445" t="s">
        <v>331</v>
      </c>
      <c r="H45" s="483"/>
    </row>
    <row customHeight="1" ht="22.5">
      <c r="A46" s="2039"/>
      <c r="B46" s="510"/>
      <c r="C46" s="500"/>
      <c r="D46" s="448" t="str">
        <f>D44&amp;".2"</f>
        <v>11.2</v>
      </c>
      <c r="E46" s="450" t="s">
        <v>332</v>
      </c>
      <c r="F46" s="498"/>
      <c r="G46" s="445" t="s">
        <v>333</v>
      </c>
      <c r="H46" s="483"/>
    </row>
    <row customHeight="1" ht="22.5">
      <c r="A47" s="2039"/>
      <c r="B47" s="510"/>
      <c r="C47" s="500"/>
      <c r="D47" s="448" t="str">
        <f>D44&amp;".3"</f>
        <v>11.3</v>
      </c>
      <c r="E47" s="450" t="s">
        <v>334</v>
      </c>
      <c r="F47" s="498"/>
      <c r="G47" s="445" t="s">
        <v>335</v>
      </c>
      <c r="H47" s="483"/>
    </row>
    <row customHeight="1" ht="22.5">
      <c r="A48" s="2039"/>
      <c r="B48" s="510"/>
      <c r="C48" s="500"/>
      <c r="D48" s="448" t="str">
        <f>IF(TEMPLATE_SPHERE="TKO",D44&amp;".0",D44&amp;".4")</f>
        <v>11.4</v>
      </c>
      <c r="E48" s="444" t="s">
        <v>336</v>
      </c>
      <c r="F48" s="1731"/>
      <c r="G48" s="1808" t="s">
        <v>337</v>
      </c>
      <c r="H48" s="483"/>
    </row>
    <row customHeight="1" ht="22.5">
      <c r="A49" s="465"/>
      <c r="B49" s="510"/>
      <c r="C49" s="465"/>
      <c r="D49" s="475"/>
      <c r="E49" s="422" t="s">
        <v>338</v>
      </c>
      <c r="F49" s="476"/>
      <c r="G49" s="1808" t="s">
        <v>339</v>
      </c>
      <c r="H49" s="484"/>
    </row>
    <row customHeight="1" ht="22.5">
      <c r="A50" s="868"/>
      <c r="B50" s="510"/>
      <c r="C50" s="500"/>
      <c r="D50" s="448">
        <f>D44+1</f>
        <v>12</v>
      </c>
      <c r="E50" s="536" t="s">
        <v>340</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3"/>
    </row>
    <row customHeight="1" ht="11.25">
      <c r="A51" s="465"/>
      <c r="B51" s="510"/>
      <c r="C51" s="465"/>
    </row>
    <row s="2998"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4"/>
      <c r="F52" s="2044"/>
      <c r="G52" s="2044"/>
      <c r="H52" s="462"/>
      <c r="I52" s="462"/>
    </row>
    <row s="2998" customFormat="1" customHeight="1" ht="39.75">
      <c r="A53" s="465"/>
      <c r="B53" s="510"/>
      <c r="C53" s="2040"/>
      <c r="D53" s="20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46D34-E177-6548-332D-B6D356FFE43D}"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2168</v>
      </c>
      <c r="B1" s="774" t="s">
        <v>2169</v>
      </c>
      <c r="C1" s="2428" t="s">
        <v>2170</v>
      </c>
      <c r="D1" s="2429"/>
      <c r="E1" s="846" t="s">
        <v>2171</v>
      </c>
    </row>
    <row customHeight="1" ht="11.25">
      <c r="A2" s="767"/>
      <c r="B2" s="775" t="s">
        <v>23</v>
      </c>
      <c r="C2" s="763"/>
      <c r="D2" s="774"/>
      <c r="E2" s="846"/>
    </row>
    <row customHeight="1" ht="11.25">
      <c r="A3" s="778"/>
      <c r="B3" s="776" t="s">
        <v>29</v>
      </c>
      <c r="C3" s="763"/>
      <c r="D3" s="774"/>
      <c r="E3" s="846"/>
    </row>
    <row customHeight="1" ht="11.25">
      <c r="A4" s="779"/>
      <c r="B4" s="776" t="s">
        <v>1063</v>
      </c>
      <c r="C4" s="763"/>
      <c r="D4" s="774"/>
      <c r="E4" s="846"/>
    </row>
    <row customHeight="1" ht="11.25">
      <c r="A5" s="791"/>
      <c r="B5" s="776" t="s">
        <v>1057</v>
      </c>
      <c r="C5" s="766" t="s">
        <v>1310</v>
      </c>
      <c r="D5" s="890" t="s">
        <v>2172</v>
      </c>
      <c r="E5" s="846"/>
    </row>
    <row s="4016" customFormat="1" customHeight="1" ht="11.25">
      <c r="A6" s="777"/>
      <c r="B6" s="776" t="s">
        <v>1069</v>
      </c>
      <c r="C6" s="763"/>
      <c r="D6" s="774"/>
      <c r="E6" s="846"/>
    </row>
    <row customHeight="1" ht="11.25">
      <c r="A7" s="765"/>
      <c r="B7" s="776" t="s">
        <v>1079</v>
      </c>
      <c r="C7" s="763"/>
      <c r="D7" s="774"/>
      <c r="E7" s="846"/>
    </row>
    <row customHeight="1" ht="11.25">
      <c r="A8" s="766"/>
      <c r="B8" s="776" t="s">
        <v>1074</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91E2C-CB8E-7EEB-DA94-C64A242617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ADBF8-B1A5-EC75-6DB5-2836082784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730CF-2333-B463-1B1A-21E0F7633521}"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4807" width="9.140625"/>
    <col min="3" max="3" style="4807" width="20.7109375" customWidth="1"/>
    <col min="4" max="4" style="4807" width="25.140625" customWidth="1"/>
    <col min="5" max="9" style="4807" width="9.140625"/>
  </cols>
  <sheetData>
    <row customHeight="1" ht="11.25">
      <c r="A1" s="53" t="s">
        <v>2173</v>
      </c>
      <c r="B1" s="53" t="s">
        <v>2174</v>
      </c>
      <c r="C1" s="53" t="s">
        <v>2175</v>
      </c>
      <c r="D1" s="53" t="s">
        <v>2176</v>
      </c>
      <c r="E1" s="53" t="s">
        <v>2177</v>
      </c>
      <c r="F1" s="53" t="s">
        <v>2178</v>
      </c>
      <c r="G1" s="53" t="s">
        <v>2179</v>
      </c>
      <c r="H1" s="53" t="s">
        <v>2180</v>
      </c>
      <c r="I1" s="53" t="s">
        <v>2181</v>
      </c>
    </row>
    <row customHeight="1" ht="11.25">
      <c r="A2" s="4808" t="s">
        <v>2182</v>
      </c>
      <c r="B2" s="4808" t="s">
        <v>14</v>
      </c>
      <c r="C2" s="4808" t="s">
        <v>2183</v>
      </c>
      <c r="D2" s="4808" t="s">
        <v>2184</v>
      </c>
      <c r="E2" s="4808" t="s">
        <v>2185</v>
      </c>
      <c r="F2" s="4808" t="s">
        <v>2186</v>
      </c>
      <c r="G2" s="4808" t="s">
        <v>18</v>
      </c>
      <c r="H2" s="4808" t="s">
        <v>18</v>
      </c>
      <c r="I2" s="4808" t="s">
        <v>592</v>
      </c>
    </row>
    <row customHeight="1" ht="11.25">
      <c r="A3" s="4808" t="s">
        <v>2182</v>
      </c>
      <c r="B3" s="4808" t="s">
        <v>14</v>
      </c>
      <c r="C3" s="4808" t="s">
        <v>2187</v>
      </c>
      <c r="D3" s="4808" t="s">
        <v>2188</v>
      </c>
      <c r="E3" s="4808" t="s">
        <v>2189</v>
      </c>
      <c r="F3" s="4808" t="s">
        <v>2190</v>
      </c>
      <c r="G3" s="4808" t="s">
        <v>18</v>
      </c>
      <c r="H3" s="4808" t="s">
        <v>18</v>
      </c>
      <c r="I3" s="4808" t="s">
        <v>592</v>
      </c>
    </row>
    <row customHeight="1" ht="11.25">
      <c r="A4" s="4808" t="s">
        <v>2182</v>
      </c>
      <c r="B4" s="4808" t="s">
        <v>14</v>
      </c>
      <c r="C4" s="4808" t="s">
        <v>2191</v>
      </c>
      <c r="D4" s="4808" t="s">
        <v>2192</v>
      </c>
      <c r="E4" s="4808" t="s">
        <v>2193</v>
      </c>
      <c r="F4" s="4808" t="s">
        <v>2194</v>
      </c>
      <c r="G4" s="4808" t="s">
        <v>2195</v>
      </c>
      <c r="H4" s="4808" t="s">
        <v>18</v>
      </c>
      <c r="I4" s="4808" t="s">
        <v>592</v>
      </c>
    </row>
    <row customHeight="1" ht="11.25">
      <c r="A5" s="4808" t="s">
        <v>2182</v>
      </c>
      <c r="B5" s="4808" t="s">
        <v>14</v>
      </c>
      <c r="C5" s="4808" t="s">
        <v>2196</v>
      </c>
      <c r="D5" s="4808" t="s">
        <v>2197</v>
      </c>
      <c r="E5" s="4808" t="s">
        <v>2198</v>
      </c>
      <c r="F5" s="4808" t="s">
        <v>2199</v>
      </c>
      <c r="G5" s="4808" t="s">
        <v>2200</v>
      </c>
      <c r="H5" s="4808" t="s">
        <v>18</v>
      </c>
      <c r="I5" s="4808" t="s">
        <v>592</v>
      </c>
    </row>
    <row customHeight="1" ht="11.25">
      <c r="A6" s="4808" t="s">
        <v>2182</v>
      </c>
      <c r="B6" s="4808" t="s">
        <v>14</v>
      </c>
      <c r="C6" s="4808" t="s">
        <v>2201</v>
      </c>
      <c r="D6" s="4808" t="s">
        <v>2202</v>
      </c>
      <c r="E6" s="4808" t="s">
        <v>2203</v>
      </c>
      <c r="F6" s="4808" t="s">
        <v>2194</v>
      </c>
      <c r="G6" s="4808" t="s">
        <v>18</v>
      </c>
      <c r="H6" s="4808" t="s">
        <v>18</v>
      </c>
      <c r="I6" s="4808" t="s">
        <v>592</v>
      </c>
    </row>
    <row customHeight="1" ht="11.25">
      <c r="A7" s="4808" t="s">
        <v>2182</v>
      </c>
      <c r="B7" s="4808" t="s">
        <v>14</v>
      </c>
      <c r="C7" s="4808" t="s">
        <v>2204</v>
      </c>
      <c r="D7" s="4808" t="s">
        <v>2205</v>
      </c>
      <c r="E7" s="4808" t="s">
        <v>2206</v>
      </c>
      <c r="F7" s="4808" t="s">
        <v>2194</v>
      </c>
      <c r="G7" s="4808" t="s">
        <v>2207</v>
      </c>
      <c r="H7" s="4808" t="s">
        <v>18</v>
      </c>
      <c r="I7" s="4808" t="s">
        <v>592</v>
      </c>
    </row>
    <row customHeight="1" ht="11.25">
      <c r="A8" s="4808" t="s">
        <v>2182</v>
      </c>
      <c r="B8" s="4808" t="s">
        <v>14</v>
      </c>
      <c r="C8" s="4808" t="s">
        <v>2208</v>
      </c>
      <c r="D8" s="4808" t="s">
        <v>2209</v>
      </c>
      <c r="E8" s="4808" t="s">
        <v>2210</v>
      </c>
      <c r="F8" s="4808" t="s">
        <v>2194</v>
      </c>
      <c r="G8" s="4808" t="s">
        <v>18</v>
      </c>
      <c r="H8" s="4808" t="s">
        <v>18</v>
      </c>
      <c r="I8" s="4808" t="s">
        <v>592</v>
      </c>
    </row>
    <row customHeight="1" ht="11.25">
      <c r="A9" s="4808" t="s">
        <v>2182</v>
      </c>
      <c r="B9" s="4808" t="s">
        <v>14</v>
      </c>
      <c r="C9" s="4808" t="s">
        <v>2211</v>
      </c>
      <c r="D9" s="4808" t="s">
        <v>2212</v>
      </c>
      <c r="E9" s="4808" t="s">
        <v>2213</v>
      </c>
      <c r="F9" s="4808" t="s">
        <v>2214</v>
      </c>
      <c r="G9" s="4808" t="s">
        <v>18</v>
      </c>
      <c r="H9" s="4808" t="s">
        <v>18</v>
      </c>
      <c r="I9" s="4808" t="s">
        <v>592</v>
      </c>
    </row>
    <row customHeight="1" ht="11.25">
      <c r="A10" s="4808" t="s">
        <v>2182</v>
      </c>
      <c r="B10" s="4808" t="s">
        <v>14</v>
      </c>
      <c r="C10" s="4808" t="s">
        <v>2215</v>
      </c>
      <c r="D10" s="4808" t="s">
        <v>2216</v>
      </c>
      <c r="E10" s="4808" t="s">
        <v>2217</v>
      </c>
      <c r="F10" s="4808" t="s">
        <v>2190</v>
      </c>
      <c r="G10" s="4808" t="s">
        <v>18</v>
      </c>
      <c r="H10" s="4808" t="s">
        <v>18</v>
      </c>
      <c r="I10" s="4808" t="s">
        <v>592</v>
      </c>
    </row>
    <row customHeight="1" ht="11.25">
      <c r="A11" s="4808" t="s">
        <v>2182</v>
      </c>
      <c r="B11" s="4808" t="s">
        <v>14</v>
      </c>
      <c r="C11" s="4808" t="s">
        <v>2218</v>
      </c>
      <c r="D11" s="4808" t="s">
        <v>2219</v>
      </c>
      <c r="E11" s="4808" t="s">
        <v>2220</v>
      </c>
      <c r="F11" s="4808" t="s">
        <v>2221</v>
      </c>
      <c r="G11" s="4808" t="s">
        <v>18</v>
      </c>
      <c r="H11" s="4808" t="s">
        <v>18</v>
      </c>
      <c r="I11" s="4808" t="s">
        <v>592</v>
      </c>
    </row>
    <row customHeight="1" ht="11.25">
      <c r="A12" s="4808" t="s">
        <v>2182</v>
      </c>
      <c r="B12" s="4808" t="s">
        <v>14</v>
      </c>
      <c r="C12" s="4808" t="s">
        <v>2222</v>
      </c>
      <c r="D12" s="4808" t="s">
        <v>2223</v>
      </c>
      <c r="E12" s="4808" t="s">
        <v>2224</v>
      </c>
      <c r="F12" s="4808" t="s">
        <v>2225</v>
      </c>
      <c r="G12" s="4808" t="s">
        <v>2226</v>
      </c>
      <c r="H12" s="4808" t="s">
        <v>18</v>
      </c>
      <c r="I12" s="4808" t="s">
        <v>592</v>
      </c>
    </row>
    <row customHeight="1" ht="11.25">
      <c r="A13" s="4808" t="s">
        <v>2182</v>
      </c>
      <c r="B13" s="4808" t="s">
        <v>14</v>
      </c>
      <c r="C13" s="4808" t="s">
        <v>2227</v>
      </c>
      <c r="D13" s="4808" t="s">
        <v>2228</v>
      </c>
      <c r="E13" s="4808" t="s">
        <v>2229</v>
      </c>
      <c r="F13" s="4808" t="s">
        <v>2194</v>
      </c>
      <c r="G13" s="4808" t="s">
        <v>2230</v>
      </c>
      <c r="H13" s="4808" t="s">
        <v>18</v>
      </c>
      <c r="I13" s="4808" t="s">
        <v>592</v>
      </c>
    </row>
    <row customHeight="1" ht="11.25">
      <c r="A14" s="4808" t="s">
        <v>2182</v>
      </c>
      <c r="B14" s="4808" t="s">
        <v>14</v>
      </c>
      <c r="C14" s="4808" t="s">
        <v>2231</v>
      </c>
      <c r="D14" s="4808" t="s">
        <v>2232</v>
      </c>
      <c r="E14" s="4808" t="s">
        <v>2233</v>
      </c>
      <c r="F14" s="4808" t="s">
        <v>2234</v>
      </c>
      <c r="G14" s="4808" t="s">
        <v>18</v>
      </c>
      <c r="H14" s="4808" t="s">
        <v>18</v>
      </c>
      <c r="I14" s="4808" t="s">
        <v>592</v>
      </c>
    </row>
    <row customHeight="1" ht="11.25">
      <c r="A15" s="4808" t="s">
        <v>2182</v>
      </c>
      <c r="B15" s="4808" t="s">
        <v>14</v>
      </c>
      <c r="C15" s="4808" t="s">
        <v>2235</v>
      </c>
      <c r="D15" s="4808" t="s">
        <v>2236</v>
      </c>
      <c r="E15" s="4808" t="s">
        <v>2237</v>
      </c>
      <c r="F15" s="4808" t="s">
        <v>2194</v>
      </c>
      <c r="G15" s="4808" t="s">
        <v>2238</v>
      </c>
      <c r="H15" s="4808" t="s">
        <v>18</v>
      </c>
      <c r="I15" s="4808" t="s">
        <v>592</v>
      </c>
    </row>
    <row customHeight="1" ht="11.25">
      <c r="A16" s="4808" t="s">
        <v>2182</v>
      </c>
      <c r="B16" s="4808" t="s">
        <v>14</v>
      </c>
      <c r="C16" s="4808" t="s">
        <v>18</v>
      </c>
      <c r="D16" s="4808" t="s">
        <v>2239</v>
      </c>
      <c r="E16" s="4808" t="s">
        <v>2240</v>
      </c>
      <c r="F16" s="4808" t="s">
        <v>2194</v>
      </c>
      <c r="G16" s="4808" t="s">
        <v>18</v>
      </c>
      <c r="H16" s="4808" t="s">
        <v>18</v>
      </c>
      <c r="I16" s="4808" t="s">
        <v>592</v>
      </c>
    </row>
    <row customHeight="1" ht="11.25">
      <c r="A17" s="4808" t="s">
        <v>2182</v>
      </c>
      <c r="B17" s="4808" t="s">
        <v>14</v>
      </c>
      <c r="C17" s="4808" t="s">
        <v>2241</v>
      </c>
      <c r="D17" s="4808" t="s">
        <v>2242</v>
      </c>
      <c r="E17" s="4808" t="s">
        <v>2243</v>
      </c>
      <c r="F17" s="4808" t="s">
        <v>2244</v>
      </c>
      <c r="G17" s="4808" t="s">
        <v>2245</v>
      </c>
      <c r="H17" s="4808" t="s">
        <v>18</v>
      </c>
      <c r="I17" s="4808" t="s">
        <v>592</v>
      </c>
    </row>
    <row customHeight="1" ht="11.25">
      <c r="A18" s="4808" t="s">
        <v>2182</v>
      </c>
      <c r="B18" s="4808" t="s">
        <v>14</v>
      </c>
      <c r="C18" s="4808" t="s">
        <v>2246</v>
      </c>
      <c r="D18" s="4808" t="s">
        <v>2247</v>
      </c>
      <c r="E18" s="4808" t="s">
        <v>2248</v>
      </c>
      <c r="F18" s="4808" t="s">
        <v>2249</v>
      </c>
      <c r="G18" s="4808" t="s">
        <v>18</v>
      </c>
      <c r="H18" s="4808" t="s">
        <v>18</v>
      </c>
      <c r="I18" s="4808" t="s">
        <v>592</v>
      </c>
    </row>
    <row customHeight="1" ht="11.25">
      <c r="A19" s="4808" t="s">
        <v>2182</v>
      </c>
      <c r="B19" s="4808" t="s">
        <v>14</v>
      </c>
      <c r="C19" s="4808" t="s">
        <v>2250</v>
      </c>
      <c r="D19" s="4808" t="s">
        <v>2251</v>
      </c>
      <c r="E19" s="4808" t="s">
        <v>2252</v>
      </c>
      <c r="F19" s="4808" t="s">
        <v>2194</v>
      </c>
      <c r="G19" s="4808" t="s">
        <v>2253</v>
      </c>
      <c r="H19" s="4808" t="s">
        <v>18</v>
      </c>
      <c r="I19" s="4808" t="s">
        <v>592</v>
      </c>
    </row>
    <row customHeight="1" ht="11.25">
      <c r="A20" s="4808" t="s">
        <v>2182</v>
      </c>
      <c r="B20" s="4808" t="s">
        <v>14</v>
      </c>
      <c r="C20" s="4808" t="s">
        <v>2254</v>
      </c>
      <c r="D20" s="4808" t="s">
        <v>2255</v>
      </c>
      <c r="E20" s="4808" t="s">
        <v>2256</v>
      </c>
      <c r="F20" s="4808" t="s">
        <v>2186</v>
      </c>
      <c r="G20" s="4808" t="s">
        <v>2257</v>
      </c>
      <c r="H20" s="4808" t="s">
        <v>18</v>
      </c>
      <c r="I20" s="4808" t="s">
        <v>592</v>
      </c>
    </row>
    <row customHeight="1" ht="11.25">
      <c r="A21" s="4808" t="s">
        <v>2182</v>
      </c>
      <c r="B21" s="4808" t="s">
        <v>14</v>
      </c>
      <c r="C21" s="4808" t="s">
        <v>2258</v>
      </c>
      <c r="D21" s="4808" t="s">
        <v>2259</v>
      </c>
      <c r="E21" s="4808" t="s">
        <v>2260</v>
      </c>
      <c r="F21" s="4808" t="s">
        <v>2194</v>
      </c>
      <c r="G21" s="4808" t="s">
        <v>18</v>
      </c>
      <c r="H21" s="4808" t="s">
        <v>18</v>
      </c>
      <c r="I21" s="4808" t="s">
        <v>592</v>
      </c>
    </row>
    <row customHeight="1" ht="11.25">
      <c r="A22" s="4808" t="s">
        <v>2182</v>
      </c>
      <c r="B22" s="4808" t="s">
        <v>14</v>
      </c>
      <c r="C22" s="4808" t="s">
        <v>2261</v>
      </c>
      <c r="D22" s="4808" t="s">
        <v>2262</v>
      </c>
      <c r="E22" s="4808" t="s">
        <v>2263</v>
      </c>
      <c r="F22" s="4808" t="s">
        <v>2234</v>
      </c>
      <c r="G22" s="4808" t="s">
        <v>18</v>
      </c>
      <c r="H22" s="4808" t="s">
        <v>18</v>
      </c>
      <c r="I22" s="4808" t="s">
        <v>592</v>
      </c>
    </row>
    <row customHeight="1" ht="11.25">
      <c r="A23" s="4808" t="s">
        <v>2182</v>
      </c>
      <c r="B23" s="4808" t="s">
        <v>14</v>
      </c>
      <c r="C23" s="4808" t="s">
        <v>2264</v>
      </c>
      <c r="D23" s="4808" t="s">
        <v>2265</v>
      </c>
      <c r="E23" s="4808" t="s">
        <v>2266</v>
      </c>
      <c r="F23" s="4808" t="s">
        <v>2267</v>
      </c>
      <c r="G23" s="4808" t="s">
        <v>18</v>
      </c>
      <c r="H23" s="4808" t="s">
        <v>18</v>
      </c>
      <c r="I23" s="4808" t="s">
        <v>592</v>
      </c>
    </row>
    <row customHeight="1" ht="11.25">
      <c r="A24" s="4808" t="s">
        <v>2182</v>
      </c>
      <c r="B24" s="4808" t="s">
        <v>14</v>
      </c>
      <c r="C24" s="4808" t="s">
        <v>2268</v>
      </c>
      <c r="D24" s="4808" t="s">
        <v>2269</v>
      </c>
      <c r="E24" s="4808" t="s">
        <v>2270</v>
      </c>
      <c r="F24" s="4808" t="s">
        <v>2271</v>
      </c>
      <c r="G24" s="4808" t="s">
        <v>2272</v>
      </c>
      <c r="H24" s="4808" t="s">
        <v>18</v>
      </c>
      <c r="I24" s="4808" t="s">
        <v>592</v>
      </c>
    </row>
    <row customHeight="1" ht="11.25">
      <c r="A25" s="4808" t="s">
        <v>2182</v>
      </c>
      <c r="B25" s="4808" t="s">
        <v>14</v>
      </c>
      <c r="C25" s="4808" t="s">
        <v>2273</v>
      </c>
      <c r="D25" s="4808" t="s">
        <v>2274</v>
      </c>
      <c r="E25" s="4808" t="s">
        <v>2275</v>
      </c>
      <c r="F25" s="4808" t="s">
        <v>2276</v>
      </c>
      <c r="G25" s="4808" t="s">
        <v>18</v>
      </c>
      <c r="H25" s="4808" t="s">
        <v>18</v>
      </c>
      <c r="I25" s="4808" t="s">
        <v>592</v>
      </c>
    </row>
    <row customHeight="1" ht="11.25">
      <c r="A26" s="4808" t="s">
        <v>2182</v>
      </c>
      <c r="B26" s="4808" t="s">
        <v>14</v>
      </c>
      <c r="C26" s="4808" t="s">
        <v>2277</v>
      </c>
      <c r="D26" s="4808" t="s">
        <v>2278</v>
      </c>
      <c r="E26" s="4808" t="s">
        <v>2279</v>
      </c>
      <c r="F26" s="4808" t="s">
        <v>2194</v>
      </c>
      <c r="G26" s="4808" t="s">
        <v>18</v>
      </c>
      <c r="H26" s="4808" t="s">
        <v>18</v>
      </c>
      <c r="I26" s="4808" t="s">
        <v>592</v>
      </c>
    </row>
    <row customHeight="1" ht="11.25">
      <c r="A27" s="4808" t="s">
        <v>2182</v>
      </c>
      <c r="B27" s="4808" t="s">
        <v>14</v>
      </c>
      <c r="C27" s="4808" t="s">
        <v>2280</v>
      </c>
      <c r="D27" s="4808" t="s">
        <v>2281</v>
      </c>
      <c r="E27" s="4808" t="s">
        <v>2282</v>
      </c>
      <c r="F27" s="4808" t="s">
        <v>2225</v>
      </c>
      <c r="G27" s="4808" t="s">
        <v>2226</v>
      </c>
      <c r="H27" s="4808" t="s">
        <v>18</v>
      </c>
      <c r="I27" s="4808" t="s">
        <v>592</v>
      </c>
    </row>
    <row customHeight="1" ht="11.25">
      <c r="A28" s="4808" t="s">
        <v>2182</v>
      </c>
      <c r="B28" s="4808" t="s">
        <v>14</v>
      </c>
      <c r="C28" s="4808" t="s">
        <v>2283</v>
      </c>
      <c r="D28" s="4808" t="s">
        <v>2284</v>
      </c>
      <c r="E28" s="4808" t="s">
        <v>2285</v>
      </c>
      <c r="F28" s="4808" t="s">
        <v>2225</v>
      </c>
      <c r="G28" s="4808" t="s">
        <v>2226</v>
      </c>
      <c r="H28" s="4808" t="s">
        <v>18</v>
      </c>
      <c r="I28" s="4808" t="s">
        <v>592</v>
      </c>
    </row>
    <row customHeight="1" ht="11.25">
      <c r="A29" s="4808" t="s">
        <v>2182</v>
      </c>
      <c r="B29" s="4808" t="s">
        <v>14</v>
      </c>
      <c r="C29" s="4808" t="s">
        <v>2286</v>
      </c>
      <c r="D29" s="4808" t="s">
        <v>2287</v>
      </c>
      <c r="E29" s="4808" t="s">
        <v>2288</v>
      </c>
      <c r="F29" s="4808" t="s">
        <v>2194</v>
      </c>
      <c r="G29" s="4808" t="s">
        <v>18</v>
      </c>
      <c r="H29" s="4808" t="s">
        <v>18</v>
      </c>
      <c r="I29" s="4808" t="s">
        <v>592</v>
      </c>
    </row>
    <row customHeight="1" ht="11.25">
      <c r="A30" s="4808" t="s">
        <v>2182</v>
      </c>
      <c r="B30" s="4808" t="s">
        <v>14</v>
      </c>
      <c r="C30" s="4808" t="s">
        <v>2289</v>
      </c>
      <c r="D30" s="4808" t="s">
        <v>2290</v>
      </c>
      <c r="E30" s="4808" t="s">
        <v>2291</v>
      </c>
      <c r="F30" s="4808" t="s">
        <v>2292</v>
      </c>
      <c r="G30" s="4808" t="s">
        <v>18</v>
      </c>
      <c r="H30" s="4808" t="s">
        <v>18</v>
      </c>
      <c r="I30" s="4808" t="s">
        <v>592</v>
      </c>
    </row>
    <row customHeight="1" ht="11.25">
      <c r="A31" s="4808" t="s">
        <v>2182</v>
      </c>
      <c r="B31" s="4808" t="s">
        <v>14</v>
      </c>
      <c r="C31" s="4808" t="s">
        <v>2293</v>
      </c>
      <c r="D31" s="4808" t="s">
        <v>2294</v>
      </c>
      <c r="E31" s="4808" t="s">
        <v>2295</v>
      </c>
      <c r="F31" s="4808" t="s">
        <v>2296</v>
      </c>
      <c r="G31" s="4808" t="s">
        <v>18</v>
      </c>
      <c r="H31" s="4808" t="s">
        <v>18</v>
      </c>
      <c r="I31" s="4808" t="s">
        <v>592</v>
      </c>
    </row>
    <row customHeight="1" ht="11.25">
      <c r="A32" s="4808" t="s">
        <v>2182</v>
      </c>
      <c r="B32" s="4808" t="s">
        <v>14</v>
      </c>
      <c r="C32" s="4808" t="s">
        <v>2297</v>
      </c>
      <c r="D32" s="4808" t="s">
        <v>2298</v>
      </c>
      <c r="E32" s="4808" t="s">
        <v>2299</v>
      </c>
      <c r="F32" s="4808" t="s">
        <v>2225</v>
      </c>
      <c r="G32" s="4808" t="s">
        <v>2300</v>
      </c>
      <c r="H32" s="4808" t="s">
        <v>18</v>
      </c>
      <c r="I32" s="4808" t="s">
        <v>592</v>
      </c>
    </row>
    <row customHeight="1" ht="11.25">
      <c r="A33" s="4808" t="s">
        <v>2182</v>
      </c>
      <c r="B33" s="4808" t="s">
        <v>14</v>
      </c>
      <c r="C33" s="4808" t="s">
        <v>2301</v>
      </c>
      <c r="D33" s="4808" t="s">
        <v>2302</v>
      </c>
      <c r="E33" s="4808" t="s">
        <v>2303</v>
      </c>
      <c r="F33" s="4808" t="s">
        <v>2276</v>
      </c>
      <c r="G33" s="4808" t="s">
        <v>18</v>
      </c>
      <c r="H33" s="4808" t="s">
        <v>18</v>
      </c>
      <c r="I33" s="4808" t="s">
        <v>592</v>
      </c>
    </row>
    <row customHeight="1" ht="11.25">
      <c r="A34" s="4808" t="s">
        <v>2182</v>
      </c>
      <c r="B34" s="4808" t="s">
        <v>14</v>
      </c>
      <c r="C34" s="4808" t="s">
        <v>2304</v>
      </c>
      <c r="D34" s="4808" t="s">
        <v>2305</v>
      </c>
      <c r="E34" s="4808" t="s">
        <v>2306</v>
      </c>
      <c r="F34" s="4808" t="s">
        <v>2234</v>
      </c>
      <c r="G34" s="4808" t="s">
        <v>2226</v>
      </c>
      <c r="H34" s="4808" t="s">
        <v>18</v>
      </c>
      <c r="I34" s="4808" t="s">
        <v>592</v>
      </c>
    </row>
    <row customHeight="1" ht="11.25">
      <c r="A35" s="4808" t="s">
        <v>2182</v>
      </c>
      <c r="B35" s="4808" t="s">
        <v>14</v>
      </c>
      <c r="C35" s="4808" t="s">
        <v>2307</v>
      </c>
      <c r="D35" s="4808" t="s">
        <v>2308</v>
      </c>
      <c r="E35" s="4808" t="s">
        <v>2309</v>
      </c>
      <c r="F35" s="4808" t="s">
        <v>2194</v>
      </c>
      <c r="G35" s="4808" t="s">
        <v>18</v>
      </c>
      <c r="H35" s="4808" t="s">
        <v>18</v>
      </c>
      <c r="I35" s="4808" t="s">
        <v>592</v>
      </c>
    </row>
    <row customHeight="1" ht="11.25">
      <c r="A36" s="4808" t="s">
        <v>2182</v>
      </c>
      <c r="B36" s="4808" t="s">
        <v>14</v>
      </c>
      <c r="C36" s="4808" t="s">
        <v>2310</v>
      </c>
      <c r="D36" s="4808" t="s">
        <v>2311</v>
      </c>
      <c r="E36" s="4808" t="s">
        <v>2312</v>
      </c>
      <c r="F36" s="4808" t="s">
        <v>2186</v>
      </c>
      <c r="G36" s="4808" t="s">
        <v>18</v>
      </c>
      <c r="H36" s="4808" t="s">
        <v>18</v>
      </c>
      <c r="I36" s="4808" t="s">
        <v>592</v>
      </c>
    </row>
    <row customHeight="1" ht="11.25">
      <c r="A37" s="4808" t="s">
        <v>2182</v>
      </c>
      <c r="B37" s="4808" t="s">
        <v>14</v>
      </c>
      <c r="C37" s="4808" t="s">
        <v>2313</v>
      </c>
      <c r="D37" s="4808" t="s">
        <v>2314</v>
      </c>
      <c r="E37" s="4808" t="s">
        <v>2315</v>
      </c>
      <c r="F37" s="4808" t="s">
        <v>2316</v>
      </c>
      <c r="G37" s="4808" t="s">
        <v>18</v>
      </c>
      <c r="H37" s="4808" t="s">
        <v>18</v>
      </c>
      <c r="I37" s="4808" t="s">
        <v>592</v>
      </c>
    </row>
    <row customHeight="1" ht="11.25">
      <c r="A38" s="4808" t="s">
        <v>2182</v>
      </c>
      <c r="B38" s="4808" t="s">
        <v>14</v>
      </c>
      <c r="C38" s="4808" t="s">
        <v>2317</v>
      </c>
      <c r="D38" s="4808" t="s">
        <v>2318</v>
      </c>
      <c r="E38" s="4808" t="s">
        <v>2319</v>
      </c>
      <c r="F38" s="4808" t="s">
        <v>2320</v>
      </c>
      <c r="G38" s="4808" t="s">
        <v>18</v>
      </c>
      <c r="H38" s="4808" t="s">
        <v>18</v>
      </c>
      <c r="I38" s="4808" t="s">
        <v>592</v>
      </c>
    </row>
    <row customHeight="1" ht="11.25">
      <c r="A39" s="4808" t="s">
        <v>2182</v>
      </c>
      <c r="B39" s="4808" t="s">
        <v>14</v>
      </c>
      <c r="C39" s="4808" t="s">
        <v>2321</v>
      </c>
      <c r="D39" s="4808" t="s">
        <v>2322</v>
      </c>
      <c r="E39" s="4808" t="s">
        <v>2323</v>
      </c>
      <c r="F39" s="4808" t="s">
        <v>2324</v>
      </c>
      <c r="G39" s="4808" t="s">
        <v>18</v>
      </c>
      <c r="H39" s="4808" t="s">
        <v>18</v>
      </c>
      <c r="I39" s="4808" t="s">
        <v>592</v>
      </c>
    </row>
    <row customHeight="1" ht="11.25">
      <c r="A40" s="4808" t="s">
        <v>2182</v>
      </c>
      <c r="B40" s="4808" t="s">
        <v>14</v>
      </c>
      <c r="C40" s="4808" t="s">
        <v>2325</v>
      </c>
      <c r="D40" s="4808" t="s">
        <v>2326</v>
      </c>
      <c r="E40" s="4808" t="s">
        <v>2327</v>
      </c>
      <c r="F40" s="4808" t="s">
        <v>2328</v>
      </c>
      <c r="G40" s="4808" t="s">
        <v>18</v>
      </c>
      <c r="H40" s="4808" t="s">
        <v>18</v>
      </c>
      <c r="I40" s="4808" t="s">
        <v>592</v>
      </c>
    </row>
    <row customHeight="1" ht="11.25">
      <c r="A41" s="4808" t="s">
        <v>2182</v>
      </c>
      <c r="B41" s="4808" t="s">
        <v>14</v>
      </c>
      <c r="C41" s="4808" t="s">
        <v>2329</v>
      </c>
      <c r="D41" s="4808" t="s">
        <v>2330</v>
      </c>
      <c r="E41" s="4808" t="s">
        <v>2331</v>
      </c>
      <c r="F41" s="4808" t="s">
        <v>2221</v>
      </c>
      <c r="G41" s="4808" t="s">
        <v>18</v>
      </c>
      <c r="H41" s="4808" t="s">
        <v>18</v>
      </c>
      <c r="I41" s="4808" t="s">
        <v>592</v>
      </c>
    </row>
    <row customHeight="1" ht="11.25">
      <c r="A42" s="4808" t="s">
        <v>2182</v>
      </c>
      <c r="B42" s="4808" t="s">
        <v>14</v>
      </c>
      <c r="C42" s="4808" t="s">
        <v>2332</v>
      </c>
      <c r="D42" s="4808" t="s">
        <v>2333</v>
      </c>
      <c r="E42" s="4808" t="s">
        <v>2334</v>
      </c>
      <c r="F42" s="4808" t="s">
        <v>2194</v>
      </c>
      <c r="G42" s="4808" t="s">
        <v>18</v>
      </c>
      <c r="H42" s="4808" t="s">
        <v>18</v>
      </c>
      <c r="I42" s="4808" t="s">
        <v>592</v>
      </c>
    </row>
    <row customHeight="1" ht="11.25">
      <c r="A43" s="4808" t="s">
        <v>2182</v>
      </c>
      <c r="B43" s="4808" t="s">
        <v>14</v>
      </c>
      <c r="C43" s="4808" t="s">
        <v>2335</v>
      </c>
      <c r="D43" s="4808" t="s">
        <v>2336</v>
      </c>
      <c r="E43" s="4808" t="s">
        <v>2327</v>
      </c>
      <c r="F43" s="4808" t="s">
        <v>2337</v>
      </c>
      <c r="G43" s="4808" t="s">
        <v>18</v>
      </c>
      <c r="H43" s="4808" t="s">
        <v>18</v>
      </c>
      <c r="I43" s="4808" t="s">
        <v>592</v>
      </c>
    </row>
    <row customHeight="1" ht="11.25">
      <c r="A44" s="4808" t="s">
        <v>2182</v>
      </c>
      <c r="B44" s="4808" t="s">
        <v>14</v>
      </c>
      <c r="C44" s="4808" t="s">
        <v>2338</v>
      </c>
      <c r="D44" s="4808" t="s">
        <v>2339</v>
      </c>
      <c r="E44" s="4808" t="s">
        <v>2340</v>
      </c>
      <c r="F44" s="4808" t="s">
        <v>2337</v>
      </c>
      <c r="G44" s="4808" t="s">
        <v>18</v>
      </c>
      <c r="H44" s="4808" t="s">
        <v>18</v>
      </c>
      <c r="I44" s="4808" t="s">
        <v>592</v>
      </c>
    </row>
    <row customHeight="1" ht="11.25">
      <c r="A45" s="4808" t="s">
        <v>2182</v>
      </c>
      <c r="B45" s="4808" t="s">
        <v>14</v>
      </c>
      <c r="C45" s="4808" t="s">
        <v>2341</v>
      </c>
      <c r="D45" s="4808" t="s">
        <v>2342</v>
      </c>
      <c r="E45" s="4808" t="s">
        <v>2343</v>
      </c>
      <c r="F45" s="4808" t="s">
        <v>2225</v>
      </c>
      <c r="G45" s="4808" t="s">
        <v>18</v>
      </c>
      <c r="H45" s="4808" t="s">
        <v>18</v>
      </c>
      <c r="I45" s="4808" t="s">
        <v>592</v>
      </c>
    </row>
    <row customHeight="1" ht="11.25">
      <c r="A46" s="4808" t="s">
        <v>2182</v>
      </c>
      <c r="B46" s="4808" t="s">
        <v>14</v>
      </c>
      <c r="C46" s="4808" t="s">
        <v>2344</v>
      </c>
      <c r="D46" s="4808" t="s">
        <v>2345</v>
      </c>
      <c r="E46" s="4808" t="s">
        <v>2346</v>
      </c>
      <c r="F46" s="4808" t="s">
        <v>2347</v>
      </c>
      <c r="G46" s="4808" t="s">
        <v>18</v>
      </c>
      <c r="H46" s="4808" t="s">
        <v>18</v>
      </c>
      <c r="I46" s="4808" t="s">
        <v>592</v>
      </c>
    </row>
    <row customHeight="1" ht="11.25">
      <c r="A47" s="4808" t="s">
        <v>2182</v>
      </c>
      <c r="B47" s="4808" t="s">
        <v>14</v>
      </c>
      <c r="C47" s="4808" t="s">
        <v>2348</v>
      </c>
      <c r="D47" s="4808" t="s">
        <v>2349</v>
      </c>
      <c r="E47" s="4808" t="s">
        <v>2350</v>
      </c>
      <c r="F47" s="4808" t="s">
        <v>2194</v>
      </c>
      <c r="G47" s="4808" t="s">
        <v>18</v>
      </c>
      <c r="H47" s="4808" t="s">
        <v>18</v>
      </c>
      <c r="I47" s="4808" t="s">
        <v>592</v>
      </c>
    </row>
    <row customHeight="1" ht="11.25">
      <c r="A48" s="4808" t="s">
        <v>2182</v>
      </c>
      <c r="B48" s="4808" t="s">
        <v>14</v>
      </c>
      <c r="C48" s="4808" t="s">
        <v>2351</v>
      </c>
      <c r="D48" s="4808" t="s">
        <v>2352</v>
      </c>
      <c r="E48" s="4808" t="s">
        <v>2353</v>
      </c>
      <c r="F48" s="4808" t="s">
        <v>2267</v>
      </c>
      <c r="G48" s="4808" t="s">
        <v>18</v>
      </c>
      <c r="H48" s="4808" t="s">
        <v>18</v>
      </c>
      <c r="I48" s="4808" t="s">
        <v>592</v>
      </c>
    </row>
    <row customHeight="1" ht="11.25">
      <c r="A49" s="4808" t="s">
        <v>2182</v>
      </c>
      <c r="B49" s="4808" t="s">
        <v>14</v>
      </c>
      <c r="C49" s="4808" t="s">
        <v>2354</v>
      </c>
      <c r="D49" s="4808" t="s">
        <v>2355</v>
      </c>
      <c r="E49" s="4808" t="s">
        <v>2356</v>
      </c>
      <c r="F49" s="4808" t="s">
        <v>2194</v>
      </c>
      <c r="G49" s="4808" t="s">
        <v>2357</v>
      </c>
      <c r="H49" s="4808" t="s">
        <v>18</v>
      </c>
      <c r="I49" s="4808" t="s">
        <v>592</v>
      </c>
    </row>
    <row customHeight="1" ht="11.25">
      <c r="A50" s="4808" t="s">
        <v>2182</v>
      </c>
      <c r="B50" s="4808" t="s">
        <v>14</v>
      </c>
      <c r="C50" s="4808" t="s">
        <v>2358</v>
      </c>
      <c r="D50" s="4808" t="s">
        <v>2359</v>
      </c>
      <c r="E50" s="4808" t="s">
        <v>2360</v>
      </c>
      <c r="F50" s="4808" t="s">
        <v>2194</v>
      </c>
      <c r="G50" s="4808" t="s">
        <v>2361</v>
      </c>
      <c r="H50" s="4808" t="s">
        <v>18</v>
      </c>
      <c r="I50" s="4808" t="s">
        <v>592</v>
      </c>
    </row>
    <row customHeight="1" ht="11.25">
      <c r="A51" s="4808" t="s">
        <v>2182</v>
      </c>
      <c r="B51" s="4808" t="s">
        <v>14</v>
      </c>
      <c r="C51" s="4808" t="s">
        <v>2362</v>
      </c>
      <c r="D51" s="4808" t="s">
        <v>2363</v>
      </c>
      <c r="E51" s="4808" t="s">
        <v>2364</v>
      </c>
      <c r="F51" s="4808" t="s">
        <v>2221</v>
      </c>
      <c r="G51" s="4808" t="s">
        <v>18</v>
      </c>
      <c r="H51" s="4808" t="s">
        <v>18</v>
      </c>
      <c r="I51" s="4808" t="s">
        <v>592</v>
      </c>
    </row>
    <row customHeight="1" ht="11.25">
      <c r="A52" s="4808" t="s">
        <v>2182</v>
      </c>
      <c r="B52" s="4808" t="s">
        <v>14</v>
      </c>
      <c r="C52" s="4808" t="s">
        <v>2365</v>
      </c>
      <c r="D52" s="4808" t="s">
        <v>2366</v>
      </c>
      <c r="E52" s="4808" t="s">
        <v>2367</v>
      </c>
      <c r="F52" s="4808" t="s">
        <v>2347</v>
      </c>
      <c r="G52" s="4808" t="s">
        <v>2368</v>
      </c>
      <c r="H52" s="4808" t="s">
        <v>2369</v>
      </c>
      <c r="I52" s="4808" t="s">
        <v>592</v>
      </c>
    </row>
    <row customHeight="1" ht="11.25">
      <c r="A53" s="4808" t="s">
        <v>2182</v>
      </c>
      <c r="B53" s="4808" t="s">
        <v>14</v>
      </c>
      <c r="C53" s="4808" t="s">
        <v>2370</v>
      </c>
      <c r="D53" s="4808" t="s">
        <v>2371</v>
      </c>
      <c r="E53" s="4808" t="s">
        <v>2372</v>
      </c>
      <c r="F53" s="4808" t="s">
        <v>2221</v>
      </c>
      <c r="G53" s="4808" t="s">
        <v>2373</v>
      </c>
      <c r="H53" s="4808" t="s">
        <v>18</v>
      </c>
      <c r="I53" s="4808" t="s">
        <v>592</v>
      </c>
    </row>
    <row customHeight="1" ht="11.25">
      <c r="A54" s="4808" t="s">
        <v>2182</v>
      </c>
      <c r="B54" s="4808" t="s">
        <v>14</v>
      </c>
      <c r="C54" s="4808" t="s">
        <v>2374</v>
      </c>
      <c r="D54" s="4808" t="s">
        <v>2375</v>
      </c>
      <c r="E54" s="4808" t="s">
        <v>2376</v>
      </c>
      <c r="F54" s="4808" t="s">
        <v>2377</v>
      </c>
      <c r="G54" s="4808" t="s">
        <v>18</v>
      </c>
      <c r="H54" s="4808" t="s">
        <v>18</v>
      </c>
      <c r="I54" s="4808" t="s">
        <v>592</v>
      </c>
    </row>
    <row customHeight="1" ht="11.25">
      <c r="A55" s="4808" t="s">
        <v>2182</v>
      </c>
      <c r="B55" s="4808" t="s">
        <v>14</v>
      </c>
      <c r="C55" s="4808" t="s">
        <v>2378</v>
      </c>
      <c r="D55" s="4808" t="s">
        <v>2379</v>
      </c>
      <c r="E55" s="4808" t="s">
        <v>2380</v>
      </c>
      <c r="F55" s="4808" t="s">
        <v>2347</v>
      </c>
      <c r="G55" s="4808" t="s">
        <v>18</v>
      </c>
      <c r="H55" s="4808" t="s">
        <v>18</v>
      </c>
      <c r="I55" s="4808" t="s">
        <v>592</v>
      </c>
    </row>
    <row customHeight="1" ht="11.25">
      <c r="A56" s="4808" t="s">
        <v>2182</v>
      </c>
      <c r="B56" s="4808" t="s">
        <v>14</v>
      </c>
      <c r="C56" s="4808" t="s">
        <v>2381</v>
      </c>
      <c r="D56" s="4808" t="s">
        <v>2382</v>
      </c>
      <c r="E56" s="4808" t="s">
        <v>2383</v>
      </c>
      <c r="F56" s="4808" t="s">
        <v>2384</v>
      </c>
      <c r="G56" s="4808" t="s">
        <v>18</v>
      </c>
      <c r="H56" s="4808" t="s">
        <v>18</v>
      </c>
      <c r="I56" s="4808" t="s">
        <v>592</v>
      </c>
    </row>
    <row customHeight="1" ht="11.25">
      <c r="A57" s="4808" t="s">
        <v>2182</v>
      </c>
      <c r="B57" s="4808" t="s">
        <v>14</v>
      </c>
      <c r="C57" s="4808" t="s">
        <v>2385</v>
      </c>
      <c r="D57" s="4808" t="s">
        <v>2386</v>
      </c>
      <c r="E57" s="4808" t="s">
        <v>2387</v>
      </c>
      <c r="F57" s="4808" t="s">
        <v>2249</v>
      </c>
      <c r="G57" s="4808" t="s">
        <v>18</v>
      </c>
      <c r="H57" s="4808" t="s">
        <v>18</v>
      </c>
      <c r="I57" s="4808" t="s">
        <v>592</v>
      </c>
    </row>
    <row customHeight="1" ht="11.25">
      <c r="A58" s="4808" t="s">
        <v>2182</v>
      </c>
      <c r="B58" s="4808" t="s">
        <v>14</v>
      </c>
      <c r="C58" s="4808" t="s">
        <v>2388</v>
      </c>
      <c r="D58" s="4808" t="s">
        <v>2389</v>
      </c>
      <c r="E58" s="4808" t="s">
        <v>2390</v>
      </c>
      <c r="F58" s="4808" t="s">
        <v>2225</v>
      </c>
      <c r="G58" s="4808" t="s">
        <v>18</v>
      </c>
      <c r="H58" s="4808" t="s">
        <v>18</v>
      </c>
      <c r="I58" s="4808" t="s">
        <v>592</v>
      </c>
    </row>
    <row customHeight="1" ht="11.25">
      <c r="A59" s="4808" t="s">
        <v>2182</v>
      </c>
      <c r="B59" s="4808" t="s">
        <v>14</v>
      </c>
      <c r="C59" s="4808" t="s">
        <v>2391</v>
      </c>
      <c r="D59" s="4808" t="s">
        <v>2392</v>
      </c>
      <c r="E59" s="4808" t="s">
        <v>2393</v>
      </c>
      <c r="F59" s="4808" t="s">
        <v>2214</v>
      </c>
      <c r="G59" s="4808" t="s">
        <v>18</v>
      </c>
      <c r="H59" s="4808" t="s">
        <v>18</v>
      </c>
      <c r="I59" s="4808" t="s">
        <v>592</v>
      </c>
    </row>
    <row customHeight="1" ht="11.25">
      <c r="A60" s="4808" t="s">
        <v>2182</v>
      </c>
      <c r="B60" s="4808" t="s">
        <v>14</v>
      </c>
      <c r="C60" s="4808" t="s">
        <v>2394</v>
      </c>
      <c r="D60" s="4808" t="s">
        <v>2395</v>
      </c>
      <c r="E60" s="4808" t="s">
        <v>2189</v>
      </c>
      <c r="F60" s="4808" t="s">
        <v>2396</v>
      </c>
      <c r="G60" s="4808" t="s">
        <v>2397</v>
      </c>
      <c r="H60" s="4808" t="s">
        <v>18</v>
      </c>
      <c r="I60" s="4808" t="s">
        <v>592</v>
      </c>
    </row>
    <row customHeight="1" ht="11.25">
      <c r="A61" s="4808" t="s">
        <v>2182</v>
      </c>
      <c r="B61" s="4808" t="s">
        <v>14</v>
      </c>
      <c r="C61" s="4808" t="s">
        <v>2398</v>
      </c>
      <c r="D61" s="4808" t="s">
        <v>2399</v>
      </c>
      <c r="E61" s="4808" t="s">
        <v>2400</v>
      </c>
      <c r="F61" s="4808" t="s">
        <v>2194</v>
      </c>
      <c r="G61" s="4808" t="s">
        <v>18</v>
      </c>
      <c r="H61" s="4808" t="s">
        <v>18</v>
      </c>
      <c r="I61" s="4808" t="s">
        <v>592</v>
      </c>
    </row>
    <row customHeight="1" ht="11.25">
      <c r="A62" s="4808" t="s">
        <v>2182</v>
      </c>
      <c r="B62" s="4808" t="s">
        <v>14</v>
      </c>
      <c r="C62" s="4808" t="s">
        <v>2401</v>
      </c>
      <c r="D62" s="4808" t="s">
        <v>2402</v>
      </c>
      <c r="E62" s="4808" t="s">
        <v>2403</v>
      </c>
      <c r="F62" s="4808" t="s">
        <v>2404</v>
      </c>
      <c r="G62" s="4808" t="s">
        <v>2405</v>
      </c>
      <c r="H62" s="4808" t="s">
        <v>18</v>
      </c>
      <c r="I62" s="4808" t="s">
        <v>592</v>
      </c>
    </row>
    <row customHeight="1" ht="11.25">
      <c r="A63" s="4808" t="s">
        <v>2182</v>
      </c>
      <c r="B63" s="4808" t="s">
        <v>14</v>
      </c>
      <c r="C63" s="4808" t="s">
        <v>2406</v>
      </c>
      <c r="D63" s="4808" t="s">
        <v>2407</v>
      </c>
      <c r="E63" s="4808" t="s">
        <v>2270</v>
      </c>
      <c r="F63" s="4808" t="s">
        <v>2408</v>
      </c>
      <c r="G63" s="4808" t="s">
        <v>18</v>
      </c>
      <c r="H63" s="4808" t="s">
        <v>18</v>
      </c>
      <c r="I63" s="4808" t="s">
        <v>592</v>
      </c>
    </row>
    <row customHeight="1" ht="11.25">
      <c r="A64" s="4808" t="s">
        <v>2182</v>
      </c>
      <c r="B64" s="4808" t="s">
        <v>14</v>
      </c>
      <c r="C64" s="4808" t="s">
        <v>2409</v>
      </c>
      <c r="D64" s="4808" t="s">
        <v>2410</v>
      </c>
      <c r="E64" s="4808" t="s">
        <v>2411</v>
      </c>
      <c r="F64" s="4808" t="s">
        <v>2412</v>
      </c>
      <c r="G64" s="4808" t="s">
        <v>2413</v>
      </c>
      <c r="H64" s="4808" t="s">
        <v>18</v>
      </c>
      <c r="I64" s="4808" t="s">
        <v>592</v>
      </c>
    </row>
    <row customHeight="1" ht="11.25">
      <c r="A65" s="4808" t="s">
        <v>2182</v>
      </c>
      <c r="B65" s="4808" t="s">
        <v>14</v>
      </c>
      <c r="C65" s="4808" t="s">
        <v>2414</v>
      </c>
      <c r="D65" s="4808" t="s">
        <v>2415</v>
      </c>
      <c r="E65" s="4808" t="s">
        <v>2416</v>
      </c>
      <c r="F65" s="4808" t="s">
        <v>2417</v>
      </c>
      <c r="G65" s="4808" t="s">
        <v>18</v>
      </c>
      <c r="H65" s="4808" t="s">
        <v>18</v>
      </c>
      <c r="I65" s="4808" t="s">
        <v>592</v>
      </c>
    </row>
    <row customHeight="1" ht="11.25">
      <c r="A66" s="4808" t="s">
        <v>2182</v>
      </c>
      <c r="B66" s="4808" t="s">
        <v>14</v>
      </c>
      <c r="C66" s="4808" t="s">
        <v>2418</v>
      </c>
      <c r="D66" s="4808" t="s">
        <v>2419</v>
      </c>
      <c r="E66" s="4808" t="s">
        <v>2416</v>
      </c>
      <c r="F66" s="4808" t="s">
        <v>2420</v>
      </c>
      <c r="G66" s="4808" t="s">
        <v>2421</v>
      </c>
      <c r="H66" s="4808" t="s">
        <v>18</v>
      </c>
      <c r="I66" s="4808" t="s">
        <v>592</v>
      </c>
    </row>
    <row customHeight="1" ht="11.25">
      <c r="A67" s="4808" t="s">
        <v>2182</v>
      </c>
      <c r="B67" s="4808" t="s">
        <v>14</v>
      </c>
      <c r="C67" s="4808" t="s">
        <v>2422</v>
      </c>
      <c r="D67" s="4808" t="s">
        <v>2423</v>
      </c>
      <c r="E67" s="4808" t="s">
        <v>2424</v>
      </c>
      <c r="F67" s="4808" t="s">
        <v>2225</v>
      </c>
      <c r="G67" s="4808" t="s">
        <v>2425</v>
      </c>
      <c r="H67" s="4808" t="s">
        <v>18</v>
      </c>
      <c r="I67" s="4808" t="s">
        <v>592</v>
      </c>
    </row>
    <row customHeight="1" ht="11.25">
      <c r="A68" s="4808" t="s">
        <v>2182</v>
      </c>
      <c r="B68" s="4808" t="s">
        <v>14</v>
      </c>
      <c r="C68" s="4808" t="s">
        <v>2426</v>
      </c>
      <c r="D68" s="4808" t="s">
        <v>2427</v>
      </c>
      <c r="E68" s="4808" t="s">
        <v>2428</v>
      </c>
      <c r="F68" s="4808" t="s">
        <v>2194</v>
      </c>
      <c r="G68" s="4808" t="s">
        <v>18</v>
      </c>
      <c r="H68" s="4808" t="s">
        <v>18</v>
      </c>
      <c r="I68" s="4808" t="s">
        <v>592</v>
      </c>
    </row>
    <row customHeight="1" ht="11.25">
      <c r="A69" s="4808" t="s">
        <v>2182</v>
      </c>
      <c r="B69" s="4808" t="s">
        <v>14</v>
      </c>
      <c r="C69" s="4808" t="s">
        <v>2429</v>
      </c>
      <c r="D69" s="4808" t="s">
        <v>2430</v>
      </c>
      <c r="E69" s="4808" t="s">
        <v>2431</v>
      </c>
      <c r="F69" s="4808" t="s">
        <v>2199</v>
      </c>
      <c r="G69" s="4808" t="s">
        <v>18</v>
      </c>
      <c r="H69" s="4808" t="s">
        <v>18</v>
      </c>
      <c r="I69" s="4808" t="s">
        <v>592</v>
      </c>
    </row>
    <row customHeight="1" ht="11.25">
      <c r="A70" s="4808" t="s">
        <v>2182</v>
      </c>
      <c r="B70" s="4808" t="s">
        <v>14</v>
      </c>
      <c r="C70" s="4808" t="s">
        <v>2432</v>
      </c>
      <c r="D70" s="4808" t="s">
        <v>2433</v>
      </c>
      <c r="E70" s="4808" t="s">
        <v>2434</v>
      </c>
      <c r="F70" s="4808" t="s">
        <v>2225</v>
      </c>
      <c r="G70" s="4808" t="s">
        <v>18</v>
      </c>
      <c r="H70" s="4808" t="s">
        <v>18</v>
      </c>
      <c r="I70" s="4808" t="s">
        <v>592</v>
      </c>
    </row>
    <row customHeight="1" ht="11.25">
      <c r="A71" s="4808" t="s">
        <v>2182</v>
      </c>
      <c r="B71" s="4808" t="s">
        <v>14</v>
      </c>
      <c r="C71" s="4808" t="s">
        <v>2435</v>
      </c>
      <c r="D71" s="4808" t="s">
        <v>2436</v>
      </c>
      <c r="E71" s="4808" t="s">
        <v>2437</v>
      </c>
      <c r="F71" s="4808" t="s">
        <v>2199</v>
      </c>
      <c r="G71" s="4808" t="s">
        <v>2226</v>
      </c>
      <c r="H71" s="4808" t="s">
        <v>18</v>
      </c>
      <c r="I71" s="4808" t="s">
        <v>592</v>
      </c>
    </row>
    <row customHeight="1" ht="11.25">
      <c r="A72" s="4808" t="s">
        <v>2182</v>
      </c>
      <c r="B72" s="4808" t="s">
        <v>14</v>
      </c>
      <c r="C72" s="4808" t="s">
        <v>2438</v>
      </c>
      <c r="D72" s="4808" t="s">
        <v>2439</v>
      </c>
      <c r="E72" s="4808" t="s">
        <v>2440</v>
      </c>
      <c r="F72" s="4808" t="s">
        <v>2199</v>
      </c>
      <c r="G72" s="4808" t="s">
        <v>18</v>
      </c>
      <c r="H72" s="4808" t="s">
        <v>18</v>
      </c>
      <c r="I72" s="4808" t="s">
        <v>592</v>
      </c>
    </row>
    <row customHeight="1" ht="11.25">
      <c r="A73" s="4808" t="s">
        <v>2182</v>
      </c>
      <c r="B73" s="4808" t="s">
        <v>14</v>
      </c>
      <c r="C73" s="4808" t="s">
        <v>2441</v>
      </c>
      <c r="D73" s="4808" t="s">
        <v>46</v>
      </c>
      <c r="E73" s="4808" t="s">
        <v>49</v>
      </c>
      <c r="F73" s="4808" t="s">
        <v>51</v>
      </c>
      <c r="G73" s="4808" t="s">
        <v>18</v>
      </c>
      <c r="H73" s="4808" t="s">
        <v>18</v>
      </c>
      <c r="I73" s="4808" t="s">
        <v>592</v>
      </c>
    </row>
    <row customHeight="1" ht="11.25">
      <c r="A74" s="4808" t="s">
        <v>2182</v>
      </c>
      <c r="B74" s="4808" t="s">
        <v>14</v>
      </c>
      <c r="C74" s="4808" t="s">
        <v>2442</v>
      </c>
      <c r="D74" s="4808" t="s">
        <v>2443</v>
      </c>
      <c r="E74" s="4808" t="s">
        <v>2403</v>
      </c>
      <c r="F74" s="4808" t="s">
        <v>2444</v>
      </c>
      <c r="G74" s="4808" t="s">
        <v>18</v>
      </c>
      <c r="H74" s="4808" t="s">
        <v>18</v>
      </c>
      <c r="I74" s="4808" t="s">
        <v>592</v>
      </c>
    </row>
    <row customHeight="1" ht="11.25">
      <c r="A75" s="4808" t="s">
        <v>2182</v>
      </c>
      <c r="B75" s="4808" t="s">
        <v>14</v>
      </c>
      <c r="C75" s="4808" t="s">
        <v>2445</v>
      </c>
      <c r="D75" s="4808" t="s">
        <v>2446</v>
      </c>
      <c r="E75" s="4808" t="s">
        <v>2447</v>
      </c>
      <c r="F75" s="4808" t="s">
        <v>418</v>
      </c>
      <c r="G75" s="4808" t="s">
        <v>18</v>
      </c>
      <c r="H75" s="4808" t="s">
        <v>18</v>
      </c>
      <c r="I75" s="4808" t="s">
        <v>592</v>
      </c>
    </row>
    <row customHeight="1" ht="11.25">
      <c r="A76" s="4808" t="s">
        <v>2182</v>
      </c>
      <c r="B76" s="4808" t="s">
        <v>14</v>
      </c>
      <c r="C76" s="4808" t="s">
        <v>2448</v>
      </c>
      <c r="D76" s="4808" t="s">
        <v>2449</v>
      </c>
      <c r="E76" s="4808" t="s">
        <v>2450</v>
      </c>
      <c r="F76" s="4808" t="s">
        <v>2234</v>
      </c>
      <c r="G76" s="4808" t="s">
        <v>18</v>
      </c>
      <c r="H76" s="4808" t="s">
        <v>18</v>
      </c>
      <c r="I76" s="4808" t="s">
        <v>592</v>
      </c>
    </row>
    <row customHeight="1" ht="11.25">
      <c r="A77" s="4808" t="s">
        <v>2182</v>
      </c>
      <c r="B77" s="4808" t="s">
        <v>14</v>
      </c>
      <c r="C77" s="4808" t="s">
        <v>2451</v>
      </c>
      <c r="D77" s="4808" t="s">
        <v>2452</v>
      </c>
      <c r="E77" s="4808" t="s">
        <v>2403</v>
      </c>
      <c r="F77" s="4808" t="s">
        <v>2453</v>
      </c>
      <c r="G77" s="4808" t="s">
        <v>18</v>
      </c>
      <c r="H77" s="4808" t="s">
        <v>18</v>
      </c>
      <c r="I77" s="4808" t="s">
        <v>592</v>
      </c>
    </row>
    <row customHeight="1" ht="11.25">
      <c r="A78" s="4808" t="s">
        <v>2182</v>
      </c>
      <c r="B78" s="4808" t="s">
        <v>14</v>
      </c>
      <c r="C78" s="4808" t="s">
        <v>2183</v>
      </c>
      <c r="D78" s="4808" t="s">
        <v>2184</v>
      </c>
      <c r="E78" s="4808" t="s">
        <v>2185</v>
      </c>
      <c r="F78" s="4808" t="s">
        <v>2186</v>
      </c>
      <c r="G78" s="4808" t="s">
        <v>18</v>
      </c>
      <c r="H78" s="4808" t="s">
        <v>18</v>
      </c>
      <c r="I78" s="4808" t="s">
        <v>1006</v>
      </c>
    </row>
    <row customHeight="1" ht="11.25">
      <c r="A79" s="4808" t="s">
        <v>2182</v>
      </c>
      <c r="B79" s="4808" t="s">
        <v>14</v>
      </c>
      <c r="C79" s="4808" t="s">
        <v>2187</v>
      </c>
      <c r="D79" s="4808" t="s">
        <v>2188</v>
      </c>
      <c r="E79" s="4808" t="s">
        <v>2189</v>
      </c>
      <c r="F79" s="4808" t="s">
        <v>2190</v>
      </c>
      <c r="G79" s="4808" t="s">
        <v>18</v>
      </c>
      <c r="H79" s="4808" t="s">
        <v>18</v>
      </c>
      <c r="I79" s="4808" t="s">
        <v>1006</v>
      </c>
    </row>
    <row customHeight="1" ht="11.25">
      <c r="A80" s="4808" t="s">
        <v>2182</v>
      </c>
      <c r="B80" s="4808" t="s">
        <v>14</v>
      </c>
      <c r="C80" s="4808" t="s">
        <v>2191</v>
      </c>
      <c r="D80" s="4808" t="s">
        <v>2192</v>
      </c>
      <c r="E80" s="4808" t="s">
        <v>2193</v>
      </c>
      <c r="F80" s="4808" t="s">
        <v>2194</v>
      </c>
      <c r="G80" s="4808" t="s">
        <v>2195</v>
      </c>
      <c r="H80" s="4808" t="s">
        <v>18</v>
      </c>
      <c r="I80" s="4808" t="s">
        <v>1006</v>
      </c>
    </row>
    <row customHeight="1" ht="11.25">
      <c r="A81" s="4808" t="s">
        <v>2182</v>
      </c>
      <c r="B81" s="4808" t="s">
        <v>14</v>
      </c>
      <c r="C81" s="4808" t="s">
        <v>2196</v>
      </c>
      <c r="D81" s="4808" t="s">
        <v>2197</v>
      </c>
      <c r="E81" s="4808" t="s">
        <v>2198</v>
      </c>
      <c r="F81" s="4808" t="s">
        <v>2199</v>
      </c>
      <c r="G81" s="4808" t="s">
        <v>2200</v>
      </c>
      <c r="H81" s="4808" t="s">
        <v>18</v>
      </c>
      <c r="I81" s="4808" t="s">
        <v>1006</v>
      </c>
    </row>
    <row customHeight="1" ht="11.25">
      <c r="A82" s="4808" t="s">
        <v>2182</v>
      </c>
      <c r="B82" s="4808" t="s">
        <v>14</v>
      </c>
      <c r="C82" s="4808" t="s">
        <v>2211</v>
      </c>
      <c r="D82" s="4808" t="s">
        <v>2212</v>
      </c>
      <c r="E82" s="4808" t="s">
        <v>2213</v>
      </c>
      <c r="F82" s="4808" t="s">
        <v>2214</v>
      </c>
      <c r="G82" s="4808" t="s">
        <v>18</v>
      </c>
      <c r="H82" s="4808" t="s">
        <v>18</v>
      </c>
      <c r="I82" s="4808" t="s">
        <v>1006</v>
      </c>
    </row>
    <row customHeight="1" ht="11.25">
      <c r="A83" s="4808" t="s">
        <v>2182</v>
      </c>
      <c r="B83" s="4808" t="s">
        <v>14</v>
      </c>
      <c r="C83" s="4808" t="s">
        <v>2218</v>
      </c>
      <c r="D83" s="4808" t="s">
        <v>2219</v>
      </c>
      <c r="E83" s="4808" t="s">
        <v>2220</v>
      </c>
      <c r="F83" s="4808" t="s">
        <v>2221</v>
      </c>
      <c r="G83" s="4808" t="s">
        <v>18</v>
      </c>
      <c r="H83" s="4808" t="s">
        <v>18</v>
      </c>
      <c r="I83" s="4808" t="s">
        <v>1006</v>
      </c>
    </row>
    <row customHeight="1" ht="11.25">
      <c r="A84" s="4808" t="s">
        <v>2182</v>
      </c>
      <c r="B84" s="4808" t="s">
        <v>14</v>
      </c>
      <c r="C84" s="4808" t="s">
        <v>2227</v>
      </c>
      <c r="D84" s="4808" t="s">
        <v>2228</v>
      </c>
      <c r="E84" s="4808" t="s">
        <v>2229</v>
      </c>
      <c r="F84" s="4808" t="s">
        <v>2194</v>
      </c>
      <c r="G84" s="4808" t="s">
        <v>2230</v>
      </c>
      <c r="H84" s="4808" t="s">
        <v>18</v>
      </c>
      <c r="I84" s="4808" t="s">
        <v>1006</v>
      </c>
    </row>
    <row customHeight="1" ht="11.25">
      <c r="A85" s="4808" t="s">
        <v>2182</v>
      </c>
      <c r="B85" s="4808" t="s">
        <v>14</v>
      </c>
      <c r="C85" s="4808" t="s">
        <v>2231</v>
      </c>
      <c r="D85" s="4808" t="s">
        <v>2232</v>
      </c>
      <c r="E85" s="4808" t="s">
        <v>2233</v>
      </c>
      <c r="F85" s="4808" t="s">
        <v>2234</v>
      </c>
      <c r="G85" s="4808" t="s">
        <v>18</v>
      </c>
      <c r="H85" s="4808" t="s">
        <v>18</v>
      </c>
      <c r="I85" s="4808" t="s">
        <v>1006</v>
      </c>
    </row>
    <row customHeight="1" ht="11.25">
      <c r="A86" s="4808" t="s">
        <v>2182</v>
      </c>
      <c r="B86" s="4808" t="s">
        <v>14</v>
      </c>
      <c r="C86" s="4808" t="s">
        <v>18</v>
      </c>
      <c r="D86" s="4808" t="s">
        <v>2239</v>
      </c>
      <c r="E86" s="4808" t="s">
        <v>2240</v>
      </c>
      <c r="F86" s="4808" t="s">
        <v>2194</v>
      </c>
      <c r="G86" s="4808" t="s">
        <v>18</v>
      </c>
      <c r="H86" s="4808" t="s">
        <v>18</v>
      </c>
      <c r="I86" s="4808" t="s">
        <v>1006</v>
      </c>
    </row>
    <row customHeight="1" ht="11.25">
      <c r="A87" s="4808" t="s">
        <v>2182</v>
      </c>
      <c r="B87" s="4808" t="s">
        <v>14</v>
      </c>
      <c r="C87" s="4808" t="s">
        <v>2250</v>
      </c>
      <c r="D87" s="4808" t="s">
        <v>2251</v>
      </c>
      <c r="E87" s="4808" t="s">
        <v>2252</v>
      </c>
      <c r="F87" s="4808" t="s">
        <v>2194</v>
      </c>
      <c r="G87" s="4808" t="s">
        <v>2253</v>
      </c>
      <c r="H87" s="4808" t="s">
        <v>18</v>
      </c>
      <c r="I87" s="4808" t="s">
        <v>1006</v>
      </c>
    </row>
    <row customHeight="1" ht="11.25">
      <c r="A88" s="4808" t="s">
        <v>2182</v>
      </c>
      <c r="B88" s="4808" t="s">
        <v>14</v>
      </c>
      <c r="C88" s="4808" t="s">
        <v>2254</v>
      </c>
      <c r="D88" s="4808" t="s">
        <v>2255</v>
      </c>
      <c r="E88" s="4808" t="s">
        <v>2256</v>
      </c>
      <c r="F88" s="4808" t="s">
        <v>2186</v>
      </c>
      <c r="G88" s="4808" t="s">
        <v>2257</v>
      </c>
      <c r="H88" s="4808" t="s">
        <v>18</v>
      </c>
      <c r="I88" s="4808" t="s">
        <v>1006</v>
      </c>
    </row>
    <row customHeight="1" ht="11.25">
      <c r="A89" s="4808" t="s">
        <v>2182</v>
      </c>
      <c r="B89" s="4808" t="s">
        <v>14</v>
      </c>
      <c r="C89" s="4808" t="s">
        <v>2258</v>
      </c>
      <c r="D89" s="4808" t="s">
        <v>2259</v>
      </c>
      <c r="E89" s="4808" t="s">
        <v>2260</v>
      </c>
      <c r="F89" s="4808" t="s">
        <v>2194</v>
      </c>
      <c r="G89" s="4808" t="s">
        <v>18</v>
      </c>
      <c r="H89" s="4808" t="s">
        <v>18</v>
      </c>
      <c r="I89" s="4808" t="s">
        <v>1006</v>
      </c>
    </row>
    <row customHeight="1" ht="11.25">
      <c r="A90" s="4808" t="s">
        <v>2182</v>
      </c>
      <c r="B90" s="4808" t="s">
        <v>14</v>
      </c>
      <c r="C90" s="4808" t="s">
        <v>2264</v>
      </c>
      <c r="D90" s="4808" t="s">
        <v>2265</v>
      </c>
      <c r="E90" s="4808" t="s">
        <v>2266</v>
      </c>
      <c r="F90" s="4808" t="s">
        <v>2267</v>
      </c>
      <c r="G90" s="4808" t="s">
        <v>18</v>
      </c>
      <c r="H90" s="4808" t="s">
        <v>18</v>
      </c>
      <c r="I90" s="4808" t="s">
        <v>1006</v>
      </c>
    </row>
    <row customHeight="1" ht="11.25">
      <c r="A91" s="4808" t="s">
        <v>2182</v>
      </c>
      <c r="B91" s="4808" t="s">
        <v>14</v>
      </c>
      <c r="C91" s="4808" t="s">
        <v>2273</v>
      </c>
      <c r="D91" s="4808" t="s">
        <v>2274</v>
      </c>
      <c r="E91" s="4808" t="s">
        <v>2275</v>
      </c>
      <c r="F91" s="4808" t="s">
        <v>2276</v>
      </c>
      <c r="G91" s="4808" t="s">
        <v>18</v>
      </c>
      <c r="H91" s="4808" t="s">
        <v>18</v>
      </c>
      <c r="I91" s="4808" t="s">
        <v>1006</v>
      </c>
    </row>
    <row customHeight="1" ht="11.25">
      <c r="A92" s="4808" t="s">
        <v>2182</v>
      </c>
      <c r="B92" s="4808" t="s">
        <v>14</v>
      </c>
      <c r="C92" s="4808" t="s">
        <v>2280</v>
      </c>
      <c r="D92" s="4808" t="s">
        <v>2281</v>
      </c>
      <c r="E92" s="4808" t="s">
        <v>2282</v>
      </c>
      <c r="F92" s="4808" t="s">
        <v>2225</v>
      </c>
      <c r="G92" s="4808" t="s">
        <v>2226</v>
      </c>
      <c r="H92" s="4808" t="s">
        <v>18</v>
      </c>
      <c r="I92" s="4808" t="s">
        <v>1006</v>
      </c>
    </row>
    <row customHeight="1" ht="11.25">
      <c r="A93" s="4808" t="s">
        <v>2182</v>
      </c>
      <c r="B93" s="4808" t="s">
        <v>14</v>
      </c>
      <c r="C93" s="4808" t="s">
        <v>2283</v>
      </c>
      <c r="D93" s="4808" t="s">
        <v>2284</v>
      </c>
      <c r="E93" s="4808" t="s">
        <v>2285</v>
      </c>
      <c r="F93" s="4808" t="s">
        <v>2225</v>
      </c>
      <c r="G93" s="4808" t="s">
        <v>2226</v>
      </c>
      <c r="H93" s="4808" t="s">
        <v>18</v>
      </c>
      <c r="I93" s="4808" t="s">
        <v>1006</v>
      </c>
    </row>
    <row customHeight="1" ht="11.25">
      <c r="A94" s="4808" t="s">
        <v>2182</v>
      </c>
      <c r="B94" s="4808" t="s">
        <v>14</v>
      </c>
      <c r="C94" s="4808" t="s">
        <v>2301</v>
      </c>
      <c r="D94" s="4808" t="s">
        <v>2302</v>
      </c>
      <c r="E94" s="4808" t="s">
        <v>2303</v>
      </c>
      <c r="F94" s="4808" t="s">
        <v>2276</v>
      </c>
      <c r="G94" s="4808" t="s">
        <v>18</v>
      </c>
      <c r="H94" s="4808" t="s">
        <v>18</v>
      </c>
      <c r="I94" s="4808" t="s">
        <v>1006</v>
      </c>
    </row>
    <row customHeight="1" ht="11.25">
      <c r="A95" s="4808" t="s">
        <v>2182</v>
      </c>
      <c r="B95" s="4808" t="s">
        <v>14</v>
      </c>
      <c r="C95" s="4808" t="s">
        <v>2310</v>
      </c>
      <c r="D95" s="4808" t="s">
        <v>2311</v>
      </c>
      <c r="E95" s="4808" t="s">
        <v>2312</v>
      </c>
      <c r="F95" s="4808" t="s">
        <v>2186</v>
      </c>
      <c r="G95" s="4808" t="s">
        <v>18</v>
      </c>
      <c r="H95" s="4808" t="s">
        <v>18</v>
      </c>
      <c r="I95" s="4808" t="s">
        <v>1006</v>
      </c>
    </row>
    <row customHeight="1" ht="11.25">
      <c r="A96" s="4808" t="s">
        <v>2182</v>
      </c>
      <c r="B96" s="4808" t="s">
        <v>14</v>
      </c>
      <c r="C96" s="4808" t="s">
        <v>2313</v>
      </c>
      <c r="D96" s="4808" t="s">
        <v>2314</v>
      </c>
      <c r="E96" s="4808" t="s">
        <v>2315</v>
      </c>
      <c r="F96" s="4808" t="s">
        <v>2316</v>
      </c>
      <c r="G96" s="4808" t="s">
        <v>18</v>
      </c>
      <c r="H96" s="4808" t="s">
        <v>18</v>
      </c>
      <c r="I96" s="4808" t="s">
        <v>1006</v>
      </c>
    </row>
    <row customHeight="1" ht="11.25">
      <c r="A97" s="4808" t="s">
        <v>2182</v>
      </c>
      <c r="B97" s="4808" t="s">
        <v>14</v>
      </c>
      <c r="C97" s="4808" t="s">
        <v>2321</v>
      </c>
      <c r="D97" s="4808" t="s">
        <v>2322</v>
      </c>
      <c r="E97" s="4808" t="s">
        <v>2323</v>
      </c>
      <c r="F97" s="4808" t="s">
        <v>2324</v>
      </c>
      <c r="G97" s="4808" t="s">
        <v>18</v>
      </c>
      <c r="H97" s="4808" t="s">
        <v>18</v>
      </c>
      <c r="I97" s="4808" t="s">
        <v>1006</v>
      </c>
    </row>
    <row customHeight="1" ht="11.25">
      <c r="A98" s="4808" t="s">
        <v>2182</v>
      </c>
      <c r="B98" s="4808" t="s">
        <v>14</v>
      </c>
      <c r="C98" s="4808" t="s">
        <v>2338</v>
      </c>
      <c r="D98" s="4808" t="s">
        <v>2339</v>
      </c>
      <c r="E98" s="4808" t="s">
        <v>2340</v>
      </c>
      <c r="F98" s="4808" t="s">
        <v>2337</v>
      </c>
      <c r="G98" s="4808" t="s">
        <v>18</v>
      </c>
      <c r="H98" s="4808" t="s">
        <v>18</v>
      </c>
      <c r="I98" s="4808" t="s">
        <v>1006</v>
      </c>
    </row>
    <row customHeight="1" ht="11.25">
      <c r="A99" s="4808" t="s">
        <v>2182</v>
      </c>
      <c r="B99" s="4808" t="s">
        <v>14</v>
      </c>
      <c r="C99" s="4808" t="s">
        <v>2344</v>
      </c>
      <c r="D99" s="4808" t="s">
        <v>2345</v>
      </c>
      <c r="E99" s="4808" t="s">
        <v>2346</v>
      </c>
      <c r="F99" s="4808" t="s">
        <v>2347</v>
      </c>
      <c r="G99" s="4808" t="s">
        <v>18</v>
      </c>
      <c r="H99" s="4808" t="s">
        <v>18</v>
      </c>
      <c r="I99" s="4808" t="s">
        <v>1006</v>
      </c>
    </row>
    <row customHeight="1" ht="11.25">
      <c r="A100" s="4808" t="s">
        <v>2182</v>
      </c>
      <c r="B100" s="4808" t="s">
        <v>14</v>
      </c>
      <c r="C100" s="4808" t="s">
        <v>2351</v>
      </c>
      <c r="D100" s="4808" t="s">
        <v>2352</v>
      </c>
      <c r="E100" s="4808" t="s">
        <v>2353</v>
      </c>
      <c r="F100" s="4808" t="s">
        <v>2267</v>
      </c>
      <c r="G100" s="4808" t="s">
        <v>18</v>
      </c>
      <c r="H100" s="4808" t="s">
        <v>18</v>
      </c>
      <c r="I100" s="4808" t="s">
        <v>1006</v>
      </c>
    </row>
    <row customHeight="1" ht="11.25">
      <c r="A101" s="4808" t="s">
        <v>2182</v>
      </c>
      <c r="B101" s="4808" t="s">
        <v>14</v>
      </c>
      <c r="C101" s="4808" t="s">
        <v>2362</v>
      </c>
      <c r="D101" s="4808" t="s">
        <v>2363</v>
      </c>
      <c r="E101" s="4808" t="s">
        <v>2364</v>
      </c>
      <c r="F101" s="4808" t="s">
        <v>2221</v>
      </c>
      <c r="G101" s="4808" t="s">
        <v>18</v>
      </c>
      <c r="H101" s="4808" t="s">
        <v>18</v>
      </c>
      <c r="I101" s="4808" t="s">
        <v>1006</v>
      </c>
    </row>
    <row customHeight="1" ht="11.25">
      <c r="A102" s="4808" t="s">
        <v>2182</v>
      </c>
      <c r="B102" s="4808" t="s">
        <v>14</v>
      </c>
      <c r="C102" s="4808" t="s">
        <v>2365</v>
      </c>
      <c r="D102" s="4808" t="s">
        <v>2366</v>
      </c>
      <c r="E102" s="4808" t="s">
        <v>2367</v>
      </c>
      <c r="F102" s="4808" t="s">
        <v>2347</v>
      </c>
      <c r="G102" s="4808" t="s">
        <v>2368</v>
      </c>
      <c r="H102" s="4808" t="s">
        <v>2369</v>
      </c>
      <c r="I102" s="4808" t="s">
        <v>1006</v>
      </c>
    </row>
    <row customHeight="1" ht="11.25">
      <c r="A103" s="4808" t="s">
        <v>2182</v>
      </c>
      <c r="B103" s="4808" t="s">
        <v>14</v>
      </c>
      <c r="C103" s="4808" t="s">
        <v>2370</v>
      </c>
      <c r="D103" s="4808" t="s">
        <v>2371</v>
      </c>
      <c r="E103" s="4808" t="s">
        <v>2372</v>
      </c>
      <c r="F103" s="4808" t="s">
        <v>2221</v>
      </c>
      <c r="G103" s="4808" t="s">
        <v>2373</v>
      </c>
      <c r="H103" s="4808" t="s">
        <v>18</v>
      </c>
      <c r="I103" s="4808" t="s">
        <v>1006</v>
      </c>
    </row>
    <row customHeight="1" ht="11.25">
      <c r="A104" s="4808" t="s">
        <v>2182</v>
      </c>
      <c r="B104" s="4808" t="s">
        <v>14</v>
      </c>
      <c r="C104" s="4808" t="s">
        <v>2374</v>
      </c>
      <c r="D104" s="4808" t="s">
        <v>2375</v>
      </c>
      <c r="E104" s="4808" t="s">
        <v>2376</v>
      </c>
      <c r="F104" s="4808" t="s">
        <v>2377</v>
      </c>
      <c r="G104" s="4808" t="s">
        <v>18</v>
      </c>
      <c r="H104" s="4808" t="s">
        <v>18</v>
      </c>
      <c r="I104" s="4808" t="s">
        <v>1006</v>
      </c>
    </row>
    <row customHeight="1" ht="11.25">
      <c r="A105" s="4808" t="s">
        <v>2182</v>
      </c>
      <c r="B105" s="4808" t="s">
        <v>14</v>
      </c>
      <c r="C105" s="4808" t="s">
        <v>2378</v>
      </c>
      <c r="D105" s="4808" t="s">
        <v>2379</v>
      </c>
      <c r="E105" s="4808" t="s">
        <v>2380</v>
      </c>
      <c r="F105" s="4808" t="s">
        <v>2347</v>
      </c>
      <c r="G105" s="4808" t="s">
        <v>18</v>
      </c>
      <c r="H105" s="4808" t="s">
        <v>18</v>
      </c>
      <c r="I105" s="4808" t="s">
        <v>1006</v>
      </c>
    </row>
    <row customHeight="1" ht="11.25">
      <c r="A106" s="4808" t="s">
        <v>2182</v>
      </c>
      <c r="B106" s="4808" t="s">
        <v>14</v>
      </c>
      <c r="C106" s="4808" t="s">
        <v>2381</v>
      </c>
      <c r="D106" s="4808" t="s">
        <v>2382</v>
      </c>
      <c r="E106" s="4808" t="s">
        <v>2383</v>
      </c>
      <c r="F106" s="4808" t="s">
        <v>2384</v>
      </c>
      <c r="G106" s="4808" t="s">
        <v>18</v>
      </c>
      <c r="H106" s="4808" t="s">
        <v>18</v>
      </c>
      <c r="I106" s="4808" t="s">
        <v>1006</v>
      </c>
    </row>
    <row customHeight="1" ht="11.25">
      <c r="A107" s="4808" t="s">
        <v>2182</v>
      </c>
      <c r="B107" s="4808" t="s">
        <v>14</v>
      </c>
      <c r="C107" s="4808" t="s">
        <v>2388</v>
      </c>
      <c r="D107" s="4808" t="s">
        <v>2389</v>
      </c>
      <c r="E107" s="4808" t="s">
        <v>2390</v>
      </c>
      <c r="F107" s="4808" t="s">
        <v>2225</v>
      </c>
      <c r="G107" s="4808" t="s">
        <v>18</v>
      </c>
      <c r="H107" s="4808" t="s">
        <v>18</v>
      </c>
      <c r="I107" s="4808" t="s">
        <v>1006</v>
      </c>
    </row>
    <row customHeight="1" ht="11.25">
      <c r="A108" s="4808" t="s">
        <v>2182</v>
      </c>
      <c r="B108" s="4808" t="s">
        <v>14</v>
      </c>
      <c r="C108" s="4808" t="s">
        <v>2394</v>
      </c>
      <c r="D108" s="4808" t="s">
        <v>2395</v>
      </c>
      <c r="E108" s="4808" t="s">
        <v>2189</v>
      </c>
      <c r="F108" s="4808" t="s">
        <v>2396</v>
      </c>
      <c r="G108" s="4808" t="s">
        <v>2397</v>
      </c>
      <c r="H108" s="4808" t="s">
        <v>18</v>
      </c>
      <c r="I108" s="4808" t="s">
        <v>1006</v>
      </c>
    </row>
    <row customHeight="1" ht="11.25">
      <c r="A109" s="4808" t="s">
        <v>2182</v>
      </c>
      <c r="B109" s="4808" t="s">
        <v>14</v>
      </c>
      <c r="C109" s="4808" t="s">
        <v>2401</v>
      </c>
      <c r="D109" s="4808" t="s">
        <v>2402</v>
      </c>
      <c r="E109" s="4808" t="s">
        <v>2403</v>
      </c>
      <c r="F109" s="4808" t="s">
        <v>2404</v>
      </c>
      <c r="G109" s="4808" t="s">
        <v>2405</v>
      </c>
      <c r="H109" s="4808" t="s">
        <v>18</v>
      </c>
      <c r="I109" s="4808" t="s">
        <v>1006</v>
      </c>
    </row>
    <row customHeight="1" ht="11.25">
      <c r="A110" s="4808" t="s">
        <v>2182</v>
      </c>
      <c r="B110" s="4808" t="s">
        <v>14</v>
      </c>
      <c r="C110" s="4808" t="s">
        <v>2406</v>
      </c>
      <c r="D110" s="4808" t="s">
        <v>2407</v>
      </c>
      <c r="E110" s="4808" t="s">
        <v>2270</v>
      </c>
      <c r="F110" s="4808" t="s">
        <v>2408</v>
      </c>
      <c r="G110" s="4808" t="s">
        <v>18</v>
      </c>
      <c r="H110" s="4808" t="s">
        <v>18</v>
      </c>
      <c r="I110" s="4808" t="s">
        <v>1006</v>
      </c>
    </row>
    <row customHeight="1" ht="11.25">
      <c r="A111" s="4808" t="s">
        <v>2182</v>
      </c>
      <c r="B111" s="4808" t="s">
        <v>14</v>
      </c>
      <c r="C111" s="4808" t="s">
        <v>2409</v>
      </c>
      <c r="D111" s="4808" t="s">
        <v>2410</v>
      </c>
      <c r="E111" s="4808" t="s">
        <v>2411</v>
      </c>
      <c r="F111" s="4808" t="s">
        <v>2412</v>
      </c>
      <c r="G111" s="4808" t="s">
        <v>2413</v>
      </c>
      <c r="H111" s="4808" t="s">
        <v>18</v>
      </c>
      <c r="I111" s="4808" t="s">
        <v>1006</v>
      </c>
    </row>
    <row customHeight="1" ht="11.25">
      <c r="A112" s="4808" t="s">
        <v>2182</v>
      </c>
      <c r="B112" s="4808" t="s">
        <v>14</v>
      </c>
      <c r="C112" s="4808" t="s">
        <v>2414</v>
      </c>
      <c r="D112" s="4808" t="s">
        <v>2415</v>
      </c>
      <c r="E112" s="4808" t="s">
        <v>2416</v>
      </c>
      <c r="F112" s="4808" t="s">
        <v>2417</v>
      </c>
      <c r="G112" s="4808" t="s">
        <v>18</v>
      </c>
      <c r="H112" s="4808" t="s">
        <v>18</v>
      </c>
      <c r="I112" s="4808" t="s">
        <v>1006</v>
      </c>
    </row>
    <row customHeight="1" ht="11.25">
      <c r="A113" s="4808" t="s">
        <v>2182</v>
      </c>
      <c r="B113" s="4808" t="s">
        <v>14</v>
      </c>
      <c r="C113" s="4808" t="s">
        <v>2418</v>
      </c>
      <c r="D113" s="4808" t="s">
        <v>2419</v>
      </c>
      <c r="E113" s="4808" t="s">
        <v>2416</v>
      </c>
      <c r="F113" s="4808" t="s">
        <v>2420</v>
      </c>
      <c r="G113" s="4808" t="s">
        <v>2421</v>
      </c>
      <c r="H113" s="4808" t="s">
        <v>18</v>
      </c>
      <c r="I113" s="4808" t="s">
        <v>1006</v>
      </c>
    </row>
    <row customHeight="1" ht="11.25">
      <c r="A114" s="4808" t="s">
        <v>2182</v>
      </c>
      <c r="B114" s="4808" t="s">
        <v>14</v>
      </c>
      <c r="C114" s="4808" t="s">
        <v>2442</v>
      </c>
      <c r="D114" s="4808" t="s">
        <v>2443</v>
      </c>
      <c r="E114" s="4808" t="s">
        <v>2403</v>
      </c>
      <c r="F114" s="4808" t="s">
        <v>2444</v>
      </c>
      <c r="G114" s="4808" t="s">
        <v>18</v>
      </c>
      <c r="H114" s="4808" t="s">
        <v>18</v>
      </c>
      <c r="I114" s="4808" t="s">
        <v>1006</v>
      </c>
    </row>
    <row customHeight="1" ht="11.25">
      <c r="A115" s="4808" t="s">
        <v>2182</v>
      </c>
      <c r="B115" s="4808" t="s">
        <v>14</v>
      </c>
      <c r="C115" s="4808" t="s">
        <v>2448</v>
      </c>
      <c r="D115" s="4808" t="s">
        <v>2449</v>
      </c>
      <c r="E115" s="4808" t="s">
        <v>2450</v>
      </c>
      <c r="F115" s="4808" t="s">
        <v>2234</v>
      </c>
      <c r="G115" s="4808" t="s">
        <v>18</v>
      </c>
      <c r="H115" s="4808" t="s">
        <v>18</v>
      </c>
      <c r="I115" s="4808" t="s">
        <v>1006</v>
      </c>
    </row>
    <row customHeight="1" ht="11.25">
      <c r="A116" s="4808" t="s">
        <v>2182</v>
      </c>
      <c r="B116" s="4808" t="s">
        <v>14</v>
      </c>
      <c r="C116" s="4808" t="s">
        <v>2451</v>
      </c>
      <c r="D116" s="4808" t="s">
        <v>2452</v>
      </c>
      <c r="E116" s="4808" t="s">
        <v>2403</v>
      </c>
      <c r="F116" s="4808" t="s">
        <v>2453</v>
      </c>
      <c r="G116" s="4808" t="s">
        <v>18</v>
      </c>
      <c r="H116" s="4808" t="s">
        <v>18</v>
      </c>
      <c r="I116" s="4808" t="s">
        <v>1006</v>
      </c>
    </row>
    <row customHeight="1" ht="11.25">
      <c r="A117" s="4808" t="s">
        <v>2182</v>
      </c>
      <c r="B117" s="4808" t="s">
        <v>14</v>
      </c>
      <c r="C117" s="4808" t="s">
        <v>2187</v>
      </c>
      <c r="D117" s="4808" t="s">
        <v>2188</v>
      </c>
      <c r="E117" s="4808" t="s">
        <v>2189</v>
      </c>
      <c r="F117" s="4808" t="s">
        <v>2190</v>
      </c>
      <c r="G117" s="4808" t="s">
        <v>18</v>
      </c>
      <c r="H117" s="4808" t="s">
        <v>18</v>
      </c>
      <c r="I117" s="4808" t="s">
        <v>983</v>
      </c>
    </row>
    <row customHeight="1" ht="11.25">
      <c r="A118" s="4808" t="s">
        <v>2182</v>
      </c>
      <c r="B118" s="4808" t="s">
        <v>14</v>
      </c>
      <c r="C118" s="4808" t="s">
        <v>2191</v>
      </c>
      <c r="D118" s="4808" t="s">
        <v>2192</v>
      </c>
      <c r="E118" s="4808" t="s">
        <v>2193</v>
      </c>
      <c r="F118" s="4808" t="s">
        <v>2194</v>
      </c>
      <c r="G118" s="4808" t="s">
        <v>2195</v>
      </c>
      <c r="H118" s="4808" t="s">
        <v>18</v>
      </c>
      <c r="I118" s="4808" t="s">
        <v>983</v>
      </c>
    </row>
    <row customHeight="1" ht="11.25">
      <c r="A119" s="4808" t="s">
        <v>2182</v>
      </c>
      <c r="B119" s="4808" t="s">
        <v>14</v>
      </c>
      <c r="C119" s="4808" t="s">
        <v>2196</v>
      </c>
      <c r="D119" s="4808" t="s">
        <v>2197</v>
      </c>
      <c r="E119" s="4808" t="s">
        <v>2198</v>
      </c>
      <c r="F119" s="4808" t="s">
        <v>2199</v>
      </c>
      <c r="G119" s="4808" t="s">
        <v>2200</v>
      </c>
      <c r="H119" s="4808" t="s">
        <v>18</v>
      </c>
      <c r="I119" s="4808" t="s">
        <v>983</v>
      </c>
    </row>
    <row customHeight="1" ht="11.25">
      <c r="A120" s="4808" t="s">
        <v>2182</v>
      </c>
      <c r="B120" s="4808" t="s">
        <v>14</v>
      </c>
      <c r="C120" s="4808" t="s">
        <v>2204</v>
      </c>
      <c r="D120" s="4808" t="s">
        <v>2205</v>
      </c>
      <c r="E120" s="4808" t="s">
        <v>2206</v>
      </c>
      <c r="F120" s="4808" t="s">
        <v>2194</v>
      </c>
      <c r="G120" s="4808" t="s">
        <v>2207</v>
      </c>
      <c r="H120" s="4808" t="s">
        <v>18</v>
      </c>
      <c r="I120" s="4808" t="s">
        <v>983</v>
      </c>
    </row>
    <row customHeight="1" ht="11.25">
      <c r="A121" s="4808" t="s">
        <v>2182</v>
      </c>
      <c r="B121" s="4808" t="s">
        <v>14</v>
      </c>
      <c r="C121" s="4808" t="s">
        <v>2211</v>
      </c>
      <c r="D121" s="4808" t="s">
        <v>2212</v>
      </c>
      <c r="E121" s="4808" t="s">
        <v>2213</v>
      </c>
      <c r="F121" s="4808" t="s">
        <v>2214</v>
      </c>
      <c r="G121" s="4808" t="s">
        <v>18</v>
      </c>
      <c r="H121" s="4808" t="s">
        <v>18</v>
      </c>
      <c r="I121" s="4808" t="s">
        <v>983</v>
      </c>
    </row>
    <row customHeight="1" ht="11.25">
      <c r="A122" s="4808" t="s">
        <v>2182</v>
      </c>
      <c r="B122" s="4808" t="s">
        <v>14</v>
      </c>
      <c r="C122" s="4808" t="s">
        <v>2222</v>
      </c>
      <c r="D122" s="4808" t="s">
        <v>2223</v>
      </c>
      <c r="E122" s="4808" t="s">
        <v>2224</v>
      </c>
      <c r="F122" s="4808" t="s">
        <v>2225</v>
      </c>
      <c r="G122" s="4808" t="s">
        <v>2226</v>
      </c>
      <c r="H122" s="4808" t="s">
        <v>18</v>
      </c>
      <c r="I122" s="4808" t="s">
        <v>983</v>
      </c>
    </row>
    <row customHeight="1" ht="11.25">
      <c r="A123" s="4808" t="s">
        <v>2182</v>
      </c>
      <c r="B123" s="4808" t="s">
        <v>14</v>
      </c>
      <c r="C123" s="4808" t="s">
        <v>2231</v>
      </c>
      <c r="D123" s="4808" t="s">
        <v>2232</v>
      </c>
      <c r="E123" s="4808" t="s">
        <v>2233</v>
      </c>
      <c r="F123" s="4808" t="s">
        <v>2234</v>
      </c>
      <c r="G123" s="4808" t="s">
        <v>18</v>
      </c>
      <c r="H123" s="4808" t="s">
        <v>18</v>
      </c>
      <c r="I123" s="4808" t="s">
        <v>983</v>
      </c>
    </row>
    <row customHeight="1" ht="11.25">
      <c r="A124" s="4808" t="s">
        <v>2182</v>
      </c>
      <c r="B124" s="4808" t="s">
        <v>14</v>
      </c>
      <c r="C124" s="4808" t="s">
        <v>2454</v>
      </c>
      <c r="D124" s="4808" t="s">
        <v>2455</v>
      </c>
      <c r="E124" s="4808" t="s">
        <v>2456</v>
      </c>
      <c r="F124" s="4808" t="s">
        <v>2194</v>
      </c>
      <c r="G124" s="4808" t="s">
        <v>2457</v>
      </c>
      <c r="H124" s="4808" t="s">
        <v>18</v>
      </c>
      <c r="I124" s="4808" t="s">
        <v>983</v>
      </c>
    </row>
    <row customHeight="1" ht="11.25">
      <c r="A125" s="4808" t="s">
        <v>2182</v>
      </c>
      <c r="B125" s="4808" t="s">
        <v>14</v>
      </c>
      <c r="C125" s="4808" t="s">
        <v>18</v>
      </c>
      <c r="D125" s="4808" t="s">
        <v>2239</v>
      </c>
      <c r="E125" s="4808" t="s">
        <v>2240</v>
      </c>
      <c r="F125" s="4808" t="s">
        <v>2194</v>
      </c>
      <c r="G125" s="4808" t="s">
        <v>18</v>
      </c>
      <c r="H125" s="4808" t="s">
        <v>18</v>
      </c>
      <c r="I125" s="4808" t="s">
        <v>983</v>
      </c>
    </row>
    <row customHeight="1" ht="11.25">
      <c r="A126" s="4808" t="s">
        <v>2182</v>
      </c>
      <c r="B126" s="4808" t="s">
        <v>14</v>
      </c>
      <c r="C126" s="4808" t="s">
        <v>2241</v>
      </c>
      <c r="D126" s="4808" t="s">
        <v>2242</v>
      </c>
      <c r="E126" s="4808" t="s">
        <v>2243</v>
      </c>
      <c r="F126" s="4808" t="s">
        <v>2244</v>
      </c>
      <c r="G126" s="4808" t="s">
        <v>2245</v>
      </c>
      <c r="H126" s="4808" t="s">
        <v>18</v>
      </c>
      <c r="I126" s="4808" t="s">
        <v>983</v>
      </c>
    </row>
    <row customHeight="1" ht="11.25">
      <c r="A127" s="4808" t="s">
        <v>2182</v>
      </c>
      <c r="B127" s="4808" t="s">
        <v>14</v>
      </c>
      <c r="C127" s="4808" t="s">
        <v>2458</v>
      </c>
      <c r="D127" s="4808" t="s">
        <v>2459</v>
      </c>
      <c r="E127" s="4808" t="s">
        <v>2460</v>
      </c>
      <c r="F127" s="4808" t="s">
        <v>2221</v>
      </c>
      <c r="G127" s="4808" t="s">
        <v>18</v>
      </c>
      <c r="H127" s="4808" t="s">
        <v>18</v>
      </c>
      <c r="I127" s="4808" t="s">
        <v>983</v>
      </c>
    </row>
    <row customHeight="1" ht="11.25">
      <c r="A128" s="4808" t="s">
        <v>2182</v>
      </c>
      <c r="B128" s="4808" t="s">
        <v>14</v>
      </c>
      <c r="C128" s="4808" t="s">
        <v>2250</v>
      </c>
      <c r="D128" s="4808" t="s">
        <v>2251</v>
      </c>
      <c r="E128" s="4808" t="s">
        <v>2252</v>
      </c>
      <c r="F128" s="4808" t="s">
        <v>2194</v>
      </c>
      <c r="G128" s="4808" t="s">
        <v>2253</v>
      </c>
      <c r="H128" s="4808" t="s">
        <v>18</v>
      </c>
      <c r="I128" s="4808" t="s">
        <v>983</v>
      </c>
    </row>
    <row customHeight="1" ht="11.25">
      <c r="A129" s="4808" t="s">
        <v>2182</v>
      </c>
      <c r="B129" s="4808" t="s">
        <v>14</v>
      </c>
      <c r="C129" s="4808" t="s">
        <v>2461</v>
      </c>
      <c r="D129" s="4808" t="s">
        <v>2462</v>
      </c>
      <c r="E129" s="4808" t="s">
        <v>2463</v>
      </c>
      <c r="F129" s="4808" t="s">
        <v>2225</v>
      </c>
      <c r="G129" s="4808" t="s">
        <v>18</v>
      </c>
      <c r="H129" s="4808" t="s">
        <v>18</v>
      </c>
      <c r="I129" s="4808" t="s">
        <v>983</v>
      </c>
    </row>
    <row customHeight="1" ht="11.25">
      <c r="A130" s="4808" t="s">
        <v>2182</v>
      </c>
      <c r="B130" s="4808" t="s">
        <v>14</v>
      </c>
      <c r="C130" s="4808" t="s">
        <v>2261</v>
      </c>
      <c r="D130" s="4808" t="s">
        <v>2262</v>
      </c>
      <c r="E130" s="4808" t="s">
        <v>2263</v>
      </c>
      <c r="F130" s="4808" t="s">
        <v>2234</v>
      </c>
      <c r="G130" s="4808" t="s">
        <v>18</v>
      </c>
      <c r="H130" s="4808" t="s">
        <v>18</v>
      </c>
      <c r="I130" s="4808" t="s">
        <v>983</v>
      </c>
    </row>
    <row customHeight="1" ht="11.25">
      <c r="A131" s="4808" t="s">
        <v>2182</v>
      </c>
      <c r="B131" s="4808" t="s">
        <v>14</v>
      </c>
      <c r="C131" s="4808" t="s">
        <v>2264</v>
      </c>
      <c r="D131" s="4808" t="s">
        <v>2265</v>
      </c>
      <c r="E131" s="4808" t="s">
        <v>2266</v>
      </c>
      <c r="F131" s="4808" t="s">
        <v>2267</v>
      </c>
      <c r="G131" s="4808" t="s">
        <v>18</v>
      </c>
      <c r="H131" s="4808" t="s">
        <v>18</v>
      </c>
      <c r="I131" s="4808" t="s">
        <v>983</v>
      </c>
    </row>
    <row customHeight="1" ht="11.25">
      <c r="A132" s="4808" t="s">
        <v>2182</v>
      </c>
      <c r="B132" s="4808" t="s">
        <v>14</v>
      </c>
      <c r="C132" s="4808" t="s">
        <v>2464</v>
      </c>
      <c r="D132" s="4808" t="s">
        <v>2465</v>
      </c>
      <c r="E132" s="4808" t="s">
        <v>2466</v>
      </c>
      <c r="F132" s="4808" t="s">
        <v>2347</v>
      </c>
      <c r="G132" s="4808" t="s">
        <v>18</v>
      </c>
      <c r="H132" s="4808" t="s">
        <v>18</v>
      </c>
      <c r="I132" s="4808" t="s">
        <v>983</v>
      </c>
    </row>
    <row customHeight="1" ht="11.25">
      <c r="A133" s="4808" t="s">
        <v>2182</v>
      </c>
      <c r="B133" s="4808" t="s">
        <v>14</v>
      </c>
      <c r="C133" s="4808" t="s">
        <v>2467</v>
      </c>
      <c r="D133" s="4808" t="s">
        <v>2468</v>
      </c>
      <c r="E133" s="4808" t="s">
        <v>2469</v>
      </c>
      <c r="F133" s="4808" t="s">
        <v>2267</v>
      </c>
      <c r="G133" s="4808" t="s">
        <v>18</v>
      </c>
      <c r="H133" s="4808" t="s">
        <v>18</v>
      </c>
      <c r="I133" s="4808" t="s">
        <v>983</v>
      </c>
    </row>
    <row customHeight="1" ht="11.25">
      <c r="A134" s="4808" t="s">
        <v>2182</v>
      </c>
      <c r="B134" s="4808" t="s">
        <v>14</v>
      </c>
      <c r="C134" s="4808" t="s">
        <v>2268</v>
      </c>
      <c r="D134" s="4808" t="s">
        <v>2269</v>
      </c>
      <c r="E134" s="4808" t="s">
        <v>2270</v>
      </c>
      <c r="F134" s="4808" t="s">
        <v>2271</v>
      </c>
      <c r="G134" s="4808" t="s">
        <v>2272</v>
      </c>
      <c r="H134" s="4808" t="s">
        <v>18</v>
      </c>
      <c r="I134" s="4808" t="s">
        <v>983</v>
      </c>
    </row>
    <row customHeight="1" ht="11.25">
      <c r="A135" s="4808" t="s">
        <v>2182</v>
      </c>
      <c r="B135" s="4808" t="s">
        <v>14</v>
      </c>
      <c r="C135" s="4808" t="s">
        <v>2470</v>
      </c>
      <c r="D135" s="4808" t="s">
        <v>2471</v>
      </c>
      <c r="E135" s="4808" t="s">
        <v>2472</v>
      </c>
      <c r="F135" s="4808" t="s">
        <v>2194</v>
      </c>
      <c r="G135" s="4808" t="s">
        <v>18</v>
      </c>
      <c r="H135" s="4808" t="s">
        <v>18</v>
      </c>
      <c r="I135" s="4808" t="s">
        <v>983</v>
      </c>
    </row>
    <row customHeight="1" ht="11.25">
      <c r="A136" s="4808" t="s">
        <v>2182</v>
      </c>
      <c r="B136" s="4808" t="s">
        <v>14</v>
      </c>
      <c r="C136" s="4808" t="s">
        <v>2273</v>
      </c>
      <c r="D136" s="4808" t="s">
        <v>2274</v>
      </c>
      <c r="E136" s="4808" t="s">
        <v>2275</v>
      </c>
      <c r="F136" s="4808" t="s">
        <v>2276</v>
      </c>
      <c r="G136" s="4808" t="s">
        <v>18</v>
      </c>
      <c r="H136" s="4808" t="s">
        <v>18</v>
      </c>
      <c r="I136" s="4808" t="s">
        <v>983</v>
      </c>
    </row>
    <row customHeight="1" ht="11.25">
      <c r="A137" s="4808" t="s">
        <v>2182</v>
      </c>
      <c r="B137" s="4808" t="s">
        <v>14</v>
      </c>
      <c r="C137" s="4808" t="s">
        <v>2473</v>
      </c>
      <c r="D137" s="4808" t="s">
        <v>2474</v>
      </c>
      <c r="E137" s="4808" t="s">
        <v>2475</v>
      </c>
      <c r="F137" s="4808" t="s">
        <v>2221</v>
      </c>
      <c r="G137" s="4808" t="s">
        <v>2476</v>
      </c>
      <c r="H137" s="4808" t="s">
        <v>18</v>
      </c>
      <c r="I137" s="4808" t="s">
        <v>983</v>
      </c>
    </row>
    <row customHeight="1" ht="11.25">
      <c r="A138" s="4808" t="s">
        <v>2182</v>
      </c>
      <c r="B138" s="4808" t="s">
        <v>14</v>
      </c>
      <c r="C138" s="4808" t="s">
        <v>2283</v>
      </c>
      <c r="D138" s="4808" t="s">
        <v>2284</v>
      </c>
      <c r="E138" s="4808" t="s">
        <v>2285</v>
      </c>
      <c r="F138" s="4808" t="s">
        <v>2225</v>
      </c>
      <c r="G138" s="4808" t="s">
        <v>2226</v>
      </c>
      <c r="H138" s="4808" t="s">
        <v>18</v>
      </c>
      <c r="I138" s="4808" t="s">
        <v>983</v>
      </c>
    </row>
    <row customHeight="1" ht="11.25">
      <c r="A139" s="4808" t="s">
        <v>2182</v>
      </c>
      <c r="B139" s="4808" t="s">
        <v>14</v>
      </c>
      <c r="C139" s="4808" t="s">
        <v>2477</v>
      </c>
      <c r="D139" s="4808" t="s">
        <v>2478</v>
      </c>
      <c r="E139" s="4808" t="s">
        <v>2479</v>
      </c>
      <c r="F139" s="4808" t="s">
        <v>2225</v>
      </c>
      <c r="G139" s="4808" t="s">
        <v>2480</v>
      </c>
      <c r="H139" s="4808" t="s">
        <v>18</v>
      </c>
      <c r="I139" s="4808" t="s">
        <v>983</v>
      </c>
    </row>
    <row customHeight="1" ht="11.25">
      <c r="A140" s="4808" t="s">
        <v>2182</v>
      </c>
      <c r="B140" s="4808" t="s">
        <v>14</v>
      </c>
      <c r="C140" s="4808" t="s">
        <v>2481</v>
      </c>
      <c r="D140" s="4808" t="s">
        <v>2482</v>
      </c>
      <c r="E140" s="4808" t="s">
        <v>2483</v>
      </c>
      <c r="F140" s="4808" t="s">
        <v>2225</v>
      </c>
      <c r="G140" s="4808" t="s">
        <v>2484</v>
      </c>
      <c r="H140" s="4808" t="s">
        <v>18</v>
      </c>
      <c r="I140" s="4808" t="s">
        <v>983</v>
      </c>
    </row>
    <row customHeight="1" ht="11.25">
      <c r="A141" s="4808" t="s">
        <v>2182</v>
      </c>
      <c r="B141" s="4808" t="s">
        <v>14</v>
      </c>
      <c r="C141" s="4808" t="s">
        <v>2485</v>
      </c>
      <c r="D141" s="4808" t="s">
        <v>2482</v>
      </c>
      <c r="E141" s="4808" t="s">
        <v>2486</v>
      </c>
      <c r="F141" s="4808" t="s">
        <v>2186</v>
      </c>
      <c r="G141" s="4808" t="s">
        <v>18</v>
      </c>
      <c r="H141" s="4808" t="s">
        <v>18</v>
      </c>
      <c r="I141" s="4808" t="s">
        <v>983</v>
      </c>
    </row>
    <row customHeight="1" ht="11.25">
      <c r="A142" s="4808" t="s">
        <v>2182</v>
      </c>
      <c r="B142" s="4808" t="s">
        <v>14</v>
      </c>
      <c r="C142" s="4808" t="s">
        <v>2487</v>
      </c>
      <c r="D142" s="4808" t="s">
        <v>2488</v>
      </c>
      <c r="E142" s="4808" t="s">
        <v>2489</v>
      </c>
      <c r="F142" s="4808" t="s">
        <v>2384</v>
      </c>
      <c r="G142" s="4808" t="s">
        <v>18</v>
      </c>
      <c r="H142" s="4808" t="s">
        <v>18</v>
      </c>
      <c r="I142" s="4808" t="s">
        <v>983</v>
      </c>
    </row>
    <row customHeight="1" ht="11.25">
      <c r="A143" s="4808" t="s">
        <v>2182</v>
      </c>
      <c r="B143" s="4808" t="s">
        <v>14</v>
      </c>
      <c r="C143" s="4808" t="s">
        <v>2289</v>
      </c>
      <c r="D143" s="4808" t="s">
        <v>2290</v>
      </c>
      <c r="E143" s="4808" t="s">
        <v>2291</v>
      </c>
      <c r="F143" s="4808" t="s">
        <v>2292</v>
      </c>
      <c r="G143" s="4808" t="s">
        <v>18</v>
      </c>
      <c r="H143" s="4808" t="s">
        <v>18</v>
      </c>
      <c r="I143" s="4808" t="s">
        <v>983</v>
      </c>
    </row>
    <row customHeight="1" ht="11.25">
      <c r="A144" s="4808" t="s">
        <v>2182</v>
      </c>
      <c r="B144" s="4808" t="s">
        <v>14</v>
      </c>
      <c r="C144" s="4808" t="s">
        <v>2293</v>
      </c>
      <c r="D144" s="4808" t="s">
        <v>2294</v>
      </c>
      <c r="E144" s="4808" t="s">
        <v>2295</v>
      </c>
      <c r="F144" s="4808" t="s">
        <v>2296</v>
      </c>
      <c r="G144" s="4808" t="s">
        <v>18</v>
      </c>
      <c r="H144" s="4808" t="s">
        <v>18</v>
      </c>
      <c r="I144" s="4808" t="s">
        <v>983</v>
      </c>
    </row>
    <row customHeight="1" ht="11.25">
      <c r="A145" s="4808" t="s">
        <v>2182</v>
      </c>
      <c r="B145" s="4808" t="s">
        <v>14</v>
      </c>
      <c r="C145" s="4808" t="s">
        <v>2297</v>
      </c>
      <c r="D145" s="4808" t="s">
        <v>2298</v>
      </c>
      <c r="E145" s="4808" t="s">
        <v>2299</v>
      </c>
      <c r="F145" s="4808" t="s">
        <v>2225</v>
      </c>
      <c r="G145" s="4808" t="s">
        <v>2300</v>
      </c>
      <c r="H145" s="4808" t="s">
        <v>18</v>
      </c>
      <c r="I145" s="4808" t="s">
        <v>983</v>
      </c>
    </row>
    <row customHeight="1" ht="11.25">
      <c r="A146" s="4808" t="s">
        <v>2182</v>
      </c>
      <c r="B146" s="4808" t="s">
        <v>14</v>
      </c>
      <c r="C146" s="4808" t="s">
        <v>2301</v>
      </c>
      <c r="D146" s="4808" t="s">
        <v>2302</v>
      </c>
      <c r="E146" s="4808" t="s">
        <v>2303</v>
      </c>
      <c r="F146" s="4808" t="s">
        <v>2276</v>
      </c>
      <c r="G146" s="4808" t="s">
        <v>18</v>
      </c>
      <c r="H146" s="4808" t="s">
        <v>18</v>
      </c>
      <c r="I146" s="4808" t="s">
        <v>983</v>
      </c>
    </row>
    <row customHeight="1" ht="11.25">
      <c r="A147" s="4808" t="s">
        <v>2182</v>
      </c>
      <c r="B147" s="4808" t="s">
        <v>14</v>
      </c>
      <c r="C147" s="4808" t="s">
        <v>2304</v>
      </c>
      <c r="D147" s="4808" t="s">
        <v>2305</v>
      </c>
      <c r="E147" s="4808" t="s">
        <v>2306</v>
      </c>
      <c r="F147" s="4808" t="s">
        <v>2234</v>
      </c>
      <c r="G147" s="4808" t="s">
        <v>2226</v>
      </c>
      <c r="H147" s="4808" t="s">
        <v>18</v>
      </c>
      <c r="I147" s="4808" t="s">
        <v>983</v>
      </c>
    </row>
    <row customHeight="1" ht="11.25">
      <c r="A148" s="4808" t="s">
        <v>2182</v>
      </c>
      <c r="B148" s="4808" t="s">
        <v>14</v>
      </c>
      <c r="C148" s="4808" t="s">
        <v>2490</v>
      </c>
      <c r="D148" s="4808" t="s">
        <v>2491</v>
      </c>
      <c r="E148" s="4808" t="s">
        <v>2492</v>
      </c>
      <c r="F148" s="4808" t="s">
        <v>2194</v>
      </c>
      <c r="G148" s="4808" t="s">
        <v>2226</v>
      </c>
      <c r="H148" s="4808" t="s">
        <v>18</v>
      </c>
      <c r="I148" s="4808" t="s">
        <v>983</v>
      </c>
    </row>
    <row customHeight="1" ht="11.25">
      <c r="A149" s="4808" t="s">
        <v>2182</v>
      </c>
      <c r="B149" s="4808" t="s">
        <v>14</v>
      </c>
      <c r="C149" s="4808" t="s">
        <v>2493</v>
      </c>
      <c r="D149" s="4808" t="s">
        <v>2494</v>
      </c>
      <c r="E149" s="4808" t="s">
        <v>2495</v>
      </c>
      <c r="F149" s="4808" t="s">
        <v>2267</v>
      </c>
      <c r="G149" s="4808" t="s">
        <v>18</v>
      </c>
      <c r="H149" s="4808" t="s">
        <v>18</v>
      </c>
      <c r="I149" s="4808" t="s">
        <v>983</v>
      </c>
    </row>
    <row customHeight="1" ht="11.25">
      <c r="A150" s="4808" t="s">
        <v>2182</v>
      </c>
      <c r="B150" s="4808" t="s">
        <v>14</v>
      </c>
      <c r="C150" s="4808" t="s">
        <v>2496</v>
      </c>
      <c r="D150" s="4808" t="s">
        <v>2497</v>
      </c>
      <c r="E150" s="4808" t="s">
        <v>2498</v>
      </c>
      <c r="F150" s="4808" t="s">
        <v>2499</v>
      </c>
      <c r="G150" s="4808" t="s">
        <v>18</v>
      </c>
      <c r="H150" s="4808" t="s">
        <v>18</v>
      </c>
      <c r="I150" s="4808" t="s">
        <v>983</v>
      </c>
    </row>
    <row customHeight="1" ht="11.25">
      <c r="A151" s="4808" t="s">
        <v>2182</v>
      </c>
      <c r="B151" s="4808" t="s">
        <v>14</v>
      </c>
      <c r="C151" s="4808" t="s">
        <v>2310</v>
      </c>
      <c r="D151" s="4808" t="s">
        <v>2311</v>
      </c>
      <c r="E151" s="4808" t="s">
        <v>2312</v>
      </c>
      <c r="F151" s="4808" t="s">
        <v>2186</v>
      </c>
      <c r="G151" s="4808" t="s">
        <v>18</v>
      </c>
      <c r="H151" s="4808" t="s">
        <v>18</v>
      </c>
      <c r="I151" s="4808" t="s">
        <v>983</v>
      </c>
    </row>
    <row customHeight="1" ht="11.25">
      <c r="A152" s="4808" t="s">
        <v>2182</v>
      </c>
      <c r="B152" s="4808" t="s">
        <v>14</v>
      </c>
      <c r="C152" s="4808" t="s">
        <v>2313</v>
      </c>
      <c r="D152" s="4808" t="s">
        <v>2314</v>
      </c>
      <c r="E152" s="4808" t="s">
        <v>2315</v>
      </c>
      <c r="F152" s="4808" t="s">
        <v>2316</v>
      </c>
      <c r="G152" s="4808" t="s">
        <v>18</v>
      </c>
      <c r="H152" s="4808" t="s">
        <v>18</v>
      </c>
      <c r="I152" s="4808" t="s">
        <v>983</v>
      </c>
    </row>
    <row customHeight="1" ht="11.25">
      <c r="A153" s="4808" t="s">
        <v>2182</v>
      </c>
      <c r="B153" s="4808" t="s">
        <v>14</v>
      </c>
      <c r="C153" s="4808" t="s">
        <v>2317</v>
      </c>
      <c r="D153" s="4808" t="s">
        <v>2318</v>
      </c>
      <c r="E153" s="4808" t="s">
        <v>2319</v>
      </c>
      <c r="F153" s="4808" t="s">
        <v>2320</v>
      </c>
      <c r="G153" s="4808" t="s">
        <v>18</v>
      </c>
      <c r="H153" s="4808" t="s">
        <v>18</v>
      </c>
      <c r="I153" s="4808" t="s">
        <v>983</v>
      </c>
    </row>
    <row customHeight="1" ht="11.25">
      <c r="A154" s="4808" t="s">
        <v>2182</v>
      </c>
      <c r="B154" s="4808" t="s">
        <v>14</v>
      </c>
      <c r="C154" s="4808" t="s">
        <v>2321</v>
      </c>
      <c r="D154" s="4808" t="s">
        <v>2322</v>
      </c>
      <c r="E154" s="4808" t="s">
        <v>2323</v>
      </c>
      <c r="F154" s="4808" t="s">
        <v>2324</v>
      </c>
      <c r="G154" s="4808" t="s">
        <v>18</v>
      </c>
      <c r="H154" s="4808" t="s">
        <v>18</v>
      </c>
      <c r="I154" s="4808" t="s">
        <v>983</v>
      </c>
    </row>
    <row customHeight="1" ht="11.25">
      <c r="A155" s="4808" t="s">
        <v>2182</v>
      </c>
      <c r="B155" s="4808" t="s">
        <v>14</v>
      </c>
      <c r="C155" s="4808" t="s">
        <v>2500</v>
      </c>
      <c r="D155" s="4808" t="s">
        <v>2501</v>
      </c>
      <c r="E155" s="4808" t="s">
        <v>2502</v>
      </c>
      <c r="F155" s="4808" t="s">
        <v>2234</v>
      </c>
      <c r="G155" s="4808" t="s">
        <v>18</v>
      </c>
      <c r="H155" s="4808" t="s">
        <v>18</v>
      </c>
      <c r="I155" s="4808" t="s">
        <v>983</v>
      </c>
    </row>
    <row customHeight="1" ht="11.25">
      <c r="A156" s="4808" t="s">
        <v>2182</v>
      </c>
      <c r="B156" s="4808" t="s">
        <v>14</v>
      </c>
      <c r="C156" s="4808" t="s">
        <v>2344</v>
      </c>
      <c r="D156" s="4808" t="s">
        <v>2345</v>
      </c>
      <c r="E156" s="4808" t="s">
        <v>2346</v>
      </c>
      <c r="F156" s="4808" t="s">
        <v>2347</v>
      </c>
      <c r="G156" s="4808" t="s">
        <v>18</v>
      </c>
      <c r="H156" s="4808" t="s">
        <v>18</v>
      </c>
      <c r="I156" s="4808" t="s">
        <v>983</v>
      </c>
    </row>
    <row customHeight="1" ht="11.25">
      <c r="A157" s="4808" t="s">
        <v>2182</v>
      </c>
      <c r="B157" s="4808" t="s">
        <v>14</v>
      </c>
      <c r="C157" s="4808" t="s">
        <v>2351</v>
      </c>
      <c r="D157" s="4808" t="s">
        <v>2352</v>
      </c>
      <c r="E157" s="4808" t="s">
        <v>2353</v>
      </c>
      <c r="F157" s="4808" t="s">
        <v>2267</v>
      </c>
      <c r="G157" s="4808" t="s">
        <v>18</v>
      </c>
      <c r="H157" s="4808" t="s">
        <v>18</v>
      </c>
      <c r="I157" s="4808" t="s">
        <v>983</v>
      </c>
    </row>
    <row customHeight="1" ht="11.25">
      <c r="A158" s="4808" t="s">
        <v>2182</v>
      </c>
      <c r="B158" s="4808" t="s">
        <v>14</v>
      </c>
      <c r="C158" s="4808" t="s">
        <v>2365</v>
      </c>
      <c r="D158" s="4808" t="s">
        <v>2366</v>
      </c>
      <c r="E158" s="4808" t="s">
        <v>2367</v>
      </c>
      <c r="F158" s="4808" t="s">
        <v>2347</v>
      </c>
      <c r="G158" s="4808" t="s">
        <v>2368</v>
      </c>
      <c r="H158" s="4808" t="s">
        <v>2369</v>
      </c>
      <c r="I158" s="4808" t="s">
        <v>983</v>
      </c>
    </row>
    <row customHeight="1" ht="11.25">
      <c r="A159" s="4808" t="s">
        <v>2182</v>
      </c>
      <c r="B159" s="4808" t="s">
        <v>14</v>
      </c>
      <c r="C159" s="4808" t="s">
        <v>2381</v>
      </c>
      <c r="D159" s="4808" t="s">
        <v>2382</v>
      </c>
      <c r="E159" s="4808" t="s">
        <v>2383</v>
      </c>
      <c r="F159" s="4808" t="s">
        <v>2384</v>
      </c>
      <c r="G159" s="4808" t="s">
        <v>18</v>
      </c>
      <c r="H159" s="4808" t="s">
        <v>18</v>
      </c>
      <c r="I159" s="4808" t="s">
        <v>983</v>
      </c>
    </row>
    <row customHeight="1" ht="11.25">
      <c r="A160" s="4808" t="s">
        <v>2182</v>
      </c>
      <c r="B160" s="4808" t="s">
        <v>14</v>
      </c>
      <c r="C160" s="4808" t="s">
        <v>2385</v>
      </c>
      <c r="D160" s="4808" t="s">
        <v>2386</v>
      </c>
      <c r="E160" s="4808" t="s">
        <v>2387</v>
      </c>
      <c r="F160" s="4808" t="s">
        <v>2249</v>
      </c>
      <c r="G160" s="4808" t="s">
        <v>18</v>
      </c>
      <c r="H160" s="4808" t="s">
        <v>18</v>
      </c>
      <c r="I160" s="4808" t="s">
        <v>983</v>
      </c>
    </row>
    <row customHeight="1" ht="11.25">
      <c r="A161" s="4808" t="s">
        <v>2182</v>
      </c>
      <c r="B161" s="4808" t="s">
        <v>14</v>
      </c>
      <c r="C161" s="4808" t="s">
        <v>2391</v>
      </c>
      <c r="D161" s="4808" t="s">
        <v>2392</v>
      </c>
      <c r="E161" s="4808" t="s">
        <v>2393</v>
      </c>
      <c r="F161" s="4808" t="s">
        <v>2214</v>
      </c>
      <c r="G161" s="4808" t="s">
        <v>18</v>
      </c>
      <c r="H161" s="4808" t="s">
        <v>18</v>
      </c>
      <c r="I161" s="4808" t="s">
        <v>983</v>
      </c>
    </row>
    <row customHeight="1" ht="11.25">
      <c r="A162" s="4808" t="s">
        <v>2182</v>
      </c>
      <c r="B162" s="4808" t="s">
        <v>14</v>
      </c>
      <c r="C162" s="4808" t="s">
        <v>2394</v>
      </c>
      <c r="D162" s="4808" t="s">
        <v>2395</v>
      </c>
      <c r="E162" s="4808" t="s">
        <v>2189</v>
      </c>
      <c r="F162" s="4808" t="s">
        <v>2396</v>
      </c>
      <c r="G162" s="4808" t="s">
        <v>2397</v>
      </c>
      <c r="H162" s="4808" t="s">
        <v>18</v>
      </c>
      <c r="I162" s="4808" t="s">
        <v>983</v>
      </c>
    </row>
    <row customHeight="1" ht="11.25">
      <c r="A163" s="4808" t="s">
        <v>2182</v>
      </c>
      <c r="B163" s="4808" t="s">
        <v>14</v>
      </c>
      <c r="C163" s="4808" t="s">
        <v>2401</v>
      </c>
      <c r="D163" s="4808" t="s">
        <v>2402</v>
      </c>
      <c r="E163" s="4808" t="s">
        <v>2403</v>
      </c>
      <c r="F163" s="4808" t="s">
        <v>2404</v>
      </c>
      <c r="G163" s="4808" t="s">
        <v>2405</v>
      </c>
      <c r="H163" s="4808" t="s">
        <v>18</v>
      </c>
      <c r="I163" s="4808" t="s">
        <v>983</v>
      </c>
    </row>
    <row customHeight="1" ht="11.25">
      <c r="A164" s="4808" t="s">
        <v>2182</v>
      </c>
      <c r="B164" s="4808" t="s">
        <v>14</v>
      </c>
      <c r="C164" s="4808" t="s">
        <v>2503</v>
      </c>
      <c r="D164" s="4808" t="s">
        <v>2504</v>
      </c>
      <c r="E164" s="4808" t="s">
        <v>2505</v>
      </c>
      <c r="F164" s="4808" t="s">
        <v>2506</v>
      </c>
      <c r="G164" s="4808" t="s">
        <v>2507</v>
      </c>
      <c r="H164" s="4808" t="s">
        <v>18</v>
      </c>
      <c r="I164" s="4808" t="s">
        <v>983</v>
      </c>
    </row>
    <row customHeight="1" ht="11.25">
      <c r="A165" s="4808" t="s">
        <v>2182</v>
      </c>
      <c r="B165" s="4808" t="s">
        <v>14</v>
      </c>
      <c r="C165" s="4808" t="s">
        <v>2406</v>
      </c>
      <c r="D165" s="4808" t="s">
        <v>2407</v>
      </c>
      <c r="E165" s="4808" t="s">
        <v>2270</v>
      </c>
      <c r="F165" s="4808" t="s">
        <v>2408</v>
      </c>
      <c r="G165" s="4808" t="s">
        <v>18</v>
      </c>
      <c r="H165" s="4808" t="s">
        <v>18</v>
      </c>
      <c r="I165" s="4808" t="s">
        <v>983</v>
      </c>
    </row>
    <row customHeight="1" ht="11.25">
      <c r="A166" s="4808" t="s">
        <v>2182</v>
      </c>
      <c r="B166" s="4808" t="s">
        <v>14</v>
      </c>
      <c r="C166" s="4808" t="s">
        <v>2409</v>
      </c>
      <c r="D166" s="4808" t="s">
        <v>2410</v>
      </c>
      <c r="E166" s="4808" t="s">
        <v>2411</v>
      </c>
      <c r="F166" s="4808" t="s">
        <v>2412</v>
      </c>
      <c r="G166" s="4808" t="s">
        <v>2413</v>
      </c>
      <c r="H166" s="4808" t="s">
        <v>18</v>
      </c>
      <c r="I166" s="4808" t="s">
        <v>983</v>
      </c>
    </row>
    <row customHeight="1" ht="11.25">
      <c r="A167" s="4808" t="s">
        <v>2182</v>
      </c>
      <c r="B167" s="4808" t="s">
        <v>14</v>
      </c>
      <c r="C167" s="4808" t="s">
        <v>2414</v>
      </c>
      <c r="D167" s="4808" t="s">
        <v>2415</v>
      </c>
      <c r="E167" s="4808" t="s">
        <v>2416</v>
      </c>
      <c r="F167" s="4808" t="s">
        <v>2417</v>
      </c>
      <c r="G167" s="4808" t="s">
        <v>18</v>
      </c>
      <c r="H167" s="4808" t="s">
        <v>18</v>
      </c>
      <c r="I167" s="4808" t="s">
        <v>983</v>
      </c>
    </row>
    <row customHeight="1" ht="11.25">
      <c r="A168" s="4808" t="s">
        <v>2182</v>
      </c>
      <c r="B168" s="4808" t="s">
        <v>14</v>
      </c>
      <c r="C168" s="4808" t="s">
        <v>2418</v>
      </c>
      <c r="D168" s="4808" t="s">
        <v>2419</v>
      </c>
      <c r="E168" s="4808" t="s">
        <v>2416</v>
      </c>
      <c r="F168" s="4808" t="s">
        <v>2420</v>
      </c>
      <c r="G168" s="4808" t="s">
        <v>2421</v>
      </c>
      <c r="H168" s="4808" t="s">
        <v>18</v>
      </c>
      <c r="I168" s="4808" t="s">
        <v>983</v>
      </c>
    </row>
    <row customHeight="1" ht="11.25">
      <c r="A169" s="4808" t="s">
        <v>2182</v>
      </c>
      <c r="B169" s="4808" t="s">
        <v>14</v>
      </c>
      <c r="C169" s="4808" t="s">
        <v>2508</v>
      </c>
      <c r="D169" s="4808" t="s">
        <v>2509</v>
      </c>
      <c r="E169" s="4808" t="s">
        <v>2510</v>
      </c>
      <c r="F169" s="4808" t="s">
        <v>2511</v>
      </c>
      <c r="G169" s="4808" t="s">
        <v>2425</v>
      </c>
      <c r="H169" s="4808" t="s">
        <v>18</v>
      </c>
      <c r="I169" s="4808" t="s">
        <v>983</v>
      </c>
    </row>
    <row customHeight="1" ht="11.25">
      <c r="A170" s="4808" t="s">
        <v>2182</v>
      </c>
      <c r="B170" s="4808" t="s">
        <v>14</v>
      </c>
      <c r="C170" s="4808" t="s">
        <v>2512</v>
      </c>
      <c r="D170" s="4808" t="s">
        <v>2513</v>
      </c>
      <c r="E170" s="4808" t="s">
        <v>2514</v>
      </c>
      <c r="F170" s="4808" t="s">
        <v>2347</v>
      </c>
      <c r="G170" s="4808" t="s">
        <v>2226</v>
      </c>
      <c r="H170" s="4808" t="s">
        <v>18</v>
      </c>
      <c r="I170" s="4808" t="s">
        <v>983</v>
      </c>
    </row>
    <row customHeight="1" ht="11.25">
      <c r="A171" s="4808" t="s">
        <v>2182</v>
      </c>
      <c r="B171" s="4808" t="s">
        <v>14</v>
      </c>
      <c r="C171" s="4808" t="s">
        <v>2441</v>
      </c>
      <c r="D171" s="4808" t="s">
        <v>46</v>
      </c>
      <c r="E171" s="4808" t="s">
        <v>49</v>
      </c>
      <c r="F171" s="4808" t="s">
        <v>51</v>
      </c>
      <c r="G171" s="4808" t="s">
        <v>18</v>
      </c>
      <c r="H171" s="4808" t="s">
        <v>18</v>
      </c>
      <c r="I171" s="4808" t="s">
        <v>983</v>
      </c>
    </row>
    <row customHeight="1" ht="11.25">
      <c r="A172" s="4808" t="s">
        <v>2182</v>
      </c>
      <c r="B172" s="4808" t="s">
        <v>14</v>
      </c>
      <c r="C172" s="4808" t="s">
        <v>2515</v>
      </c>
      <c r="D172" s="4808" t="s">
        <v>2516</v>
      </c>
      <c r="E172" s="4808" t="s">
        <v>2291</v>
      </c>
      <c r="F172" s="4808" t="s">
        <v>51</v>
      </c>
      <c r="G172" s="4808" t="s">
        <v>2517</v>
      </c>
      <c r="H172" s="4808" t="s">
        <v>18</v>
      </c>
      <c r="I172" s="4808" t="s">
        <v>983</v>
      </c>
    </row>
    <row customHeight="1" ht="11.25">
      <c r="A173" s="4808" t="s">
        <v>2182</v>
      </c>
      <c r="B173" s="4808" t="s">
        <v>14</v>
      </c>
      <c r="C173" s="4808" t="s">
        <v>2448</v>
      </c>
      <c r="D173" s="4808" t="s">
        <v>2449</v>
      </c>
      <c r="E173" s="4808" t="s">
        <v>2450</v>
      </c>
      <c r="F173" s="4808" t="s">
        <v>2234</v>
      </c>
      <c r="G173" s="4808" t="s">
        <v>18</v>
      </c>
      <c r="H173" s="4808" t="s">
        <v>18</v>
      </c>
      <c r="I173" s="4808" t="s">
        <v>983</v>
      </c>
    </row>
    <row customHeight="1" ht="11.25">
      <c r="A174" s="4808" t="s">
        <v>2182</v>
      </c>
      <c r="B174" s="4808" t="s">
        <v>14</v>
      </c>
      <c r="C174" s="4808" t="s">
        <v>2451</v>
      </c>
      <c r="D174" s="4808" t="s">
        <v>2452</v>
      </c>
      <c r="E174" s="4808" t="s">
        <v>2403</v>
      </c>
      <c r="F174" s="4808" t="s">
        <v>2453</v>
      </c>
      <c r="G174" s="4808" t="s">
        <v>18</v>
      </c>
      <c r="H174" s="4808" t="s">
        <v>18</v>
      </c>
      <c r="I174" s="4808" t="s">
        <v>983</v>
      </c>
    </row>
    <row customHeight="1" ht="11.25">
      <c r="A175" s="4808" t="s">
        <v>2182</v>
      </c>
      <c r="B175" s="4808" t="s">
        <v>14</v>
      </c>
      <c r="C175" s="4808" t="s">
        <v>2187</v>
      </c>
      <c r="D175" s="4808" t="s">
        <v>2188</v>
      </c>
      <c r="E175" s="4808" t="s">
        <v>2189</v>
      </c>
      <c r="F175" s="4808" t="s">
        <v>2190</v>
      </c>
      <c r="G175" s="4808" t="s">
        <v>18</v>
      </c>
      <c r="H175" s="4808" t="s">
        <v>18</v>
      </c>
      <c r="I175" s="4808" t="s">
        <v>594</v>
      </c>
    </row>
    <row customHeight="1" ht="11.25">
      <c r="A176" s="4808" t="s">
        <v>2182</v>
      </c>
      <c r="B176" s="4808" t="s">
        <v>14</v>
      </c>
      <c r="C176" s="4808" t="s">
        <v>2191</v>
      </c>
      <c r="D176" s="4808" t="s">
        <v>2192</v>
      </c>
      <c r="E176" s="4808" t="s">
        <v>2193</v>
      </c>
      <c r="F176" s="4808" t="s">
        <v>2194</v>
      </c>
      <c r="G176" s="4808" t="s">
        <v>2195</v>
      </c>
      <c r="H176" s="4808" t="s">
        <v>18</v>
      </c>
      <c r="I176" s="4808" t="s">
        <v>594</v>
      </c>
    </row>
    <row customHeight="1" ht="11.25">
      <c r="A177" s="4808" t="s">
        <v>2182</v>
      </c>
      <c r="B177" s="4808" t="s">
        <v>14</v>
      </c>
      <c r="C177" s="4808" t="s">
        <v>2196</v>
      </c>
      <c r="D177" s="4808" t="s">
        <v>2197</v>
      </c>
      <c r="E177" s="4808" t="s">
        <v>2198</v>
      </c>
      <c r="F177" s="4808" t="s">
        <v>2199</v>
      </c>
      <c r="G177" s="4808" t="s">
        <v>2200</v>
      </c>
      <c r="H177" s="4808" t="s">
        <v>18</v>
      </c>
      <c r="I177" s="4808" t="s">
        <v>594</v>
      </c>
    </row>
    <row customHeight="1" ht="11.25">
      <c r="A178" s="4808" t="s">
        <v>2182</v>
      </c>
      <c r="B178" s="4808" t="s">
        <v>14</v>
      </c>
      <c r="C178" s="4808" t="s">
        <v>2204</v>
      </c>
      <c r="D178" s="4808" t="s">
        <v>2205</v>
      </c>
      <c r="E178" s="4808" t="s">
        <v>2206</v>
      </c>
      <c r="F178" s="4808" t="s">
        <v>2194</v>
      </c>
      <c r="G178" s="4808" t="s">
        <v>2207</v>
      </c>
      <c r="H178" s="4808" t="s">
        <v>18</v>
      </c>
      <c r="I178" s="4808" t="s">
        <v>594</v>
      </c>
    </row>
    <row customHeight="1" ht="11.25">
      <c r="A179" s="4808" t="s">
        <v>2182</v>
      </c>
      <c r="B179" s="4808" t="s">
        <v>14</v>
      </c>
      <c r="C179" s="4808" t="s">
        <v>2211</v>
      </c>
      <c r="D179" s="4808" t="s">
        <v>2212</v>
      </c>
      <c r="E179" s="4808" t="s">
        <v>2213</v>
      </c>
      <c r="F179" s="4808" t="s">
        <v>2214</v>
      </c>
      <c r="G179" s="4808" t="s">
        <v>18</v>
      </c>
      <c r="H179" s="4808" t="s">
        <v>18</v>
      </c>
      <c r="I179" s="4808" t="s">
        <v>594</v>
      </c>
    </row>
    <row customHeight="1" ht="11.25">
      <c r="A180" s="4808" t="s">
        <v>2182</v>
      </c>
      <c r="B180" s="4808" t="s">
        <v>14</v>
      </c>
      <c r="C180" s="4808" t="s">
        <v>2222</v>
      </c>
      <c r="D180" s="4808" t="s">
        <v>2223</v>
      </c>
      <c r="E180" s="4808" t="s">
        <v>2224</v>
      </c>
      <c r="F180" s="4808" t="s">
        <v>2225</v>
      </c>
      <c r="G180" s="4808" t="s">
        <v>2226</v>
      </c>
      <c r="H180" s="4808" t="s">
        <v>18</v>
      </c>
      <c r="I180" s="4808" t="s">
        <v>594</v>
      </c>
    </row>
    <row customHeight="1" ht="11.25">
      <c r="A181" s="4808" t="s">
        <v>2182</v>
      </c>
      <c r="B181" s="4808" t="s">
        <v>14</v>
      </c>
      <c r="C181" s="4808" t="s">
        <v>2231</v>
      </c>
      <c r="D181" s="4808" t="s">
        <v>2232</v>
      </c>
      <c r="E181" s="4808" t="s">
        <v>2233</v>
      </c>
      <c r="F181" s="4808" t="s">
        <v>2234</v>
      </c>
      <c r="G181" s="4808" t="s">
        <v>18</v>
      </c>
      <c r="H181" s="4808" t="s">
        <v>18</v>
      </c>
      <c r="I181" s="4808" t="s">
        <v>594</v>
      </c>
    </row>
    <row customHeight="1" ht="11.25">
      <c r="A182" s="4808" t="s">
        <v>2182</v>
      </c>
      <c r="B182" s="4808" t="s">
        <v>14</v>
      </c>
      <c r="C182" s="4808" t="s">
        <v>18</v>
      </c>
      <c r="D182" s="4808" t="s">
        <v>2239</v>
      </c>
      <c r="E182" s="4808" t="s">
        <v>2240</v>
      </c>
      <c r="F182" s="4808" t="s">
        <v>2194</v>
      </c>
      <c r="G182" s="4808" t="s">
        <v>18</v>
      </c>
      <c r="H182" s="4808" t="s">
        <v>18</v>
      </c>
      <c r="I182" s="4808" t="s">
        <v>594</v>
      </c>
    </row>
    <row customHeight="1" ht="11.25">
      <c r="A183" s="4808" t="s">
        <v>2182</v>
      </c>
      <c r="B183" s="4808" t="s">
        <v>14</v>
      </c>
      <c r="C183" s="4808" t="s">
        <v>2241</v>
      </c>
      <c r="D183" s="4808" t="s">
        <v>2242</v>
      </c>
      <c r="E183" s="4808" t="s">
        <v>2243</v>
      </c>
      <c r="F183" s="4808" t="s">
        <v>2244</v>
      </c>
      <c r="G183" s="4808" t="s">
        <v>2245</v>
      </c>
      <c r="H183" s="4808" t="s">
        <v>18</v>
      </c>
      <c r="I183" s="4808" t="s">
        <v>594</v>
      </c>
    </row>
    <row customHeight="1" ht="11.25">
      <c r="A184" s="4808" t="s">
        <v>2182</v>
      </c>
      <c r="B184" s="4808" t="s">
        <v>14</v>
      </c>
      <c r="C184" s="4808" t="s">
        <v>2458</v>
      </c>
      <c r="D184" s="4808" t="s">
        <v>2459</v>
      </c>
      <c r="E184" s="4808" t="s">
        <v>2460</v>
      </c>
      <c r="F184" s="4808" t="s">
        <v>2221</v>
      </c>
      <c r="G184" s="4808" t="s">
        <v>18</v>
      </c>
      <c r="H184" s="4808" t="s">
        <v>18</v>
      </c>
      <c r="I184" s="4808" t="s">
        <v>594</v>
      </c>
    </row>
    <row customHeight="1" ht="11.25">
      <c r="A185" s="4808" t="s">
        <v>2182</v>
      </c>
      <c r="B185" s="4808" t="s">
        <v>14</v>
      </c>
      <c r="C185" s="4808" t="s">
        <v>2250</v>
      </c>
      <c r="D185" s="4808" t="s">
        <v>2251</v>
      </c>
      <c r="E185" s="4808" t="s">
        <v>2252</v>
      </c>
      <c r="F185" s="4808" t="s">
        <v>2194</v>
      </c>
      <c r="G185" s="4808" t="s">
        <v>2253</v>
      </c>
      <c r="H185" s="4808" t="s">
        <v>18</v>
      </c>
      <c r="I185" s="4808" t="s">
        <v>594</v>
      </c>
    </row>
    <row customHeight="1" ht="11.25">
      <c r="A186" s="4808" t="s">
        <v>2182</v>
      </c>
      <c r="B186" s="4808" t="s">
        <v>14</v>
      </c>
      <c r="C186" s="4808" t="s">
        <v>2461</v>
      </c>
      <c r="D186" s="4808" t="s">
        <v>2462</v>
      </c>
      <c r="E186" s="4808" t="s">
        <v>2463</v>
      </c>
      <c r="F186" s="4808" t="s">
        <v>2225</v>
      </c>
      <c r="G186" s="4808" t="s">
        <v>18</v>
      </c>
      <c r="H186" s="4808" t="s">
        <v>18</v>
      </c>
      <c r="I186" s="4808" t="s">
        <v>594</v>
      </c>
    </row>
    <row customHeight="1" ht="11.25">
      <c r="A187" s="4808" t="s">
        <v>2182</v>
      </c>
      <c r="B187" s="4808" t="s">
        <v>14</v>
      </c>
      <c r="C187" s="4808" t="s">
        <v>2264</v>
      </c>
      <c r="D187" s="4808" t="s">
        <v>2265</v>
      </c>
      <c r="E187" s="4808" t="s">
        <v>2266</v>
      </c>
      <c r="F187" s="4808" t="s">
        <v>2267</v>
      </c>
      <c r="G187" s="4808" t="s">
        <v>18</v>
      </c>
      <c r="H187" s="4808" t="s">
        <v>18</v>
      </c>
      <c r="I187" s="4808" t="s">
        <v>594</v>
      </c>
    </row>
    <row customHeight="1" ht="11.25">
      <c r="A188" s="4808" t="s">
        <v>2182</v>
      </c>
      <c r="B188" s="4808" t="s">
        <v>14</v>
      </c>
      <c r="C188" s="4808" t="s">
        <v>2464</v>
      </c>
      <c r="D188" s="4808" t="s">
        <v>2465</v>
      </c>
      <c r="E188" s="4808" t="s">
        <v>2466</v>
      </c>
      <c r="F188" s="4808" t="s">
        <v>2347</v>
      </c>
      <c r="G188" s="4808" t="s">
        <v>18</v>
      </c>
      <c r="H188" s="4808" t="s">
        <v>18</v>
      </c>
      <c r="I188" s="4808" t="s">
        <v>594</v>
      </c>
    </row>
    <row customHeight="1" ht="11.25">
      <c r="A189" s="4808" t="s">
        <v>2182</v>
      </c>
      <c r="B189" s="4808" t="s">
        <v>14</v>
      </c>
      <c r="C189" s="4808" t="s">
        <v>2467</v>
      </c>
      <c r="D189" s="4808" t="s">
        <v>2468</v>
      </c>
      <c r="E189" s="4808" t="s">
        <v>2469</v>
      </c>
      <c r="F189" s="4808" t="s">
        <v>2267</v>
      </c>
      <c r="G189" s="4808" t="s">
        <v>18</v>
      </c>
      <c r="H189" s="4808" t="s">
        <v>18</v>
      </c>
      <c r="I189" s="4808" t="s">
        <v>594</v>
      </c>
    </row>
    <row customHeight="1" ht="11.25">
      <c r="A190" s="4808" t="s">
        <v>2182</v>
      </c>
      <c r="B190" s="4808" t="s">
        <v>14</v>
      </c>
      <c r="C190" s="4808" t="s">
        <v>2268</v>
      </c>
      <c r="D190" s="4808" t="s">
        <v>2269</v>
      </c>
      <c r="E190" s="4808" t="s">
        <v>2270</v>
      </c>
      <c r="F190" s="4808" t="s">
        <v>2271</v>
      </c>
      <c r="G190" s="4808" t="s">
        <v>2272</v>
      </c>
      <c r="H190" s="4808" t="s">
        <v>18</v>
      </c>
      <c r="I190" s="4808" t="s">
        <v>594</v>
      </c>
    </row>
    <row customHeight="1" ht="11.25">
      <c r="A191" s="4808" t="s">
        <v>2182</v>
      </c>
      <c r="B191" s="4808" t="s">
        <v>14</v>
      </c>
      <c r="C191" s="4808" t="s">
        <v>2470</v>
      </c>
      <c r="D191" s="4808" t="s">
        <v>2471</v>
      </c>
      <c r="E191" s="4808" t="s">
        <v>2472</v>
      </c>
      <c r="F191" s="4808" t="s">
        <v>2194</v>
      </c>
      <c r="G191" s="4808" t="s">
        <v>18</v>
      </c>
      <c r="H191" s="4808" t="s">
        <v>18</v>
      </c>
      <c r="I191" s="4808" t="s">
        <v>594</v>
      </c>
    </row>
    <row customHeight="1" ht="11.25">
      <c r="A192" s="4808" t="s">
        <v>2182</v>
      </c>
      <c r="B192" s="4808" t="s">
        <v>14</v>
      </c>
      <c r="C192" s="4808" t="s">
        <v>2273</v>
      </c>
      <c r="D192" s="4808" t="s">
        <v>2274</v>
      </c>
      <c r="E192" s="4808" t="s">
        <v>2275</v>
      </c>
      <c r="F192" s="4808" t="s">
        <v>2276</v>
      </c>
      <c r="G192" s="4808" t="s">
        <v>18</v>
      </c>
      <c r="H192" s="4808" t="s">
        <v>18</v>
      </c>
      <c r="I192" s="4808" t="s">
        <v>594</v>
      </c>
    </row>
    <row customHeight="1" ht="11.25">
      <c r="A193" s="4808" t="s">
        <v>2182</v>
      </c>
      <c r="B193" s="4808" t="s">
        <v>14</v>
      </c>
      <c r="C193" s="4808" t="s">
        <v>2473</v>
      </c>
      <c r="D193" s="4808" t="s">
        <v>2474</v>
      </c>
      <c r="E193" s="4808" t="s">
        <v>2475</v>
      </c>
      <c r="F193" s="4808" t="s">
        <v>2221</v>
      </c>
      <c r="G193" s="4808" t="s">
        <v>2476</v>
      </c>
      <c r="H193" s="4808" t="s">
        <v>18</v>
      </c>
      <c r="I193" s="4808" t="s">
        <v>594</v>
      </c>
    </row>
    <row customHeight="1" ht="11.25">
      <c r="A194" s="4808" t="s">
        <v>2182</v>
      </c>
      <c r="B194" s="4808" t="s">
        <v>14</v>
      </c>
      <c r="C194" s="4808" t="s">
        <v>2283</v>
      </c>
      <c r="D194" s="4808" t="s">
        <v>2284</v>
      </c>
      <c r="E194" s="4808" t="s">
        <v>2285</v>
      </c>
      <c r="F194" s="4808" t="s">
        <v>2225</v>
      </c>
      <c r="G194" s="4808" t="s">
        <v>2226</v>
      </c>
      <c r="H194" s="4808" t="s">
        <v>18</v>
      </c>
      <c r="I194" s="4808" t="s">
        <v>594</v>
      </c>
    </row>
    <row customHeight="1" ht="11.25">
      <c r="A195" s="4808" t="s">
        <v>2182</v>
      </c>
      <c r="B195" s="4808" t="s">
        <v>14</v>
      </c>
      <c r="C195" s="4808" t="s">
        <v>2477</v>
      </c>
      <c r="D195" s="4808" t="s">
        <v>2478</v>
      </c>
      <c r="E195" s="4808" t="s">
        <v>2479</v>
      </c>
      <c r="F195" s="4808" t="s">
        <v>2225</v>
      </c>
      <c r="G195" s="4808" t="s">
        <v>2480</v>
      </c>
      <c r="H195" s="4808" t="s">
        <v>18</v>
      </c>
      <c r="I195" s="4808" t="s">
        <v>594</v>
      </c>
    </row>
    <row customHeight="1" ht="11.25">
      <c r="A196" s="4808" t="s">
        <v>2182</v>
      </c>
      <c r="B196" s="4808" t="s">
        <v>14</v>
      </c>
      <c r="C196" s="4808" t="s">
        <v>2481</v>
      </c>
      <c r="D196" s="4808" t="s">
        <v>2482</v>
      </c>
      <c r="E196" s="4808" t="s">
        <v>2483</v>
      </c>
      <c r="F196" s="4808" t="s">
        <v>2225</v>
      </c>
      <c r="G196" s="4808" t="s">
        <v>2484</v>
      </c>
      <c r="H196" s="4808" t="s">
        <v>18</v>
      </c>
      <c r="I196" s="4808" t="s">
        <v>594</v>
      </c>
    </row>
    <row customHeight="1" ht="11.25">
      <c r="A197" s="4808" t="s">
        <v>2182</v>
      </c>
      <c r="B197" s="4808" t="s">
        <v>14</v>
      </c>
      <c r="C197" s="4808" t="s">
        <v>2485</v>
      </c>
      <c r="D197" s="4808" t="s">
        <v>2482</v>
      </c>
      <c r="E197" s="4808" t="s">
        <v>2486</v>
      </c>
      <c r="F197" s="4808" t="s">
        <v>2186</v>
      </c>
      <c r="G197" s="4808" t="s">
        <v>18</v>
      </c>
      <c r="H197" s="4808" t="s">
        <v>18</v>
      </c>
      <c r="I197" s="4808" t="s">
        <v>594</v>
      </c>
    </row>
    <row customHeight="1" ht="11.25">
      <c r="A198" s="4808" t="s">
        <v>2182</v>
      </c>
      <c r="B198" s="4808" t="s">
        <v>14</v>
      </c>
      <c r="C198" s="4808" t="s">
        <v>2487</v>
      </c>
      <c r="D198" s="4808" t="s">
        <v>2488</v>
      </c>
      <c r="E198" s="4808" t="s">
        <v>2489</v>
      </c>
      <c r="F198" s="4808" t="s">
        <v>2384</v>
      </c>
      <c r="G198" s="4808" t="s">
        <v>18</v>
      </c>
      <c r="H198" s="4808" t="s">
        <v>18</v>
      </c>
      <c r="I198" s="4808" t="s">
        <v>594</v>
      </c>
    </row>
    <row customHeight="1" ht="11.25">
      <c r="A199" s="4808" t="s">
        <v>2182</v>
      </c>
      <c r="B199" s="4808" t="s">
        <v>14</v>
      </c>
      <c r="C199" s="4808" t="s">
        <v>2289</v>
      </c>
      <c r="D199" s="4808" t="s">
        <v>2290</v>
      </c>
      <c r="E199" s="4808" t="s">
        <v>2291</v>
      </c>
      <c r="F199" s="4808" t="s">
        <v>2292</v>
      </c>
      <c r="G199" s="4808" t="s">
        <v>18</v>
      </c>
      <c r="H199" s="4808" t="s">
        <v>18</v>
      </c>
      <c r="I199" s="4808" t="s">
        <v>594</v>
      </c>
    </row>
    <row customHeight="1" ht="11.25">
      <c r="A200" s="4808" t="s">
        <v>2182</v>
      </c>
      <c r="B200" s="4808" t="s">
        <v>14</v>
      </c>
      <c r="C200" s="4808" t="s">
        <v>2293</v>
      </c>
      <c r="D200" s="4808" t="s">
        <v>2294</v>
      </c>
      <c r="E200" s="4808" t="s">
        <v>2295</v>
      </c>
      <c r="F200" s="4808" t="s">
        <v>2296</v>
      </c>
      <c r="G200" s="4808" t="s">
        <v>18</v>
      </c>
      <c r="H200" s="4808" t="s">
        <v>18</v>
      </c>
      <c r="I200" s="4808" t="s">
        <v>594</v>
      </c>
    </row>
    <row customHeight="1" ht="11.25">
      <c r="A201" s="4808" t="s">
        <v>2182</v>
      </c>
      <c r="B201" s="4808" t="s">
        <v>14</v>
      </c>
      <c r="C201" s="4808" t="s">
        <v>2297</v>
      </c>
      <c r="D201" s="4808" t="s">
        <v>2298</v>
      </c>
      <c r="E201" s="4808" t="s">
        <v>2299</v>
      </c>
      <c r="F201" s="4808" t="s">
        <v>2225</v>
      </c>
      <c r="G201" s="4808" t="s">
        <v>2300</v>
      </c>
      <c r="H201" s="4808" t="s">
        <v>18</v>
      </c>
      <c r="I201" s="4808" t="s">
        <v>594</v>
      </c>
    </row>
    <row customHeight="1" ht="11.25">
      <c r="A202" s="4808" t="s">
        <v>2182</v>
      </c>
      <c r="B202" s="4808" t="s">
        <v>14</v>
      </c>
      <c r="C202" s="4808" t="s">
        <v>2518</v>
      </c>
      <c r="D202" s="4808" t="s">
        <v>2519</v>
      </c>
      <c r="E202" s="4808" t="s">
        <v>2520</v>
      </c>
      <c r="F202" s="4808" t="s">
        <v>2521</v>
      </c>
      <c r="G202" s="4808" t="s">
        <v>18</v>
      </c>
      <c r="H202" s="4808" t="s">
        <v>18</v>
      </c>
      <c r="I202" s="4808" t="s">
        <v>594</v>
      </c>
    </row>
    <row customHeight="1" ht="11.25">
      <c r="A203" s="4808" t="s">
        <v>2182</v>
      </c>
      <c r="B203" s="4808" t="s">
        <v>14</v>
      </c>
      <c r="C203" s="4808" t="s">
        <v>2301</v>
      </c>
      <c r="D203" s="4808" t="s">
        <v>2302</v>
      </c>
      <c r="E203" s="4808" t="s">
        <v>2303</v>
      </c>
      <c r="F203" s="4808" t="s">
        <v>2276</v>
      </c>
      <c r="G203" s="4808" t="s">
        <v>18</v>
      </c>
      <c r="H203" s="4808" t="s">
        <v>18</v>
      </c>
      <c r="I203" s="4808" t="s">
        <v>594</v>
      </c>
    </row>
    <row customHeight="1" ht="11.25">
      <c r="A204" s="4808" t="s">
        <v>2182</v>
      </c>
      <c r="B204" s="4808" t="s">
        <v>14</v>
      </c>
      <c r="C204" s="4808" t="s">
        <v>2304</v>
      </c>
      <c r="D204" s="4808" t="s">
        <v>2305</v>
      </c>
      <c r="E204" s="4808" t="s">
        <v>2306</v>
      </c>
      <c r="F204" s="4808" t="s">
        <v>2234</v>
      </c>
      <c r="G204" s="4808" t="s">
        <v>2226</v>
      </c>
      <c r="H204" s="4808" t="s">
        <v>18</v>
      </c>
      <c r="I204" s="4808" t="s">
        <v>594</v>
      </c>
    </row>
    <row customHeight="1" ht="11.25">
      <c r="A205" s="4808" t="s">
        <v>2182</v>
      </c>
      <c r="B205" s="4808" t="s">
        <v>14</v>
      </c>
      <c r="C205" s="4808" t="s">
        <v>2490</v>
      </c>
      <c r="D205" s="4808" t="s">
        <v>2491</v>
      </c>
      <c r="E205" s="4808" t="s">
        <v>2492</v>
      </c>
      <c r="F205" s="4808" t="s">
        <v>2194</v>
      </c>
      <c r="G205" s="4808" t="s">
        <v>2226</v>
      </c>
      <c r="H205" s="4808" t="s">
        <v>18</v>
      </c>
      <c r="I205" s="4808" t="s">
        <v>594</v>
      </c>
    </row>
    <row customHeight="1" ht="11.25">
      <c r="A206" s="4808" t="s">
        <v>2182</v>
      </c>
      <c r="B206" s="4808" t="s">
        <v>14</v>
      </c>
      <c r="C206" s="4808" t="s">
        <v>2493</v>
      </c>
      <c r="D206" s="4808" t="s">
        <v>2494</v>
      </c>
      <c r="E206" s="4808" t="s">
        <v>2495</v>
      </c>
      <c r="F206" s="4808" t="s">
        <v>2267</v>
      </c>
      <c r="G206" s="4808" t="s">
        <v>18</v>
      </c>
      <c r="H206" s="4808" t="s">
        <v>18</v>
      </c>
      <c r="I206" s="4808" t="s">
        <v>594</v>
      </c>
    </row>
    <row customHeight="1" ht="11.25">
      <c r="A207" s="4808" t="s">
        <v>2182</v>
      </c>
      <c r="B207" s="4808" t="s">
        <v>14</v>
      </c>
      <c r="C207" s="4808" t="s">
        <v>2310</v>
      </c>
      <c r="D207" s="4808" t="s">
        <v>2311</v>
      </c>
      <c r="E207" s="4808" t="s">
        <v>2312</v>
      </c>
      <c r="F207" s="4808" t="s">
        <v>2186</v>
      </c>
      <c r="G207" s="4808" t="s">
        <v>18</v>
      </c>
      <c r="H207" s="4808" t="s">
        <v>18</v>
      </c>
      <c r="I207" s="4808" t="s">
        <v>594</v>
      </c>
    </row>
    <row customHeight="1" ht="11.25">
      <c r="A208" s="4808" t="s">
        <v>2182</v>
      </c>
      <c r="B208" s="4808" t="s">
        <v>14</v>
      </c>
      <c r="C208" s="4808" t="s">
        <v>2313</v>
      </c>
      <c r="D208" s="4808" t="s">
        <v>2314</v>
      </c>
      <c r="E208" s="4808" t="s">
        <v>2315</v>
      </c>
      <c r="F208" s="4808" t="s">
        <v>2316</v>
      </c>
      <c r="G208" s="4808" t="s">
        <v>18</v>
      </c>
      <c r="H208" s="4808" t="s">
        <v>18</v>
      </c>
      <c r="I208" s="4808" t="s">
        <v>594</v>
      </c>
    </row>
    <row customHeight="1" ht="11.25">
      <c r="A209" s="4808" t="s">
        <v>2182</v>
      </c>
      <c r="B209" s="4808" t="s">
        <v>14</v>
      </c>
      <c r="C209" s="4808" t="s">
        <v>2317</v>
      </c>
      <c r="D209" s="4808" t="s">
        <v>2318</v>
      </c>
      <c r="E209" s="4808" t="s">
        <v>2319</v>
      </c>
      <c r="F209" s="4808" t="s">
        <v>2320</v>
      </c>
      <c r="G209" s="4808" t="s">
        <v>18</v>
      </c>
      <c r="H209" s="4808" t="s">
        <v>18</v>
      </c>
      <c r="I209" s="4808" t="s">
        <v>594</v>
      </c>
    </row>
    <row customHeight="1" ht="11.25">
      <c r="A210" s="4808" t="s">
        <v>2182</v>
      </c>
      <c r="B210" s="4808" t="s">
        <v>14</v>
      </c>
      <c r="C210" s="4808" t="s">
        <v>2321</v>
      </c>
      <c r="D210" s="4808" t="s">
        <v>2322</v>
      </c>
      <c r="E210" s="4808" t="s">
        <v>2323</v>
      </c>
      <c r="F210" s="4808" t="s">
        <v>2324</v>
      </c>
      <c r="G210" s="4808" t="s">
        <v>18</v>
      </c>
      <c r="H210" s="4808" t="s">
        <v>18</v>
      </c>
      <c r="I210" s="4808" t="s">
        <v>594</v>
      </c>
    </row>
    <row customHeight="1" ht="11.25">
      <c r="A211" s="4808" t="s">
        <v>2182</v>
      </c>
      <c r="B211" s="4808" t="s">
        <v>14</v>
      </c>
      <c r="C211" s="4808" t="s">
        <v>2344</v>
      </c>
      <c r="D211" s="4808" t="s">
        <v>2345</v>
      </c>
      <c r="E211" s="4808" t="s">
        <v>2346</v>
      </c>
      <c r="F211" s="4808" t="s">
        <v>2347</v>
      </c>
      <c r="G211" s="4808" t="s">
        <v>18</v>
      </c>
      <c r="H211" s="4808" t="s">
        <v>18</v>
      </c>
      <c r="I211" s="4808" t="s">
        <v>594</v>
      </c>
    </row>
    <row customHeight="1" ht="11.25">
      <c r="A212" s="4808" t="s">
        <v>2182</v>
      </c>
      <c r="B212" s="4808" t="s">
        <v>14</v>
      </c>
      <c r="C212" s="4808" t="s">
        <v>2351</v>
      </c>
      <c r="D212" s="4808" t="s">
        <v>2352</v>
      </c>
      <c r="E212" s="4808" t="s">
        <v>2353</v>
      </c>
      <c r="F212" s="4808" t="s">
        <v>2267</v>
      </c>
      <c r="G212" s="4808" t="s">
        <v>18</v>
      </c>
      <c r="H212" s="4808" t="s">
        <v>18</v>
      </c>
      <c r="I212" s="4808" t="s">
        <v>594</v>
      </c>
    </row>
    <row customHeight="1" ht="11.25">
      <c r="A213" s="4808" t="s">
        <v>2182</v>
      </c>
      <c r="B213" s="4808" t="s">
        <v>14</v>
      </c>
      <c r="C213" s="4808" t="s">
        <v>2365</v>
      </c>
      <c r="D213" s="4808" t="s">
        <v>2366</v>
      </c>
      <c r="E213" s="4808" t="s">
        <v>2367</v>
      </c>
      <c r="F213" s="4808" t="s">
        <v>2347</v>
      </c>
      <c r="G213" s="4808" t="s">
        <v>2368</v>
      </c>
      <c r="H213" s="4808" t="s">
        <v>2369</v>
      </c>
      <c r="I213" s="4808" t="s">
        <v>594</v>
      </c>
    </row>
    <row customHeight="1" ht="11.25">
      <c r="A214" s="4808" t="s">
        <v>2182</v>
      </c>
      <c r="B214" s="4808" t="s">
        <v>14</v>
      </c>
      <c r="C214" s="4808" t="s">
        <v>2381</v>
      </c>
      <c r="D214" s="4808" t="s">
        <v>2382</v>
      </c>
      <c r="E214" s="4808" t="s">
        <v>2383</v>
      </c>
      <c r="F214" s="4808" t="s">
        <v>2384</v>
      </c>
      <c r="G214" s="4808" t="s">
        <v>18</v>
      </c>
      <c r="H214" s="4808" t="s">
        <v>18</v>
      </c>
      <c r="I214" s="4808" t="s">
        <v>594</v>
      </c>
    </row>
    <row customHeight="1" ht="11.25">
      <c r="A215" s="4808" t="s">
        <v>2182</v>
      </c>
      <c r="B215" s="4808" t="s">
        <v>14</v>
      </c>
      <c r="C215" s="4808" t="s">
        <v>2394</v>
      </c>
      <c r="D215" s="4808" t="s">
        <v>2395</v>
      </c>
      <c r="E215" s="4808" t="s">
        <v>2189</v>
      </c>
      <c r="F215" s="4808" t="s">
        <v>2396</v>
      </c>
      <c r="G215" s="4808" t="s">
        <v>2397</v>
      </c>
      <c r="H215" s="4808" t="s">
        <v>18</v>
      </c>
      <c r="I215" s="4808" t="s">
        <v>594</v>
      </c>
    </row>
    <row customHeight="1" ht="11.25">
      <c r="A216" s="4808" t="s">
        <v>2182</v>
      </c>
      <c r="B216" s="4808" t="s">
        <v>14</v>
      </c>
      <c r="C216" s="4808" t="s">
        <v>2401</v>
      </c>
      <c r="D216" s="4808" t="s">
        <v>2402</v>
      </c>
      <c r="E216" s="4808" t="s">
        <v>2403</v>
      </c>
      <c r="F216" s="4808" t="s">
        <v>2404</v>
      </c>
      <c r="G216" s="4808" t="s">
        <v>2405</v>
      </c>
      <c r="H216" s="4808" t="s">
        <v>18</v>
      </c>
      <c r="I216" s="4808" t="s">
        <v>594</v>
      </c>
    </row>
    <row customHeight="1" ht="11.25">
      <c r="A217" s="4808" t="s">
        <v>2182</v>
      </c>
      <c r="B217" s="4808" t="s">
        <v>14</v>
      </c>
      <c r="C217" s="4808" t="s">
        <v>2406</v>
      </c>
      <c r="D217" s="4808" t="s">
        <v>2407</v>
      </c>
      <c r="E217" s="4808" t="s">
        <v>2270</v>
      </c>
      <c r="F217" s="4808" t="s">
        <v>2408</v>
      </c>
      <c r="G217" s="4808" t="s">
        <v>18</v>
      </c>
      <c r="H217" s="4808" t="s">
        <v>18</v>
      </c>
      <c r="I217" s="4808" t="s">
        <v>594</v>
      </c>
    </row>
    <row customHeight="1" ht="11.25">
      <c r="A218" s="4808" t="s">
        <v>2182</v>
      </c>
      <c r="B218" s="4808" t="s">
        <v>14</v>
      </c>
      <c r="C218" s="4808" t="s">
        <v>2409</v>
      </c>
      <c r="D218" s="4808" t="s">
        <v>2410</v>
      </c>
      <c r="E218" s="4808" t="s">
        <v>2411</v>
      </c>
      <c r="F218" s="4808" t="s">
        <v>2412</v>
      </c>
      <c r="G218" s="4808" t="s">
        <v>2413</v>
      </c>
      <c r="H218" s="4808" t="s">
        <v>18</v>
      </c>
      <c r="I218" s="4808" t="s">
        <v>594</v>
      </c>
    </row>
    <row customHeight="1" ht="11.25">
      <c r="A219" s="4808" t="s">
        <v>2182</v>
      </c>
      <c r="B219" s="4808" t="s">
        <v>14</v>
      </c>
      <c r="C219" s="4808" t="s">
        <v>2414</v>
      </c>
      <c r="D219" s="4808" t="s">
        <v>2415</v>
      </c>
      <c r="E219" s="4808" t="s">
        <v>2416</v>
      </c>
      <c r="F219" s="4808" t="s">
        <v>2417</v>
      </c>
      <c r="G219" s="4808" t="s">
        <v>18</v>
      </c>
      <c r="H219" s="4808" t="s">
        <v>18</v>
      </c>
      <c r="I219" s="4808" t="s">
        <v>594</v>
      </c>
    </row>
    <row customHeight="1" ht="11.25">
      <c r="A220" s="4808" t="s">
        <v>2182</v>
      </c>
      <c r="B220" s="4808" t="s">
        <v>14</v>
      </c>
      <c r="C220" s="4808" t="s">
        <v>2418</v>
      </c>
      <c r="D220" s="4808" t="s">
        <v>2419</v>
      </c>
      <c r="E220" s="4808" t="s">
        <v>2416</v>
      </c>
      <c r="F220" s="4808" t="s">
        <v>2420</v>
      </c>
      <c r="G220" s="4808" t="s">
        <v>2421</v>
      </c>
      <c r="H220" s="4808" t="s">
        <v>18</v>
      </c>
      <c r="I220" s="4808" t="s">
        <v>594</v>
      </c>
    </row>
    <row customHeight="1" ht="11.25">
      <c r="A221" s="4808" t="s">
        <v>2182</v>
      </c>
      <c r="B221" s="4808" t="s">
        <v>14</v>
      </c>
      <c r="C221" s="4808" t="s">
        <v>2508</v>
      </c>
      <c r="D221" s="4808" t="s">
        <v>2509</v>
      </c>
      <c r="E221" s="4808" t="s">
        <v>2510</v>
      </c>
      <c r="F221" s="4808" t="s">
        <v>2511</v>
      </c>
      <c r="G221" s="4808" t="s">
        <v>2425</v>
      </c>
      <c r="H221" s="4808" t="s">
        <v>18</v>
      </c>
      <c r="I221" s="4808" t="s">
        <v>594</v>
      </c>
    </row>
    <row customHeight="1" ht="11.25">
      <c r="A222" s="4808" t="s">
        <v>2182</v>
      </c>
      <c r="B222" s="4808" t="s">
        <v>14</v>
      </c>
      <c r="C222" s="4808" t="s">
        <v>2512</v>
      </c>
      <c r="D222" s="4808" t="s">
        <v>2513</v>
      </c>
      <c r="E222" s="4808" t="s">
        <v>2514</v>
      </c>
      <c r="F222" s="4808" t="s">
        <v>2347</v>
      </c>
      <c r="G222" s="4808" t="s">
        <v>2226</v>
      </c>
      <c r="H222" s="4808" t="s">
        <v>18</v>
      </c>
      <c r="I222" s="4808" t="s">
        <v>594</v>
      </c>
    </row>
    <row customHeight="1" ht="11.25">
      <c r="A223" s="4808" t="s">
        <v>2182</v>
      </c>
      <c r="B223" s="4808" t="s">
        <v>14</v>
      </c>
      <c r="C223" s="4808" t="s">
        <v>2441</v>
      </c>
      <c r="D223" s="4808" t="s">
        <v>46</v>
      </c>
      <c r="E223" s="4808" t="s">
        <v>49</v>
      </c>
      <c r="F223" s="4808" t="s">
        <v>51</v>
      </c>
      <c r="G223" s="4808" t="s">
        <v>18</v>
      </c>
      <c r="H223" s="4808" t="s">
        <v>18</v>
      </c>
      <c r="I223" s="4808" t="s">
        <v>594</v>
      </c>
    </row>
    <row customHeight="1" ht="11.25">
      <c r="A224" s="4808" t="s">
        <v>2182</v>
      </c>
      <c r="B224" s="4808" t="s">
        <v>14</v>
      </c>
      <c r="C224" s="4808" t="s">
        <v>2448</v>
      </c>
      <c r="D224" s="4808" t="s">
        <v>2449</v>
      </c>
      <c r="E224" s="4808" t="s">
        <v>2450</v>
      </c>
      <c r="F224" s="4808" t="s">
        <v>2234</v>
      </c>
      <c r="G224" s="4808" t="s">
        <v>18</v>
      </c>
      <c r="H224" s="4808" t="s">
        <v>18</v>
      </c>
      <c r="I224" s="4808" t="s">
        <v>594</v>
      </c>
    </row>
    <row customHeight="1" ht="11.25">
      <c r="A225" s="4808" t="s">
        <v>2182</v>
      </c>
      <c r="B225" s="4808" t="s">
        <v>14</v>
      </c>
      <c r="C225" s="4808" t="s">
        <v>2451</v>
      </c>
      <c r="D225" s="4808" t="s">
        <v>2452</v>
      </c>
      <c r="E225" s="4808" t="s">
        <v>2403</v>
      </c>
      <c r="F225" s="4808" t="s">
        <v>2453</v>
      </c>
      <c r="G225" s="4808" t="s">
        <v>18</v>
      </c>
      <c r="H225" s="4808" t="s">
        <v>18</v>
      </c>
      <c r="I225" s="4808" t="s">
        <v>594</v>
      </c>
    </row>
    <row customHeight="1" ht="11.25">
      <c r="A226" s="4808" t="s">
        <v>2182</v>
      </c>
      <c r="B226" s="4808" t="s">
        <v>14</v>
      </c>
      <c r="C226" s="4808" t="s">
        <v>18</v>
      </c>
      <c r="D226" s="4808" t="s">
        <v>2239</v>
      </c>
      <c r="E226" s="4808" t="s">
        <v>2240</v>
      </c>
      <c r="F226" s="4808" t="s">
        <v>2194</v>
      </c>
      <c r="G226" s="4808" t="s">
        <v>18</v>
      </c>
      <c r="H226" s="4808" t="s">
        <v>18</v>
      </c>
      <c r="I226" s="4808" t="s">
        <v>1014</v>
      </c>
    </row>
    <row customHeight="1" ht="11.25">
      <c r="A227" s="4808" t="s">
        <v>2182</v>
      </c>
      <c r="B227" s="4808" t="s">
        <v>14</v>
      </c>
      <c r="C227" s="4808" t="s">
        <v>2522</v>
      </c>
      <c r="D227" s="4808" t="s">
        <v>2523</v>
      </c>
      <c r="E227" s="4808" t="s">
        <v>2524</v>
      </c>
      <c r="F227" s="4808" t="s">
        <v>2225</v>
      </c>
      <c r="G227" s="4808" t="s">
        <v>18</v>
      </c>
      <c r="H227" s="4808" t="s">
        <v>18</v>
      </c>
      <c r="I227" s="4808" t="s">
        <v>1014</v>
      </c>
    </row>
    <row customHeight="1" ht="11.25">
      <c r="A228" s="4808" t="s">
        <v>2182</v>
      </c>
      <c r="B228" s="4808" t="s">
        <v>14</v>
      </c>
      <c r="C228" s="4808" t="s">
        <v>2525</v>
      </c>
      <c r="D228" s="4808" t="s">
        <v>2526</v>
      </c>
      <c r="E228" s="4808" t="s">
        <v>2527</v>
      </c>
      <c r="F228" s="4808" t="s">
        <v>2186</v>
      </c>
      <c r="G228" s="4808" t="s">
        <v>18</v>
      </c>
      <c r="H228" s="4808" t="s">
        <v>18</v>
      </c>
      <c r="I228" s="4808" t="s">
        <v>1014</v>
      </c>
    </row>
    <row customHeight="1" ht="11.25">
      <c r="A229" s="4808" t="s">
        <v>2182</v>
      </c>
      <c r="B229" s="4808" t="s">
        <v>14</v>
      </c>
      <c r="C229" s="4808" t="s">
        <v>2261</v>
      </c>
      <c r="D229" s="4808" t="s">
        <v>2262</v>
      </c>
      <c r="E229" s="4808" t="s">
        <v>2263</v>
      </c>
      <c r="F229" s="4808" t="s">
        <v>2234</v>
      </c>
      <c r="G229" s="4808" t="s">
        <v>18</v>
      </c>
      <c r="H229" s="4808" t="s">
        <v>18</v>
      </c>
      <c r="I229" s="4808" t="s">
        <v>1014</v>
      </c>
    </row>
    <row customHeight="1" ht="11.25">
      <c r="A230" s="4808" t="s">
        <v>2182</v>
      </c>
      <c r="B230" s="4808" t="s">
        <v>14</v>
      </c>
      <c r="C230" s="4808" t="s">
        <v>2528</v>
      </c>
      <c r="D230" s="4808" t="s">
        <v>2529</v>
      </c>
      <c r="E230" s="4808" t="s">
        <v>2530</v>
      </c>
      <c r="F230" s="4808" t="s">
        <v>2225</v>
      </c>
      <c r="G230" s="4808" t="s">
        <v>18</v>
      </c>
      <c r="H230" s="4808" t="s">
        <v>18</v>
      </c>
      <c r="I230" s="4808" t="s">
        <v>1014</v>
      </c>
    </row>
    <row customHeight="1" ht="11.25">
      <c r="A231" s="4808" t="s">
        <v>2182</v>
      </c>
      <c r="B231" s="4808" t="s">
        <v>14</v>
      </c>
      <c r="C231" s="4808" t="s">
        <v>2531</v>
      </c>
      <c r="D231" s="4808" t="s">
        <v>2532</v>
      </c>
      <c r="E231" s="4808" t="s">
        <v>2533</v>
      </c>
      <c r="F231" s="4808" t="s">
        <v>2384</v>
      </c>
      <c r="G231" s="4808" t="s">
        <v>18</v>
      </c>
      <c r="H231" s="4808" t="s">
        <v>18</v>
      </c>
      <c r="I231" s="4808" t="s">
        <v>1014</v>
      </c>
    </row>
    <row customHeight="1" ht="11.25">
      <c r="A232" s="4808" t="s">
        <v>2182</v>
      </c>
      <c r="B232" s="4808" t="s">
        <v>14</v>
      </c>
      <c r="C232" s="4808" t="s">
        <v>2534</v>
      </c>
      <c r="D232" s="4808" t="s">
        <v>2535</v>
      </c>
      <c r="E232" s="4808" t="s">
        <v>2536</v>
      </c>
      <c r="F232" s="4808" t="s">
        <v>2276</v>
      </c>
      <c r="G232" s="4808" t="s">
        <v>18</v>
      </c>
      <c r="H232" s="4808" t="s">
        <v>18</v>
      </c>
      <c r="I232" s="4808" t="s">
        <v>1014</v>
      </c>
    </row>
    <row customHeight="1" ht="11.25">
      <c r="A233" s="4808" t="s">
        <v>2182</v>
      </c>
      <c r="B233" s="4808" t="s">
        <v>14</v>
      </c>
      <c r="C233" s="4808" t="s">
        <v>2537</v>
      </c>
      <c r="D233" s="4808" t="s">
        <v>2538</v>
      </c>
      <c r="E233" s="4808" t="s">
        <v>2539</v>
      </c>
      <c r="F233" s="4808" t="s">
        <v>2499</v>
      </c>
      <c r="G233" s="4808" t="s">
        <v>18</v>
      </c>
      <c r="H233" s="4808" t="s">
        <v>18</v>
      </c>
      <c r="I233" s="4808" t="s">
        <v>1014</v>
      </c>
    </row>
    <row customHeight="1" ht="11.25">
      <c r="A234" s="4808" t="s">
        <v>2182</v>
      </c>
      <c r="B234" s="4808" t="s">
        <v>14</v>
      </c>
      <c r="C234" s="4808" t="s">
        <v>2540</v>
      </c>
      <c r="D234" s="4808" t="s">
        <v>2541</v>
      </c>
      <c r="E234" s="4808" t="s">
        <v>2542</v>
      </c>
      <c r="F234" s="4808" t="s">
        <v>2377</v>
      </c>
      <c r="G234" s="4808" t="s">
        <v>18</v>
      </c>
      <c r="H234" s="4808" t="s">
        <v>18</v>
      </c>
      <c r="I234" s="4808" t="s">
        <v>1014</v>
      </c>
    </row>
    <row customHeight="1" ht="11.25">
      <c r="A235" s="4808" t="s">
        <v>2182</v>
      </c>
      <c r="B235" s="4808" t="s">
        <v>14</v>
      </c>
      <c r="C235" s="4808" t="s">
        <v>2543</v>
      </c>
      <c r="D235" s="4808" t="s">
        <v>2544</v>
      </c>
      <c r="E235" s="4808" t="s">
        <v>2545</v>
      </c>
      <c r="F235" s="4808" t="s">
        <v>2221</v>
      </c>
      <c r="G235" s="4808" t="s">
        <v>18</v>
      </c>
      <c r="H235" s="4808" t="s">
        <v>18</v>
      </c>
      <c r="I235" s="4808" t="s">
        <v>1014</v>
      </c>
    </row>
    <row customHeight="1" ht="11.25">
      <c r="A236" s="4808" t="s">
        <v>2182</v>
      </c>
      <c r="B236" s="4808" t="s">
        <v>14</v>
      </c>
      <c r="C236" s="4808" t="s">
        <v>2546</v>
      </c>
      <c r="D236" s="4808" t="s">
        <v>2547</v>
      </c>
      <c r="E236" s="4808" t="s">
        <v>2548</v>
      </c>
      <c r="F236" s="4808" t="s">
        <v>2225</v>
      </c>
      <c r="G236" s="4808" t="s">
        <v>2549</v>
      </c>
      <c r="H236" s="4808" t="s">
        <v>18</v>
      </c>
      <c r="I236" s="4808" t="s">
        <v>1014</v>
      </c>
    </row>
    <row customHeight="1" ht="11.25">
      <c r="A237" s="4808" t="s">
        <v>2182</v>
      </c>
      <c r="B237" s="4808" t="s">
        <v>14</v>
      </c>
      <c r="C237" s="4808" t="s">
        <v>2550</v>
      </c>
      <c r="D237" s="4808" t="s">
        <v>2551</v>
      </c>
      <c r="E237" s="4808" t="s">
        <v>2552</v>
      </c>
      <c r="F237" s="4808" t="s">
        <v>2377</v>
      </c>
      <c r="G237" s="4808" t="s">
        <v>2553</v>
      </c>
      <c r="H237" s="4808" t="s">
        <v>18</v>
      </c>
      <c r="I237" s="4808" t="s">
        <v>1014</v>
      </c>
    </row>
    <row customHeight="1" ht="11.25">
      <c r="A238" s="4808" t="s">
        <v>2182</v>
      </c>
      <c r="B238" s="4808" t="s">
        <v>14</v>
      </c>
      <c r="C238" s="4808" t="s">
        <v>2554</v>
      </c>
      <c r="D238" s="4808" t="s">
        <v>2555</v>
      </c>
      <c r="E238" s="4808" t="s">
        <v>2556</v>
      </c>
      <c r="F238" s="4808" t="s">
        <v>2557</v>
      </c>
      <c r="G238" s="4808" t="s">
        <v>18</v>
      </c>
      <c r="H238" s="4808" t="s">
        <v>18</v>
      </c>
      <c r="I238" s="4808" t="s">
        <v>1014</v>
      </c>
    </row>
    <row customHeight="1" ht="11.25">
      <c r="A239" s="4808" t="s">
        <v>2182</v>
      </c>
      <c r="B239" s="4808" t="s">
        <v>14</v>
      </c>
      <c r="C239" s="4808" t="s">
        <v>2558</v>
      </c>
      <c r="D239" s="4808" t="s">
        <v>2559</v>
      </c>
      <c r="E239" s="4808" t="s">
        <v>2560</v>
      </c>
      <c r="F239" s="4808" t="s">
        <v>2225</v>
      </c>
      <c r="G239" s="4808" t="s">
        <v>18</v>
      </c>
      <c r="H239" s="4808" t="s">
        <v>18</v>
      </c>
      <c r="I239" s="4808" t="s">
        <v>1014</v>
      </c>
    </row>
    <row customHeight="1" ht="11.25">
      <c r="A240" s="4808" t="s">
        <v>2182</v>
      </c>
      <c r="B240" s="4808" t="s">
        <v>14</v>
      </c>
      <c r="C240" s="4808" t="s">
        <v>2561</v>
      </c>
      <c r="D240" s="4808" t="s">
        <v>2562</v>
      </c>
      <c r="E240" s="4808" t="s">
        <v>2563</v>
      </c>
      <c r="F240" s="4808" t="s">
        <v>2564</v>
      </c>
      <c r="G240" s="4808" t="s">
        <v>18</v>
      </c>
      <c r="H240" s="4808" t="s">
        <v>18</v>
      </c>
      <c r="I240" s="4808" t="s">
        <v>1014</v>
      </c>
    </row>
    <row customHeight="1" ht="11.25">
      <c r="A241" s="4808" t="s">
        <v>2182</v>
      </c>
      <c r="B241" s="4808" t="s">
        <v>14</v>
      </c>
      <c r="C241" s="4808" t="s">
        <v>2565</v>
      </c>
      <c r="D241" s="4808" t="s">
        <v>2566</v>
      </c>
      <c r="E241" s="4808" t="s">
        <v>2567</v>
      </c>
      <c r="F241" s="4808" t="s">
        <v>2194</v>
      </c>
      <c r="G241" s="4808" t="s">
        <v>18</v>
      </c>
      <c r="H241" s="4808" t="s">
        <v>18</v>
      </c>
      <c r="I241" s="4808" t="s">
        <v>1014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7BDB-75E5-B6FE-0759-BF4880E4961F}" mc:Ignorable="x14ac xr xr2 xr3">
  <sheetPr>
    <tabColor rgb="FFFFCC99"/>
  </sheetPr>
  <dimension ref="A1:G183"/>
  <sheetViews>
    <sheetView topLeftCell="A1" showGridLines="0" workbookViewId="0">
      <selection activeCell="A1" sqref="A1"/>
    </sheetView>
  </sheetViews>
  <sheetFormatPr customHeight="1" defaultRowHeight="11.25"/>
  <cols>
    <col min="1" max="1" style="4016" width="9.140625"/>
  </cols>
  <sheetData>
    <row customHeight="1" ht="11.25">
      <c r="A1" s="373" t="s">
        <v>2568</v>
      </c>
      <c r="B1" s="48" t="s">
        <v>2569</v>
      </c>
      <c r="C1" s="48" t="s">
        <v>2570</v>
      </c>
      <c r="D1" s="48" t="s">
        <v>2571</v>
      </c>
      <c r="E1" s="0" t="s">
        <v>2572</v>
      </c>
      <c r="F1" s="0" t="s">
        <v>2573</v>
      </c>
      <c r="G1" s="0" t="s">
        <v>2574</v>
      </c>
    </row>
    <row customHeight="1" ht="11.25">
      <c r="A2" s="373" t="s">
        <v>14</v>
      </c>
      <c r="B2" s="0" t="s">
        <v>2575</v>
      </c>
      <c r="C2" s="0" t="s">
        <v>2576</v>
      </c>
      <c r="D2" s="0" t="s">
        <v>2575</v>
      </c>
      <c r="E2" s="0" t="s">
        <v>2576</v>
      </c>
      <c r="F2" s="0" t="s">
        <v>2577</v>
      </c>
      <c r="G2" s="0" t="s">
        <v>109</v>
      </c>
    </row>
    <row customHeight="1" ht="11.25">
      <c r="A3" s="373" t="s">
        <v>14</v>
      </c>
      <c r="B3" s="0" t="s">
        <v>2578</v>
      </c>
      <c r="C3" s="0" t="s">
        <v>2579</v>
      </c>
      <c r="D3" s="0" t="s">
        <v>2578</v>
      </c>
      <c r="E3" s="0" t="s">
        <v>2579</v>
      </c>
      <c r="F3" s="0" t="s">
        <v>2577</v>
      </c>
      <c r="G3" s="0" t="s">
        <v>110</v>
      </c>
    </row>
    <row customHeight="1" ht="11.25">
      <c r="A4" s="373" t="s">
        <v>14</v>
      </c>
      <c r="B4" s="0" t="s">
        <v>2580</v>
      </c>
      <c r="C4" s="0" t="s">
        <v>2581</v>
      </c>
      <c r="D4" s="0" t="s">
        <v>2580</v>
      </c>
      <c r="E4" s="0" t="s">
        <v>2581</v>
      </c>
      <c r="F4" s="0" t="s">
        <v>2577</v>
      </c>
      <c r="G4" s="0" t="s">
        <v>89</v>
      </c>
    </row>
    <row customHeight="1" ht="11.25">
      <c r="A5" s="373" t="s">
        <v>14</v>
      </c>
      <c r="B5" s="0" t="s">
        <v>2582</v>
      </c>
      <c r="C5" s="0" t="s">
        <v>2583</v>
      </c>
      <c r="D5" s="0" t="s">
        <v>2582</v>
      </c>
      <c r="E5" s="0" t="s">
        <v>2583</v>
      </c>
      <c r="F5" s="0" t="s">
        <v>2577</v>
      </c>
      <c r="G5" s="0" t="s">
        <v>90</v>
      </c>
    </row>
    <row customHeight="1" ht="11.25">
      <c r="A6" s="373" t="s">
        <v>14</v>
      </c>
      <c r="B6" s="0" t="s">
        <v>2584</v>
      </c>
      <c r="C6" s="0" t="s">
        <v>2585</v>
      </c>
      <c r="D6" s="0" t="s">
        <v>2584</v>
      </c>
      <c r="E6" s="0" t="s">
        <v>2585</v>
      </c>
      <c r="F6" s="0" t="s">
        <v>2577</v>
      </c>
      <c r="G6" s="0" t="s">
        <v>111</v>
      </c>
    </row>
    <row customHeight="1" ht="11.25">
      <c r="A7" s="373" t="s">
        <v>14</v>
      </c>
      <c r="B7" s="0" t="s">
        <v>2586</v>
      </c>
      <c r="C7" s="0" t="s">
        <v>2587</v>
      </c>
      <c r="D7" s="0" t="s">
        <v>2586</v>
      </c>
      <c r="E7" s="0" t="s">
        <v>2587</v>
      </c>
      <c r="F7" s="0" t="s">
        <v>2577</v>
      </c>
      <c r="G7" s="0" t="s">
        <v>91</v>
      </c>
    </row>
    <row customHeight="1" ht="11.25">
      <c r="A8" s="373" t="s">
        <v>14</v>
      </c>
      <c r="B8" s="0" t="s">
        <v>2588</v>
      </c>
      <c r="C8" s="0" t="s">
        <v>2589</v>
      </c>
      <c r="D8" s="0" t="s">
        <v>2590</v>
      </c>
      <c r="E8" s="0" t="s">
        <v>2591</v>
      </c>
      <c r="F8" s="0" t="s">
        <v>2592</v>
      </c>
      <c r="G8" s="0" t="s">
        <v>92</v>
      </c>
    </row>
    <row customHeight="1" ht="11.25">
      <c r="A9" s="373" t="s">
        <v>14</v>
      </c>
      <c r="B9" s="0" t="s">
        <v>2588</v>
      </c>
      <c r="C9" s="0" t="s">
        <v>2589</v>
      </c>
      <c r="D9" s="0" t="s">
        <v>2588</v>
      </c>
      <c r="E9" s="0" t="s">
        <v>2589</v>
      </c>
      <c r="F9" s="0" t="s">
        <v>2593</v>
      </c>
      <c r="G9" s="0" t="s">
        <v>112</v>
      </c>
    </row>
    <row customHeight="1" ht="11.25">
      <c r="A10" s="373" t="s">
        <v>14</v>
      </c>
      <c r="B10" s="0" t="s">
        <v>2588</v>
      </c>
      <c r="C10" s="0" t="s">
        <v>2589</v>
      </c>
      <c r="D10" s="0" t="s">
        <v>2594</v>
      </c>
      <c r="E10" s="0" t="s">
        <v>2595</v>
      </c>
      <c r="F10" s="0" t="s">
        <v>2592</v>
      </c>
      <c r="G10" s="0" t="s">
        <v>149</v>
      </c>
    </row>
    <row customHeight="1" ht="11.25">
      <c r="A11" s="373" t="s">
        <v>14</v>
      </c>
      <c r="B11" s="0" t="s">
        <v>2588</v>
      </c>
      <c r="C11" s="0" t="s">
        <v>2589</v>
      </c>
      <c r="D11" s="0" t="s">
        <v>2596</v>
      </c>
      <c r="E11" s="0" t="s">
        <v>2597</v>
      </c>
      <c r="F11" s="0" t="s">
        <v>2592</v>
      </c>
      <c r="G11" s="0" t="s">
        <v>150</v>
      </c>
    </row>
    <row customHeight="1" ht="11.25">
      <c r="A12" s="373" t="s">
        <v>14</v>
      </c>
      <c r="B12" s="0" t="s">
        <v>2588</v>
      </c>
      <c r="C12" s="0" t="s">
        <v>2589</v>
      </c>
      <c r="D12" s="0" t="s">
        <v>2598</v>
      </c>
      <c r="E12" s="0" t="s">
        <v>2599</v>
      </c>
      <c r="F12" s="0" t="s">
        <v>2592</v>
      </c>
      <c r="G12" s="0" t="s">
        <v>151</v>
      </c>
    </row>
    <row customHeight="1" ht="11.25">
      <c r="A13" s="373" t="s">
        <v>14</v>
      </c>
      <c r="B13" s="0" t="s">
        <v>2588</v>
      </c>
      <c r="C13" s="0" t="s">
        <v>2589</v>
      </c>
      <c r="D13" s="0" t="s">
        <v>2600</v>
      </c>
      <c r="E13" s="0" t="s">
        <v>2601</v>
      </c>
      <c r="F13" s="0" t="s">
        <v>2592</v>
      </c>
      <c r="G13" s="0" t="s">
        <v>152</v>
      </c>
    </row>
    <row customHeight="1" ht="11.25">
      <c r="A14" s="373" t="s">
        <v>14</v>
      </c>
      <c r="B14" s="0" t="s">
        <v>2588</v>
      </c>
      <c r="C14" s="0" t="s">
        <v>2589</v>
      </c>
      <c r="D14" s="0" t="s">
        <v>2602</v>
      </c>
      <c r="E14" s="0" t="s">
        <v>2603</v>
      </c>
      <c r="F14" s="0" t="s">
        <v>2592</v>
      </c>
      <c r="G14" s="0" t="s">
        <v>153</v>
      </c>
    </row>
    <row customHeight="1" ht="11.25">
      <c r="A15" s="373" t="s">
        <v>14</v>
      </c>
      <c r="B15" s="0" t="s">
        <v>2588</v>
      </c>
      <c r="C15" s="0" t="s">
        <v>2589</v>
      </c>
      <c r="D15" s="0" t="s">
        <v>2604</v>
      </c>
      <c r="E15" s="0" t="s">
        <v>2605</v>
      </c>
      <c r="F15" s="0" t="s">
        <v>2592</v>
      </c>
      <c r="G15" s="0" t="s">
        <v>154</v>
      </c>
    </row>
    <row customHeight="1" ht="11.25">
      <c r="A16" s="373" t="s">
        <v>14</v>
      </c>
      <c r="B16" s="0" t="s">
        <v>2588</v>
      </c>
      <c r="C16" s="0" t="s">
        <v>2589</v>
      </c>
      <c r="D16" s="0" t="s">
        <v>2606</v>
      </c>
      <c r="E16" s="0" t="s">
        <v>2607</v>
      </c>
      <c r="F16" s="0" t="s">
        <v>2592</v>
      </c>
      <c r="G16" s="0" t="s">
        <v>854</v>
      </c>
    </row>
    <row customHeight="1" ht="11.25">
      <c r="A17" s="373" t="s">
        <v>14</v>
      </c>
      <c r="B17" s="0" t="s">
        <v>2588</v>
      </c>
      <c r="C17" s="0" t="s">
        <v>2589</v>
      </c>
      <c r="D17" s="0" t="s">
        <v>2608</v>
      </c>
      <c r="E17" s="0" t="s">
        <v>2609</v>
      </c>
      <c r="F17" s="0" t="s">
        <v>2592</v>
      </c>
      <c r="G17" s="0" t="s">
        <v>860</v>
      </c>
    </row>
    <row customHeight="1" ht="11.25">
      <c r="A18" s="373" t="s">
        <v>14</v>
      </c>
      <c r="B18" s="0" t="s">
        <v>2588</v>
      </c>
      <c r="C18" s="0" t="s">
        <v>2589</v>
      </c>
      <c r="D18" s="0" t="s">
        <v>2610</v>
      </c>
      <c r="E18" s="0" t="s">
        <v>2611</v>
      </c>
      <c r="F18" s="0" t="s">
        <v>2592</v>
      </c>
      <c r="G18" s="0" t="s">
        <v>871</v>
      </c>
    </row>
    <row customHeight="1" ht="11.25">
      <c r="A19" s="373" t="s">
        <v>14</v>
      </c>
      <c r="B19" s="0" t="s">
        <v>2612</v>
      </c>
      <c r="C19" s="0" t="s">
        <v>2613</v>
      </c>
      <c r="D19" s="0" t="s">
        <v>2614</v>
      </c>
      <c r="E19" s="0" t="s">
        <v>2615</v>
      </c>
      <c r="F19" s="0" t="s">
        <v>2616</v>
      </c>
      <c r="G19" s="0" t="s">
        <v>885</v>
      </c>
    </row>
    <row customHeight="1" ht="11.25">
      <c r="A20" s="373" t="s">
        <v>14</v>
      </c>
      <c r="B20" s="0" t="s">
        <v>2612</v>
      </c>
      <c r="C20" s="0" t="s">
        <v>2613</v>
      </c>
      <c r="D20" s="0" t="s">
        <v>2617</v>
      </c>
      <c r="E20" s="0" t="s">
        <v>2618</v>
      </c>
      <c r="F20" s="0" t="s">
        <v>2592</v>
      </c>
      <c r="G20" s="0" t="s">
        <v>897</v>
      </c>
    </row>
    <row customHeight="1" ht="11.25">
      <c r="A21" s="373" t="s">
        <v>14</v>
      </c>
      <c r="B21" s="0" t="s">
        <v>2612</v>
      </c>
      <c r="C21" s="0" t="s">
        <v>2613</v>
      </c>
      <c r="D21" s="0" t="s">
        <v>2612</v>
      </c>
      <c r="E21" s="0" t="s">
        <v>2613</v>
      </c>
      <c r="F21" s="0" t="s">
        <v>2593</v>
      </c>
      <c r="G21" s="0" t="s">
        <v>906</v>
      </c>
    </row>
    <row customHeight="1" ht="11.25">
      <c r="A22" s="373" t="s">
        <v>14</v>
      </c>
      <c r="B22" s="0" t="s">
        <v>2612</v>
      </c>
      <c r="C22" s="0" t="s">
        <v>2613</v>
      </c>
      <c r="D22" s="0" t="s">
        <v>2619</v>
      </c>
      <c r="E22" s="0" t="s">
        <v>2620</v>
      </c>
      <c r="F22" s="0" t="s">
        <v>2621</v>
      </c>
      <c r="G22" s="0" t="s">
        <v>922</v>
      </c>
    </row>
    <row customHeight="1" ht="11.25">
      <c r="A23" s="373" t="s">
        <v>14</v>
      </c>
      <c r="B23" s="0" t="s">
        <v>2612</v>
      </c>
      <c r="C23" s="0" t="s">
        <v>2613</v>
      </c>
      <c r="D23" s="0" t="s">
        <v>2622</v>
      </c>
      <c r="E23" s="0" t="s">
        <v>2623</v>
      </c>
      <c r="F23" s="0" t="s">
        <v>2592</v>
      </c>
      <c r="G23" s="0" t="s">
        <v>929</v>
      </c>
    </row>
    <row customHeight="1" ht="11.25">
      <c r="A24" s="373" t="s">
        <v>14</v>
      </c>
      <c r="B24" s="0" t="s">
        <v>2612</v>
      </c>
      <c r="C24" s="0" t="s">
        <v>2613</v>
      </c>
      <c r="D24" s="0" t="s">
        <v>2624</v>
      </c>
      <c r="E24" s="0" t="s">
        <v>2625</v>
      </c>
      <c r="F24" s="0" t="s">
        <v>2592</v>
      </c>
      <c r="G24" s="0" t="s">
        <v>937</v>
      </c>
    </row>
    <row customHeight="1" ht="11.25">
      <c r="A25" s="373" t="s">
        <v>14</v>
      </c>
      <c r="B25" s="0" t="s">
        <v>2612</v>
      </c>
      <c r="C25" s="0" t="s">
        <v>2613</v>
      </c>
      <c r="D25" s="0" t="s">
        <v>2626</v>
      </c>
      <c r="E25" s="0" t="s">
        <v>2627</v>
      </c>
      <c r="F25" s="0" t="s">
        <v>2628</v>
      </c>
      <c r="G25" s="0" t="s">
        <v>944</v>
      </c>
    </row>
    <row customHeight="1" ht="11.25">
      <c r="A26" s="373" t="s">
        <v>14</v>
      </c>
      <c r="B26" s="0" t="s">
        <v>2612</v>
      </c>
      <c r="C26" s="0" t="s">
        <v>2613</v>
      </c>
      <c r="D26" s="0" t="s">
        <v>2629</v>
      </c>
      <c r="E26" s="0" t="s">
        <v>2630</v>
      </c>
      <c r="F26" s="0" t="s">
        <v>2592</v>
      </c>
      <c r="G26" s="0" t="s">
        <v>948</v>
      </c>
    </row>
    <row customHeight="1" ht="11.25">
      <c r="A27" s="373" t="s">
        <v>14</v>
      </c>
      <c r="B27" s="0" t="s">
        <v>2612</v>
      </c>
      <c r="C27" s="0" t="s">
        <v>2613</v>
      </c>
      <c r="D27" s="0" t="s">
        <v>2631</v>
      </c>
      <c r="E27" s="0" t="s">
        <v>2632</v>
      </c>
      <c r="F27" s="0" t="s">
        <v>2592</v>
      </c>
      <c r="G27" s="0" t="s">
        <v>953</v>
      </c>
    </row>
    <row customHeight="1" ht="11.25">
      <c r="A28" s="373" t="s">
        <v>14</v>
      </c>
      <c r="B28" s="0" t="s">
        <v>2612</v>
      </c>
      <c r="C28" s="0" t="s">
        <v>2613</v>
      </c>
      <c r="D28" s="0" t="s">
        <v>2633</v>
      </c>
      <c r="E28" s="0" t="s">
        <v>2634</v>
      </c>
      <c r="F28" s="0" t="s">
        <v>2592</v>
      </c>
      <c r="G28" s="0" t="s">
        <v>961</v>
      </c>
    </row>
    <row customHeight="1" ht="11.25">
      <c r="A29" s="373" t="s">
        <v>14</v>
      </c>
      <c r="B29" s="0" t="s">
        <v>2612</v>
      </c>
      <c r="C29" s="0" t="s">
        <v>2613</v>
      </c>
      <c r="D29" s="0" t="s">
        <v>2635</v>
      </c>
      <c r="E29" s="0" t="s">
        <v>2636</v>
      </c>
      <c r="F29" s="0" t="s">
        <v>2592</v>
      </c>
      <c r="G29" s="0" t="s">
        <v>963</v>
      </c>
    </row>
    <row customHeight="1" ht="11.25">
      <c r="A30" s="373" t="s">
        <v>14</v>
      </c>
      <c r="B30" s="0" t="s">
        <v>2637</v>
      </c>
      <c r="C30" s="0" t="s">
        <v>2638</v>
      </c>
      <c r="D30" s="0" t="s">
        <v>2639</v>
      </c>
      <c r="E30" s="0" t="s">
        <v>2640</v>
      </c>
      <c r="F30" s="0" t="s">
        <v>2592</v>
      </c>
      <c r="G30" s="0" t="s">
        <v>966</v>
      </c>
    </row>
    <row customHeight="1" ht="11.25">
      <c r="A31" s="373" t="s">
        <v>14</v>
      </c>
      <c r="B31" s="0" t="s">
        <v>2637</v>
      </c>
      <c r="C31" s="0" t="s">
        <v>2638</v>
      </c>
      <c r="D31" s="0" t="s">
        <v>2641</v>
      </c>
      <c r="E31" s="0" t="s">
        <v>2642</v>
      </c>
      <c r="F31" s="0" t="s">
        <v>2592</v>
      </c>
      <c r="G31" s="0" t="s">
        <v>972</v>
      </c>
    </row>
    <row customHeight="1" ht="11.25">
      <c r="A32" s="373" t="s">
        <v>14</v>
      </c>
      <c r="B32" s="0" t="s">
        <v>2637</v>
      </c>
      <c r="C32" s="0" t="s">
        <v>2638</v>
      </c>
      <c r="D32" s="0" t="s">
        <v>2643</v>
      </c>
      <c r="E32" s="0" t="s">
        <v>2644</v>
      </c>
      <c r="F32" s="0" t="s">
        <v>2592</v>
      </c>
      <c r="G32" s="0" t="s">
        <v>974</v>
      </c>
    </row>
    <row customHeight="1" ht="11.25">
      <c r="A33" s="373" t="s">
        <v>14</v>
      </c>
      <c r="B33" s="0" t="s">
        <v>2637</v>
      </c>
      <c r="C33" s="0" t="s">
        <v>2638</v>
      </c>
      <c r="D33" s="0" t="s">
        <v>2637</v>
      </c>
      <c r="E33" s="0" t="s">
        <v>2638</v>
      </c>
      <c r="F33" s="0" t="s">
        <v>2593</v>
      </c>
      <c r="G33" s="0" t="s">
        <v>976</v>
      </c>
    </row>
    <row customHeight="1" ht="11.25">
      <c r="A34" s="373" t="s">
        <v>14</v>
      </c>
      <c r="B34" s="0" t="s">
        <v>2637</v>
      </c>
      <c r="C34" s="0" t="s">
        <v>2638</v>
      </c>
      <c r="D34" s="0" t="s">
        <v>2645</v>
      </c>
      <c r="E34" s="0" t="s">
        <v>2646</v>
      </c>
      <c r="F34" s="0" t="s">
        <v>2592</v>
      </c>
      <c r="G34" s="0" t="s">
        <v>978</v>
      </c>
    </row>
    <row customHeight="1" ht="11.25">
      <c r="A35" s="373" t="s">
        <v>14</v>
      </c>
      <c r="B35" s="0" t="s">
        <v>2637</v>
      </c>
      <c r="C35" s="0" t="s">
        <v>2638</v>
      </c>
      <c r="D35" s="0" t="s">
        <v>2647</v>
      </c>
      <c r="E35" s="0" t="s">
        <v>2648</v>
      </c>
      <c r="F35" s="0" t="s">
        <v>2592</v>
      </c>
      <c r="G35" s="0" t="s">
        <v>984</v>
      </c>
    </row>
    <row customHeight="1" ht="11.25">
      <c r="A36" s="373" t="s">
        <v>14</v>
      </c>
      <c r="B36" s="0" t="s">
        <v>2637</v>
      </c>
      <c r="C36" s="0" t="s">
        <v>2638</v>
      </c>
      <c r="D36" s="0" t="s">
        <v>2649</v>
      </c>
      <c r="E36" s="0" t="s">
        <v>2650</v>
      </c>
      <c r="F36" s="0" t="s">
        <v>2592</v>
      </c>
      <c r="G36" s="0" t="s">
        <v>989</v>
      </c>
    </row>
    <row customHeight="1" ht="11.25">
      <c r="A37" s="373" t="s">
        <v>14</v>
      </c>
      <c r="B37" s="0" t="s">
        <v>2637</v>
      </c>
      <c r="C37" s="0" t="s">
        <v>2638</v>
      </c>
      <c r="D37" s="0" t="s">
        <v>2651</v>
      </c>
      <c r="E37" s="0" t="s">
        <v>2652</v>
      </c>
      <c r="F37" s="0" t="s">
        <v>2592</v>
      </c>
      <c r="G37" s="0" t="s">
        <v>993</v>
      </c>
    </row>
    <row customHeight="1" ht="11.25">
      <c r="A38" s="373" t="s">
        <v>14</v>
      </c>
      <c r="B38" s="0" t="s">
        <v>2653</v>
      </c>
      <c r="C38" s="0" t="s">
        <v>2654</v>
      </c>
      <c r="D38" s="0" t="s">
        <v>2655</v>
      </c>
      <c r="E38" s="0" t="s">
        <v>2656</v>
      </c>
      <c r="F38" s="0" t="s">
        <v>2592</v>
      </c>
      <c r="G38" s="0" t="s">
        <v>1001</v>
      </c>
    </row>
    <row customHeight="1" ht="11.25">
      <c r="A39" s="373" t="s">
        <v>14</v>
      </c>
      <c r="B39" s="0" t="s">
        <v>2653</v>
      </c>
      <c r="C39" s="0" t="s">
        <v>2654</v>
      </c>
      <c r="D39" s="0" t="s">
        <v>2657</v>
      </c>
      <c r="E39" s="0" t="s">
        <v>2658</v>
      </c>
      <c r="F39" s="0" t="s">
        <v>2592</v>
      </c>
      <c r="G39" s="0" t="s">
        <v>1008</v>
      </c>
    </row>
    <row customHeight="1" ht="11.25">
      <c r="A40" s="373" t="s">
        <v>14</v>
      </c>
      <c r="B40" s="0" t="s">
        <v>2653</v>
      </c>
      <c r="C40" s="0" t="s">
        <v>2654</v>
      </c>
      <c r="D40" s="0" t="s">
        <v>2659</v>
      </c>
      <c r="E40" s="0" t="s">
        <v>2660</v>
      </c>
      <c r="F40" s="0" t="s">
        <v>2592</v>
      </c>
      <c r="G40" s="0" t="s">
        <v>1015</v>
      </c>
    </row>
    <row customHeight="1" ht="11.25">
      <c r="A41" s="373" t="s">
        <v>14</v>
      </c>
      <c r="B41" s="0" t="s">
        <v>2653</v>
      </c>
      <c r="C41" s="0" t="s">
        <v>2654</v>
      </c>
      <c r="D41" s="0" t="s">
        <v>2661</v>
      </c>
      <c r="E41" s="0" t="s">
        <v>2662</v>
      </c>
      <c r="F41" s="0" t="s">
        <v>2592</v>
      </c>
      <c r="G41" s="0" t="s">
        <v>1021</v>
      </c>
    </row>
    <row customHeight="1" ht="11.25">
      <c r="A42" s="373" t="s">
        <v>14</v>
      </c>
      <c r="B42" s="0" t="s">
        <v>2653</v>
      </c>
      <c r="C42" s="0" t="s">
        <v>2654</v>
      </c>
      <c r="D42" s="0" t="s">
        <v>2663</v>
      </c>
      <c r="E42" s="0" t="s">
        <v>2664</v>
      </c>
      <c r="F42" s="0" t="s">
        <v>2592</v>
      </c>
      <c r="G42" s="0" t="s">
        <v>1026</v>
      </c>
    </row>
    <row customHeight="1" ht="11.25">
      <c r="A43" s="373" t="s">
        <v>14</v>
      </c>
      <c r="B43" s="0" t="s">
        <v>2653</v>
      </c>
      <c r="C43" s="0" t="s">
        <v>2654</v>
      </c>
      <c r="D43" s="0" t="s">
        <v>2665</v>
      </c>
      <c r="E43" s="0" t="s">
        <v>2666</v>
      </c>
      <c r="F43" s="0" t="s">
        <v>2592</v>
      </c>
      <c r="G43" s="0" t="s">
        <v>1033</v>
      </c>
    </row>
    <row customHeight="1" ht="11.25">
      <c r="A44" s="373" t="s">
        <v>14</v>
      </c>
      <c r="B44" s="0" t="s">
        <v>2653</v>
      </c>
      <c r="C44" s="0" t="s">
        <v>2654</v>
      </c>
      <c r="D44" s="0" t="s">
        <v>2653</v>
      </c>
      <c r="E44" s="0" t="s">
        <v>2654</v>
      </c>
      <c r="F44" s="0" t="s">
        <v>2593</v>
      </c>
      <c r="G44" s="0" t="s">
        <v>1042</v>
      </c>
    </row>
    <row customHeight="1" ht="11.25">
      <c r="A45" s="373" t="s">
        <v>14</v>
      </c>
      <c r="B45" s="0" t="s">
        <v>2653</v>
      </c>
      <c r="C45" s="0" t="s">
        <v>2654</v>
      </c>
      <c r="D45" s="0" t="s">
        <v>2667</v>
      </c>
      <c r="E45" s="0" t="s">
        <v>2668</v>
      </c>
      <c r="F45" s="0" t="s">
        <v>2592</v>
      </c>
      <c r="G45" s="0" t="s">
        <v>1048</v>
      </c>
    </row>
    <row customHeight="1" ht="11.25">
      <c r="A46" s="373" t="s">
        <v>14</v>
      </c>
      <c r="B46" s="0" t="s">
        <v>2653</v>
      </c>
      <c r="C46" s="0" t="s">
        <v>2654</v>
      </c>
      <c r="D46" s="0" t="s">
        <v>2669</v>
      </c>
      <c r="E46" s="0" t="s">
        <v>2670</v>
      </c>
      <c r="F46" s="0" t="s">
        <v>2592</v>
      </c>
      <c r="G46" s="0" t="s">
        <v>1053</v>
      </c>
    </row>
    <row customHeight="1" ht="11.25">
      <c r="A47" s="373" t="s">
        <v>14</v>
      </c>
      <c r="B47" s="0" t="s">
        <v>2653</v>
      </c>
      <c r="C47" s="0" t="s">
        <v>2654</v>
      </c>
      <c r="D47" s="0" t="s">
        <v>2671</v>
      </c>
      <c r="E47" s="0" t="s">
        <v>2672</v>
      </c>
      <c r="F47" s="0" t="s">
        <v>2592</v>
      </c>
      <c r="G47" s="0" t="s">
        <v>1059</v>
      </c>
    </row>
    <row customHeight="1" ht="11.25">
      <c r="A48" s="373" t="s">
        <v>14</v>
      </c>
      <c r="B48" s="0" t="s">
        <v>2653</v>
      </c>
      <c r="C48" s="0" t="s">
        <v>2654</v>
      </c>
      <c r="D48" s="0" t="s">
        <v>2673</v>
      </c>
      <c r="E48" s="0" t="s">
        <v>2674</v>
      </c>
      <c r="F48" s="0" t="s">
        <v>2592</v>
      </c>
      <c r="G48" s="0" t="s">
        <v>1065</v>
      </c>
    </row>
    <row customHeight="1" ht="11.25">
      <c r="A49" s="373" t="s">
        <v>14</v>
      </c>
      <c r="B49" s="0" t="s">
        <v>2653</v>
      </c>
      <c r="C49" s="0" t="s">
        <v>2654</v>
      </c>
      <c r="D49" s="0" t="s">
        <v>2675</v>
      </c>
      <c r="E49" s="0" t="s">
        <v>2676</v>
      </c>
      <c r="F49" s="0" t="s">
        <v>2592</v>
      </c>
      <c r="G49" s="0" t="s">
        <v>1071</v>
      </c>
    </row>
    <row customHeight="1" ht="11.25">
      <c r="A50" s="373" t="s">
        <v>14</v>
      </c>
      <c r="B50" s="0" t="s">
        <v>2653</v>
      </c>
      <c r="C50" s="0" t="s">
        <v>2654</v>
      </c>
      <c r="D50" s="0" t="s">
        <v>2677</v>
      </c>
      <c r="E50" s="0" t="s">
        <v>2678</v>
      </c>
      <c r="F50" s="0" t="s">
        <v>2592</v>
      </c>
      <c r="G50" s="0" t="s">
        <v>1076</v>
      </c>
    </row>
    <row customHeight="1" ht="11.25">
      <c r="A51" s="373" t="s">
        <v>14</v>
      </c>
      <c r="B51" s="0" t="s">
        <v>2653</v>
      </c>
      <c r="C51" s="0" t="s">
        <v>2654</v>
      </c>
      <c r="D51" s="0" t="s">
        <v>2679</v>
      </c>
      <c r="E51" s="0" t="s">
        <v>2680</v>
      </c>
      <c r="F51" s="0" t="s">
        <v>2592</v>
      </c>
      <c r="G51" s="0" t="s">
        <v>1081</v>
      </c>
    </row>
    <row customHeight="1" ht="11.25">
      <c r="A52" s="373" t="s">
        <v>14</v>
      </c>
      <c r="B52" s="0" t="s">
        <v>2653</v>
      </c>
      <c r="C52" s="0" t="s">
        <v>2654</v>
      </c>
      <c r="D52" s="0" t="s">
        <v>2681</v>
      </c>
      <c r="E52" s="0" t="s">
        <v>2682</v>
      </c>
      <c r="F52" s="0" t="s">
        <v>2592</v>
      </c>
      <c r="G52" s="0" t="s">
        <v>1085</v>
      </c>
    </row>
    <row customHeight="1" ht="11.25">
      <c r="A53" s="373" t="s">
        <v>14</v>
      </c>
      <c r="B53" s="0" t="s">
        <v>2653</v>
      </c>
      <c r="C53" s="0" t="s">
        <v>2654</v>
      </c>
      <c r="D53" s="0" t="s">
        <v>2683</v>
      </c>
      <c r="E53" s="0" t="s">
        <v>2684</v>
      </c>
      <c r="F53" s="0" t="s">
        <v>2592</v>
      </c>
      <c r="G53" s="0" t="s">
        <v>1087</v>
      </c>
    </row>
    <row customHeight="1" ht="11.25">
      <c r="A54" s="373" t="s">
        <v>14</v>
      </c>
      <c r="B54" s="0" t="s">
        <v>2653</v>
      </c>
      <c r="C54" s="0" t="s">
        <v>2654</v>
      </c>
      <c r="D54" s="0" t="s">
        <v>2685</v>
      </c>
      <c r="E54" s="0" t="s">
        <v>2686</v>
      </c>
      <c r="F54" s="0" t="s">
        <v>2592</v>
      </c>
      <c r="G54" s="0" t="s">
        <v>1090</v>
      </c>
    </row>
    <row customHeight="1" ht="11.25">
      <c r="A55" s="373" t="s">
        <v>14</v>
      </c>
      <c r="B55" s="0" t="s">
        <v>2653</v>
      </c>
      <c r="C55" s="0" t="s">
        <v>2654</v>
      </c>
      <c r="D55" s="0" t="s">
        <v>2687</v>
      </c>
      <c r="E55" s="0" t="s">
        <v>2688</v>
      </c>
      <c r="F55" s="0" t="s">
        <v>2592</v>
      </c>
      <c r="G55" s="0" t="s">
        <v>1093</v>
      </c>
    </row>
    <row customHeight="1" ht="11.25">
      <c r="A56" s="373" t="s">
        <v>14</v>
      </c>
      <c r="B56" s="0" t="s">
        <v>2653</v>
      </c>
      <c r="C56" s="0" t="s">
        <v>2654</v>
      </c>
      <c r="D56" s="0" t="s">
        <v>2689</v>
      </c>
      <c r="E56" s="0" t="s">
        <v>2690</v>
      </c>
      <c r="F56" s="0" t="s">
        <v>2592</v>
      </c>
      <c r="G56" s="0" t="s">
        <v>1096</v>
      </c>
    </row>
    <row customHeight="1" ht="11.25">
      <c r="A57" s="373" t="s">
        <v>14</v>
      </c>
      <c r="B57" s="0" t="s">
        <v>2691</v>
      </c>
      <c r="C57" s="0" t="s">
        <v>2692</v>
      </c>
      <c r="D57" s="0" t="s">
        <v>2691</v>
      </c>
      <c r="E57" s="0" t="s">
        <v>2692</v>
      </c>
      <c r="F57" s="0" t="s">
        <v>2693</v>
      </c>
      <c r="G57" s="0" t="s">
        <v>1099</v>
      </c>
    </row>
    <row customHeight="1" ht="11.25">
      <c r="A58" s="373" t="s">
        <v>14</v>
      </c>
      <c r="B58" s="0" t="s">
        <v>2694</v>
      </c>
      <c r="C58" s="0" t="s">
        <v>2695</v>
      </c>
      <c r="D58" s="0" t="s">
        <v>2694</v>
      </c>
      <c r="E58" s="0" t="s">
        <v>2695</v>
      </c>
      <c r="F58" s="0" t="s">
        <v>2693</v>
      </c>
      <c r="G58" s="0" t="s">
        <v>1102</v>
      </c>
    </row>
    <row customHeight="1" ht="11.25">
      <c r="A59" s="373" t="s">
        <v>14</v>
      </c>
      <c r="B59" s="0" t="s">
        <v>2696</v>
      </c>
      <c r="C59" s="0" t="s">
        <v>2697</v>
      </c>
      <c r="D59" s="0" t="s">
        <v>2696</v>
      </c>
      <c r="E59" s="0" t="s">
        <v>2697</v>
      </c>
      <c r="F59" s="0" t="s">
        <v>2693</v>
      </c>
      <c r="G59" s="0" t="s">
        <v>1106</v>
      </c>
    </row>
    <row customHeight="1" ht="11.25">
      <c r="A60" s="373" t="s">
        <v>14</v>
      </c>
      <c r="B60" s="0" t="s">
        <v>99</v>
      </c>
      <c r="C60" s="0" t="s">
        <v>2698</v>
      </c>
      <c r="D60" s="0" t="s">
        <v>2699</v>
      </c>
      <c r="E60" s="0" t="s">
        <v>2700</v>
      </c>
      <c r="F60" s="0" t="s">
        <v>2592</v>
      </c>
      <c r="G60" s="0" t="s">
        <v>1109</v>
      </c>
    </row>
    <row customHeight="1" ht="11.25">
      <c r="A61" s="373" t="s">
        <v>14</v>
      </c>
      <c r="B61" s="0" t="s">
        <v>99</v>
      </c>
      <c r="C61" s="0" t="s">
        <v>2698</v>
      </c>
      <c r="D61" s="0" t="s">
        <v>2701</v>
      </c>
      <c r="E61" s="0" t="s">
        <v>2702</v>
      </c>
      <c r="F61" s="0" t="s">
        <v>2616</v>
      </c>
      <c r="G61" s="0" t="s">
        <v>2703</v>
      </c>
    </row>
    <row customHeight="1" ht="11.25">
      <c r="A62" s="373" t="s">
        <v>14</v>
      </c>
      <c r="B62" s="0" t="s">
        <v>99</v>
      </c>
      <c r="C62" s="0" t="s">
        <v>2698</v>
      </c>
      <c r="D62" s="0" t="s">
        <v>99</v>
      </c>
      <c r="E62" s="0" t="s">
        <v>2698</v>
      </c>
      <c r="F62" s="0" t="s">
        <v>2593</v>
      </c>
      <c r="G62" s="0" t="s">
        <v>2704</v>
      </c>
    </row>
    <row customHeight="1" ht="11.25">
      <c r="A63" s="373" t="s">
        <v>14</v>
      </c>
      <c r="B63" s="0" t="s">
        <v>99</v>
      </c>
      <c r="C63" s="0" t="s">
        <v>2698</v>
      </c>
      <c r="D63" s="0" t="s">
        <v>2705</v>
      </c>
      <c r="E63" s="0" t="s">
        <v>2706</v>
      </c>
      <c r="F63" s="0" t="s">
        <v>2592</v>
      </c>
      <c r="G63" s="0" t="s">
        <v>2707</v>
      </c>
    </row>
    <row customHeight="1" ht="11.25">
      <c r="A64" s="373" t="s">
        <v>14</v>
      </c>
      <c r="B64" s="0" t="s">
        <v>99</v>
      </c>
      <c r="C64" s="0" t="s">
        <v>2698</v>
      </c>
      <c r="D64" s="0" t="s">
        <v>100</v>
      </c>
      <c r="E64" s="0" t="s">
        <v>101</v>
      </c>
      <c r="F64" s="0" t="s">
        <v>2616</v>
      </c>
      <c r="G64" s="0" t="s">
        <v>98</v>
      </c>
    </row>
    <row customHeight="1" ht="11.25">
      <c r="A65" s="373" t="s">
        <v>14</v>
      </c>
      <c r="B65" s="0" t="s">
        <v>99</v>
      </c>
      <c r="C65" s="0" t="s">
        <v>2698</v>
      </c>
      <c r="D65" s="0" t="s">
        <v>2708</v>
      </c>
      <c r="E65" s="0" t="s">
        <v>2709</v>
      </c>
      <c r="F65" s="0" t="s">
        <v>2592</v>
      </c>
      <c r="G65" s="0" t="s">
        <v>2710</v>
      </c>
    </row>
    <row customHeight="1" ht="11.25">
      <c r="A66" s="373" t="s">
        <v>14</v>
      </c>
      <c r="B66" s="0" t="s">
        <v>99</v>
      </c>
      <c r="C66" s="0" t="s">
        <v>2698</v>
      </c>
      <c r="D66" s="0" t="s">
        <v>2711</v>
      </c>
      <c r="E66" s="0" t="s">
        <v>2712</v>
      </c>
      <c r="F66" s="0" t="s">
        <v>2616</v>
      </c>
      <c r="G66" s="0" t="s">
        <v>2713</v>
      </c>
    </row>
    <row customHeight="1" ht="11.25">
      <c r="A67" s="373" t="s">
        <v>14</v>
      </c>
      <c r="B67" s="0" t="s">
        <v>99</v>
      </c>
      <c r="C67" s="0" t="s">
        <v>2698</v>
      </c>
      <c r="D67" s="0" t="s">
        <v>2714</v>
      </c>
      <c r="E67" s="0" t="s">
        <v>2715</v>
      </c>
      <c r="F67" s="0" t="s">
        <v>2592</v>
      </c>
      <c r="G67" s="0" t="s">
        <v>1326</v>
      </c>
    </row>
    <row customHeight="1" ht="11.25">
      <c r="A68" s="373" t="s">
        <v>14</v>
      </c>
      <c r="B68" s="0" t="s">
        <v>2716</v>
      </c>
      <c r="C68" s="0" t="s">
        <v>2717</v>
      </c>
      <c r="D68" s="0" t="s">
        <v>2718</v>
      </c>
      <c r="E68" s="0" t="s">
        <v>2719</v>
      </c>
      <c r="F68" s="0" t="s">
        <v>2628</v>
      </c>
      <c r="G68" s="0" t="s">
        <v>2720</v>
      </c>
    </row>
    <row customHeight="1" ht="11.25">
      <c r="A69" s="373" t="s">
        <v>14</v>
      </c>
      <c r="B69" s="0" t="s">
        <v>2716</v>
      </c>
      <c r="C69" s="0" t="s">
        <v>2717</v>
      </c>
      <c r="D69" s="0" t="s">
        <v>2716</v>
      </c>
      <c r="E69" s="0" t="s">
        <v>2717</v>
      </c>
      <c r="F69" s="0" t="s">
        <v>2593</v>
      </c>
      <c r="G69" s="0" t="s">
        <v>1563</v>
      </c>
    </row>
    <row customHeight="1" ht="11.25">
      <c r="A70" s="373" t="s">
        <v>14</v>
      </c>
      <c r="B70" s="0" t="s">
        <v>2716</v>
      </c>
      <c r="C70" s="0" t="s">
        <v>2717</v>
      </c>
      <c r="D70" s="0" t="s">
        <v>2721</v>
      </c>
      <c r="E70" s="0" t="s">
        <v>2722</v>
      </c>
      <c r="F70" s="0" t="s">
        <v>2628</v>
      </c>
      <c r="G70" s="0" t="s">
        <v>2723</v>
      </c>
    </row>
    <row customHeight="1" ht="11.25">
      <c r="A71" s="373" t="s">
        <v>14</v>
      </c>
      <c r="B71" s="0" t="s">
        <v>2716</v>
      </c>
      <c r="C71" s="0" t="s">
        <v>2717</v>
      </c>
      <c r="D71" s="0" t="s">
        <v>2724</v>
      </c>
      <c r="E71" s="0" t="s">
        <v>2725</v>
      </c>
      <c r="F71" s="0" t="s">
        <v>2616</v>
      </c>
      <c r="G71" s="0" t="s">
        <v>2726</v>
      </c>
    </row>
    <row customHeight="1" ht="11.25">
      <c r="A72" s="373" t="s">
        <v>14</v>
      </c>
      <c r="B72" s="0" t="s">
        <v>2727</v>
      </c>
      <c r="C72" s="0" t="s">
        <v>2728</v>
      </c>
      <c r="D72" s="0" t="s">
        <v>2729</v>
      </c>
      <c r="E72" s="0" t="s">
        <v>2730</v>
      </c>
      <c r="F72" s="0" t="s">
        <v>2592</v>
      </c>
      <c r="G72" s="0" t="s">
        <v>2731</v>
      </c>
    </row>
    <row customHeight="1" ht="11.25">
      <c r="A73" s="373" t="s">
        <v>14</v>
      </c>
      <c r="B73" s="0" t="s">
        <v>2727</v>
      </c>
      <c r="C73" s="0" t="s">
        <v>2728</v>
      </c>
      <c r="D73" s="0" t="s">
        <v>2732</v>
      </c>
      <c r="E73" s="0" t="s">
        <v>2733</v>
      </c>
      <c r="F73" s="0" t="s">
        <v>2592</v>
      </c>
      <c r="G73" s="0" t="s">
        <v>2734</v>
      </c>
    </row>
    <row customHeight="1" ht="11.25">
      <c r="A74" s="373" t="s">
        <v>14</v>
      </c>
      <c r="B74" s="0" t="s">
        <v>2727</v>
      </c>
      <c r="C74" s="0" t="s">
        <v>2728</v>
      </c>
      <c r="D74" s="0" t="s">
        <v>2735</v>
      </c>
      <c r="E74" s="0" t="s">
        <v>2736</v>
      </c>
      <c r="F74" s="0" t="s">
        <v>2592</v>
      </c>
      <c r="G74" s="0" t="s">
        <v>2737</v>
      </c>
    </row>
    <row customHeight="1" ht="11.25">
      <c r="A75" s="373" t="s">
        <v>14</v>
      </c>
      <c r="B75" s="0" t="s">
        <v>2727</v>
      </c>
      <c r="C75" s="0" t="s">
        <v>2728</v>
      </c>
      <c r="D75" s="0" t="s">
        <v>2738</v>
      </c>
      <c r="E75" s="0" t="s">
        <v>2739</v>
      </c>
      <c r="F75" s="0" t="s">
        <v>2592</v>
      </c>
      <c r="G75" s="0" t="s">
        <v>2740</v>
      </c>
    </row>
    <row customHeight="1" ht="11.25">
      <c r="A76" s="373" t="s">
        <v>14</v>
      </c>
      <c r="B76" s="0" t="s">
        <v>2727</v>
      </c>
      <c r="C76" s="0" t="s">
        <v>2728</v>
      </c>
      <c r="D76" s="0" t="s">
        <v>2741</v>
      </c>
      <c r="E76" s="0" t="s">
        <v>2742</v>
      </c>
      <c r="F76" s="0" t="s">
        <v>2592</v>
      </c>
      <c r="G76" s="0" t="s">
        <v>2743</v>
      </c>
    </row>
    <row customHeight="1" ht="11.25">
      <c r="A77" s="373" t="s">
        <v>14</v>
      </c>
      <c r="B77" s="0" t="s">
        <v>2727</v>
      </c>
      <c r="C77" s="0" t="s">
        <v>2728</v>
      </c>
      <c r="D77" s="0" t="s">
        <v>2744</v>
      </c>
      <c r="E77" s="0" t="s">
        <v>2745</v>
      </c>
      <c r="F77" s="0" t="s">
        <v>2592</v>
      </c>
      <c r="G77" s="0" t="s">
        <v>2746</v>
      </c>
    </row>
    <row customHeight="1" ht="11.25">
      <c r="A78" s="373" t="s">
        <v>14</v>
      </c>
      <c r="B78" s="0" t="s">
        <v>2727</v>
      </c>
      <c r="C78" s="0" t="s">
        <v>2728</v>
      </c>
      <c r="D78" s="0" t="s">
        <v>2747</v>
      </c>
      <c r="E78" s="0" t="s">
        <v>2748</v>
      </c>
      <c r="F78" s="0" t="s">
        <v>2592</v>
      </c>
      <c r="G78" s="0" t="s">
        <v>2749</v>
      </c>
    </row>
    <row customHeight="1" ht="11.25">
      <c r="A79" s="373" t="s">
        <v>14</v>
      </c>
      <c r="B79" s="0" t="s">
        <v>2727</v>
      </c>
      <c r="C79" s="0" t="s">
        <v>2728</v>
      </c>
      <c r="D79" s="0" t="s">
        <v>2750</v>
      </c>
      <c r="E79" s="0" t="s">
        <v>2751</v>
      </c>
      <c r="F79" s="0" t="s">
        <v>2592</v>
      </c>
      <c r="G79" s="0" t="s">
        <v>2752</v>
      </c>
    </row>
    <row customHeight="1" ht="11.25">
      <c r="A80" s="373" t="s">
        <v>14</v>
      </c>
      <c r="B80" s="0" t="s">
        <v>2727</v>
      </c>
      <c r="C80" s="0" t="s">
        <v>2728</v>
      </c>
      <c r="D80" s="0" t="s">
        <v>2727</v>
      </c>
      <c r="E80" s="0" t="s">
        <v>2728</v>
      </c>
      <c r="F80" s="0" t="s">
        <v>2593</v>
      </c>
      <c r="G80" s="0" t="s">
        <v>2753</v>
      </c>
    </row>
    <row customHeight="1" ht="11.25">
      <c r="A81" s="373" t="s">
        <v>14</v>
      </c>
      <c r="B81" s="0" t="s">
        <v>2727</v>
      </c>
      <c r="C81" s="0" t="s">
        <v>2728</v>
      </c>
      <c r="D81" s="0" t="s">
        <v>2754</v>
      </c>
      <c r="E81" s="0" t="s">
        <v>2755</v>
      </c>
      <c r="F81" s="0" t="s">
        <v>2592</v>
      </c>
      <c r="G81" s="0" t="s">
        <v>2756</v>
      </c>
    </row>
    <row customHeight="1" ht="11.25">
      <c r="A82" s="373" t="s">
        <v>14</v>
      </c>
      <c r="B82" s="0" t="s">
        <v>2727</v>
      </c>
      <c r="C82" s="0" t="s">
        <v>2728</v>
      </c>
      <c r="D82" s="0" t="s">
        <v>2757</v>
      </c>
      <c r="E82" s="0" t="s">
        <v>2758</v>
      </c>
      <c r="F82" s="0" t="s">
        <v>2592</v>
      </c>
      <c r="G82" s="0" t="s">
        <v>2759</v>
      </c>
    </row>
    <row customHeight="1" ht="11.25">
      <c r="A83" s="373" t="s">
        <v>14</v>
      </c>
      <c r="B83" s="0" t="s">
        <v>2727</v>
      </c>
      <c r="C83" s="0" t="s">
        <v>2728</v>
      </c>
      <c r="D83" s="0" t="s">
        <v>2760</v>
      </c>
      <c r="E83" s="0" t="s">
        <v>2761</v>
      </c>
      <c r="F83" s="0" t="s">
        <v>2592</v>
      </c>
      <c r="G83" s="0" t="s">
        <v>2762</v>
      </c>
    </row>
    <row customHeight="1" ht="11.25">
      <c r="A84" s="373" t="s">
        <v>14</v>
      </c>
      <c r="B84" s="0" t="s">
        <v>2727</v>
      </c>
      <c r="C84" s="0" t="s">
        <v>2728</v>
      </c>
      <c r="D84" s="0" t="s">
        <v>2763</v>
      </c>
      <c r="E84" s="0" t="s">
        <v>2764</v>
      </c>
      <c r="F84" s="0" t="s">
        <v>2592</v>
      </c>
      <c r="G84" s="0" t="s">
        <v>2765</v>
      </c>
    </row>
    <row customHeight="1" ht="11.25">
      <c r="A85" s="373" t="s">
        <v>14</v>
      </c>
      <c r="B85" s="0" t="s">
        <v>2766</v>
      </c>
      <c r="C85" s="0" t="s">
        <v>2767</v>
      </c>
      <c r="D85" s="0" t="s">
        <v>2768</v>
      </c>
      <c r="E85" s="0" t="s">
        <v>2769</v>
      </c>
      <c r="F85" s="0" t="s">
        <v>2592</v>
      </c>
      <c r="G85" s="0" t="s">
        <v>2770</v>
      </c>
    </row>
    <row customHeight="1" ht="11.25">
      <c r="A86" s="373" t="s">
        <v>14</v>
      </c>
      <c r="B86" s="0" t="s">
        <v>2766</v>
      </c>
      <c r="C86" s="0" t="s">
        <v>2767</v>
      </c>
      <c r="D86" s="0" t="s">
        <v>2771</v>
      </c>
      <c r="E86" s="0" t="s">
        <v>2772</v>
      </c>
      <c r="F86" s="0" t="s">
        <v>2592</v>
      </c>
      <c r="G86" s="0" t="s">
        <v>2773</v>
      </c>
    </row>
    <row customHeight="1" ht="11.25">
      <c r="A87" s="373" t="s">
        <v>14</v>
      </c>
      <c r="B87" s="0" t="s">
        <v>2766</v>
      </c>
      <c r="C87" s="0" t="s">
        <v>2767</v>
      </c>
      <c r="D87" s="0" t="s">
        <v>2774</v>
      </c>
      <c r="E87" s="0" t="s">
        <v>2775</v>
      </c>
      <c r="F87" s="0" t="s">
        <v>2592</v>
      </c>
      <c r="G87" s="0" t="s">
        <v>2776</v>
      </c>
    </row>
    <row customHeight="1" ht="11.25">
      <c r="A88" s="373" t="s">
        <v>14</v>
      </c>
      <c r="B88" s="0" t="s">
        <v>2766</v>
      </c>
      <c r="C88" s="0" t="s">
        <v>2767</v>
      </c>
      <c r="D88" s="0" t="s">
        <v>2777</v>
      </c>
      <c r="E88" s="0" t="s">
        <v>2778</v>
      </c>
      <c r="F88" s="0" t="s">
        <v>2592</v>
      </c>
      <c r="G88" s="0" t="s">
        <v>2779</v>
      </c>
    </row>
    <row customHeight="1" ht="11.25">
      <c r="A89" s="373" t="s">
        <v>14</v>
      </c>
      <c r="B89" s="0" t="s">
        <v>2766</v>
      </c>
      <c r="C89" s="0" t="s">
        <v>2767</v>
      </c>
      <c r="D89" s="0" t="s">
        <v>2780</v>
      </c>
      <c r="E89" s="0" t="s">
        <v>2781</v>
      </c>
      <c r="F89" s="0" t="s">
        <v>2592</v>
      </c>
      <c r="G89" s="0" t="s">
        <v>2782</v>
      </c>
    </row>
    <row customHeight="1" ht="11.25">
      <c r="A90" s="373" t="s">
        <v>14</v>
      </c>
      <c r="B90" s="0" t="s">
        <v>2766</v>
      </c>
      <c r="C90" s="0" t="s">
        <v>2767</v>
      </c>
      <c r="D90" s="0" t="s">
        <v>2783</v>
      </c>
      <c r="E90" s="0" t="s">
        <v>2784</v>
      </c>
      <c r="F90" s="0" t="s">
        <v>2592</v>
      </c>
      <c r="G90" s="0" t="s">
        <v>2785</v>
      </c>
    </row>
    <row customHeight="1" ht="11.25">
      <c r="A91" s="373" t="s">
        <v>14</v>
      </c>
      <c r="B91" s="0" t="s">
        <v>2766</v>
      </c>
      <c r="C91" s="0" t="s">
        <v>2767</v>
      </c>
      <c r="D91" s="0" t="s">
        <v>2786</v>
      </c>
      <c r="E91" s="0" t="s">
        <v>2787</v>
      </c>
      <c r="F91" s="0" t="s">
        <v>2592</v>
      </c>
      <c r="G91" s="0" t="s">
        <v>2788</v>
      </c>
    </row>
    <row customHeight="1" ht="11.25">
      <c r="A92" s="373" t="s">
        <v>14</v>
      </c>
      <c r="B92" s="0" t="s">
        <v>2766</v>
      </c>
      <c r="C92" s="0" t="s">
        <v>2767</v>
      </c>
      <c r="D92" s="0" t="s">
        <v>2789</v>
      </c>
      <c r="E92" s="0" t="s">
        <v>2790</v>
      </c>
      <c r="F92" s="0" t="s">
        <v>2592</v>
      </c>
      <c r="G92" s="0" t="s">
        <v>2791</v>
      </c>
    </row>
    <row customHeight="1" ht="11.25">
      <c r="A93" s="373" t="s">
        <v>14</v>
      </c>
      <c r="B93" s="0" t="s">
        <v>2766</v>
      </c>
      <c r="C93" s="0" t="s">
        <v>2767</v>
      </c>
      <c r="D93" s="0" t="s">
        <v>2757</v>
      </c>
      <c r="E93" s="0" t="s">
        <v>2792</v>
      </c>
      <c r="F93" s="0" t="s">
        <v>2592</v>
      </c>
      <c r="G93" s="0" t="s">
        <v>2793</v>
      </c>
    </row>
    <row customHeight="1" ht="11.25">
      <c r="A94" s="373" t="s">
        <v>14</v>
      </c>
      <c r="B94" s="0" t="s">
        <v>2766</v>
      </c>
      <c r="C94" s="0" t="s">
        <v>2767</v>
      </c>
      <c r="D94" s="0" t="s">
        <v>2766</v>
      </c>
      <c r="E94" s="0" t="s">
        <v>2767</v>
      </c>
      <c r="F94" s="0" t="s">
        <v>2593</v>
      </c>
      <c r="G94" s="0" t="s">
        <v>2794</v>
      </c>
    </row>
    <row customHeight="1" ht="11.25">
      <c r="A95" s="373" t="s">
        <v>14</v>
      </c>
      <c r="B95" s="0" t="s">
        <v>2766</v>
      </c>
      <c r="C95" s="0" t="s">
        <v>2767</v>
      </c>
      <c r="D95" s="0" t="s">
        <v>2795</v>
      </c>
      <c r="E95" s="0" t="s">
        <v>2796</v>
      </c>
      <c r="F95" s="0" t="s">
        <v>2592</v>
      </c>
      <c r="G95" s="0" t="s">
        <v>2797</v>
      </c>
    </row>
    <row customHeight="1" ht="11.25">
      <c r="A96" s="373" t="s">
        <v>14</v>
      </c>
      <c r="B96" s="0" t="s">
        <v>2766</v>
      </c>
      <c r="C96" s="0" t="s">
        <v>2767</v>
      </c>
      <c r="D96" s="0" t="s">
        <v>2635</v>
      </c>
      <c r="E96" s="0" t="s">
        <v>2798</v>
      </c>
      <c r="F96" s="0" t="s">
        <v>2592</v>
      </c>
      <c r="G96" s="0" t="s">
        <v>2799</v>
      </c>
    </row>
    <row customHeight="1" ht="11.25">
      <c r="A97" s="373" t="s">
        <v>14</v>
      </c>
      <c r="B97" s="0" t="s">
        <v>2766</v>
      </c>
      <c r="C97" s="0" t="s">
        <v>2767</v>
      </c>
      <c r="D97" s="0" t="s">
        <v>2800</v>
      </c>
      <c r="E97" s="0" t="s">
        <v>2801</v>
      </c>
      <c r="F97" s="0" t="s">
        <v>2592</v>
      </c>
      <c r="G97" s="0" t="s">
        <v>2802</v>
      </c>
    </row>
    <row customHeight="1" ht="11.25">
      <c r="A98" s="373" t="s">
        <v>14</v>
      </c>
      <c r="B98" s="0" t="s">
        <v>2766</v>
      </c>
      <c r="C98" s="0" t="s">
        <v>2767</v>
      </c>
      <c r="D98" s="0" t="s">
        <v>2803</v>
      </c>
      <c r="E98" s="0" t="s">
        <v>2804</v>
      </c>
      <c r="F98" s="0" t="s">
        <v>2592</v>
      </c>
      <c r="G98" s="0" t="s">
        <v>2805</v>
      </c>
    </row>
    <row customHeight="1" ht="11.25">
      <c r="A99" s="373" t="s">
        <v>14</v>
      </c>
      <c r="B99" s="0" t="s">
        <v>2806</v>
      </c>
      <c r="C99" s="0" t="s">
        <v>2807</v>
      </c>
      <c r="D99" s="0" t="s">
        <v>2808</v>
      </c>
      <c r="E99" s="0" t="s">
        <v>2809</v>
      </c>
      <c r="F99" s="0" t="s">
        <v>2592</v>
      </c>
      <c r="G99" s="0" t="s">
        <v>2810</v>
      </c>
    </row>
    <row customHeight="1" ht="11.25">
      <c r="A100" s="373" t="s">
        <v>14</v>
      </c>
      <c r="B100" s="0" t="s">
        <v>2806</v>
      </c>
      <c r="C100" s="0" t="s">
        <v>2807</v>
      </c>
      <c r="D100" s="0" t="s">
        <v>2811</v>
      </c>
      <c r="E100" s="0" t="s">
        <v>2812</v>
      </c>
      <c r="F100" s="0" t="s">
        <v>2592</v>
      </c>
      <c r="G100" s="0" t="s">
        <v>2813</v>
      </c>
    </row>
    <row customHeight="1" ht="11.25">
      <c r="A101" s="373" t="s">
        <v>14</v>
      </c>
      <c r="B101" s="0" t="s">
        <v>2806</v>
      </c>
      <c r="C101" s="0" t="s">
        <v>2807</v>
      </c>
      <c r="D101" s="0" t="s">
        <v>2814</v>
      </c>
      <c r="E101" s="0" t="s">
        <v>2815</v>
      </c>
      <c r="F101" s="0" t="s">
        <v>2592</v>
      </c>
      <c r="G101" s="0" t="s">
        <v>2816</v>
      </c>
    </row>
    <row customHeight="1" ht="11.25">
      <c r="A102" s="373" t="s">
        <v>14</v>
      </c>
      <c r="B102" s="0" t="s">
        <v>2806</v>
      </c>
      <c r="C102" s="0" t="s">
        <v>2807</v>
      </c>
      <c r="D102" s="0" t="s">
        <v>2817</v>
      </c>
      <c r="E102" s="0" t="s">
        <v>2818</v>
      </c>
      <c r="F102" s="0" t="s">
        <v>2592</v>
      </c>
      <c r="G102" s="0" t="s">
        <v>2819</v>
      </c>
    </row>
    <row customHeight="1" ht="11.25">
      <c r="A103" s="373" t="s">
        <v>14</v>
      </c>
      <c r="B103" s="0" t="s">
        <v>2806</v>
      </c>
      <c r="C103" s="0" t="s">
        <v>2807</v>
      </c>
      <c r="D103" s="0" t="s">
        <v>2820</v>
      </c>
      <c r="E103" s="0" t="s">
        <v>2821</v>
      </c>
      <c r="F103" s="0" t="s">
        <v>2592</v>
      </c>
      <c r="G103" s="0" t="s">
        <v>2822</v>
      </c>
    </row>
    <row customHeight="1" ht="11.25">
      <c r="A104" s="373" t="s">
        <v>14</v>
      </c>
      <c r="B104" s="0" t="s">
        <v>2806</v>
      </c>
      <c r="C104" s="0" t="s">
        <v>2807</v>
      </c>
      <c r="D104" s="0" t="s">
        <v>2823</v>
      </c>
      <c r="E104" s="0" t="s">
        <v>2824</v>
      </c>
      <c r="F104" s="0" t="s">
        <v>2592</v>
      </c>
      <c r="G104" s="0" t="s">
        <v>2825</v>
      </c>
    </row>
    <row customHeight="1" ht="11.25">
      <c r="A105" s="373" t="s">
        <v>14</v>
      </c>
      <c r="B105" s="0" t="s">
        <v>2806</v>
      </c>
      <c r="C105" s="0" t="s">
        <v>2807</v>
      </c>
      <c r="D105" s="0" t="s">
        <v>2826</v>
      </c>
      <c r="E105" s="0" t="s">
        <v>2827</v>
      </c>
      <c r="F105" s="0" t="s">
        <v>2592</v>
      </c>
      <c r="G105" s="0" t="s">
        <v>2828</v>
      </c>
    </row>
    <row customHeight="1" ht="11.25">
      <c r="A106" s="373" t="s">
        <v>14</v>
      </c>
      <c r="B106" s="0" t="s">
        <v>2806</v>
      </c>
      <c r="C106" s="0" t="s">
        <v>2807</v>
      </c>
      <c r="D106" s="0" t="s">
        <v>2829</v>
      </c>
      <c r="E106" s="0" t="s">
        <v>2830</v>
      </c>
      <c r="F106" s="0" t="s">
        <v>2592</v>
      </c>
      <c r="G106" s="0" t="s">
        <v>2831</v>
      </c>
    </row>
    <row customHeight="1" ht="11.25">
      <c r="A107" s="373" t="s">
        <v>14</v>
      </c>
      <c r="B107" s="0" t="s">
        <v>2806</v>
      </c>
      <c r="C107" s="0" t="s">
        <v>2807</v>
      </c>
      <c r="D107" s="0" t="s">
        <v>2832</v>
      </c>
      <c r="E107" s="0" t="s">
        <v>2833</v>
      </c>
      <c r="F107" s="0" t="s">
        <v>2592</v>
      </c>
      <c r="G107" s="0" t="s">
        <v>2834</v>
      </c>
    </row>
    <row customHeight="1" ht="11.25">
      <c r="A108" s="373" t="s">
        <v>14</v>
      </c>
      <c r="B108" s="0" t="s">
        <v>2806</v>
      </c>
      <c r="C108" s="0" t="s">
        <v>2807</v>
      </c>
      <c r="D108" s="0" t="s">
        <v>2835</v>
      </c>
      <c r="E108" s="0" t="s">
        <v>2836</v>
      </c>
      <c r="F108" s="0" t="s">
        <v>2592</v>
      </c>
      <c r="G108" s="0" t="s">
        <v>2837</v>
      </c>
    </row>
    <row customHeight="1" ht="11.25">
      <c r="A109" s="373" t="s">
        <v>14</v>
      </c>
      <c r="B109" s="0" t="s">
        <v>2806</v>
      </c>
      <c r="C109" s="0" t="s">
        <v>2807</v>
      </c>
      <c r="D109" s="0" t="s">
        <v>2806</v>
      </c>
      <c r="E109" s="0" t="s">
        <v>2807</v>
      </c>
      <c r="F109" s="0" t="s">
        <v>2593</v>
      </c>
      <c r="G109" s="0" t="s">
        <v>2838</v>
      </c>
    </row>
    <row customHeight="1" ht="11.25">
      <c r="A110" s="373" t="s">
        <v>14</v>
      </c>
      <c r="B110" s="0" t="s">
        <v>2806</v>
      </c>
      <c r="C110" s="0" t="s">
        <v>2807</v>
      </c>
      <c r="D110" s="0" t="s">
        <v>2839</v>
      </c>
      <c r="E110" s="0" t="s">
        <v>2840</v>
      </c>
      <c r="F110" s="0" t="s">
        <v>2592</v>
      </c>
      <c r="G110" s="0" t="s">
        <v>2841</v>
      </c>
    </row>
    <row customHeight="1" ht="11.25">
      <c r="A111" s="373" t="s">
        <v>14</v>
      </c>
      <c r="B111" s="0" t="s">
        <v>2842</v>
      </c>
      <c r="C111" s="0" t="s">
        <v>2843</v>
      </c>
      <c r="D111" s="0" t="s">
        <v>2844</v>
      </c>
      <c r="E111" s="0" t="s">
        <v>2845</v>
      </c>
      <c r="F111" s="0" t="s">
        <v>2592</v>
      </c>
      <c r="G111" s="0" t="s">
        <v>2846</v>
      </c>
    </row>
    <row customHeight="1" ht="11.25">
      <c r="A112" s="373" t="s">
        <v>14</v>
      </c>
      <c r="B112" s="0" t="s">
        <v>2842</v>
      </c>
      <c r="C112" s="0" t="s">
        <v>2843</v>
      </c>
      <c r="D112" s="0" t="s">
        <v>2847</v>
      </c>
      <c r="E112" s="0" t="s">
        <v>2848</v>
      </c>
      <c r="F112" s="0" t="s">
        <v>2592</v>
      </c>
      <c r="G112" s="0" t="s">
        <v>2849</v>
      </c>
    </row>
    <row customHeight="1" ht="11.25">
      <c r="A113" s="373" t="s">
        <v>14</v>
      </c>
      <c r="B113" s="0" t="s">
        <v>2842</v>
      </c>
      <c r="C113" s="0" t="s">
        <v>2843</v>
      </c>
      <c r="D113" s="0" t="s">
        <v>2850</v>
      </c>
      <c r="E113" s="0" t="s">
        <v>2851</v>
      </c>
      <c r="F113" s="0" t="s">
        <v>2592</v>
      </c>
      <c r="G113" s="0" t="s">
        <v>2852</v>
      </c>
    </row>
    <row customHeight="1" ht="11.25">
      <c r="A114" s="373" t="s">
        <v>14</v>
      </c>
      <c r="B114" s="0" t="s">
        <v>2842</v>
      </c>
      <c r="C114" s="0" t="s">
        <v>2843</v>
      </c>
      <c r="D114" s="0" t="s">
        <v>2853</v>
      </c>
      <c r="E114" s="0" t="s">
        <v>2854</v>
      </c>
      <c r="F114" s="0" t="s">
        <v>2621</v>
      </c>
      <c r="G114" s="0" t="s">
        <v>2855</v>
      </c>
    </row>
    <row customHeight="1" ht="11.25">
      <c r="A115" s="373" t="s">
        <v>14</v>
      </c>
      <c r="B115" s="0" t="s">
        <v>2842</v>
      </c>
      <c r="C115" s="0" t="s">
        <v>2843</v>
      </c>
      <c r="D115" s="0" t="s">
        <v>2856</v>
      </c>
      <c r="E115" s="0" t="s">
        <v>2857</v>
      </c>
      <c r="F115" s="0" t="s">
        <v>2592</v>
      </c>
      <c r="G115" s="0" t="s">
        <v>2858</v>
      </c>
    </row>
    <row customHeight="1" ht="11.25">
      <c r="A116" s="373" t="s">
        <v>14</v>
      </c>
      <c r="B116" s="0" t="s">
        <v>2842</v>
      </c>
      <c r="C116" s="0" t="s">
        <v>2843</v>
      </c>
      <c r="D116" s="0" t="s">
        <v>2859</v>
      </c>
      <c r="E116" s="0" t="s">
        <v>2860</v>
      </c>
      <c r="F116" s="0" t="s">
        <v>2592</v>
      </c>
      <c r="G116" s="0" t="s">
        <v>2861</v>
      </c>
    </row>
    <row customHeight="1" ht="11.25">
      <c r="A117" s="373" t="s">
        <v>14</v>
      </c>
      <c r="B117" s="0" t="s">
        <v>2842</v>
      </c>
      <c r="C117" s="0" t="s">
        <v>2843</v>
      </c>
      <c r="D117" s="0" t="s">
        <v>2862</v>
      </c>
      <c r="E117" s="0" t="s">
        <v>2863</v>
      </c>
      <c r="F117" s="0" t="s">
        <v>2592</v>
      </c>
      <c r="G117" s="0" t="s">
        <v>2864</v>
      </c>
    </row>
    <row customHeight="1" ht="11.25">
      <c r="A118" s="373" t="s">
        <v>14</v>
      </c>
      <c r="B118" s="0" t="s">
        <v>2842</v>
      </c>
      <c r="C118" s="0" t="s">
        <v>2843</v>
      </c>
      <c r="D118" s="0" t="s">
        <v>2865</v>
      </c>
      <c r="E118" s="0" t="s">
        <v>2866</v>
      </c>
      <c r="F118" s="0" t="s">
        <v>2592</v>
      </c>
      <c r="G118" s="0" t="s">
        <v>2867</v>
      </c>
    </row>
    <row customHeight="1" ht="11.25">
      <c r="A119" s="373" t="s">
        <v>14</v>
      </c>
      <c r="B119" s="0" t="s">
        <v>2842</v>
      </c>
      <c r="C119" s="0" t="s">
        <v>2843</v>
      </c>
      <c r="D119" s="0" t="s">
        <v>2868</v>
      </c>
      <c r="E119" s="0" t="s">
        <v>2869</v>
      </c>
      <c r="F119" s="0" t="s">
        <v>2592</v>
      </c>
      <c r="G119" s="0" t="s">
        <v>2870</v>
      </c>
    </row>
    <row customHeight="1" ht="11.25">
      <c r="A120" s="373" t="s">
        <v>14</v>
      </c>
      <c r="B120" s="0" t="s">
        <v>2842</v>
      </c>
      <c r="C120" s="0" t="s">
        <v>2843</v>
      </c>
      <c r="D120" s="0" t="s">
        <v>2871</v>
      </c>
      <c r="E120" s="0" t="s">
        <v>2872</v>
      </c>
      <c r="F120" s="0" t="s">
        <v>2628</v>
      </c>
      <c r="G120" s="0" t="s">
        <v>2873</v>
      </c>
    </row>
    <row customHeight="1" ht="11.25">
      <c r="A121" s="373" t="s">
        <v>14</v>
      </c>
      <c r="B121" s="0" t="s">
        <v>2842</v>
      </c>
      <c r="C121" s="0" t="s">
        <v>2843</v>
      </c>
      <c r="D121" s="0" t="s">
        <v>2842</v>
      </c>
      <c r="E121" s="0" t="s">
        <v>2843</v>
      </c>
      <c r="F121" s="0" t="s">
        <v>2593</v>
      </c>
      <c r="G121" s="0" t="s">
        <v>2874</v>
      </c>
    </row>
    <row customHeight="1" ht="11.25">
      <c r="A122" s="373" t="s">
        <v>14</v>
      </c>
      <c r="B122" s="0" t="s">
        <v>2842</v>
      </c>
      <c r="C122" s="0" t="s">
        <v>2843</v>
      </c>
      <c r="D122" s="0" t="s">
        <v>2875</v>
      </c>
      <c r="E122" s="0" t="s">
        <v>2876</v>
      </c>
      <c r="F122" s="0" t="s">
        <v>2592</v>
      </c>
      <c r="G122" s="0" t="s">
        <v>2877</v>
      </c>
    </row>
    <row customHeight="1" ht="11.25">
      <c r="A123" s="373" t="s">
        <v>14</v>
      </c>
      <c r="B123" s="0" t="s">
        <v>2842</v>
      </c>
      <c r="C123" s="0" t="s">
        <v>2843</v>
      </c>
      <c r="D123" s="0" t="s">
        <v>2878</v>
      </c>
      <c r="E123" s="0" t="s">
        <v>2879</v>
      </c>
      <c r="F123" s="0" t="s">
        <v>2592</v>
      </c>
      <c r="G123" s="0" t="s">
        <v>2880</v>
      </c>
    </row>
    <row customHeight="1" ht="11.25">
      <c r="A124" s="373" t="s">
        <v>14</v>
      </c>
      <c r="B124" s="0" t="s">
        <v>2881</v>
      </c>
      <c r="C124" s="0" t="s">
        <v>2882</v>
      </c>
      <c r="D124" s="0" t="s">
        <v>2883</v>
      </c>
      <c r="E124" s="0" t="s">
        <v>2884</v>
      </c>
      <c r="F124" s="0" t="s">
        <v>2592</v>
      </c>
      <c r="G124" s="0" t="s">
        <v>2885</v>
      </c>
    </row>
    <row customHeight="1" ht="11.25">
      <c r="A125" s="373" t="s">
        <v>14</v>
      </c>
      <c r="B125" s="0" t="s">
        <v>2881</v>
      </c>
      <c r="C125" s="0" t="s">
        <v>2882</v>
      </c>
      <c r="D125" s="0" t="s">
        <v>2886</v>
      </c>
      <c r="E125" s="0" t="s">
        <v>2887</v>
      </c>
      <c r="F125" s="0" t="s">
        <v>2628</v>
      </c>
      <c r="G125" s="0" t="s">
        <v>2888</v>
      </c>
    </row>
    <row customHeight="1" ht="11.25">
      <c r="A126" s="373" t="s">
        <v>14</v>
      </c>
      <c r="B126" s="0" t="s">
        <v>2881</v>
      </c>
      <c r="C126" s="0" t="s">
        <v>2882</v>
      </c>
      <c r="D126" s="0" t="s">
        <v>2889</v>
      </c>
      <c r="E126" s="0" t="s">
        <v>2890</v>
      </c>
      <c r="F126" s="0" t="s">
        <v>2592</v>
      </c>
      <c r="G126" s="0" t="s">
        <v>2891</v>
      </c>
    </row>
    <row customHeight="1" ht="11.25">
      <c r="A127" s="373" t="s">
        <v>14</v>
      </c>
      <c r="B127" s="0" t="s">
        <v>2881</v>
      </c>
      <c r="C127" s="0" t="s">
        <v>2882</v>
      </c>
      <c r="D127" s="0" t="s">
        <v>2892</v>
      </c>
      <c r="E127" s="0" t="s">
        <v>2893</v>
      </c>
      <c r="F127" s="0" t="s">
        <v>2592</v>
      </c>
      <c r="G127" s="0" t="s">
        <v>2894</v>
      </c>
    </row>
    <row customHeight="1" ht="11.25">
      <c r="A128" s="373" t="s">
        <v>14</v>
      </c>
      <c r="B128" s="0" t="s">
        <v>2881</v>
      </c>
      <c r="C128" s="0" t="s">
        <v>2882</v>
      </c>
      <c r="D128" s="0" t="s">
        <v>2895</v>
      </c>
      <c r="E128" s="0" t="s">
        <v>2896</v>
      </c>
      <c r="F128" s="0" t="s">
        <v>2592</v>
      </c>
      <c r="G128" s="0" t="s">
        <v>2897</v>
      </c>
    </row>
    <row customHeight="1" ht="11.25">
      <c r="A129" s="373" t="s">
        <v>14</v>
      </c>
      <c r="B129" s="0" t="s">
        <v>2881</v>
      </c>
      <c r="C129" s="0" t="s">
        <v>2882</v>
      </c>
      <c r="D129" s="0" t="s">
        <v>2898</v>
      </c>
      <c r="E129" s="0" t="s">
        <v>2899</v>
      </c>
      <c r="F129" s="0" t="s">
        <v>2592</v>
      </c>
      <c r="G129" s="0" t="s">
        <v>2900</v>
      </c>
    </row>
    <row customHeight="1" ht="11.25">
      <c r="A130" s="373" t="s">
        <v>14</v>
      </c>
      <c r="B130" s="0" t="s">
        <v>2881</v>
      </c>
      <c r="C130" s="0" t="s">
        <v>2882</v>
      </c>
      <c r="D130" s="0" t="s">
        <v>2901</v>
      </c>
      <c r="E130" s="0" t="s">
        <v>2902</v>
      </c>
      <c r="F130" s="0" t="s">
        <v>2592</v>
      </c>
      <c r="G130" s="0" t="s">
        <v>2903</v>
      </c>
    </row>
    <row customHeight="1" ht="11.25">
      <c r="A131" s="373" t="s">
        <v>14</v>
      </c>
      <c r="B131" s="0" t="s">
        <v>2881</v>
      </c>
      <c r="C131" s="0" t="s">
        <v>2882</v>
      </c>
      <c r="D131" s="0" t="s">
        <v>2904</v>
      </c>
      <c r="E131" s="0" t="s">
        <v>2905</v>
      </c>
      <c r="F131" s="0" t="s">
        <v>2592</v>
      </c>
      <c r="G131" s="0" t="s">
        <v>2906</v>
      </c>
    </row>
    <row customHeight="1" ht="11.25">
      <c r="A132" s="373" t="s">
        <v>14</v>
      </c>
      <c r="B132" s="0" t="s">
        <v>2881</v>
      </c>
      <c r="C132" s="0" t="s">
        <v>2882</v>
      </c>
      <c r="D132" s="0" t="s">
        <v>2907</v>
      </c>
      <c r="E132" s="0" t="s">
        <v>2908</v>
      </c>
      <c r="F132" s="0" t="s">
        <v>2592</v>
      </c>
      <c r="G132" s="0" t="s">
        <v>2909</v>
      </c>
    </row>
    <row customHeight="1" ht="11.25">
      <c r="A133" s="373" t="s">
        <v>14</v>
      </c>
      <c r="B133" s="0" t="s">
        <v>2881</v>
      </c>
      <c r="C133" s="0" t="s">
        <v>2882</v>
      </c>
      <c r="D133" s="0" t="s">
        <v>2910</v>
      </c>
      <c r="E133" s="0" t="s">
        <v>2911</v>
      </c>
      <c r="F133" s="0" t="s">
        <v>2628</v>
      </c>
      <c r="G133" s="0" t="s">
        <v>2912</v>
      </c>
    </row>
    <row customHeight="1" ht="11.25">
      <c r="A134" s="373" t="s">
        <v>14</v>
      </c>
      <c r="B134" s="0" t="s">
        <v>2881</v>
      </c>
      <c r="C134" s="0" t="s">
        <v>2882</v>
      </c>
      <c r="D134" s="0" t="s">
        <v>2881</v>
      </c>
      <c r="E134" s="0" t="s">
        <v>2882</v>
      </c>
      <c r="F134" s="0" t="s">
        <v>2593</v>
      </c>
      <c r="G134" s="0" t="s">
        <v>2913</v>
      </c>
    </row>
    <row customHeight="1" ht="11.25">
      <c r="A135" s="373" t="s">
        <v>14</v>
      </c>
      <c r="B135" s="0" t="s">
        <v>2881</v>
      </c>
      <c r="C135" s="0" t="s">
        <v>2882</v>
      </c>
      <c r="D135" s="0" t="s">
        <v>2914</v>
      </c>
      <c r="E135" s="0" t="s">
        <v>2915</v>
      </c>
      <c r="F135" s="0" t="s">
        <v>2628</v>
      </c>
      <c r="G135" s="0" t="s">
        <v>2916</v>
      </c>
    </row>
    <row customHeight="1" ht="11.25">
      <c r="A136" s="373" t="s">
        <v>14</v>
      </c>
      <c r="B136" s="0" t="s">
        <v>2881</v>
      </c>
      <c r="C136" s="0" t="s">
        <v>2882</v>
      </c>
      <c r="D136" s="0" t="s">
        <v>2917</v>
      </c>
      <c r="E136" s="0" t="s">
        <v>2918</v>
      </c>
      <c r="F136" s="0" t="s">
        <v>2592</v>
      </c>
      <c r="G136" s="0" t="s">
        <v>2919</v>
      </c>
    </row>
    <row customHeight="1" ht="11.25">
      <c r="A137" s="373" t="s">
        <v>14</v>
      </c>
      <c r="B137" s="0" t="s">
        <v>2881</v>
      </c>
      <c r="C137" s="0" t="s">
        <v>2882</v>
      </c>
      <c r="D137" s="0" t="s">
        <v>2920</v>
      </c>
      <c r="E137" s="0" t="s">
        <v>2921</v>
      </c>
      <c r="F137" s="0" t="s">
        <v>2592</v>
      </c>
      <c r="G137" s="0" t="s">
        <v>2922</v>
      </c>
    </row>
    <row customHeight="1" ht="11.25">
      <c r="A138" s="373" t="s">
        <v>14</v>
      </c>
      <c r="B138" s="0" t="s">
        <v>2881</v>
      </c>
      <c r="C138" s="0" t="s">
        <v>2882</v>
      </c>
      <c r="D138" s="0" t="s">
        <v>2923</v>
      </c>
      <c r="E138" s="0" t="s">
        <v>2924</v>
      </c>
      <c r="F138" s="0" t="s">
        <v>2592</v>
      </c>
      <c r="G138" s="0" t="s">
        <v>2925</v>
      </c>
    </row>
    <row customHeight="1" ht="11.25">
      <c r="A139" s="373" t="s">
        <v>14</v>
      </c>
      <c r="B139" s="0" t="s">
        <v>2926</v>
      </c>
      <c r="C139" s="0" t="s">
        <v>2927</v>
      </c>
      <c r="D139" s="0" t="s">
        <v>2928</v>
      </c>
      <c r="E139" s="0" t="s">
        <v>2929</v>
      </c>
      <c r="F139" s="0" t="s">
        <v>2592</v>
      </c>
      <c r="G139" s="0" t="s">
        <v>2930</v>
      </c>
    </row>
    <row customHeight="1" ht="11.25">
      <c r="A140" s="373" t="s">
        <v>14</v>
      </c>
      <c r="B140" s="0" t="s">
        <v>2926</v>
      </c>
      <c r="C140" s="0" t="s">
        <v>2927</v>
      </c>
      <c r="D140" s="0" t="s">
        <v>2931</v>
      </c>
      <c r="E140" s="0" t="s">
        <v>2932</v>
      </c>
      <c r="F140" s="0" t="s">
        <v>2592</v>
      </c>
      <c r="G140" s="0" t="s">
        <v>2933</v>
      </c>
    </row>
    <row customHeight="1" ht="11.25">
      <c r="A141" s="373" t="s">
        <v>14</v>
      </c>
      <c r="B141" s="0" t="s">
        <v>2926</v>
      </c>
      <c r="C141" s="0" t="s">
        <v>2927</v>
      </c>
      <c r="D141" s="0" t="s">
        <v>2934</v>
      </c>
      <c r="E141" s="0" t="s">
        <v>2935</v>
      </c>
      <c r="F141" s="0" t="s">
        <v>2592</v>
      </c>
      <c r="G141" s="0" t="s">
        <v>2936</v>
      </c>
    </row>
    <row customHeight="1" ht="11.25">
      <c r="A142" s="373" t="s">
        <v>14</v>
      </c>
      <c r="B142" s="0" t="s">
        <v>2926</v>
      </c>
      <c r="C142" s="0" t="s">
        <v>2927</v>
      </c>
      <c r="D142" s="0" t="s">
        <v>2937</v>
      </c>
      <c r="E142" s="0" t="s">
        <v>2938</v>
      </c>
      <c r="F142" s="0" t="s">
        <v>2592</v>
      </c>
      <c r="G142" s="0" t="s">
        <v>2939</v>
      </c>
    </row>
    <row customHeight="1" ht="11.25">
      <c r="A143" s="373" t="s">
        <v>14</v>
      </c>
      <c r="B143" s="0" t="s">
        <v>2926</v>
      </c>
      <c r="C143" s="0" t="s">
        <v>2927</v>
      </c>
      <c r="D143" s="0" t="s">
        <v>2940</v>
      </c>
      <c r="E143" s="0" t="s">
        <v>2941</v>
      </c>
      <c r="F143" s="0" t="s">
        <v>2628</v>
      </c>
      <c r="G143" s="0" t="s">
        <v>2942</v>
      </c>
    </row>
    <row customHeight="1" ht="11.25">
      <c r="A144" s="373" t="s">
        <v>14</v>
      </c>
      <c r="B144" s="0" t="s">
        <v>2926</v>
      </c>
      <c r="C144" s="0" t="s">
        <v>2927</v>
      </c>
      <c r="D144" s="0" t="s">
        <v>2943</v>
      </c>
      <c r="E144" s="0" t="s">
        <v>2944</v>
      </c>
      <c r="F144" s="0" t="s">
        <v>2592</v>
      </c>
      <c r="G144" s="0" t="s">
        <v>2945</v>
      </c>
    </row>
    <row customHeight="1" ht="11.25">
      <c r="A145" s="373" t="s">
        <v>14</v>
      </c>
      <c r="B145" s="0" t="s">
        <v>2926</v>
      </c>
      <c r="C145" s="0" t="s">
        <v>2927</v>
      </c>
      <c r="D145" s="0" t="s">
        <v>2946</v>
      </c>
      <c r="E145" s="0" t="s">
        <v>2947</v>
      </c>
      <c r="F145" s="0" t="s">
        <v>2592</v>
      </c>
      <c r="G145" s="0" t="s">
        <v>2948</v>
      </c>
    </row>
    <row customHeight="1" ht="11.25">
      <c r="A146" s="373" t="s">
        <v>14</v>
      </c>
      <c r="B146" s="0" t="s">
        <v>2926</v>
      </c>
      <c r="C146" s="0" t="s">
        <v>2927</v>
      </c>
      <c r="D146" s="0" t="s">
        <v>2949</v>
      </c>
      <c r="E146" s="0" t="s">
        <v>2950</v>
      </c>
      <c r="F146" s="0" t="s">
        <v>2592</v>
      </c>
      <c r="G146" s="0" t="s">
        <v>2951</v>
      </c>
    </row>
    <row customHeight="1" ht="11.25">
      <c r="A147" s="373" t="s">
        <v>14</v>
      </c>
      <c r="B147" s="0" t="s">
        <v>2926</v>
      </c>
      <c r="C147" s="0" t="s">
        <v>2927</v>
      </c>
      <c r="D147" s="0" t="s">
        <v>2952</v>
      </c>
      <c r="E147" s="0" t="s">
        <v>2953</v>
      </c>
      <c r="F147" s="0" t="s">
        <v>2592</v>
      </c>
      <c r="G147" s="0" t="s">
        <v>2954</v>
      </c>
    </row>
    <row customHeight="1" ht="11.25">
      <c r="A148" s="373" t="s">
        <v>14</v>
      </c>
      <c r="B148" s="0" t="s">
        <v>2926</v>
      </c>
      <c r="C148" s="0" t="s">
        <v>2927</v>
      </c>
      <c r="D148" s="0" t="s">
        <v>2955</v>
      </c>
      <c r="E148" s="0" t="s">
        <v>2956</v>
      </c>
      <c r="F148" s="0" t="s">
        <v>2616</v>
      </c>
      <c r="G148" s="0" t="s">
        <v>2957</v>
      </c>
    </row>
    <row customHeight="1" ht="11.25">
      <c r="A149" s="373" t="s">
        <v>14</v>
      </c>
      <c r="B149" s="0" t="s">
        <v>2926</v>
      </c>
      <c r="C149" s="0" t="s">
        <v>2927</v>
      </c>
      <c r="D149" s="0" t="s">
        <v>2958</v>
      </c>
      <c r="E149" s="0" t="s">
        <v>2959</v>
      </c>
      <c r="F149" s="0" t="s">
        <v>2592</v>
      </c>
      <c r="G149" s="0" t="s">
        <v>2960</v>
      </c>
    </row>
    <row customHeight="1" ht="11.25">
      <c r="A150" s="373" t="s">
        <v>14</v>
      </c>
      <c r="B150" s="0" t="s">
        <v>2926</v>
      </c>
      <c r="C150" s="0" t="s">
        <v>2927</v>
      </c>
      <c r="D150" s="0" t="s">
        <v>2926</v>
      </c>
      <c r="E150" s="0" t="s">
        <v>2927</v>
      </c>
      <c r="F150" s="0" t="s">
        <v>2593</v>
      </c>
      <c r="G150" s="0" t="s">
        <v>2961</v>
      </c>
    </row>
    <row customHeight="1" ht="11.25">
      <c r="A151" s="373" t="s">
        <v>14</v>
      </c>
      <c r="B151" s="0" t="s">
        <v>2926</v>
      </c>
      <c r="C151" s="0" t="s">
        <v>2927</v>
      </c>
      <c r="D151" s="0" t="s">
        <v>2962</v>
      </c>
      <c r="E151" s="0" t="s">
        <v>2963</v>
      </c>
      <c r="F151" s="0" t="s">
        <v>2592</v>
      </c>
      <c r="G151" s="0" t="s">
        <v>2964</v>
      </c>
    </row>
    <row customHeight="1" ht="11.25">
      <c r="A152" s="373" t="s">
        <v>14</v>
      </c>
      <c r="B152" s="0" t="s">
        <v>2965</v>
      </c>
      <c r="C152" s="0" t="s">
        <v>2966</v>
      </c>
      <c r="D152" s="0" t="s">
        <v>2967</v>
      </c>
      <c r="E152" s="0" t="s">
        <v>2968</v>
      </c>
      <c r="F152" s="0" t="s">
        <v>2592</v>
      </c>
      <c r="G152" s="0" t="s">
        <v>2969</v>
      </c>
    </row>
    <row customHeight="1" ht="11.25">
      <c r="A153" s="373" t="s">
        <v>14</v>
      </c>
      <c r="B153" s="0" t="s">
        <v>2965</v>
      </c>
      <c r="C153" s="0" t="s">
        <v>2966</v>
      </c>
      <c r="D153" s="0" t="s">
        <v>2970</v>
      </c>
      <c r="E153" s="0" t="s">
        <v>2971</v>
      </c>
      <c r="F153" s="0" t="s">
        <v>2592</v>
      </c>
      <c r="G153" s="0" t="s">
        <v>2972</v>
      </c>
    </row>
    <row customHeight="1" ht="11.25">
      <c r="A154" s="373" t="s">
        <v>14</v>
      </c>
      <c r="B154" s="0" t="s">
        <v>2965</v>
      </c>
      <c r="C154" s="0" t="s">
        <v>2966</v>
      </c>
      <c r="D154" s="0" t="s">
        <v>2973</v>
      </c>
      <c r="E154" s="0" t="s">
        <v>2974</v>
      </c>
      <c r="F154" s="0" t="s">
        <v>2592</v>
      </c>
      <c r="G154" s="0" t="s">
        <v>2975</v>
      </c>
    </row>
    <row customHeight="1" ht="11.25">
      <c r="A155" s="373" t="s">
        <v>14</v>
      </c>
      <c r="B155" s="0" t="s">
        <v>2965</v>
      </c>
      <c r="C155" s="0" t="s">
        <v>2966</v>
      </c>
      <c r="D155" s="0" t="s">
        <v>2976</v>
      </c>
      <c r="E155" s="0" t="s">
        <v>2977</v>
      </c>
      <c r="F155" s="0" t="s">
        <v>2592</v>
      </c>
      <c r="G155" s="0" t="s">
        <v>2978</v>
      </c>
    </row>
    <row customHeight="1" ht="11.25">
      <c r="A156" s="373" t="s">
        <v>14</v>
      </c>
      <c r="B156" s="0" t="s">
        <v>2965</v>
      </c>
      <c r="C156" s="0" t="s">
        <v>2966</v>
      </c>
      <c r="D156" s="0" t="s">
        <v>2979</v>
      </c>
      <c r="E156" s="0" t="s">
        <v>2980</v>
      </c>
      <c r="F156" s="0" t="s">
        <v>2592</v>
      </c>
      <c r="G156" s="0" t="s">
        <v>2981</v>
      </c>
    </row>
    <row customHeight="1" ht="11.25">
      <c r="A157" s="373" t="s">
        <v>14</v>
      </c>
      <c r="B157" s="0" t="s">
        <v>2965</v>
      </c>
      <c r="C157" s="0" t="s">
        <v>2966</v>
      </c>
      <c r="D157" s="0" t="s">
        <v>2982</v>
      </c>
      <c r="E157" s="0" t="s">
        <v>2983</v>
      </c>
      <c r="F157" s="0" t="s">
        <v>2592</v>
      </c>
      <c r="G157" s="0" t="s">
        <v>2984</v>
      </c>
    </row>
    <row customHeight="1" ht="11.25">
      <c r="A158" s="373" t="s">
        <v>14</v>
      </c>
      <c r="B158" s="0" t="s">
        <v>2965</v>
      </c>
      <c r="C158" s="0" t="s">
        <v>2966</v>
      </c>
      <c r="D158" s="0" t="s">
        <v>2985</v>
      </c>
      <c r="E158" s="0" t="s">
        <v>2986</v>
      </c>
      <c r="F158" s="0" t="s">
        <v>2592</v>
      </c>
      <c r="G158" s="0" t="s">
        <v>2987</v>
      </c>
    </row>
    <row customHeight="1" ht="11.25">
      <c r="A159" s="373" t="s">
        <v>14</v>
      </c>
      <c r="B159" s="0" t="s">
        <v>2965</v>
      </c>
      <c r="C159" s="0" t="s">
        <v>2966</v>
      </c>
      <c r="D159" s="0" t="s">
        <v>2988</v>
      </c>
      <c r="E159" s="0" t="s">
        <v>2989</v>
      </c>
      <c r="F159" s="0" t="s">
        <v>2592</v>
      </c>
      <c r="G159" s="0" t="s">
        <v>2990</v>
      </c>
    </row>
    <row customHeight="1" ht="11.25">
      <c r="A160" s="373" t="s">
        <v>14</v>
      </c>
      <c r="B160" s="0" t="s">
        <v>2965</v>
      </c>
      <c r="C160" s="0" t="s">
        <v>2966</v>
      </c>
      <c r="D160" s="0" t="s">
        <v>2991</v>
      </c>
      <c r="E160" s="0" t="s">
        <v>2992</v>
      </c>
      <c r="F160" s="0" t="s">
        <v>2592</v>
      </c>
      <c r="G160" s="0" t="s">
        <v>2993</v>
      </c>
    </row>
    <row customHeight="1" ht="11.25">
      <c r="A161" s="373" t="s">
        <v>14</v>
      </c>
      <c r="B161" s="0" t="s">
        <v>2965</v>
      </c>
      <c r="C161" s="0" t="s">
        <v>2966</v>
      </c>
      <c r="D161" s="0" t="s">
        <v>2994</v>
      </c>
      <c r="E161" s="0" t="s">
        <v>2995</v>
      </c>
      <c r="F161" s="0" t="s">
        <v>2592</v>
      </c>
      <c r="G161" s="0" t="s">
        <v>2996</v>
      </c>
    </row>
    <row customHeight="1" ht="11.25">
      <c r="A162" s="373" t="s">
        <v>14</v>
      </c>
      <c r="B162" s="0" t="s">
        <v>2965</v>
      </c>
      <c r="C162" s="0" t="s">
        <v>2966</v>
      </c>
      <c r="D162" s="0" t="s">
        <v>2997</v>
      </c>
      <c r="E162" s="0" t="s">
        <v>2998</v>
      </c>
      <c r="F162" s="0" t="s">
        <v>2592</v>
      </c>
      <c r="G162" s="0" t="s">
        <v>2999</v>
      </c>
    </row>
    <row customHeight="1" ht="11.25">
      <c r="A163" s="373" t="s">
        <v>14</v>
      </c>
      <c r="B163" s="0" t="s">
        <v>2965</v>
      </c>
      <c r="C163" s="0" t="s">
        <v>2966</v>
      </c>
      <c r="D163" s="0" t="s">
        <v>3000</v>
      </c>
      <c r="E163" s="0" t="s">
        <v>3001</v>
      </c>
      <c r="F163" s="0" t="s">
        <v>2592</v>
      </c>
      <c r="G163" s="0" t="s">
        <v>3002</v>
      </c>
    </row>
    <row customHeight="1" ht="11.25">
      <c r="A164" s="373" t="s">
        <v>14</v>
      </c>
      <c r="B164" s="0" t="s">
        <v>2965</v>
      </c>
      <c r="C164" s="0" t="s">
        <v>2966</v>
      </c>
      <c r="D164" s="0" t="s">
        <v>3003</v>
      </c>
      <c r="E164" s="0" t="s">
        <v>3004</v>
      </c>
      <c r="F164" s="0" t="s">
        <v>2592</v>
      </c>
      <c r="G164" s="0" t="s">
        <v>3005</v>
      </c>
    </row>
    <row customHeight="1" ht="11.25">
      <c r="A165" s="373" t="s">
        <v>14</v>
      </c>
      <c r="B165" s="0" t="s">
        <v>2965</v>
      </c>
      <c r="C165" s="0" t="s">
        <v>2966</v>
      </c>
      <c r="D165" s="0" t="s">
        <v>3006</v>
      </c>
      <c r="E165" s="0" t="s">
        <v>3007</v>
      </c>
      <c r="F165" s="0" t="s">
        <v>2592</v>
      </c>
      <c r="G165" s="0" t="s">
        <v>3008</v>
      </c>
    </row>
    <row customHeight="1" ht="11.25">
      <c r="A166" s="373" t="s">
        <v>14</v>
      </c>
      <c r="B166" s="0" t="s">
        <v>2965</v>
      </c>
      <c r="C166" s="0" t="s">
        <v>2966</v>
      </c>
      <c r="D166" s="0" t="s">
        <v>3009</v>
      </c>
      <c r="E166" s="0" t="s">
        <v>3010</v>
      </c>
      <c r="F166" s="0" t="s">
        <v>2592</v>
      </c>
      <c r="G166" s="0" t="s">
        <v>3011</v>
      </c>
    </row>
    <row customHeight="1" ht="11.25">
      <c r="A167" s="373" t="s">
        <v>14</v>
      </c>
      <c r="B167" s="0" t="s">
        <v>2965</v>
      </c>
      <c r="C167" s="0" t="s">
        <v>2966</v>
      </c>
      <c r="D167" s="0" t="s">
        <v>3012</v>
      </c>
      <c r="E167" s="0" t="s">
        <v>3013</v>
      </c>
      <c r="F167" s="0" t="s">
        <v>2592</v>
      </c>
      <c r="G167" s="0" t="s">
        <v>3014</v>
      </c>
    </row>
    <row customHeight="1" ht="11.25">
      <c r="A168" s="373" t="s">
        <v>14</v>
      </c>
      <c r="B168" s="0" t="s">
        <v>2965</v>
      </c>
      <c r="C168" s="0" t="s">
        <v>2966</v>
      </c>
      <c r="D168" s="0" t="s">
        <v>3015</v>
      </c>
      <c r="E168" s="0" t="s">
        <v>3016</v>
      </c>
      <c r="F168" s="0" t="s">
        <v>2592</v>
      </c>
      <c r="G168" s="0" t="s">
        <v>3017</v>
      </c>
    </row>
    <row customHeight="1" ht="11.25">
      <c r="A169" s="373" t="s">
        <v>14</v>
      </c>
      <c r="B169" s="0" t="s">
        <v>2965</v>
      </c>
      <c r="C169" s="0" t="s">
        <v>2966</v>
      </c>
      <c r="D169" s="0" t="s">
        <v>2965</v>
      </c>
      <c r="E169" s="0" t="s">
        <v>2966</v>
      </c>
      <c r="F169" s="0" t="s">
        <v>2593</v>
      </c>
      <c r="G169" s="0" t="s">
        <v>3018</v>
      </c>
    </row>
    <row customHeight="1" ht="11.25">
      <c r="A170" s="373" t="s">
        <v>14</v>
      </c>
      <c r="B170" s="0" t="s">
        <v>2965</v>
      </c>
      <c r="C170" s="0" t="s">
        <v>2966</v>
      </c>
      <c r="D170" s="0" t="s">
        <v>3019</v>
      </c>
      <c r="E170" s="0" t="s">
        <v>3020</v>
      </c>
      <c r="F170" s="0" t="s">
        <v>2592</v>
      </c>
      <c r="G170" s="0" t="s">
        <v>3021</v>
      </c>
    </row>
    <row customHeight="1" ht="11.25">
      <c r="A171" s="373" t="s">
        <v>14</v>
      </c>
      <c r="B171" s="0" t="s">
        <v>2965</v>
      </c>
      <c r="C171" s="0" t="s">
        <v>2966</v>
      </c>
      <c r="D171" s="0" t="s">
        <v>3022</v>
      </c>
      <c r="E171" s="0" t="s">
        <v>3023</v>
      </c>
      <c r="F171" s="0" t="s">
        <v>2592</v>
      </c>
      <c r="G171" s="0" t="s">
        <v>3024</v>
      </c>
    </row>
    <row customHeight="1" ht="11.25">
      <c r="A172" s="373" t="s">
        <v>14</v>
      </c>
      <c r="B172" s="0" t="s">
        <v>3025</v>
      </c>
      <c r="C172" s="0" t="s">
        <v>3026</v>
      </c>
      <c r="D172" s="0" t="s">
        <v>3027</v>
      </c>
      <c r="E172" s="0" t="s">
        <v>3028</v>
      </c>
      <c r="F172" s="0" t="s">
        <v>2592</v>
      </c>
      <c r="G172" s="0" t="s">
        <v>3029</v>
      </c>
    </row>
    <row customHeight="1" ht="11.25">
      <c r="A173" s="373" t="s">
        <v>14</v>
      </c>
      <c r="B173" s="0" t="s">
        <v>3025</v>
      </c>
      <c r="C173" s="0" t="s">
        <v>3026</v>
      </c>
      <c r="D173" s="0" t="s">
        <v>3030</v>
      </c>
      <c r="E173" s="0" t="s">
        <v>3031</v>
      </c>
      <c r="F173" s="0" t="s">
        <v>2592</v>
      </c>
      <c r="G173" s="0" t="s">
        <v>3032</v>
      </c>
    </row>
    <row customHeight="1" ht="11.25">
      <c r="A174" s="373" t="s">
        <v>14</v>
      </c>
      <c r="B174" s="0" t="s">
        <v>3025</v>
      </c>
      <c r="C174" s="0" t="s">
        <v>3026</v>
      </c>
      <c r="D174" s="0" t="s">
        <v>3033</v>
      </c>
      <c r="E174" s="0" t="s">
        <v>3034</v>
      </c>
      <c r="F174" s="0" t="s">
        <v>2592</v>
      </c>
      <c r="G174" s="0" t="s">
        <v>3035</v>
      </c>
    </row>
    <row customHeight="1" ht="11.25">
      <c r="A175" s="373" t="s">
        <v>14</v>
      </c>
      <c r="B175" s="0" t="s">
        <v>3025</v>
      </c>
      <c r="C175" s="0" t="s">
        <v>3026</v>
      </c>
      <c r="D175" s="0" t="s">
        <v>3036</v>
      </c>
      <c r="E175" s="0" t="s">
        <v>3037</v>
      </c>
      <c r="F175" s="0" t="s">
        <v>2592</v>
      </c>
      <c r="G175" s="0" t="s">
        <v>3038</v>
      </c>
    </row>
    <row customHeight="1" ht="11.25">
      <c r="A176" s="373" t="s">
        <v>14</v>
      </c>
      <c r="B176" s="0" t="s">
        <v>3025</v>
      </c>
      <c r="C176" s="0" t="s">
        <v>3026</v>
      </c>
      <c r="D176" s="0" t="s">
        <v>3039</v>
      </c>
      <c r="E176" s="0" t="s">
        <v>3040</v>
      </c>
      <c r="F176" s="0" t="s">
        <v>2592</v>
      </c>
      <c r="G176" s="0" t="s">
        <v>3041</v>
      </c>
    </row>
    <row customHeight="1" ht="11.25">
      <c r="A177" s="373" t="s">
        <v>14</v>
      </c>
      <c r="B177" s="0" t="s">
        <v>3025</v>
      </c>
      <c r="C177" s="0" t="s">
        <v>3026</v>
      </c>
      <c r="D177" s="0" t="s">
        <v>3042</v>
      </c>
      <c r="E177" s="0" t="s">
        <v>3043</v>
      </c>
      <c r="F177" s="0" t="s">
        <v>2592</v>
      </c>
      <c r="G177" s="0" t="s">
        <v>3044</v>
      </c>
    </row>
    <row customHeight="1" ht="11.25">
      <c r="A178" s="373" t="s">
        <v>14</v>
      </c>
      <c r="B178" s="0" t="s">
        <v>3025</v>
      </c>
      <c r="C178" s="0" t="s">
        <v>3026</v>
      </c>
      <c r="D178" s="0" t="s">
        <v>3045</v>
      </c>
      <c r="E178" s="0" t="s">
        <v>3046</v>
      </c>
      <c r="F178" s="0" t="s">
        <v>2592</v>
      </c>
      <c r="G178" s="0" t="s">
        <v>3047</v>
      </c>
    </row>
    <row customHeight="1" ht="11.25">
      <c r="A179" s="373" t="s">
        <v>14</v>
      </c>
      <c r="B179" s="0" t="s">
        <v>3025</v>
      </c>
      <c r="C179" s="0" t="s">
        <v>3026</v>
      </c>
      <c r="D179" s="0" t="s">
        <v>3048</v>
      </c>
      <c r="E179" s="0" t="s">
        <v>3049</v>
      </c>
      <c r="F179" s="0" t="s">
        <v>2592</v>
      </c>
      <c r="G179" s="0" t="s">
        <v>3050</v>
      </c>
    </row>
    <row customHeight="1" ht="11.25">
      <c r="A180" s="373" t="s">
        <v>14</v>
      </c>
      <c r="B180" s="0" t="s">
        <v>3025</v>
      </c>
      <c r="C180" s="0" t="s">
        <v>3026</v>
      </c>
      <c r="D180" s="0" t="s">
        <v>3051</v>
      </c>
      <c r="E180" s="0" t="s">
        <v>3052</v>
      </c>
      <c r="F180" s="0" t="s">
        <v>2592</v>
      </c>
      <c r="G180" s="0" t="s">
        <v>3053</v>
      </c>
    </row>
    <row customHeight="1" ht="11.25">
      <c r="A181" s="373" t="s">
        <v>14</v>
      </c>
      <c r="B181" s="0" t="s">
        <v>3025</v>
      </c>
      <c r="C181" s="0" t="s">
        <v>3026</v>
      </c>
      <c r="D181" s="0" t="s">
        <v>3025</v>
      </c>
      <c r="E181" s="0" t="s">
        <v>3026</v>
      </c>
      <c r="F181" s="0" t="s">
        <v>2593</v>
      </c>
      <c r="G181" s="0" t="s">
        <v>3054</v>
      </c>
    </row>
    <row customHeight="1" ht="11.25">
      <c r="A182" s="373" t="s">
        <v>14</v>
      </c>
      <c r="B182" s="0" t="s">
        <v>3025</v>
      </c>
      <c r="C182" s="0" t="s">
        <v>3026</v>
      </c>
      <c r="D182" s="0" t="s">
        <v>3055</v>
      </c>
      <c r="E182" s="0" t="s">
        <v>3056</v>
      </c>
      <c r="F182" s="0" t="s">
        <v>2592</v>
      </c>
      <c r="G182" s="0" t="s">
        <v>3057</v>
      </c>
    </row>
    <row customHeight="1" ht="11.25">
      <c r="A183" s="373" t="s">
        <v>14</v>
      </c>
      <c r="B183" s="0" t="s">
        <v>3025</v>
      </c>
      <c r="C183" s="0" t="s">
        <v>3026</v>
      </c>
      <c r="D183" s="0" t="s">
        <v>3058</v>
      </c>
      <c r="E183" s="0" t="s">
        <v>3059</v>
      </c>
      <c r="F183" s="0" t="s">
        <v>2592</v>
      </c>
      <c r="G183" s="0" t="s">
        <v>3060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409F7-EC62-7275-62E9-1D51DE2C2AD4}" mc:Ignorable="x14ac xr xr2 xr3">
  <sheetPr>
    <tabColor rgb="FFFFCC99"/>
  </sheetPr>
  <dimension ref="A1:D51"/>
  <sheetViews>
    <sheetView topLeftCell="A1" showGridLines="0" workbookViewId="0">
      <selection activeCell="A1" sqref="A1"/>
    </sheetView>
  </sheetViews>
  <sheetFormatPr defaultColWidth="9.140625" customHeight="1" defaultRowHeight="11.25"/>
  <cols>
    <col min="1" max="4" style="4809" width="9.140625"/>
  </cols>
  <sheetData>
    <row customHeight="1" ht="11.25">
      <c r="A1" s="845" t="s">
        <v>3061</v>
      </c>
      <c r="B1" s="845" t="s">
        <v>3062</v>
      </c>
      <c r="C1" s="845" t="s">
        <v>3063</v>
      </c>
      <c r="D1" s="845" t="s">
        <v>3064</v>
      </c>
    </row>
    <row customHeight="1" ht="11.25">
      <c r="A2" s="4810" t="s">
        <v>109</v>
      </c>
      <c r="B2" s="4810" t="s">
        <v>3065</v>
      </c>
      <c r="C2" s="4810" t="s">
        <v>3066</v>
      </c>
      <c r="D2" s="4810" t="s">
        <v>3067</v>
      </c>
    </row>
    <row customHeight="1" ht="11.25">
      <c r="A3" s="4810" t="s">
        <v>110</v>
      </c>
      <c r="B3" s="4810" t="s">
        <v>3068</v>
      </c>
      <c r="C3" s="4810" t="s">
        <v>3066</v>
      </c>
      <c r="D3" s="4810" t="s">
        <v>3069</v>
      </c>
    </row>
    <row customHeight="1" ht="11.25">
      <c r="A4" s="4810" t="s">
        <v>89</v>
      </c>
      <c r="B4" s="4810" t="s">
        <v>3070</v>
      </c>
      <c r="C4" s="4810" t="s">
        <v>3066</v>
      </c>
      <c r="D4" s="4810" t="s">
        <v>3071</v>
      </c>
    </row>
    <row customHeight="1" ht="11.25">
      <c r="A5" s="4810" t="s">
        <v>90</v>
      </c>
      <c r="B5" s="4810" t="s">
        <v>3072</v>
      </c>
      <c r="C5" s="4810" t="s">
        <v>3066</v>
      </c>
      <c r="D5" s="4810" t="s">
        <v>3073</v>
      </c>
    </row>
    <row customHeight="1" ht="11.25">
      <c r="A6" s="4810" t="s">
        <v>111</v>
      </c>
      <c r="B6" s="4810" t="s">
        <v>3074</v>
      </c>
      <c r="C6" s="4810" t="s">
        <v>3066</v>
      </c>
      <c r="D6" s="4810" t="s">
        <v>3071</v>
      </c>
    </row>
    <row customHeight="1" ht="11.25">
      <c r="A7" s="4810" t="s">
        <v>91</v>
      </c>
      <c r="B7" s="4810" t="s">
        <v>3075</v>
      </c>
      <c r="C7" s="4810" t="s">
        <v>3066</v>
      </c>
      <c r="D7" s="4810" t="s">
        <v>3076</v>
      </c>
    </row>
    <row customHeight="1" ht="11.25">
      <c r="A8" s="4810" t="s">
        <v>92</v>
      </c>
      <c r="B8" s="4810" t="s">
        <v>3077</v>
      </c>
      <c r="C8" s="4810" t="s">
        <v>3066</v>
      </c>
      <c r="D8" s="4810" t="s">
        <v>3078</v>
      </c>
    </row>
    <row customHeight="1" ht="11.25">
      <c r="A9" s="4810" t="s">
        <v>112</v>
      </c>
      <c r="B9" s="4810" t="s">
        <v>3079</v>
      </c>
      <c r="C9" s="4810" t="s">
        <v>3066</v>
      </c>
      <c r="D9" s="4810" t="s">
        <v>3076</v>
      </c>
    </row>
    <row customHeight="1" ht="11.25">
      <c r="A10" s="4810" t="s">
        <v>149</v>
      </c>
      <c r="B10" s="4810" t="s">
        <v>3080</v>
      </c>
      <c r="C10" s="4810" t="s">
        <v>3066</v>
      </c>
      <c r="D10" s="4810" t="s">
        <v>3081</v>
      </c>
    </row>
    <row customHeight="1" ht="11.25">
      <c r="A11" s="4810" t="s">
        <v>150</v>
      </c>
      <c r="B11" s="4810" t="s">
        <v>3082</v>
      </c>
      <c r="C11" s="4810" t="s">
        <v>3066</v>
      </c>
      <c r="D11" s="4810" t="s">
        <v>3076</v>
      </c>
    </row>
    <row customHeight="1" ht="11.25">
      <c r="A12" s="4810" t="s">
        <v>151</v>
      </c>
      <c r="B12" s="4810" t="s">
        <v>3083</v>
      </c>
      <c r="C12" s="4810" t="s">
        <v>3066</v>
      </c>
      <c r="D12" s="4810" t="s">
        <v>3076</v>
      </c>
    </row>
    <row customHeight="1" ht="11.25">
      <c r="A13" s="4810" t="s">
        <v>152</v>
      </c>
      <c r="B13" s="4810" t="s">
        <v>3084</v>
      </c>
      <c r="C13" s="4810" t="s">
        <v>3085</v>
      </c>
      <c r="D13" s="4810" t="s">
        <v>3071</v>
      </c>
    </row>
    <row customHeight="1" ht="11.25">
      <c r="A14" s="4810" t="s">
        <v>153</v>
      </c>
      <c r="B14" s="4810" t="s">
        <v>3086</v>
      </c>
      <c r="C14" s="4810" t="s">
        <v>3085</v>
      </c>
      <c r="D14" s="4810" t="s">
        <v>3076</v>
      </c>
    </row>
    <row customHeight="1" ht="11.25">
      <c r="A15" s="4810" t="s">
        <v>154</v>
      </c>
      <c r="B15" s="4810" t="s">
        <v>3087</v>
      </c>
      <c r="C15" s="4810" t="s">
        <v>3085</v>
      </c>
      <c r="D15" s="4810" t="s">
        <v>3078</v>
      </c>
    </row>
    <row customHeight="1" ht="11.25">
      <c r="A16" s="4810" t="s">
        <v>854</v>
      </c>
      <c r="B16" s="4810" t="s">
        <v>3088</v>
      </c>
      <c r="C16" s="4810" t="s">
        <v>3085</v>
      </c>
      <c r="D16" s="4810" t="s">
        <v>3076</v>
      </c>
    </row>
    <row customHeight="1" ht="11.25">
      <c r="A17" s="4810" t="s">
        <v>860</v>
      </c>
      <c r="B17" s="4810" t="s">
        <v>3089</v>
      </c>
      <c r="C17" s="4810" t="s">
        <v>3085</v>
      </c>
      <c r="D17" s="4810" t="s">
        <v>3090</v>
      </c>
    </row>
    <row customHeight="1" ht="11.25">
      <c r="A18" s="4810" t="s">
        <v>871</v>
      </c>
      <c r="B18" s="4810" t="s">
        <v>3091</v>
      </c>
      <c r="C18" s="4810" t="s">
        <v>3085</v>
      </c>
      <c r="D18" s="4810" t="s">
        <v>3073</v>
      </c>
    </row>
    <row customHeight="1" ht="11.25">
      <c r="A19" s="4810" t="s">
        <v>885</v>
      </c>
      <c r="B19" s="4810" t="s">
        <v>3092</v>
      </c>
      <c r="C19" s="4810" t="s">
        <v>3085</v>
      </c>
      <c r="D19" s="4810" t="s">
        <v>3093</v>
      </c>
    </row>
    <row customHeight="1" ht="11.25">
      <c r="A20" s="4810" t="s">
        <v>897</v>
      </c>
      <c r="B20" s="4810" t="s">
        <v>3094</v>
      </c>
      <c r="C20" s="4810" t="s">
        <v>3085</v>
      </c>
      <c r="D20" s="4810" t="s">
        <v>3071</v>
      </c>
    </row>
    <row customHeight="1" ht="11.25">
      <c r="A21" s="4810" t="s">
        <v>906</v>
      </c>
      <c r="B21" s="4810" t="s">
        <v>3095</v>
      </c>
      <c r="C21" s="4810" t="s">
        <v>3085</v>
      </c>
      <c r="D21" s="4810" t="s">
        <v>3090</v>
      </c>
    </row>
    <row customHeight="1" ht="11.25">
      <c r="A22" s="4810" t="s">
        <v>922</v>
      </c>
      <c r="B22" s="4810" t="s">
        <v>3096</v>
      </c>
      <c r="C22" s="4810" t="s">
        <v>3085</v>
      </c>
      <c r="D22" s="4810" t="s">
        <v>3093</v>
      </c>
    </row>
    <row customHeight="1" ht="11.25">
      <c r="A23" s="4810" t="s">
        <v>929</v>
      </c>
      <c r="B23" s="4810" t="s">
        <v>3097</v>
      </c>
      <c r="C23" s="4810" t="s">
        <v>3085</v>
      </c>
      <c r="D23" s="4810" t="s">
        <v>3071</v>
      </c>
    </row>
    <row customHeight="1" ht="11.25">
      <c r="A24" s="4810" t="s">
        <v>937</v>
      </c>
      <c r="B24" s="4810" t="s">
        <v>3098</v>
      </c>
      <c r="C24" s="4810" t="s">
        <v>3085</v>
      </c>
      <c r="D24" s="4810" t="s">
        <v>3076</v>
      </c>
    </row>
    <row customHeight="1" ht="11.25">
      <c r="A25" s="4810" t="s">
        <v>944</v>
      </c>
      <c r="B25" s="4810" t="s">
        <v>3099</v>
      </c>
      <c r="C25" s="4810" t="s">
        <v>3085</v>
      </c>
      <c r="D25" s="4810" t="s">
        <v>3093</v>
      </c>
    </row>
    <row customHeight="1" ht="11.25">
      <c r="A26" s="4810" t="s">
        <v>948</v>
      </c>
      <c r="B26" s="4810" t="s">
        <v>3100</v>
      </c>
      <c r="C26" s="4810" t="s">
        <v>3101</v>
      </c>
      <c r="D26" s="4810" t="s">
        <v>3076</v>
      </c>
    </row>
    <row customHeight="1" ht="11.25">
      <c r="A27" s="4810" t="s">
        <v>953</v>
      </c>
      <c r="B27" s="4810" t="s">
        <v>3102</v>
      </c>
      <c r="C27" s="4810" t="s">
        <v>3101</v>
      </c>
      <c r="D27" s="4810" t="s">
        <v>3076</v>
      </c>
    </row>
    <row customHeight="1" ht="11.25">
      <c r="A28" s="4810" t="s">
        <v>961</v>
      </c>
      <c r="B28" s="4810" t="s">
        <v>3103</v>
      </c>
      <c r="C28" s="4810" t="s">
        <v>3101</v>
      </c>
      <c r="D28" s="4810" t="s">
        <v>3076</v>
      </c>
    </row>
    <row customHeight="1" ht="11.25">
      <c r="A29" s="4810" t="s">
        <v>963</v>
      </c>
      <c r="B29" s="4810" t="s">
        <v>3104</v>
      </c>
      <c r="C29" s="4810" t="s">
        <v>3101</v>
      </c>
      <c r="D29" s="4810" t="s">
        <v>3076</v>
      </c>
    </row>
    <row customHeight="1" ht="11.25">
      <c r="A30" s="4810" t="s">
        <v>966</v>
      </c>
      <c r="B30" s="4810" t="s">
        <v>3105</v>
      </c>
      <c r="C30" s="4810" t="s">
        <v>3101</v>
      </c>
      <c r="D30" s="4810" t="s">
        <v>3071</v>
      </c>
    </row>
    <row customHeight="1" ht="11.25">
      <c r="A31" s="4810" t="s">
        <v>972</v>
      </c>
      <c r="B31" s="4810" t="s">
        <v>3106</v>
      </c>
      <c r="C31" s="4810" t="s">
        <v>3101</v>
      </c>
      <c r="D31" s="4810" t="s">
        <v>3090</v>
      </c>
    </row>
    <row customHeight="1" ht="11.25">
      <c r="A32" s="4810" t="s">
        <v>974</v>
      </c>
      <c r="B32" s="4810" t="s">
        <v>3107</v>
      </c>
      <c r="C32" s="4810" t="s">
        <v>3101</v>
      </c>
      <c r="D32" s="4810" t="s">
        <v>3076</v>
      </c>
    </row>
    <row customHeight="1" ht="11.25">
      <c r="A33" s="4810" t="s">
        <v>976</v>
      </c>
      <c r="B33" s="4810" t="s">
        <v>3108</v>
      </c>
      <c r="C33" s="4810" t="s">
        <v>3101</v>
      </c>
      <c r="D33" s="4810" t="s">
        <v>3071</v>
      </c>
    </row>
    <row customHeight="1" ht="11.25">
      <c r="A34" s="4810" t="s">
        <v>978</v>
      </c>
      <c r="B34" s="4810" t="s">
        <v>3109</v>
      </c>
      <c r="C34" s="4810" t="s">
        <v>3101</v>
      </c>
      <c r="D34" s="4810" t="s">
        <v>3073</v>
      </c>
    </row>
    <row customHeight="1" ht="11.25">
      <c r="A35" s="4810" t="s">
        <v>984</v>
      </c>
      <c r="B35" s="4810" t="s">
        <v>3110</v>
      </c>
      <c r="C35" s="4810" t="s">
        <v>3101</v>
      </c>
      <c r="D35" s="4810" t="s">
        <v>3078</v>
      </c>
    </row>
    <row customHeight="1" ht="11.25">
      <c r="A36" s="4810" t="s">
        <v>989</v>
      </c>
      <c r="B36" s="4810" t="s">
        <v>3111</v>
      </c>
      <c r="C36" s="4810" t="s">
        <v>3101</v>
      </c>
      <c r="D36" s="4810" t="s">
        <v>3073</v>
      </c>
    </row>
    <row customHeight="1" ht="11.25">
      <c r="A37" s="4810" t="s">
        <v>993</v>
      </c>
      <c r="B37" s="4810" t="s">
        <v>3112</v>
      </c>
      <c r="C37" s="4810" t="s">
        <v>3101</v>
      </c>
      <c r="D37" s="4810" t="s">
        <v>3078</v>
      </c>
    </row>
    <row customHeight="1" ht="11.25">
      <c r="A38" s="4810" t="s">
        <v>1001</v>
      </c>
      <c r="B38" s="4810" t="s">
        <v>3113</v>
      </c>
      <c r="C38" s="4810" t="s">
        <v>3101</v>
      </c>
      <c r="D38" s="4810" t="s">
        <v>3073</v>
      </c>
    </row>
    <row customHeight="1" ht="11.25">
      <c r="A39" s="4810" t="s">
        <v>1008</v>
      </c>
      <c r="B39" s="4810" t="s">
        <v>3114</v>
      </c>
      <c r="C39" s="4810" t="s">
        <v>3115</v>
      </c>
      <c r="D39" s="4810" t="s">
        <v>3078</v>
      </c>
    </row>
    <row customHeight="1" ht="11.25">
      <c r="A40" s="4810" t="s">
        <v>1015</v>
      </c>
      <c r="B40" s="4810" t="s">
        <v>3116</v>
      </c>
      <c r="C40" s="4810" t="s">
        <v>3115</v>
      </c>
      <c r="D40" s="4810" t="s">
        <v>3117</v>
      </c>
    </row>
    <row customHeight="1" ht="11.25">
      <c r="A41" s="4810" t="s">
        <v>1021</v>
      </c>
      <c r="B41" s="4810" t="s">
        <v>3118</v>
      </c>
      <c r="C41" s="4810" t="s">
        <v>3115</v>
      </c>
      <c r="D41" s="4810" t="s">
        <v>3117</v>
      </c>
    </row>
    <row customHeight="1" ht="11.25">
      <c r="A42" s="4810" t="s">
        <v>1026</v>
      </c>
      <c r="B42" s="4810" t="s">
        <v>3119</v>
      </c>
      <c r="C42" s="4810" t="s">
        <v>3120</v>
      </c>
      <c r="D42" s="4810" t="s">
        <v>3078</v>
      </c>
    </row>
    <row customHeight="1" ht="11.25">
      <c r="A43" s="4810" t="s">
        <v>1033</v>
      </c>
      <c r="B43" s="4810" t="s">
        <v>3121</v>
      </c>
      <c r="C43" s="4810" t="s">
        <v>3122</v>
      </c>
      <c r="D43" s="4810" t="s">
        <v>3071</v>
      </c>
    </row>
    <row customHeight="1" ht="11.25">
      <c r="A44" s="4810" t="s">
        <v>1042</v>
      </c>
      <c r="B44" s="4810" t="s">
        <v>3123</v>
      </c>
      <c r="C44" s="4810" t="s">
        <v>3122</v>
      </c>
      <c r="D44" s="4810" t="s">
        <v>3073</v>
      </c>
    </row>
    <row customHeight="1" ht="11.25">
      <c r="A45" s="4810" t="s">
        <v>1048</v>
      </c>
      <c r="B45" s="4810" t="s">
        <v>3124</v>
      </c>
      <c r="C45" s="4810" t="s">
        <v>3125</v>
      </c>
      <c r="D45" s="4810" t="s">
        <v>3071</v>
      </c>
    </row>
    <row customHeight="1" ht="11.25">
      <c r="A46" s="4810" t="s">
        <v>1053</v>
      </c>
      <c r="B46" s="4810" t="s">
        <v>3126</v>
      </c>
      <c r="C46" s="4810" t="s">
        <v>3122</v>
      </c>
      <c r="D46" s="4810" t="s">
        <v>3090</v>
      </c>
    </row>
    <row customHeight="1" ht="11.25">
      <c r="A47" s="4810" t="s">
        <v>1059</v>
      </c>
      <c r="B47" s="4810" t="s">
        <v>3127</v>
      </c>
      <c r="C47" s="4810" t="s">
        <v>3085</v>
      </c>
      <c r="D47" s="4810" t="s">
        <v>3071</v>
      </c>
    </row>
    <row customHeight="1" ht="11.25">
      <c r="A48" s="4810" t="s">
        <v>1065</v>
      </c>
      <c r="B48" s="4810" t="s">
        <v>3128</v>
      </c>
      <c r="C48" s="4810" t="s">
        <v>3085</v>
      </c>
      <c r="D48" s="4810" t="s">
        <v>3076</v>
      </c>
    </row>
    <row customHeight="1" ht="11.25">
      <c r="A49" s="4810" t="s">
        <v>1071</v>
      </c>
      <c r="B49" s="4810" t="s">
        <v>3129</v>
      </c>
      <c r="C49" s="4810" t="s">
        <v>3085</v>
      </c>
      <c r="D49" s="4810" t="s">
        <v>3093</v>
      </c>
    </row>
    <row customHeight="1" ht="11.25">
      <c r="A50" s="4810" t="s">
        <v>1076</v>
      </c>
      <c r="B50" s="4810" t="s">
        <v>3130</v>
      </c>
      <c r="C50" s="4810" t="s">
        <v>3085</v>
      </c>
      <c r="D50" s="4810" t="s">
        <v>3076</v>
      </c>
    </row>
    <row customHeight="1" ht="11.25">
      <c r="A51" s="4810" t="s">
        <v>1081</v>
      </c>
      <c r="B51" s="4810" t="s">
        <v>3131</v>
      </c>
      <c r="C51" s="4810" t="s">
        <v>3085</v>
      </c>
      <c r="D51" s="4810" t="s">
        <v>3093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7CEA2-08FB-A5B2-A82B-3519EF70D3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F233B-55CE-EC34-87AE-50EBD79FCE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11" width="9.140625"/>
  </cols>
  <sheetData>
    <row customHeight="1" ht="11.25">
      <c r="A1" s="169" t="s">
        <v>131</v>
      </c>
      <c r="B1" s="169" t="s">
        <v>3132</v>
      </c>
    </row>
    <row customHeight="1" ht="11.25">
      <c r="A2" s="48" t="s">
        <v>97</v>
      </c>
      <c r="B2" s="48"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4CDB9-40B4-DA4B-5B9A-95F8F5E2B9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09" width="9.140625"/>
    <col min="2" max="2" style="4809" width="65.28125" customWidth="1"/>
  </cols>
  <sheetData>
    <row customHeight="1" ht="11.25">
      <c r="A1" s="845" t="s">
        <v>3134</v>
      </c>
      <c r="B1" s="845" t="s">
        <v>3135</v>
      </c>
    </row>
    <row customHeight="1" ht="11.25">
      <c r="A2" s="845">
        <v>4213775</v>
      </c>
      <c r="B2" s="845" t="s">
        <v>609</v>
      </c>
    </row>
    <row customHeight="1" ht="11.25">
      <c r="A3" s="845">
        <v>4213784</v>
      </c>
      <c r="B3" s="845" t="s">
        <v>645</v>
      </c>
    </row>
    <row customHeight="1" ht="11.25">
      <c r="A4" s="845">
        <v>4213781</v>
      </c>
      <c r="B4" s="845" t="s">
        <v>638</v>
      </c>
    </row>
    <row customHeight="1" ht="11.25">
      <c r="A5" s="845">
        <v>4213776</v>
      </c>
      <c r="B5" s="845" t="s">
        <v>167</v>
      </c>
    </row>
    <row customHeight="1" ht="11.25">
      <c r="A6" s="845">
        <v>4213777</v>
      </c>
      <c r="B6" s="845" t="s">
        <v>173</v>
      </c>
    </row>
    <row customHeight="1" ht="11.25">
      <c r="A7" s="845">
        <v>4213778</v>
      </c>
      <c r="B7" s="845" t="s">
        <v>179</v>
      </c>
    </row>
    <row customHeight="1" ht="11.25">
      <c r="A8" s="845">
        <v>4213780</v>
      </c>
      <c r="B8" s="845" t="s">
        <v>185</v>
      </c>
    </row>
    <row customHeight="1" ht="11.25">
      <c r="A9" s="845">
        <v>4213779</v>
      </c>
      <c r="B9" s="845" t="s">
        <v>778</v>
      </c>
    </row>
    <row customHeight="1" ht="11.25">
      <c r="A10" s="845">
        <v>4213783</v>
      </c>
      <c r="B10" s="845" t="s">
        <v>793</v>
      </c>
    </row>
    <row customHeight="1" ht="11.25">
      <c r="A11" s="845">
        <v>4213782</v>
      </c>
      <c r="B11" s="84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513AB-E4E2-4D6F-D0CE-93BA27BC5EF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09" width="9.140625"/>
    <col min="2" max="2" style="4809" width="65.28125" customWidth="1"/>
  </cols>
  <sheetData>
    <row customHeight="1" ht="11.25">
      <c r="A1" s="845" t="s">
        <v>3134</v>
      </c>
      <c r="B1" s="845" t="s">
        <v>3136</v>
      </c>
    </row>
    <row customHeight="1" ht="11.25">
      <c r="A2" s="845" t="s">
        <v>3137</v>
      </c>
      <c r="B2" s="845" t="s">
        <v>892</v>
      </c>
    </row>
    <row customHeight="1" ht="11.25">
      <c r="A3" s="845" t="s">
        <v>3138</v>
      </c>
      <c r="B3" s="845" t="s">
        <v>902</v>
      </c>
    </row>
    <row customHeight="1" ht="11.25">
      <c r="A4" s="845" t="s">
        <v>3139</v>
      </c>
      <c r="B4" s="845" t="s">
        <v>911</v>
      </c>
    </row>
    <row customHeight="1" ht="11.25">
      <c r="A5" s="845" t="s">
        <v>118</v>
      </c>
      <c r="B5" s="845" t="s">
        <v>920</v>
      </c>
    </row>
    <row customHeight="1" ht="11.25">
      <c r="A6" s="845" t="s">
        <v>3140</v>
      </c>
      <c r="B6" s="845" t="s">
        <v>926</v>
      </c>
    </row>
    <row customHeight="1" ht="11.25">
      <c r="A7" s="845" t="s">
        <v>3141</v>
      </c>
      <c r="B7" s="845" t="s">
        <v>934</v>
      </c>
    </row>
    <row customHeight="1" ht="11.25">
      <c r="A8" s="845" t="s">
        <v>3142</v>
      </c>
      <c r="B8" s="845" t="s">
        <v>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6CB02-EBF7-977B-6EB9-B339B6AC3A9F}"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74" width="9.140625" hidden="1" customWidth="1"/>
    <col min="2" max="2" style="3053" width="9.140625" hidden="1" customWidth="1"/>
    <col min="3" max="3" style="3075" width="3.7109375" customWidth="1"/>
    <col min="4" max="4" style="3053" width="5.57421875" customWidth="1"/>
    <col min="5" max="5" style="3053" width="48.421875" customWidth="1"/>
    <col min="6" max="6" style="3053" width="38.140625" customWidth="1"/>
    <col min="7" max="7" style="2599" width="1.7109375" hidden="1" customWidth="1"/>
    <col min="8" max="11" style="3053" width="19.8515625" hidden="1" customWidth="1"/>
    <col min="12" max="12" style="3053" width="9.7109375" hidden="1" customWidth="1"/>
    <col min="13" max="18" style="3053" width="19.8515625" hidden="1" customWidth="1"/>
    <col min="19" max="19" style="2599" width="1.7109375" hidden="1" customWidth="1"/>
    <col min="20" max="22" style="3076" width="19.8515625" hidden="1" customWidth="1"/>
    <col min="23" max="23" style="2599" width="1.7109375" hidden="1" customWidth="1"/>
    <col min="24" max="26" style="3076" width="19.8515625" customWidth="1"/>
    <col min="27" max="27" style="2599" width="1.7109375" hidden="1" customWidth="1"/>
    <col min="28" max="29" style="3076" width="19.8515625" hidden="1" customWidth="1"/>
    <col min="30" max="30" style="2599" width="1.7109375" hidden="1" customWidth="1"/>
    <col min="31" max="31" style="3053" width="103.7109375" hidden="1" customWidth="1"/>
    <col min="32" max="32" style="3076" width="103.7109375" hidden="1" customWidth="1"/>
    <col min="33" max="33" style="3076" width="103.7109375" customWidth="1"/>
    <col min="34" max="34" style="3076" width="103.7109375" hidden="1" customWidth="1"/>
    <col min="35" max="35" style="3077" width="3.7109375" customWidth="1"/>
    <col min="36" max="38" style="3030" width="10.57421875"/>
    <col min="39" max="39" style="3030" width="13.7109375" hidden="1" customWidth="1"/>
    <col min="40" max="40" style="3030" width="15.421875" customWidth="1"/>
    <col min="41" max="41" style="3030" width="16.28125" customWidth="1"/>
    <col min="42" max="45" style="3030" width="10.57421875"/>
  </cols>
  <sheetData>
    <row customHeight="1" ht="14.25" hidden="1">
      <c r="E1" s="419"/>
      <c r="F1" s="419"/>
      <c r="G1" s="419"/>
      <c r="H1" s="2056" t="s">
        <v>341</v>
      </c>
      <c r="I1" s="2056"/>
      <c r="J1" s="2056"/>
      <c r="K1" s="2056"/>
      <c r="L1" s="2056"/>
      <c r="M1" s="2056"/>
      <c r="N1" s="2056"/>
      <c r="O1" s="2056"/>
      <c r="P1" s="2056"/>
      <c r="Q1" s="2056"/>
      <c r="R1" s="2056"/>
      <c r="T1" s="2056" t="s">
        <v>342</v>
      </c>
      <c r="U1" s="2056"/>
      <c r="V1" s="2056"/>
      <c r="X1" s="2056" t="s">
        <v>343</v>
      </c>
      <c r="Y1" s="2056"/>
      <c r="Z1" s="2056"/>
      <c r="AB1" s="2056" t="s">
        <v>344</v>
      </c>
      <c r="AC1" s="2056"/>
    </row>
    <row customHeight="1" ht="14.25" hidden="1"/>
    <row s="3013" customFormat="1" customHeight="1" ht="6">
      <c r="C3" s="709"/>
      <c r="D3" s="710"/>
      <c r="E3" s="710"/>
      <c r="F3" s="710"/>
      <c r="G3" s="710"/>
      <c r="H3" s="710" t="s">
        <v>345</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199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97"/>
      <c r="F4" s="1997"/>
      <c r="G4" s="1997"/>
      <c r="H4" s="1997"/>
      <c r="I4" s="1997"/>
      <c r="J4" s="1997"/>
      <c r="K4" s="1997"/>
      <c r="L4" s="1997"/>
      <c r="M4" s="1997"/>
      <c r="N4" s="1997"/>
      <c r="O4" s="1997"/>
      <c r="P4" s="1997"/>
      <c r="Q4" s="1997"/>
      <c r="R4" s="1998"/>
      <c r="S4" s="863"/>
      <c r="T4" s="707"/>
      <c r="U4" s="707"/>
      <c r="V4" s="707"/>
      <c r="W4" s="707"/>
      <c r="X4" s="707"/>
      <c r="Y4" s="707"/>
      <c r="Z4" s="707"/>
      <c r="AA4" s="707"/>
      <c r="AB4" s="707"/>
      <c r="AC4" s="707"/>
      <c r="AD4" s="707"/>
      <c r="AE4" s="499"/>
      <c r="AF4" s="499"/>
      <c r="AG4" s="499"/>
      <c r="AH4" s="499"/>
      <c r="AI4" s="496"/>
    </row>
    <row s="2599" customFormat="1" customHeight="1" ht="17.25">
      <c r="A5" s="769"/>
      <c r="C5" s="832"/>
      <c r="D5" s="2053" t="str">
        <f>IF(org=0,"Не определено",org)</f>
        <v>Филиал "Печорская ГРЭС" АО "Интер РАО-Электрогенерация"</v>
      </c>
      <c r="E5" s="2054"/>
      <c r="F5" s="2054"/>
      <c r="G5" s="2054"/>
      <c r="H5" s="2054"/>
      <c r="I5" s="2054"/>
      <c r="J5" s="2054"/>
      <c r="K5" s="2054"/>
      <c r="L5" s="2054"/>
      <c r="M5" s="2054"/>
      <c r="N5" s="2054"/>
      <c r="O5" s="2054"/>
      <c r="P5" s="2054"/>
      <c r="Q5" s="2054"/>
      <c r="R5" s="2055"/>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25"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7" t="s">
        <v>287</v>
      </c>
      <c r="E7" s="2058"/>
      <c r="F7" s="2058"/>
      <c r="G7" s="2058"/>
      <c r="H7" s="2058"/>
      <c r="I7" s="2058"/>
      <c r="J7" s="2058"/>
      <c r="K7" s="2058"/>
      <c r="L7" s="2058"/>
      <c r="M7" s="2058"/>
      <c r="N7" s="2058"/>
      <c r="O7" s="2058"/>
      <c r="P7" s="2058"/>
      <c r="Q7" s="2058"/>
      <c r="R7" s="2058"/>
      <c r="S7" s="2058"/>
      <c r="T7" s="2058"/>
      <c r="U7" s="2058"/>
      <c r="V7" s="2058"/>
      <c r="W7" s="2058"/>
      <c r="X7" s="2058"/>
      <c r="Y7" s="2058"/>
      <c r="Z7" s="2058"/>
      <c r="AA7" s="2058"/>
      <c r="AB7" s="2058"/>
      <c r="AC7" s="2058"/>
      <c r="AD7" s="2059"/>
      <c r="AE7" s="2062" t="s">
        <v>288</v>
      </c>
      <c r="AF7" s="2062" t="s">
        <v>288</v>
      </c>
      <c r="AG7" s="2062" t="s">
        <v>288</v>
      </c>
      <c r="AH7" s="2062" t="s">
        <v>288</v>
      </c>
    </row>
    <row customHeight="1" ht="25.5">
      <c r="C8" s="458"/>
      <c r="D8" s="1966" t="s">
        <v>87</v>
      </c>
      <c r="E8" s="2062" t="str">
        <f>"Наименование "&amp;IF(TEMPLATE_SPHERE&lt;&gt;"HEAT","централизованной ","")&amp;"системы "&amp;TEMPLATE_SPHERE_RUS</f>
        <v>Наименование централизованной системы холодного водоснабжения</v>
      </c>
      <c r="F8" s="2062" t="str">
        <f>IF(TEMPLATE_SPHERE&lt;&gt;"HEAT","Регулируемый вид деятельности","Вид регулируемой деятельности")</f>
        <v>Регулируемый вид деятельности</v>
      </c>
      <c r="G8" s="838"/>
      <c r="H8" s="2063" t="s">
        <v>346</v>
      </c>
      <c r="I8" s="2065" t="s">
        <v>347</v>
      </c>
      <c r="J8" s="2062" t="s">
        <v>348</v>
      </c>
      <c r="K8" s="2062"/>
      <c r="L8" s="2062"/>
      <c r="M8" s="2057"/>
      <c r="N8" s="2062" t="s">
        <v>349</v>
      </c>
      <c r="O8" s="2062"/>
      <c r="P8" s="2062" t="s">
        <v>350</v>
      </c>
      <c r="Q8" s="2062"/>
      <c r="R8" s="2069" t="s">
        <v>351</v>
      </c>
      <c r="S8" s="834"/>
      <c r="T8" s="2067" t="s">
        <v>352</v>
      </c>
      <c r="U8" s="2067" t="s">
        <v>353</v>
      </c>
      <c r="V8" s="2067" t="s">
        <v>354</v>
      </c>
      <c r="W8" s="836"/>
      <c r="X8" s="2067" t="s">
        <v>355</v>
      </c>
      <c r="Y8" s="2067" t="s">
        <v>356</v>
      </c>
      <c r="Z8" s="2067" t="s">
        <v>357</v>
      </c>
      <c r="AA8" s="836"/>
      <c r="AB8" s="2067" t="s">
        <v>358</v>
      </c>
      <c r="AC8" s="2067" t="s">
        <v>351</v>
      </c>
      <c r="AD8" s="836"/>
      <c r="AE8" s="2062"/>
      <c r="AF8" s="2062"/>
      <c r="AG8" s="2062"/>
      <c r="AH8" s="2062"/>
    </row>
    <row customHeight="1" ht="33.75">
      <c r="C9" s="458"/>
      <c r="D9" s="1966"/>
      <c r="E9" s="2062"/>
      <c r="F9" s="2062"/>
      <c r="G9" s="839"/>
      <c r="H9" s="2064"/>
      <c r="I9" s="2066"/>
      <c r="J9" s="432" t="s">
        <v>359</v>
      </c>
      <c r="K9" s="432" t="s">
        <v>360</v>
      </c>
      <c r="L9" s="432" t="s">
        <v>361</v>
      </c>
      <c r="M9" s="438" t="s">
        <v>362</v>
      </c>
      <c r="N9" s="432" t="s">
        <v>363</v>
      </c>
      <c r="O9" s="432" t="s">
        <v>362</v>
      </c>
      <c r="P9" s="432" t="s">
        <v>364</v>
      </c>
      <c r="Q9" s="432" t="s">
        <v>362</v>
      </c>
      <c r="R9" s="2070"/>
      <c r="S9" s="835"/>
      <c r="T9" s="2068"/>
      <c r="U9" s="2068"/>
      <c r="V9" s="2068"/>
      <c r="W9" s="837"/>
      <c r="X9" s="2068"/>
      <c r="Y9" s="2068"/>
      <c r="Z9" s="2068"/>
      <c r="AA9" s="837"/>
      <c r="AB9" s="2068"/>
      <c r="AC9" s="2068"/>
      <c r="AD9" s="837"/>
      <c r="AE9" s="2062"/>
      <c r="AF9" s="2062"/>
      <c r="AG9" s="2062"/>
      <c r="AH9" s="2062"/>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6" customFormat="1" customHeight="1" ht="11.25" hidden="1">
      <c r="C11" s="506"/>
      <c r="D11" s="507" t="s">
        <v>365</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109</v>
      </c>
      <c r="E12" s="1827" t="s">
        <v>18</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0" t="s">
        <v>366</v>
      </c>
      <c r="AF12" s="2060" t="s">
        <v>367</v>
      </c>
      <c r="AG12" s="2060" t="s">
        <v>368</v>
      </c>
      <c r="AH12" s="2060" t="s">
        <v>369</v>
      </c>
      <c r="AI12" s="455"/>
      <c r="AM12" s="519"/>
      <c r="AP12" s="508" t="s">
        <v>370</v>
      </c>
      <c r="AQ12" s="508" t="s">
        <v>370</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1"/>
      <c r="AF13" s="2061"/>
      <c r="AG13" s="2061"/>
      <c r="AH13" s="2061"/>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63854-EA52-424A-6FAD-6FE5F6F10A3D}"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373" t="s">
        <v>2568</v>
      </c>
      <c r="B1" s="373" t="s">
        <v>2569</v>
      </c>
      <c r="C1" s="373" t="s">
        <v>2570</v>
      </c>
      <c r="D1" s="373" t="s">
        <v>2571</v>
      </c>
      <c r="E1" s="0" t="s">
        <v>2572</v>
      </c>
      <c r="F1" s="0" t="s">
        <v>2573</v>
      </c>
      <c r="G1" s="0" t="s">
        <v>2574</v>
      </c>
    </row>
    <row customHeight="1" ht="11.25">
      <c r="A2" s="0" t="s">
        <v>14</v>
      </c>
      <c r="B2" s="0" t="s">
        <v>2575</v>
      </c>
      <c r="C2" s="0" t="s">
        <v>2576</v>
      </c>
      <c r="D2" s="0" t="s">
        <v>2575</v>
      </c>
      <c r="E2" s="0" t="s">
        <v>2576</v>
      </c>
      <c r="F2" s="0" t="s">
        <v>2577</v>
      </c>
      <c r="G2" s="0" t="s">
        <v>109</v>
      </c>
    </row>
    <row customHeight="1" ht="11.25">
      <c r="A3" s="0" t="s">
        <v>14</v>
      </c>
      <c r="B3" s="0" t="s">
        <v>2578</v>
      </c>
      <c r="C3" s="0" t="s">
        <v>2579</v>
      </c>
      <c r="D3" s="0" t="s">
        <v>2578</v>
      </c>
      <c r="E3" s="0" t="s">
        <v>2579</v>
      </c>
      <c r="F3" s="0" t="s">
        <v>2577</v>
      </c>
      <c r="G3" s="0" t="s">
        <v>110</v>
      </c>
    </row>
    <row customHeight="1" ht="11.25">
      <c r="A4" s="0" t="s">
        <v>14</v>
      </c>
      <c r="B4" s="0" t="s">
        <v>2580</v>
      </c>
      <c r="C4" s="0" t="s">
        <v>2581</v>
      </c>
      <c r="D4" s="0" t="s">
        <v>2580</v>
      </c>
      <c r="E4" s="0" t="s">
        <v>2581</v>
      </c>
      <c r="F4" s="0" t="s">
        <v>2577</v>
      </c>
      <c r="G4" s="0" t="s">
        <v>89</v>
      </c>
    </row>
    <row customHeight="1" ht="11.25">
      <c r="A5" s="0" t="s">
        <v>14</v>
      </c>
      <c r="B5" s="0" t="s">
        <v>2582</v>
      </c>
      <c r="C5" s="0" t="s">
        <v>2583</v>
      </c>
      <c r="D5" s="0" t="s">
        <v>2582</v>
      </c>
      <c r="E5" s="0" t="s">
        <v>2583</v>
      </c>
      <c r="F5" s="0" t="s">
        <v>2577</v>
      </c>
      <c r="G5" s="0" t="s">
        <v>90</v>
      </c>
    </row>
    <row customHeight="1" ht="11.25">
      <c r="A6" s="0" t="s">
        <v>14</v>
      </c>
      <c r="B6" s="0" t="s">
        <v>2584</v>
      </c>
      <c r="C6" s="0" t="s">
        <v>2585</v>
      </c>
      <c r="D6" s="0" t="s">
        <v>2584</v>
      </c>
      <c r="E6" s="0" t="s">
        <v>2585</v>
      </c>
      <c r="F6" s="0" t="s">
        <v>2577</v>
      </c>
      <c r="G6" s="0" t="s">
        <v>111</v>
      </c>
    </row>
    <row customHeight="1" ht="11.25">
      <c r="A7" s="0" t="s">
        <v>14</v>
      </c>
      <c r="B7" s="0" t="s">
        <v>2586</v>
      </c>
      <c r="C7" s="0" t="s">
        <v>2587</v>
      </c>
      <c r="D7" s="0" t="s">
        <v>2586</v>
      </c>
      <c r="E7" s="0" t="s">
        <v>2587</v>
      </c>
      <c r="F7" s="0" t="s">
        <v>2577</v>
      </c>
      <c r="G7" s="0" t="s">
        <v>91</v>
      </c>
    </row>
    <row customHeight="1" ht="11.25">
      <c r="A8" s="0" t="s">
        <v>14</v>
      </c>
      <c r="B8" s="0" t="s">
        <v>2588</v>
      </c>
      <c r="C8" s="0" t="s">
        <v>2589</v>
      </c>
      <c r="D8" s="0" t="s">
        <v>2590</v>
      </c>
      <c r="E8" s="0" t="s">
        <v>2591</v>
      </c>
      <c r="F8" s="0" t="s">
        <v>2592</v>
      </c>
      <c r="G8" s="0" t="s">
        <v>92</v>
      </c>
    </row>
    <row customHeight="1" ht="11.25">
      <c r="A9" s="0" t="s">
        <v>14</v>
      </c>
      <c r="B9" s="0" t="s">
        <v>2588</v>
      </c>
      <c r="C9" s="0" t="s">
        <v>2589</v>
      </c>
      <c r="D9" s="0" t="s">
        <v>2588</v>
      </c>
      <c r="E9" s="0" t="s">
        <v>2589</v>
      </c>
      <c r="F9" s="0" t="s">
        <v>2593</v>
      </c>
      <c r="G9" s="0" t="s">
        <v>112</v>
      </c>
    </row>
    <row customHeight="1" ht="11.25">
      <c r="A10" s="0" t="s">
        <v>14</v>
      </c>
      <c r="B10" s="0" t="s">
        <v>2588</v>
      </c>
      <c r="C10" s="0" t="s">
        <v>2589</v>
      </c>
      <c r="D10" s="0" t="s">
        <v>2594</v>
      </c>
      <c r="E10" s="0" t="s">
        <v>2595</v>
      </c>
      <c r="F10" s="0" t="s">
        <v>2592</v>
      </c>
      <c r="G10" s="0" t="s">
        <v>149</v>
      </c>
    </row>
    <row customHeight="1" ht="11.25">
      <c r="A11" s="0" t="s">
        <v>14</v>
      </c>
      <c r="B11" s="0" t="s">
        <v>2588</v>
      </c>
      <c r="C11" s="0" t="s">
        <v>2589</v>
      </c>
      <c r="D11" s="0" t="s">
        <v>2596</v>
      </c>
      <c r="E11" s="0" t="s">
        <v>2597</v>
      </c>
      <c r="F11" s="0" t="s">
        <v>2592</v>
      </c>
      <c r="G11" s="0" t="s">
        <v>150</v>
      </c>
    </row>
    <row customHeight="1" ht="11.25">
      <c r="A12" s="0" t="s">
        <v>14</v>
      </c>
      <c r="B12" s="0" t="s">
        <v>2588</v>
      </c>
      <c r="C12" s="0" t="s">
        <v>2589</v>
      </c>
      <c r="D12" s="0" t="s">
        <v>2598</v>
      </c>
      <c r="E12" s="0" t="s">
        <v>2599</v>
      </c>
      <c r="F12" s="0" t="s">
        <v>2592</v>
      </c>
      <c r="G12" s="0" t="s">
        <v>151</v>
      </c>
    </row>
    <row customHeight="1" ht="11.25">
      <c r="A13" s="0" t="s">
        <v>14</v>
      </c>
      <c r="B13" s="0" t="s">
        <v>2588</v>
      </c>
      <c r="C13" s="0" t="s">
        <v>2589</v>
      </c>
      <c r="D13" s="0" t="s">
        <v>2600</v>
      </c>
      <c r="E13" s="0" t="s">
        <v>2601</v>
      </c>
      <c r="F13" s="0" t="s">
        <v>2592</v>
      </c>
      <c r="G13" s="0" t="s">
        <v>152</v>
      </c>
    </row>
    <row customHeight="1" ht="11.25">
      <c r="A14" s="0" t="s">
        <v>14</v>
      </c>
      <c r="B14" s="0" t="s">
        <v>2588</v>
      </c>
      <c r="C14" s="0" t="s">
        <v>2589</v>
      </c>
      <c r="D14" s="0" t="s">
        <v>2602</v>
      </c>
      <c r="E14" s="0" t="s">
        <v>2603</v>
      </c>
      <c r="F14" s="0" t="s">
        <v>2592</v>
      </c>
      <c r="G14" s="0" t="s">
        <v>153</v>
      </c>
    </row>
    <row customHeight="1" ht="11.25">
      <c r="A15" s="0" t="s">
        <v>14</v>
      </c>
      <c r="B15" s="0" t="s">
        <v>2588</v>
      </c>
      <c r="C15" s="0" t="s">
        <v>2589</v>
      </c>
      <c r="D15" s="0" t="s">
        <v>2604</v>
      </c>
      <c r="E15" s="0" t="s">
        <v>2605</v>
      </c>
      <c r="F15" s="0" t="s">
        <v>2592</v>
      </c>
      <c r="G15" s="0" t="s">
        <v>154</v>
      </c>
    </row>
    <row customHeight="1" ht="11.25">
      <c r="A16" s="0" t="s">
        <v>14</v>
      </c>
      <c r="B16" s="0" t="s">
        <v>2588</v>
      </c>
      <c r="C16" s="0" t="s">
        <v>2589</v>
      </c>
      <c r="D16" s="0" t="s">
        <v>2606</v>
      </c>
      <c r="E16" s="0" t="s">
        <v>2607</v>
      </c>
      <c r="F16" s="0" t="s">
        <v>2592</v>
      </c>
      <c r="G16" s="0" t="s">
        <v>854</v>
      </c>
    </row>
    <row customHeight="1" ht="11.25">
      <c r="A17" s="0" t="s">
        <v>14</v>
      </c>
      <c r="B17" s="0" t="s">
        <v>2588</v>
      </c>
      <c r="C17" s="0" t="s">
        <v>2589</v>
      </c>
      <c r="D17" s="0" t="s">
        <v>2608</v>
      </c>
      <c r="E17" s="0" t="s">
        <v>2609</v>
      </c>
      <c r="F17" s="0" t="s">
        <v>2592</v>
      </c>
      <c r="G17" s="0" t="s">
        <v>860</v>
      </c>
    </row>
    <row customHeight="1" ht="11.25">
      <c r="A18" s="0" t="s">
        <v>14</v>
      </c>
      <c r="B18" s="0" t="s">
        <v>2588</v>
      </c>
      <c r="C18" s="0" t="s">
        <v>2589</v>
      </c>
      <c r="D18" s="0" t="s">
        <v>2610</v>
      </c>
      <c r="E18" s="0" t="s">
        <v>2611</v>
      </c>
      <c r="F18" s="0" t="s">
        <v>2592</v>
      </c>
      <c r="G18" s="0" t="s">
        <v>871</v>
      </c>
    </row>
    <row customHeight="1" ht="11.25">
      <c r="A19" s="0" t="s">
        <v>14</v>
      </c>
      <c r="B19" s="0" t="s">
        <v>2612</v>
      </c>
      <c r="C19" s="0" t="s">
        <v>2613</v>
      </c>
      <c r="D19" s="0" t="s">
        <v>2614</v>
      </c>
      <c r="E19" s="0" t="s">
        <v>2615</v>
      </c>
      <c r="F19" s="0" t="s">
        <v>2616</v>
      </c>
      <c r="G19" s="0" t="s">
        <v>885</v>
      </c>
    </row>
    <row customHeight="1" ht="11.25">
      <c r="A20" s="0" t="s">
        <v>14</v>
      </c>
      <c r="B20" s="0" t="s">
        <v>2612</v>
      </c>
      <c r="C20" s="0" t="s">
        <v>2613</v>
      </c>
      <c r="D20" s="0" t="s">
        <v>2617</v>
      </c>
      <c r="E20" s="0" t="s">
        <v>2618</v>
      </c>
      <c r="F20" s="0" t="s">
        <v>2592</v>
      </c>
      <c r="G20" s="0" t="s">
        <v>897</v>
      </c>
    </row>
    <row customHeight="1" ht="11.25">
      <c r="A21" s="0" t="s">
        <v>14</v>
      </c>
      <c r="B21" s="0" t="s">
        <v>2612</v>
      </c>
      <c r="C21" s="0" t="s">
        <v>2613</v>
      </c>
      <c r="D21" s="0" t="s">
        <v>2612</v>
      </c>
      <c r="E21" s="0" t="s">
        <v>2613</v>
      </c>
      <c r="F21" s="0" t="s">
        <v>2593</v>
      </c>
      <c r="G21" s="0" t="s">
        <v>906</v>
      </c>
    </row>
    <row customHeight="1" ht="11.25">
      <c r="A22" s="0" t="s">
        <v>14</v>
      </c>
      <c r="B22" s="0" t="s">
        <v>2612</v>
      </c>
      <c r="C22" s="0" t="s">
        <v>2613</v>
      </c>
      <c r="D22" s="0" t="s">
        <v>2619</v>
      </c>
      <c r="E22" s="0" t="s">
        <v>2620</v>
      </c>
      <c r="F22" s="0" t="s">
        <v>2621</v>
      </c>
      <c r="G22" s="0" t="s">
        <v>922</v>
      </c>
    </row>
    <row customHeight="1" ht="11.25">
      <c r="A23" s="0" t="s">
        <v>14</v>
      </c>
      <c r="B23" s="0" t="s">
        <v>2612</v>
      </c>
      <c r="C23" s="0" t="s">
        <v>2613</v>
      </c>
      <c r="D23" s="0" t="s">
        <v>2622</v>
      </c>
      <c r="E23" s="0" t="s">
        <v>2623</v>
      </c>
      <c r="F23" s="0" t="s">
        <v>2592</v>
      </c>
      <c r="G23" s="0" t="s">
        <v>929</v>
      </c>
    </row>
    <row customHeight="1" ht="11.25">
      <c r="A24" s="0" t="s">
        <v>14</v>
      </c>
      <c r="B24" s="0" t="s">
        <v>2612</v>
      </c>
      <c r="C24" s="0" t="s">
        <v>2613</v>
      </c>
      <c r="D24" s="0" t="s">
        <v>2624</v>
      </c>
      <c r="E24" s="0" t="s">
        <v>2625</v>
      </c>
      <c r="F24" s="0" t="s">
        <v>2592</v>
      </c>
      <c r="G24" s="0" t="s">
        <v>937</v>
      </c>
    </row>
    <row customHeight="1" ht="11.25">
      <c r="A25" s="0" t="s">
        <v>14</v>
      </c>
      <c r="B25" s="0" t="s">
        <v>2612</v>
      </c>
      <c r="C25" s="0" t="s">
        <v>2613</v>
      </c>
      <c r="D25" s="0" t="s">
        <v>2626</v>
      </c>
      <c r="E25" s="0" t="s">
        <v>2627</v>
      </c>
      <c r="F25" s="0" t="s">
        <v>2628</v>
      </c>
      <c r="G25" s="0" t="s">
        <v>944</v>
      </c>
    </row>
    <row customHeight="1" ht="11.25">
      <c r="A26" s="0" t="s">
        <v>14</v>
      </c>
      <c r="B26" s="0" t="s">
        <v>2612</v>
      </c>
      <c r="C26" s="0" t="s">
        <v>2613</v>
      </c>
      <c r="D26" s="0" t="s">
        <v>2629</v>
      </c>
      <c r="E26" s="0" t="s">
        <v>2630</v>
      </c>
      <c r="F26" s="0" t="s">
        <v>2592</v>
      </c>
      <c r="G26" s="0" t="s">
        <v>948</v>
      </c>
    </row>
    <row customHeight="1" ht="11.25">
      <c r="A27" s="0" t="s">
        <v>14</v>
      </c>
      <c r="B27" s="0" t="s">
        <v>2612</v>
      </c>
      <c r="C27" s="0" t="s">
        <v>2613</v>
      </c>
      <c r="D27" s="0" t="s">
        <v>2631</v>
      </c>
      <c r="E27" s="0" t="s">
        <v>2632</v>
      </c>
      <c r="F27" s="0" t="s">
        <v>2592</v>
      </c>
      <c r="G27" s="0" t="s">
        <v>953</v>
      </c>
    </row>
    <row customHeight="1" ht="11.25">
      <c r="A28" s="0" t="s">
        <v>14</v>
      </c>
      <c r="B28" s="0" t="s">
        <v>2612</v>
      </c>
      <c r="C28" s="0" t="s">
        <v>2613</v>
      </c>
      <c r="D28" s="0" t="s">
        <v>2633</v>
      </c>
      <c r="E28" s="0" t="s">
        <v>2634</v>
      </c>
      <c r="F28" s="0" t="s">
        <v>2592</v>
      </c>
      <c r="G28" s="0" t="s">
        <v>961</v>
      </c>
    </row>
    <row customHeight="1" ht="11.25">
      <c r="A29" s="0" t="s">
        <v>14</v>
      </c>
      <c r="B29" s="0" t="s">
        <v>2612</v>
      </c>
      <c r="C29" s="0" t="s">
        <v>2613</v>
      </c>
      <c r="D29" s="0" t="s">
        <v>2635</v>
      </c>
      <c r="E29" s="0" t="s">
        <v>2636</v>
      </c>
      <c r="F29" s="0" t="s">
        <v>2592</v>
      </c>
      <c r="G29" s="0" t="s">
        <v>963</v>
      </c>
    </row>
    <row customHeight="1" ht="11.25">
      <c r="A30" s="0" t="s">
        <v>14</v>
      </c>
      <c r="B30" s="0" t="s">
        <v>2637</v>
      </c>
      <c r="C30" s="0" t="s">
        <v>2638</v>
      </c>
      <c r="D30" s="0" t="s">
        <v>2639</v>
      </c>
      <c r="E30" s="0" t="s">
        <v>2640</v>
      </c>
      <c r="F30" s="0" t="s">
        <v>2592</v>
      </c>
      <c r="G30" s="0" t="s">
        <v>966</v>
      </c>
    </row>
    <row customHeight="1" ht="11.25">
      <c r="A31" s="0" t="s">
        <v>14</v>
      </c>
      <c r="B31" s="0" t="s">
        <v>2637</v>
      </c>
      <c r="C31" s="0" t="s">
        <v>2638</v>
      </c>
      <c r="D31" s="0" t="s">
        <v>2641</v>
      </c>
      <c r="E31" s="0" t="s">
        <v>2642</v>
      </c>
      <c r="F31" s="0" t="s">
        <v>2592</v>
      </c>
      <c r="G31" s="0" t="s">
        <v>972</v>
      </c>
    </row>
    <row customHeight="1" ht="11.25">
      <c r="A32" s="0" t="s">
        <v>14</v>
      </c>
      <c r="B32" s="0" t="s">
        <v>2637</v>
      </c>
      <c r="C32" s="0" t="s">
        <v>2638</v>
      </c>
      <c r="D32" s="0" t="s">
        <v>2643</v>
      </c>
      <c r="E32" s="0" t="s">
        <v>2644</v>
      </c>
      <c r="F32" s="0" t="s">
        <v>2592</v>
      </c>
      <c r="G32" s="0" t="s">
        <v>974</v>
      </c>
    </row>
    <row customHeight="1" ht="11.25">
      <c r="A33" s="0" t="s">
        <v>14</v>
      </c>
      <c r="B33" s="0" t="s">
        <v>2637</v>
      </c>
      <c r="C33" s="0" t="s">
        <v>2638</v>
      </c>
      <c r="D33" s="0" t="s">
        <v>2637</v>
      </c>
      <c r="E33" s="0" t="s">
        <v>2638</v>
      </c>
      <c r="F33" s="0" t="s">
        <v>2593</v>
      </c>
      <c r="G33" s="0" t="s">
        <v>976</v>
      </c>
    </row>
    <row customHeight="1" ht="11.25">
      <c r="A34" s="0" t="s">
        <v>14</v>
      </c>
      <c r="B34" s="0" t="s">
        <v>2637</v>
      </c>
      <c r="C34" s="0" t="s">
        <v>2638</v>
      </c>
      <c r="D34" s="0" t="s">
        <v>2645</v>
      </c>
      <c r="E34" s="0" t="s">
        <v>2646</v>
      </c>
      <c r="F34" s="0" t="s">
        <v>2592</v>
      </c>
      <c r="G34" s="0" t="s">
        <v>978</v>
      </c>
    </row>
    <row customHeight="1" ht="11.25">
      <c r="A35" s="0" t="s">
        <v>14</v>
      </c>
      <c r="B35" s="0" t="s">
        <v>2637</v>
      </c>
      <c r="C35" s="0" t="s">
        <v>2638</v>
      </c>
      <c r="D35" s="0" t="s">
        <v>2647</v>
      </c>
      <c r="E35" s="0" t="s">
        <v>2648</v>
      </c>
      <c r="F35" s="0" t="s">
        <v>2592</v>
      </c>
      <c r="G35" s="0" t="s">
        <v>984</v>
      </c>
    </row>
    <row customHeight="1" ht="11.25">
      <c r="A36" s="0" t="s">
        <v>14</v>
      </c>
      <c r="B36" s="0" t="s">
        <v>2637</v>
      </c>
      <c r="C36" s="0" t="s">
        <v>2638</v>
      </c>
      <c r="D36" s="0" t="s">
        <v>2649</v>
      </c>
      <c r="E36" s="0" t="s">
        <v>2650</v>
      </c>
      <c r="F36" s="0" t="s">
        <v>2592</v>
      </c>
      <c r="G36" s="0" t="s">
        <v>989</v>
      </c>
    </row>
    <row customHeight="1" ht="11.25">
      <c r="A37" s="0" t="s">
        <v>14</v>
      </c>
      <c r="B37" s="0" t="s">
        <v>2637</v>
      </c>
      <c r="C37" s="0" t="s">
        <v>2638</v>
      </c>
      <c r="D37" s="0" t="s">
        <v>2651</v>
      </c>
      <c r="E37" s="0" t="s">
        <v>2652</v>
      </c>
      <c r="F37" s="0" t="s">
        <v>2592</v>
      </c>
      <c r="G37" s="0" t="s">
        <v>993</v>
      </c>
    </row>
    <row customHeight="1" ht="11.25">
      <c r="A38" s="0" t="s">
        <v>14</v>
      </c>
      <c r="B38" s="0" t="s">
        <v>2653</v>
      </c>
      <c r="C38" s="0" t="s">
        <v>2654</v>
      </c>
      <c r="D38" s="0" t="s">
        <v>2655</v>
      </c>
      <c r="E38" s="0" t="s">
        <v>2656</v>
      </c>
      <c r="F38" s="0" t="s">
        <v>2592</v>
      </c>
      <c r="G38" s="0" t="s">
        <v>1001</v>
      </c>
    </row>
    <row customHeight="1" ht="11.25">
      <c r="A39" s="0" t="s">
        <v>14</v>
      </c>
      <c r="B39" s="0" t="s">
        <v>2653</v>
      </c>
      <c r="C39" s="0" t="s">
        <v>2654</v>
      </c>
      <c r="D39" s="0" t="s">
        <v>2657</v>
      </c>
      <c r="E39" s="0" t="s">
        <v>2658</v>
      </c>
      <c r="F39" s="0" t="s">
        <v>2592</v>
      </c>
      <c r="G39" s="0" t="s">
        <v>1008</v>
      </c>
    </row>
    <row customHeight="1" ht="11.25">
      <c r="A40" s="0" t="s">
        <v>14</v>
      </c>
      <c r="B40" s="0" t="s">
        <v>2653</v>
      </c>
      <c r="C40" s="0" t="s">
        <v>2654</v>
      </c>
      <c r="D40" s="0" t="s">
        <v>2659</v>
      </c>
      <c r="E40" s="0" t="s">
        <v>2660</v>
      </c>
      <c r="F40" s="0" t="s">
        <v>2592</v>
      </c>
      <c r="G40" s="0" t="s">
        <v>1015</v>
      </c>
    </row>
    <row customHeight="1" ht="11.25">
      <c r="A41" s="0" t="s">
        <v>14</v>
      </c>
      <c r="B41" s="0" t="s">
        <v>2653</v>
      </c>
      <c r="C41" s="0" t="s">
        <v>2654</v>
      </c>
      <c r="D41" s="0" t="s">
        <v>2661</v>
      </c>
      <c r="E41" s="0" t="s">
        <v>2662</v>
      </c>
      <c r="F41" s="0" t="s">
        <v>2592</v>
      </c>
      <c r="G41" s="0" t="s">
        <v>1021</v>
      </c>
    </row>
    <row customHeight="1" ht="11.25">
      <c r="A42" s="0" t="s">
        <v>14</v>
      </c>
      <c r="B42" s="0" t="s">
        <v>2653</v>
      </c>
      <c r="C42" s="0" t="s">
        <v>2654</v>
      </c>
      <c r="D42" s="0" t="s">
        <v>2663</v>
      </c>
      <c r="E42" s="0" t="s">
        <v>2664</v>
      </c>
      <c r="F42" s="0" t="s">
        <v>2592</v>
      </c>
      <c r="G42" s="0" t="s">
        <v>1026</v>
      </c>
    </row>
    <row customHeight="1" ht="11.25">
      <c r="A43" s="0" t="s">
        <v>14</v>
      </c>
      <c r="B43" s="0" t="s">
        <v>2653</v>
      </c>
      <c r="C43" s="0" t="s">
        <v>2654</v>
      </c>
      <c r="D43" s="0" t="s">
        <v>2665</v>
      </c>
      <c r="E43" s="0" t="s">
        <v>2666</v>
      </c>
      <c r="F43" s="0" t="s">
        <v>2592</v>
      </c>
      <c r="G43" s="0" t="s">
        <v>1033</v>
      </c>
    </row>
    <row customHeight="1" ht="11.25">
      <c r="A44" s="0" t="s">
        <v>14</v>
      </c>
      <c r="B44" s="0" t="s">
        <v>2653</v>
      </c>
      <c r="C44" s="0" t="s">
        <v>2654</v>
      </c>
      <c r="D44" s="0" t="s">
        <v>2653</v>
      </c>
      <c r="E44" s="0" t="s">
        <v>2654</v>
      </c>
      <c r="F44" s="0" t="s">
        <v>2593</v>
      </c>
      <c r="G44" s="0" t="s">
        <v>1042</v>
      </c>
    </row>
    <row customHeight="1" ht="11.25">
      <c r="A45" s="0" t="s">
        <v>14</v>
      </c>
      <c r="B45" s="0" t="s">
        <v>2653</v>
      </c>
      <c r="C45" s="0" t="s">
        <v>2654</v>
      </c>
      <c r="D45" s="0" t="s">
        <v>2667</v>
      </c>
      <c r="E45" s="0" t="s">
        <v>2668</v>
      </c>
      <c r="F45" s="0" t="s">
        <v>2592</v>
      </c>
      <c r="G45" s="0" t="s">
        <v>1048</v>
      </c>
    </row>
    <row customHeight="1" ht="11.25">
      <c r="A46" s="0" t="s">
        <v>14</v>
      </c>
      <c r="B46" s="0" t="s">
        <v>2653</v>
      </c>
      <c r="C46" s="0" t="s">
        <v>2654</v>
      </c>
      <c r="D46" s="0" t="s">
        <v>2669</v>
      </c>
      <c r="E46" s="0" t="s">
        <v>2670</v>
      </c>
      <c r="F46" s="0" t="s">
        <v>2592</v>
      </c>
      <c r="G46" s="0" t="s">
        <v>1053</v>
      </c>
    </row>
    <row customHeight="1" ht="11.25">
      <c r="A47" s="0" t="s">
        <v>14</v>
      </c>
      <c r="B47" s="0" t="s">
        <v>2653</v>
      </c>
      <c r="C47" s="0" t="s">
        <v>2654</v>
      </c>
      <c r="D47" s="0" t="s">
        <v>2671</v>
      </c>
      <c r="E47" s="0" t="s">
        <v>2672</v>
      </c>
      <c r="F47" s="0" t="s">
        <v>2592</v>
      </c>
      <c r="G47" s="0" t="s">
        <v>1059</v>
      </c>
    </row>
    <row customHeight="1" ht="11.25">
      <c r="A48" s="0" t="s">
        <v>14</v>
      </c>
      <c r="B48" s="0" t="s">
        <v>2653</v>
      </c>
      <c r="C48" s="0" t="s">
        <v>2654</v>
      </c>
      <c r="D48" s="0" t="s">
        <v>2673</v>
      </c>
      <c r="E48" s="0" t="s">
        <v>2674</v>
      </c>
      <c r="F48" s="0" t="s">
        <v>2592</v>
      </c>
      <c r="G48" s="0" t="s">
        <v>1065</v>
      </c>
    </row>
    <row customHeight="1" ht="11.25">
      <c r="A49" s="0" t="s">
        <v>14</v>
      </c>
      <c r="B49" s="0" t="s">
        <v>2653</v>
      </c>
      <c r="C49" s="0" t="s">
        <v>2654</v>
      </c>
      <c r="D49" s="0" t="s">
        <v>2675</v>
      </c>
      <c r="E49" s="0" t="s">
        <v>2676</v>
      </c>
      <c r="F49" s="0" t="s">
        <v>2592</v>
      </c>
      <c r="G49" s="0" t="s">
        <v>1071</v>
      </c>
    </row>
    <row customHeight="1" ht="11.25">
      <c r="A50" s="0" t="s">
        <v>14</v>
      </c>
      <c r="B50" s="0" t="s">
        <v>2653</v>
      </c>
      <c r="C50" s="0" t="s">
        <v>2654</v>
      </c>
      <c r="D50" s="0" t="s">
        <v>2677</v>
      </c>
      <c r="E50" s="0" t="s">
        <v>2678</v>
      </c>
      <c r="F50" s="0" t="s">
        <v>2592</v>
      </c>
      <c r="G50" s="0" t="s">
        <v>1076</v>
      </c>
    </row>
    <row customHeight="1" ht="11.25">
      <c r="A51" s="0" t="s">
        <v>14</v>
      </c>
      <c r="B51" s="0" t="s">
        <v>2653</v>
      </c>
      <c r="C51" s="0" t="s">
        <v>2654</v>
      </c>
      <c r="D51" s="0" t="s">
        <v>2679</v>
      </c>
      <c r="E51" s="0" t="s">
        <v>2680</v>
      </c>
      <c r="F51" s="0" t="s">
        <v>2592</v>
      </c>
      <c r="G51" s="0" t="s">
        <v>1081</v>
      </c>
    </row>
    <row customHeight="1" ht="11.25">
      <c r="A52" s="0" t="s">
        <v>14</v>
      </c>
      <c r="B52" s="0" t="s">
        <v>2653</v>
      </c>
      <c r="C52" s="0" t="s">
        <v>2654</v>
      </c>
      <c r="D52" s="0" t="s">
        <v>2681</v>
      </c>
      <c r="E52" s="0" t="s">
        <v>2682</v>
      </c>
      <c r="F52" s="0" t="s">
        <v>2592</v>
      </c>
      <c r="G52" s="0" t="s">
        <v>1085</v>
      </c>
    </row>
    <row customHeight="1" ht="11.25">
      <c r="A53" s="0" t="s">
        <v>14</v>
      </c>
      <c r="B53" s="0" t="s">
        <v>2653</v>
      </c>
      <c r="C53" s="0" t="s">
        <v>2654</v>
      </c>
      <c r="D53" s="0" t="s">
        <v>2683</v>
      </c>
      <c r="E53" s="0" t="s">
        <v>2684</v>
      </c>
      <c r="F53" s="0" t="s">
        <v>2592</v>
      </c>
      <c r="G53" s="0" t="s">
        <v>1087</v>
      </c>
    </row>
    <row customHeight="1" ht="11.25">
      <c r="A54" s="0" t="s">
        <v>14</v>
      </c>
      <c r="B54" s="0" t="s">
        <v>2653</v>
      </c>
      <c r="C54" s="0" t="s">
        <v>2654</v>
      </c>
      <c r="D54" s="0" t="s">
        <v>2685</v>
      </c>
      <c r="E54" s="0" t="s">
        <v>2686</v>
      </c>
      <c r="F54" s="0" t="s">
        <v>2592</v>
      </c>
      <c r="G54" s="0" t="s">
        <v>1090</v>
      </c>
    </row>
    <row customHeight="1" ht="11.25">
      <c r="A55" s="0" t="s">
        <v>14</v>
      </c>
      <c r="B55" s="0" t="s">
        <v>2653</v>
      </c>
      <c r="C55" s="0" t="s">
        <v>2654</v>
      </c>
      <c r="D55" s="0" t="s">
        <v>2687</v>
      </c>
      <c r="E55" s="0" t="s">
        <v>2688</v>
      </c>
      <c r="F55" s="0" t="s">
        <v>2592</v>
      </c>
      <c r="G55" s="0" t="s">
        <v>1093</v>
      </c>
    </row>
    <row customHeight="1" ht="11.25">
      <c r="A56" s="0" t="s">
        <v>14</v>
      </c>
      <c r="B56" s="0" t="s">
        <v>2653</v>
      </c>
      <c r="C56" s="0" t="s">
        <v>2654</v>
      </c>
      <c r="D56" s="0" t="s">
        <v>2689</v>
      </c>
      <c r="E56" s="0" t="s">
        <v>2690</v>
      </c>
      <c r="F56" s="0" t="s">
        <v>2592</v>
      </c>
      <c r="G56" s="0" t="s">
        <v>1096</v>
      </c>
    </row>
    <row customHeight="1" ht="11.25">
      <c r="A57" s="0" t="s">
        <v>14</v>
      </c>
      <c r="B57" s="0" t="s">
        <v>2691</v>
      </c>
      <c r="C57" s="0" t="s">
        <v>2692</v>
      </c>
      <c r="D57" s="0" t="s">
        <v>2691</v>
      </c>
      <c r="E57" s="0" t="s">
        <v>2692</v>
      </c>
      <c r="F57" s="0" t="s">
        <v>2693</v>
      </c>
      <c r="G57" s="0" t="s">
        <v>1099</v>
      </c>
    </row>
    <row customHeight="1" ht="11.25">
      <c r="A58" s="0" t="s">
        <v>14</v>
      </c>
      <c r="B58" s="0" t="s">
        <v>2694</v>
      </c>
      <c r="C58" s="0" t="s">
        <v>2695</v>
      </c>
      <c r="D58" s="0" t="s">
        <v>2694</v>
      </c>
      <c r="E58" s="0" t="s">
        <v>2695</v>
      </c>
      <c r="F58" s="0" t="s">
        <v>2693</v>
      </c>
      <c r="G58" s="0" t="s">
        <v>1102</v>
      </c>
    </row>
    <row customHeight="1" ht="11.25">
      <c r="A59" s="0" t="s">
        <v>14</v>
      </c>
      <c r="B59" s="0" t="s">
        <v>2696</v>
      </c>
      <c r="C59" s="0" t="s">
        <v>2697</v>
      </c>
      <c r="D59" s="0" t="s">
        <v>2696</v>
      </c>
      <c r="E59" s="0" t="s">
        <v>2697</v>
      </c>
      <c r="F59" s="0" t="s">
        <v>2693</v>
      </c>
      <c r="G59" s="0" t="s">
        <v>1106</v>
      </c>
    </row>
    <row customHeight="1" ht="11.25">
      <c r="A60" s="0" t="s">
        <v>14</v>
      </c>
      <c r="B60" s="0" t="s">
        <v>99</v>
      </c>
      <c r="C60" s="0" t="s">
        <v>2698</v>
      </c>
      <c r="D60" s="0" t="s">
        <v>2699</v>
      </c>
      <c r="E60" s="0" t="s">
        <v>2700</v>
      </c>
      <c r="F60" s="0" t="s">
        <v>2592</v>
      </c>
      <c r="G60" s="0" t="s">
        <v>1109</v>
      </c>
    </row>
    <row customHeight="1" ht="11.25">
      <c r="A61" s="0" t="s">
        <v>14</v>
      </c>
      <c r="B61" s="0" t="s">
        <v>99</v>
      </c>
      <c r="C61" s="0" t="s">
        <v>2698</v>
      </c>
      <c r="D61" s="0" t="s">
        <v>2701</v>
      </c>
      <c r="E61" s="0" t="s">
        <v>2702</v>
      </c>
      <c r="F61" s="0" t="s">
        <v>2616</v>
      </c>
      <c r="G61" s="0" t="s">
        <v>2703</v>
      </c>
    </row>
    <row customHeight="1" ht="11.25">
      <c r="A62" s="0" t="s">
        <v>14</v>
      </c>
      <c r="B62" s="0" t="s">
        <v>99</v>
      </c>
      <c r="C62" s="0" t="s">
        <v>2698</v>
      </c>
      <c r="D62" s="0" t="s">
        <v>99</v>
      </c>
      <c r="E62" s="0" t="s">
        <v>2698</v>
      </c>
      <c r="F62" s="0" t="s">
        <v>2593</v>
      </c>
      <c r="G62" s="0" t="s">
        <v>2704</v>
      </c>
    </row>
    <row customHeight="1" ht="11.25">
      <c r="A63" s="0" t="s">
        <v>14</v>
      </c>
      <c r="B63" s="0" t="s">
        <v>99</v>
      </c>
      <c r="C63" s="0" t="s">
        <v>2698</v>
      </c>
      <c r="D63" s="0" t="s">
        <v>2705</v>
      </c>
      <c r="E63" s="0" t="s">
        <v>2706</v>
      </c>
      <c r="F63" s="0" t="s">
        <v>2592</v>
      </c>
      <c r="G63" s="0" t="s">
        <v>2707</v>
      </c>
    </row>
    <row customHeight="1" ht="11.25">
      <c r="A64" s="0" t="s">
        <v>14</v>
      </c>
      <c r="B64" s="0" t="s">
        <v>99</v>
      </c>
      <c r="C64" s="0" t="s">
        <v>2698</v>
      </c>
      <c r="D64" s="0" t="s">
        <v>100</v>
      </c>
      <c r="E64" s="0" t="s">
        <v>101</v>
      </c>
      <c r="F64" s="0" t="s">
        <v>2616</v>
      </c>
      <c r="G64" s="0" t="s">
        <v>98</v>
      </c>
    </row>
    <row customHeight="1" ht="11.25">
      <c r="A65" s="0" t="s">
        <v>14</v>
      </c>
      <c r="B65" s="0" t="s">
        <v>99</v>
      </c>
      <c r="C65" s="0" t="s">
        <v>2698</v>
      </c>
      <c r="D65" s="0" t="s">
        <v>2708</v>
      </c>
      <c r="E65" s="0" t="s">
        <v>2709</v>
      </c>
      <c r="F65" s="0" t="s">
        <v>2592</v>
      </c>
      <c r="G65" s="0" t="s">
        <v>2710</v>
      </c>
    </row>
    <row customHeight="1" ht="11.25">
      <c r="A66" s="0" t="s">
        <v>14</v>
      </c>
      <c r="B66" s="0" t="s">
        <v>99</v>
      </c>
      <c r="C66" s="0" t="s">
        <v>2698</v>
      </c>
      <c r="D66" s="0" t="s">
        <v>2711</v>
      </c>
      <c r="E66" s="0" t="s">
        <v>2712</v>
      </c>
      <c r="F66" s="0" t="s">
        <v>2616</v>
      </c>
      <c r="G66" s="0" t="s">
        <v>2713</v>
      </c>
    </row>
    <row customHeight="1" ht="11.25">
      <c r="A67" s="0" t="s">
        <v>14</v>
      </c>
      <c r="B67" s="0" t="s">
        <v>99</v>
      </c>
      <c r="C67" s="0" t="s">
        <v>2698</v>
      </c>
      <c r="D67" s="0" t="s">
        <v>2714</v>
      </c>
      <c r="E67" s="0" t="s">
        <v>2715</v>
      </c>
      <c r="F67" s="0" t="s">
        <v>2592</v>
      </c>
      <c r="G67" s="0" t="s">
        <v>1326</v>
      </c>
    </row>
    <row customHeight="1" ht="11.25">
      <c r="A68" s="0" t="s">
        <v>14</v>
      </c>
      <c r="B68" s="0" t="s">
        <v>2716</v>
      </c>
      <c r="C68" s="0" t="s">
        <v>2717</v>
      </c>
      <c r="D68" s="0" t="s">
        <v>2718</v>
      </c>
      <c r="E68" s="0" t="s">
        <v>2719</v>
      </c>
      <c r="F68" s="0" t="s">
        <v>2628</v>
      </c>
      <c r="G68" s="0" t="s">
        <v>2720</v>
      </c>
    </row>
    <row customHeight="1" ht="11.25">
      <c r="A69" s="0" t="s">
        <v>14</v>
      </c>
      <c r="B69" s="0" t="s">
        <v>2716</v>
      </c>
      <c r="C69" s="0" t="s">
        <v>2717</v>
      </c>
      <c r="D69" s="0" t="s">
        <v>2716</v>
      </c>
      <c r="E69" s="0" t="s">
        <v>2717</v>
      </c>
      <c r="F69" s="0" t="s">
        <v>2593</v>
      </c>
      <c r="G69" s="0" t="s">
        <v>1563</v>
      </c>
    </row>
    <row customHeight="1" ht="11.25">
      <c r="A70" s="0" t="s">
        <v>14</v>
      </c>
      <c r="B70" s="0" t="s">
        <v>2716</v>
      </c>
      <c r="C70" s="0" t="s">
        <v>2717</v>
      </c>
      <c r="D70" s="0" t="s">
        <v>2721</v>
      </c>
      <c r="E70" s="0" t="s">
        <v>2722</v>
      </c>
      <c r="F70" s="0" t="s">
        <v>2628</v>
      </c>
      <c r="G70" s="0" t="s">
        <v>2723</v>
      </c>
    </row>
    <row customHeight="1" ht="11.25">
      <c r="A71" s="0" t="s">
        <v>14</v>
      </c>
      <c r="B71" s="0" t="s">
        <v>2716</v>
      </c>
      <c r="C71" s="0" t="s">
        <v>2717</v>
      </c>
      <c r="D71" s="0" t="s">
        <v>2724</v>
      </c>
      <c r="E71" s="0" t="s">
        <v>2725</v>
      </c>
      <c r="F71" s="0" t="s">
        <v>2616</v>
      </c>
      <c r="G71" s="0" t="s">
        <v>2726</v>
      </c>
    </row>
    <row customHeight="1" ht="11.25">
      <c r="A72" s="0" t="s">
        <v>14</v>
      </c>
      <c r="B72" s="0" t="s">
        <v>2727</v>
      </c>
      <c r="C72" s="0" t="s">
        <v>2728</v>
      </c>
      <c r="D72" s="0" t="s">
        <v>2729</v>
      </c>
      <c r="E72" s="0" t="s">
        <v>2730</v>
      </c>
      <c r="F72" s="0" t="s">
        <v>2592</v>
      </c>
      <c r="G72" s="0" t="s">
        <v>2731</v>
      </c>
    </row>
    <row customHeight="1" ht="11.25">
      <c r="A73" s="0" t="s">
        <v>14</v>
      </c>
      <c r="B73" s="0" t="s">
        <v>2727</v>
      </c>
      <c r="C73" s="0" t="s">
        <v>2728</v>
      </c>
      <c r="D73" s="0" t="s">
        <v>2732</v>
      </c>
      <c r="E73" s="0" t="s">
        <v>2733</v>
      </c>
      <c r="F73" s="0" t="s">
        <v>2592</v>
      </c>
      <c r="G73" s="0" t="s">
        <v>2734</v>
      </c>
    </row>
    <row customHeight="1" ht="11.25">
      <c r="A74" s="0" t="s">
        <v>14</v>
      </c>
      <c r="B74" s="0" t="s">
        <v>2727</v>
      </c>
      <c r="C74" s="0" t="s">
        <v>2728</v>
      </c>
      <c r="D74" s="0" t="s">
        <v>2735</v>
      </c>
      <c r="E74" s="0" t="s">
        <v>2736</v>
      </c>
      <c r="F74" s="0" t="s">
        <v>2592</v>
      </c>
      <c r="G74" s="0" t="s">
        <v>2737</v>
      </c>
    </row>
    <row customHeight="1" ht="11.25">
      <c r="A75" s="0" t="s">
        <v>14</v>
      </c>
      <c r="B75" s="0" t="s">
        <v>2727</v>
      </c>
      <c r="C75" s="0" t="s">
        <v>2728</v>
      </c>
      <c r="D75" s="0" t="s">
        <v>2738</v>
      </c>
      <c r="E75" s="0" t="s">
        <v>2739</v>
      </c>
      <c r="F75" s="0" t="s">
        <v>2592</v>
      </c>
      <c r="G75" s="0" t="s">
        <v>2740</v>
      </c>
    </row>
    <row customHeight="1" ht="11.25">
      <c r="A76" s="0" t="s">
        <v>14</v>
      </c>
      <c r="B76" s="0" t="s">
        <v>2727</v>
      </c>
      <c r="C76" s="0" t="s">
        <v>2728</v>
      </c>
      <c r="D76" s="0" t="s">
        <v>2741</v>
      </c>
      <c r="E76" s="0" t="s">
        <v>2742</v>
      </c>
      <c r="F76" s="0" t="s">
        <v>2592</v>
      </c>
      <c r="G76" s="0" t="s">
        <v>2743</v>
      </c>
    </row>
    <row customHeight="1" ht="11.25">
      <c r="A77" s="0" t="s">
        <v>14</v>
      </c>
      <c r="B77" s="0" t="s">
        <v>2727</v>
      </c>
      <c r="C77" s="0" t="s">
        <v>2728</v>
      </c>
      <c r="D77" s="0" t="s">
        <v>2744</v>
      </c>
      <c r="E77" s="0" t="s">
        <v>2745</v>
      </c>
      <c r="F77" s="0" t="s">
        <v>2592</v>
      </c>
      <c r="G77" s="0" t="s">
        <v>2746</v>
      </c>
    </row>
    <row customHeight="1" ht="11.25">
      <c r="A78" s="0" t="s">
        <v>14</v>
      </c>
      <c r="B78" s="0" t="s">
        <v>2727</v>
      </c>
      <c r="C78" s="0" t="s">
        <v>2728</v>
      </c>
      <c r="D78" s="0" t="s">
        <v>2747</v>
      </c>
      <c r="E78" s="0" t="s">
        <v>2748</v>
      </c>
      <c r="F78" s="0" t="s">
        <v>2592</v>
      </c>
      <c r="G78" s="0" t="s">
        <v>2749</v>
      </c>
    </row>
    <row customHeight="1" ht="11.25">
      <c r="A79" s="0" t="s">
        <v>14</v>
      </c>
      <c r="B79" s="0" t="s">
        <v>2727</v>
      </c>
      <c r="C79" s="0" t="s">
        <v>2728</v>
      </c>
      <c r="D79" s="0" t="s">
        <v>2750</v>
      </c>
      <c r="E79" s="0" t="s">
        <v>2751</v>
      </c>
      <c r="F79" s="0" t="s">
        <v>2592</v>
      </c>
      <c r="G79" s="0" t="s">
        <v>2752</v>
      </c>
    </row>
    <row customHeight="1" ht="11.25">
      <c r="A80" s="0" t="s">
        <v>14</v>
      </c>
      <c r="B80" s="0" t="s">
        <v>2727</v>
      </c>
      <c r="C80" s="0" t="s">
        <v>2728</v>
      </c>
      <c r="D80" s="0" t="s">
        <v>2727</v>
      </c>
      <c r="E80" s="0" t="s">
        <v>2728</v>
      </c>
      <c r="F80" s="0" t="s">
        <v>2593</v>
      </c>
      <c r="G80" s="0" t="s">
        <v>2753</v>
      </c>
    </row>
    <row customHeight="1" ht="11.25">
      <c r="A81" s="0" t="s">
        <v>14</v>
      </c>
      <c r="B81" s="0" t="s">
        <v>2727</v>
      </c>
      <c r="C81" s="0" t="s">
        <v>2728</v>
      </c>
      <c r="D81" s="0" t="s">
        <v>2754</v>
      </c>
      <c r="E81" s="0" t="s">
        <v>2755</v>
      </c>
      <c r="F81" s="0" t="s">
        <v>2592</v>
      </c>
      <c r="G81" s="0" t="s">
        <v>2756</v>
      </c>
    </row>
    <row customHeight="1" ht="11.25">
      <c r="A82" s="0" t="s">
        <v>14</v>
      </c>
      <c r="B82" s="0" t="s">
        <v>2727</v>
      </c>
      <c r="C82" s="0" t="s">
        <v>2728</v>
      </c>
      <c r="D82" s="0" t="s">
        <v>2757</v>
      </c>
      <c r="E82" s="0" t="s">
        <v>2758</v>
      </c>
      <c r="F82" s="0" t="s">
        <v>2592</v>
      </c>
      <c r="G82" s="0" t="s">
        <v>2759</v>
      </c>
    </row>
    <row customHeight="1" ht="11.25">
      <c r="A83" s="0" t="s">
        <v>14</v>
      </c>
      <c r="B83" s="0" t="s">
        <v>2727</v>
      </c>
      <c r="C83" s="0" t="s">
        <v>2728</v>
      </c>
      <c r="D83" s="0" t="s">
        <v>2760</v>
      </c>
      <c r="E83" s="0" t="s">
        <v>2761</v>
      </c>
      <c r="F83" s="0" t="s">
        <v>2592</v>
      </c>
      <c r="G83" s="0" t="s">
        <v>2762</v>
      </c>
    </row>
    <row customHeight="1" ht="11.25">
      <c r="A84" s="0" t="s">
        <v>14</v>
      </c>
      <c r="B84" s="0" t="s">
        <v>2727</v>
      </c>
      <c r="C84" s="0" t="s">
        <v>2728</v>
      </c>
      <c r="D84" s="0" t="s">
        <v>2763</v>
      </c>
      <c r="E84" s="0" t="s">
        <v>2764</v>
      </c>
      <c r="F84" s="0" t="s">
        <v>2592</v>
      </c>
      <c r="G84" s="0" t="s">
        <v>2765</v>
      </c>
    </row>
    <row customHeight="1" ht="11.25">
      <c r="A85" s="0" t="s">
        <v>14</v>
      </c>
      <c r="B85" s="0" t="s">
        <v>2766</v>
      </c>
      <c r="C85" s="0" t="s">
        <v>2767</v>
      </c>
      <c r="D85" s="0" t="s">
        <v>2768</v>
      </c>
      <c r="E85" s="0" t="s">
        <v>2769</v>
      </c>
      <c r="F85" s="0" t="s">
        <v>2592</v>
      </c>
      <c r="G85" s="0" t="s">
        <v>2770</v>
      </c>
    </row>
    <row customHeight="1" ht="11.25">
      <c r="A86" s="0" t="s">
        <v>14</v>
      </c>
      <c r="B86" s="0" t="s">
        <v>2766</v>
      </c>
      <c r="C86" s="0" t="s">
        <v>2767</v>
      </c>
      <c r="D86" s="0" t="s">
        <v>2771</v>
      </c>
      <c r="E86" s="0" t="s">
        <v>2772</v>
      </c>
      <c r="F86" s="0" t="s">
        <v>2592</v>
      </c>
      <c r="G86" s="0" t="s">
        <v>2773</v>
      </c>
    </row>
    <row customHeight="1" ht="11.25">
      <c r="A87" s="0" t="s">
        <v>14</v>
      </c>
      <c r="B87" s="0" t="s">
        <v>2766</v>
      </c>
      <c r="C87" s="0" t="s">
        <v>2767</v>
      </c>
      <c r="D87" s="0" t="s">
        <v>2774</v>
      </c>
      <c r="E87" s="0" t="s">
        <v>2775</v>
      </c>
      <c r="F87" s="0" t="s">
        <v>2592</v>
      </c>
      <c r="G87" s="0" t="s">
        <v>2776</v>
      </c>
    </row>
    <row customHeight="1" ht="11.25">
      <c r="A88" s="0" t="s">
        <v>14</v>
      </c>
      <c r="B88" s="0" t="s">
        <v>2766</v>
      </c>
      <c r="C88" s="0" t="s">
        <v>2767</v>
      </c>
      <c r="D88" s="0" t="s">
        <v>2777</v>
      </c>
      <c r="E88" s="0" t="s">
        <v>2778</v>
      </c>
      <c r="F88" s="0" t="s">
        <v>2592</v>
      </c>
      <c r="G88" s="0" t="s">
        <v>2779</v>
      </c>
    </row>
    <row customHeight="1" ht="11.25">
      <c r="A89" s="0" t="s">
        <v>14</v>
      </c>
      <c r="B89" s="0" t="s">
        <v>2766</v>
      </c>
      <c r="C89" s="0" t="s">
        <v>2767</v>
      </c>
      <c r="D89" s="0" t="s">
        <v>2780</v>
      </c>
      <c r="E89" s="0" t="s">
        <v>2781</v>
      </c>
      <c r="F89" s="0" t="s">
        <v>2592</v>
      </c>
      <c r="G89" s="0" t="s">
        <v>2782</v>
      </c>
    </row>
    <row customHeight="1" ht="11.25">
      <c r="A90" s="0" t="s">
        <v>14</v>
      </c>
      <c r="B90" s="0" t="s">
        <v>2766</v>
      </c>
      <c r="C90" s="0" t="s">
        <v>2767</v>
      </c>
      <c r="D90" s="0" t="s">
        <v>2783</v>
      </c>
      <c r="E90" s="0" t="s">
        <v>2784</v>
      </c>
      <c r="F90" s="0" t="s">
        <v>2592</v>
      </c>
      <c r="G90" s="0" t="s">
        <v>2785</v>
      </c>
    </row>
    <row customHeight="1" ht="11.25">
      <c r="A91" s="0" t="s">
        <v>14</v>
      </c>
      <c r="B91" s="0" t="s">
        <v>2766</v>
      </c>
      <c r="C91" s="0" t="s">
        <v>2767</v>
      </c>
      <c r="D91" s="0" t="s">
        <v>2786</v>
      </c>
      <c r="E91" s="0" t="s">
        <v>2787</v>
      </c>
      <c r="F91" s="0" t="s">
        <v>2592</v>
      </c>
      <c r="G91" s="0" t="s">
        <v>2788</v>
      </c>
    </row>
    <row customHeight="1" ht="11.25">
      <c r="A92" s="0" t="s">
        <v>14</v>
      </c>
      <c r="B92" s="0" t="s">
        <v>2766</v>
      </c>
      <c r="C92" s="0" t="s">
        <v>2767</v>
      </c>
      <c r="D92" s="0" t="s">
        <v>2789</v>
      </c>
      <c r="E92" s="0" t="s">
        <v>2790</v>
      </c>
      <c r="F92" s="0" t="s">
        <v>2592</v>
      </c>
      <c r="G92" s="0" t="s">
        <v>2791</v>
      </c>
    </row>
    <row customHeight="1" ht="11.25">
      <c r="A93" s="0" t="s">
        <v>14</v>
      </c>
      <c r="B93" s="0" t="s">
        <v>2766</v>
      </c>
      <c r="C93" s="0" t="s">
        <v>2767</v>
      </c>
      <c r="D93" s="0" t="s">
        <v>2757</v>
      </c>
      <c r="E93" s="0" t="s">
        <v>2792</v>
      </c>
      <c r="F93" s="0" t="s">
        <v>2592</v>
      </c>
      <c r="G93" s="0" t="s">
        <v>2793</v>
      </c>
    </row>
    <row customHeight="1" ht="11.25">
      <c r="A94" s="0" t="s">
        <v>14</v>
      </c>
      <c r="B94" s="0" t="s">
        <v>2766</v>
      </c>
      <c r="C94" s="0" t="s">
        <v>2767</v>
      </c>
      <c r="D94" s="0" t="s">
        <v>2766</v>
      </c>
      <c r="E94" s="0" t="s">
        <v>2767</v>
      </c>
      <c r="F94" s="0" t="s">
        <v>2593</v>
      </c>
      <c r="G94" s="0" t="s">
        <v>2794</v>
      </c>
    </row>
    <row customHeight="1" ht="11.25">
      <c r="A95" s="0" t="s">
        <v>14</v>
      </c>
      <c r="B95" s="0" t="s">
        <v>2766</v>
      </c>
      <c r="C95" s="0" t="s">
        <v>2767</v>
      </c>
      <c r="D95" s="0" t="s">
        <v>2795</v>
      </c>
      <c r="E95" s="0" t="s">
        <v>2796</v>
      </c>
      <c r="F95" s="0" t="s">
        <v>2592</v>
      </c>
      <c r="G95" s="0" t="s">
        <v>2797</v>
      </c>
    </row>
    <row customHeight="1" ht="11.25">
      <c r="A96" s="0" t="s">
        <v>14</v>
      </c>
      <c r="B96" s="0" t="s">
        <v>2766</v>
      </c>
      <c r="C96" s="0" t="s">
        <v>2767</v>
      </c>
      <c r="D96" s="0" t="s">
        <v>2635</v>
      </c>
      <c r="E96" s="0" t="s">
        <v>2798</v>
      </c>
      <c r="F96" s="0" t="s">
        <v>2592</v>
      </c>
      <c r="G96" s="0" t="s">
        <v>2799</v>
      </c>
    </row>
    <row customHeight="1" ht="11.25">
      <c r="A97" s="0" t="s">
        <v>14</v>
      </c>
      <c r="B97" s="0" t="s">
        <v>2766</v>
      </c>
      <c r="C97" s="0" t="s">
        <v>2767</v>
      </c>
      <c r="D97" s="0" t="s">
        <v>2800</v>
      </c>
      <c r="E97" s="0" t="s">
        <v>2801</v>
      </c>
      <c r="F97" s="0" t="s">
        <v>2592</v>
      </c>
      <c r="G97" s="0" t="s">
        <v>2802</v>
      </c>
    </row>
    <row customHeight="1" ht="11.25">
      <c r="A98" s="0" t="s">
        <v>14</v>
      </c>
      <c r="B98" s="0" t="s">
        <v>2766</v>
      </c>
      <c r="C98" s="0" t="s">
        <v>2767</v>
      </c>
      <c r="D98" s="0" t="s">
        <v>2803</v>
      </c>
      <c r="E98" s="0" t="s">
        <v>2804</v>
      </c>
      <c r="F98" s="0" t="s">
        <v>2592</v>
      </c>
      <c r="G98" s="0" t="s">
        <v>2805</v>
      </c>
    </row>
    <row customHeight="1" ht="11.25">
      <c r="A99" s="0" t="s">
        <v>14</v>
      </c>
      <c r="B99" s="0" t="s">
        <v>2806</v>
      </c>
      <c r="C99" s="0" t="s">
        <v>2807</v>
      </c>
      <c r="D99" s="0" t="s">
        <v>2808</v>
      </c>
      <c r="E99" s="0" t="s">
        <v>2809</v>
      </c>
      <c r="F99" s="0" t="s">
        <v>2592</v>
      </c>
      <c r="G99" s="0" t="s">
        <v>2810</v>
      </c>
    </row>
    <row customHeight="1" ht="11.25">
      <c r="A100" s="0" t="s">
        <v>14</v>
      </c>
      <c r="B100" s="0" t="s">
        <v>2806</v>
      </c>
      <c r="C100" s="0" t="s">
        <v>2807</v>
      </c>
      <c r="D100" s="0" t="s">
        <v>2811</v>
      </c>
      <c r="E100" s="0" t="s">
        <v>2812</v>
      </c>
      <c r="F100" s="0" t="s">
        <v>2592</v>
      </c>
      <c r="G100" s="0" t="s">
        <v>2813</v>
      </c>
    </row>
    <row customHeight="1" ht="11.25">
      <c r="A101" s="0" t="s">
        <v>14</v>
      </c>
      <c r="B101" s="0" t="s">
        <v>2806</v>
      </c>
      <c r="C101" s="0" t="s">
        <v>2807</v>
      </c>
      <c r="D101" s="0" t="s">
        <v>2814</v>
      </c>
      <c r="E101" s="0" t="s">
        <v>2815</v>
      </c>
      <c r="F101" s="0" t="s">
        <v>2592</v>
      </c>
      <c r="G101" s="0" t="s">
        <v>2816</v>
      </c>
    </row>
    <row customHeight="1" ht="11.25">
      <c r="A102" s="0" t="s">
        <v>14</v>
      </c>
      <c r="B102" s="0" t="s">
        <v>2806</v>
      </c>
      <c r="C102" s="0" t="s">
        <v>2807</v>
      </c>
      <c r="D102" s="0" t="s">
        <v>2817</v>
      </c>
      <c r="E102" s="0" t="s">
        <v>2818</v>
      </c>
      <c r="F102" s="0" t="s">
        <v>2592</v>
      </c>
      <c r="G102" s="0" t="s">
        <v>2819</v>
      </c>
    </row>
    <row customHeight="1" ht="11.25">
      <c r="A103" s="0" t="s">
        <v>14</v>
      </c>
      <c r="B103" s="0" t="s">
        <v>2806</v>
      </c>
      <c r="C103" s="0" t="s">
        <v>2807</v>
      </c>
      <c r="D103" s="0" t="s">
        <v>2820</v>
      </c>
      <c r="E103" s="0" t="s">
        <v>2821</v>
      </c>
      <c r="F103" s="0" t="s">
        <v>2592</v>
      </c>
      <c r="G103" s="0" t="s">
        <v>2822</v>
      </c>
    </row>
    <row customHeight="1" ht="11.25">
      <c r="A104" s="0" t="s">
        <v>14</v>
      </c>
      <c r="B104" s="0" t="s">
        <v>2806</v>
      </c>
      <c r="C104" s="0" t="s">
        <v>2807</v>
      </c>
      <c r="D104" s="0" t="s">
        <v>2823</v>
      </c>
      <c r="E104" s="0" t="s">
        <v>2824</v>
      </c>
      <c r="F104" s="0" t="s">
        <v>2592</v>
      </c>
      <c r="G104" s="0" t="s">
        <v>2825</v>
      </c>
    </row>
    <row customHeight="1" ht="11.25">
      <c r="A105" s="0" t="s">
        <v>14</v>
      </c>
      <c r="B105" s="0" t="s">
        <v>2806</v>
      </c>
      <c r="C105" s="0" t="s">
        <v>2807</v>
      </c>
      <c r="D105" s="0" t="s">
        <v>2826</v>
      </c>
      <c r="E105" s="0" t="s">
        <v>2827</v>
      </c>
      <c r="F105" s="0" t="s">
        <v>2592</v>
      </c>
      <c r="G105" s="0" t="s">
        <v>2828</v>
      </c>
    </row>
    <row customHeight="1" ht="11.25">
      <c r="A106" s="0" t="s">
        <v>14</v>
      </c>
      <c r="B106" s="0" t="s">
        <v>2806</v>
      </c>
      <c r="C106" s="0" t="s">
        <v>2807</v>
      </c>
      <c r="D106" s="0" t="s">
        <v>2829</v>
      </c>
      <c r="E106" s="0" t="s">
        <v>2830</v>
      </c>
      <c r="F106" s="0" t="s">
        <v>2592</v>
      </c>
      <c r="G106" s="0" t="s">
        <v>2831</v>
      </c>
    </row>
    <row customHeight="1" ht="11.25">
      <c r="A107" s="0" t="s">
        <v>14</v>
      </c>
      <c r="B107" s="0" t="s">
        <v>2806</v>
      </c>
      <c r="C107" s="0" t="s">
        <v>2807</v>
      </c>
      <c r="D107" s="0" t="s">
        <v>2832</v>
      </c>
      <c r="E107" s="0" t="s">
        <v>2833</v>
      </c>
      <c r="F107" s="0" t="s">
        <v>2592</v>
      </c>
      <c r="G107" s="0" t="s">
        <v>2834</v>
      </c>
    </row>
    <row customHeight="1" ht="11.25">
      <c r="A108" s="0" t="s">
        <v>14</v>
      </c>
      <c r="B108" s="0" t="s">
        <v>2806</v>
      </c>
      <c r="C108" s="0" t="s">
        <v>2807</v>
      </c>
      <c r="D108" s="0" t="s">
        <v>2835</v>
      </c>
      <c r="E108" s="0" t="s">
        <v>2836</v>
      </c>
      <c r="F108" s="0" t="s">
        <v>2592</v>
      </c>
      <c r="G108" s="0" t="s">
        <v>2837</v>
      </c>
    </row>
    <row customHeight="1" ht="11.25">
      <c r="A109" s="0" t="s">
        <v>14</v>
      </c>
      <c r="B109" s="0" t="s">
        <v>2806</v>
      </c>
      <c r="C109" s="0" t="s">
        <v>2807</v>
      </c>
      <c r="D109" s="0" t="s">
        <v>2806</v>
      </c>
      <c r="E109" s="0" t="s">
        <v>2807</v>
      </c>
      <c r="F109" s="0" t="s">
        <v>2593</v>
      </c>
      <c r="G109" s="0" t="s">
        <v>2838</v>
      </c>
    </row>
    <row customHeight="1" ht="11.25">
      <c r="A110" s="0" t="s">
        <v>14</v>
      </c>
      <c r="B110" s="0" t="s">
        <v>2806</v>
      </c>
      <c r="C110" s="0" t="s">
        <v>2807</v>
      </c>
      <c r="D110" s="0" t="s">
        <v>2839</v>
      </c>
      <c r="E110" s="0" t="s">
        <v>2840</v>
      </c>
      <c r="F110" s="0" t="s">
        <v>2592</v>
      </c>
      <c r="G110" s="0" t="s">
        <v>2841</v>
      </c>
    </row>
    <row customHeight="1" ht="11.25">
      <c r="A111" s="0" t="s">
        <v>14</v>
      </c>
      <c r="B111" s="0" t="s">
        <v>2842</v>
      </c>
      <c r="C111" s="0" t="s">
        <v>2843</v>
      </c>
      <c r="D111" s="0" t="s">
        <v>2844</v>
      </c>
      <c r="E111" s="0" t="s">
        <v>2845</v>
      </c>
      <c r="F111" s="0" t="s">
        <v>2592</v>
      </c>
      <c r="G111" s="0" t="s">
        <v>2846</v>
      </c>
    </row>
    <row customHeight="1" ht="11.25">
      <c r="A112" s="0" t="s">
        <v>14</v>
      </c>
      <c r="B112" s="0" t="s">
        <v>2842</v>
      </c>
      <c r="C112" s="0" t="s">
        <v>2843</v>
      </c>
      <c r="D112" s="0" t="s">
        <v>2847</v>
      </c>
      <c r="E112" s="0" t="s">
        <v>2848</v>
      </c>
      <c r="F112" s="0" t="s">
        <v>2592</v>
      </c>
      <c r="G112" s="0" t="s">
        <v>2849</v>
      </c>
    </row>
    <row customHeight="1" ht="11.25">
      <c r="A113" s="0" t="s">
        <v>14</v>
      </c>
      <c r="B113" s="0" t="s">
        <v>2842</v>
      </c>
      <c r="C113" s="0" t="s">
        <v>2843</v>
      </c>
      <c r="D113" s="0" t="s">
        <v>2850</v>
      </c>
      <c r="E113" s="0" t="s">
        <v>2851</v>
      </c>
      <c r="F113" s="0" t="s">
        <v>2592</v>
      </c>
      <c r="G113" s="0" t="s">
        <v>2852</v>
      </c>
    </row>
    <row customHeight="1" ht="11.25">
      <c r="A114" s="0" t="s">
        <v>14</v>
      </c>
      <c r="B114" s="0" t="s">
        <v>2842</v>
      </c>
      <c r="C114" s="0" t="s">
        <v>2843</v>
      </c>
      <c r="D114" s="0" t="s">
        <v>2853</v>
      </c>
      <c r="E114" s="0" t="s">
        <v>2854</v>
      </c>
      <c r="F114" s="0" t="s">
        <v>2621</v>
      </c>
      <c r="G114" s="0" t="s">
        <v>2855</v>
      </c>
    </row>
    <row customHeight="1" ht="11.25">
      <c r="A115" s="0" t="s">
        <v>14</v>
      </c>
      <c r="B115" s="0" t="s">
        <v>2842</v>
      </c>
      <c r="C115" s="0" t="s">
        <v>2843</v>
      </c>
      <c r="D115" s="0" t="s">
        <v>2856</v>
      </c>
      <c r="E115" s="0" t="s">
        <v>2857</v>
      </c>
      <c r="F115" s="0" t="s">
        <v>2592</v>
      </c>
      <c r="G115" s="0" t="s">
        <v>2858</v>
      </c>
    </row>
    <row customHeight="1" ht="11.25">
      <c r="A116" s="0" t="s">
        <v>14</v>
      </c>
      <c r="B116" s="0" t="s">
        <v>2842</v>
      </c>
      <c r="C116" s="0" t="s">
        <v>2843</v>
      </c>
      <c r="D116" s="0" t="s">
        <v>2859</v>
      </c>
      <c r="E116" s="0" t="s">
        <v>2860</v>
      </c>
      <c r="F116" s="0" t="s">
        <v>2592</v>
      </c>
      <c r="G116" s="0" t="s">
        <v>2861</v>
      </c>
    </row>
    <row customHeight="1" ht="11.25">
      <c r="A117" s="0" t="s">
        <v>14</v>
      </c>
      <c r="B117" s="0" t="s">
        <v>2842</v>
      </c>
      <c r="C117" s="0" t="s">
        <v>2843</v>
      </c>
      <c r="D117" s="0" t="s">
        <v>2862</v>
      </c>
      <c r="E117" s="0" t="s">
        <v>2863</v>
      </c>
      <c r="F117" s="0" t="s">
        <v>2592</v>
      </c>
      <c r="G117" s="0" t="s">
        <v>2864</v>
      </c>
    </row>
    <row customHeight="1" ht="11.25">
      <c r="A118" s="0" t="s">
        <v>14</v>
      </c>
      <c r="B118" s="0" t="s">
        <v>2842</v>
      </c>
      <c r="C118" s="0" t="s">
        <v>2843</v>
      </c>
      <c r="D118" s="0" t="s">
        <v>2865</v>
      </c>
      <c r="E118" s="0" t="s">
        <v>2866</v>
      </c>
      <c r="F118" s="0" t="s">
        <v>2592</v>
      </c>
      <c r="G118" s="0" t="s">
        <v>2867</v>
      </c>
    </row>
    <row customHeight="1" ht="11.25">
      <c r="A119" s="0" t="s">
        <v>14</v>
      </c>
      <c r="B119" s="0" t="s">
        <v>2842</v>
      </c>
      <c r="C119" s="0" t="s">
        <v>2843</v>
      </c>
      <c r="D119" s="0" t="s">
        <v>2868</v>
      </c>
      <c r="E119" s="0" t="s">
        <v>2869</v>
      </c>
      <c r="F119" s="0" t="s">
        <v>2592</v>
      </c>
      <c r="G119" s="0" t="s">
        <v>2870</v>
      </c>
    </row>
    <row customHeight="1" ht="11.25">
      <c r="A120" s="0" t="s">
        <v>14</v>
      </c>
      <c r="B120" s="0" t="s">
        <v>2842</v>
      </c>
      <c r="C120" s="0" t="s">
        <v>2843</v>
      </c>
      <c r="D120" s="0" t="s">
        <v>2871</v>
      </c>
      <c r="E120" s="0" t="s">
        <v>2872</v>
      </c>
      <c r="F120" s="0" t="s">
        <v>2628</v>
      </c>
      <c r="G120" s="0" t="s">
        <v>2873</v>
      </c>
    </row>
    <row customHeight="1" ht="11.25">
      <c r="A121" s="0" t="s">
        <v>14</v>
      </c>
      <c r="B121" s="0" t="s">
        <v>2842</v>
      </c>
      <c r="C121" s="0" t="s">
        <v>2843</v>
      </c>
      <c r="D121" s="0" t="s">
        <v>2842</v>
      </c>
      <c r="E121" s="0" t="s">
        <v>2843</v>
      </c>
      <c r="F121" s="0" t="s">
        <v>2593</v>
      </c>
      <c r="G121" s="0" t="s">
        <v>2874</v>
      </c>
    </row>
    <row customHeight="1" ht="11.25">
      <c r="A122" s="0" t="s">
        <v>14</v>
      </c>
      <c r="B122" s="0" t="s">
        <v>2842</v>
      </c>
      <c r="C122" s="0" t="s">
        <v>2843</v>
      </c>
      <c r="D122" s="0" t="s">
        <v>2875</v>
      </c>
      <c r="E122" s="0" t="s">
        <v>2876</v>
      </c>
      <c r="F122" s="0" t="s">
        <v>2592</v>
      </c>
      <c r="G122" s="0" t="s">
        <v>2877</v>
      </c>
    </row>
    <row customHeight="1" ht="11.25">
      <c r="A123" s="0" t="s">
        <v>14</v>
      </c>
      <c r="B123" s="0" t="s">
        <v>2842</v>
      </c>
      <c r="C123" s="0" t="s">
        <v>2843</v>
      </c>
      <c r="D123" s="0" t="s">
        <v>2878</v>
      </c>
      <c r="E123" s="0" t="s">
        <v>2879</v>
      </c>
      <c r="F123" s="0" t="s">
        <v>2592</v>
      </c>
      <c r="G123" s="0" t="s">
        <v>2880</v>
      </c>
    </row>
    <row customHeight="1" ht="11.25">
      <c r="A124" s="0" t="s">
        <v>14</v>
      </c>
      <c r="B124" s="0" t="s">
        <v>2881</v>
      </c>
      <c r="C124" s="0" t="s">
        <v>2882</v>
      </c>
      <c r="D124" s="0" t="s">
        <v>2883</v>
      </c>
      <c r="E124" s="0" t="s">
        <v>2884</v>
      </c>
      <c r="F124" s="0" t="s">
        <v>2592</v>
      </c>
      <c r="G124" s="0" t="s">
        <v>2885</v>
      </c>
    </row>
    <row customHeight="1" ht="11.25">
      <c r="A125" s="0" t="s">
        <v>14</v>
      </c>
      <c r="B125" s="0" t="s">
        <v>2881</v>
      </c>
      <c r="C125" s="0" t="s">
        <v>2882</v>
      </c>
      <c r="D125" s="0" t="s">
        <v>2886</v>
      </c>
      <c r="E125" s="0" t="s">
        <v>2887</v>
      </c>
      <c r="F125" s="0" t="s">
        <v>2628</v>
      </c>
      <c r="G125" s="0" t="s">
        <v>2888</v>
      </c>
    </row>
    <row customHeight="1" ht="11.25">
      <c r="A126" s="0" t="s">
        <v>14</v>
      </c>
      <c r="B126" s="0" t="s">
        <v>2881</v>
      </c>
      <c r="C126" s="0" t="s">
        <v>2882</v>
      </c>
      <c r="D126" s="0" t="s">
        <v>2889</v>
      </c>
      <c r="E126" s="0" t="s">
        <v>2890</v>
      </c>
      <c r="F126" s="0" t="s">
        <v>2592</v>
      </c>
      <c r="G126" s="0" t="s">
        <v>2891</v>
      </c>
    </row>
    <row customHeight="1" ht="11.25">
      <c r="A127" s="0" t="s">
        <v>14</v>
      </c>
      <c r="B127" s="0" t="s">
        <v>2881</v>
      </c>
      <c r="C127" s="0" t="s">
        <v>2882</v>
      </c>
      <c r="D127" s="0" t="s">
        <v>2892</v>
      </c>
      <c r="E127" s="0" t="s">
        <v>2893</v>
      </c>
      <c r="F127" s="0" t="s">
        <v>2592</v>
      </c>
      <c r="G127" s="0" t="s">
        <v>2894</v>
      </c>
    </row>
    <row customHeight="1" ht="11.25">
      <c r="A128" s="0" t="s">
        <v>14</v>
      </c>
      <c r="B128" s="0" t="s">
        <v>2881</v>
      </c>
      <c r="C128" s="0" t="s">
        <v>2882</v>
      </c>
      <c r="D128" s="0" t="s">
        <v>2895</v>
      </c>
      <c r="E128" s="0" t="s">
        <v>2896</v>
      </c>
      <c r="F128" s="0" t="s">
        <v>2592</v>
      </c>
      <c r="G128" s="0" t="s">
        <v>2897</v>
      </c>
    </row>
    <row customHeight="1" ht="11.25">
      <c r="A129" s="0" t="s">
        <v>14</v>
      </c>
      <c r="B129" s="0" t="s">
        <v>2881</v>
      </c>
      <c r="C129" s="0" t="s">
        <v>2882</v>
      </c>
      <c r="D129" s="0" t="s">
        <v>2898</v>
      </c>
      <c r="E129" s="0" t="s">
        <v>2899</v>
      </c>
      <c r="F129" s="0" t="s">
        <v>2592</v>
      </c>
      <c r="G129" s="0" t="s">
        <v>2900</v>
      </c>
    </row>
    <row customHeight="1" ht="11.25">
      <c r="A130" s="0" t="s">
        <v>14</v>
      </c>
      <c r="B130" s="0" t="s">
        <v>2881</v>
      </c>
      <c r="C130" s="0" t="s">
        <v>2882</v>
      </c>
      <c r="D130" s="0" t="s">
        <v>2901</v>
      </c>
      <c r="E130" s="0" t="s">
        <v>2902</v>
      </c>
      <c r="F130" s="0" t="s">
        <v>2592</v>
      </c>
      <c r="G130" s="0" t="s">
        <v>2903</v>
      </c>
    </row>
    <row customHeight="1" ht="11.25">
      <c r="A131" s="0" t="s">
        <v>14</v>
      </c>
      <c r="B131" s="0" t="s">
        <v>2881</v>
      </c>
      <c r="C131" s="0" t="s">
        <v>2882</v>
      </c>
      <c r="D131" s="0" t="s">
        <v>2904</v>
      </c>
      <c r="E131" s="0" t="s">
        <v>2905</v>
      </c>
      <c r="F131" s="0" t="s">
        <v>2592</v>
      </c>
      <c r="G131" s="0" t="s">
        <v>2906</v>
      </c>
    </row>
    <row customHeight="1" ht="11.25">
      <c r="A132" s="0" t="s">
        <v>14</v>
      </c>
      <c r="B132" s="0" t="s">
        <v>2881</v>
      </c>
      <c r="C132" s="0" t="s">
        <v>2882</v>
      </c>
      <c r="D132" s="0" t="s">
        <v>2907</v>
      </c>
      <c r="E132" s="0" t="s">
        <v>2908</v>
      </c>
      <c r="F132" s="0" t="s">
        <v>2592</v>
      </c>
      <c r="G132" s="0" t="s">
        <v>2909</v>
      </c>
    </row>
    <row customHeight="1" ht="11.25">
      <c r="A133" s="0" t="s">
        <v>14</v>
      </c>
      <c r="B133" s="0" t="s">
        <v>2881</v>
      </c>
      <c r="C133" s="0" t="s">
        <v>2882</v>
      </c>
      <c r="D133" s="0" t="s">
        <v>2910</v>
      </c>
      <c r="E133" s="0" t="s">
        <v>2911</v>
      </c>
      <c r="F133" s="0" t="s">
        <v>2628</v>
      </c>
      <c r="G133" s="0" t="s">
        <v>2912</v>
      </c>
    </row>
    <row customHeight="1" ht="11.25">
      <c r="A134" s="0" t="s">
        <v>14</v>
      </c>
      <c r="B134" s="0" t="s">
        <v>2881</v>
      </c>
      <c r="C134" s="0" t="s">
        <v>2882</v>
      </c>
      <c r="D134" s="0" t="s">
        <v>2881</v>
      </c>
      <c r="E134" s="0" t="s">
        <v>2882</v>
      </c>
      <c r="F134" s="0" t="s">
        <v>2593</v>
      </c>
      <c r="G134" s="0" t="s">
        <v>2913</v>
      </c>
    </row>
    <row customHeight="1" ht="11.25">
      <c r="A135" s="0" t="s">
        <v>14</v>
      </c>
      <c r="B135" s="0" t="s">
        <v>2881</v>
      </c>
      <c r="C135" s="0" t="s">
        <v>2882</v>
      </c>
      <c r="D135" s="0" t="s">
        <v>2914</v>
      </c>
      <c r="E135" s="0" t="s">
        <v>2915</v>
      </c>
      <c r="F135" s="0" t="s">
        <v>2628</v>
      </c>
      <c r="G135" s="0" t="s">
        <v>2916</v>
      </c>
    </row>
    <row customHeight="1" ht="11.25">
      <c r="A136" s="0" t="s">
        <v>14</v>
      </c>
      <c r="B136" s="0" t="s">
        <v>2881</v>
      </c>
      <c r="C136" s="0" t="s">
        <v>2882</v>
      </c>
      <c r="D136" s="0" t="s">
        <v>2917</v>
      </c>
      <c r="E136" s="0" t="s">
        <v>2918</v>
      </c>
      <c r="F136" s="0" t="s">
        <v>2592</v>
      </c>
      <c r="G136" s="0" t="s">
        <v>2919</v>
      </c>
    </row>
    <row customHeight="1" ht="11.25">
      <c r="A137" s="0" t="s">
        <v>14</v>
      </c>
      <c r="B137" s="0" t="s">
        <v>2881</v>
      </c>
      <c r="C137" s="0" t="s">
        <v>2882</v>
      </c>
      <c r="D137" s="0" t="s">
        <v>2920</v>
      </c>
      <c r="E137" s="0" t="s">
        <v>2921</v>
      </c>
      <c r="F137" s="0" t="s">
        <v>2592</v>
      </c>
      <c r="G137" s="0" t="s">
        <v>2922</v>
      </c>
    </row>
    <row customHeight="1" ht="11.25">
      <c r="A138" s="0" t="s">
        <v>14</v>
      </c>
      <c r="B138" s="0" t="s">
        <v>2881</v>
      </c>
      <c r="C138" s="0" t="s">
        <v>2882</v>
      </c>
      <c r="D138" s="0" t="s">
        <v>2923</v>
      </c>
      <c r="E138" s="0" t="s">
        <v>2924</v>
      </c>
      <c r="F138" s="0" t="s">
        <v>2592</v>
      </c>
      <c r="G138" s="0" t="s">
        <v>2925</v>
      </c>
    </row>
    <row customHeight="1" ht="11.25">
      <c r="A139" s="0" t="s">
        <v>14</v>
      </c>
      <c r="B139" s="0" t="s">
        <v>2926</v>
      </c>
      <c r="C139" s="0" t="s">
        <v>2927</v>
      </c>
      <c r="D139" s="0" t="s">
        <v>2928</v>
      </c>
      <c r="E139" s="0" t="s">
        <v>2929</v>
      </c>
      <c r="F139" s="0" t="s">
        <v>2592</v>
      </c>
      <c r="G139" s="0" t="s">
        <v>2930</v>
      </c>
    </row>
    <row customHeight="1" ht="11.25">
      <c r="A140" s="0" t="s">
        <v>14</v>
      </c>
      <c r="B140" s="0" t="s">
        <v>2926</v>
      </c>
      <c r="C140" s="0" t="s">
        <v>2927</v>
      </c>
      <c r="D140" s="0" t="s">
        <v>2931</v>
      </c>
      <c r="E140" s="0" t="s">
        <v>2932</v>
      </c>
      <c r="F140" s="0" t="s">
        <v>2592</v>
      </c>
      <c r="G140" s="0" t="s">
        <v>2933</v>
      </c>
    </row>
    <row customHeight="1" ht="11.25">
      <c r="A141" s="0" t="s">
        <v>14</v>
      </c>
      <c r="B141" s="0" t="s">
        <v>2926</v>
      </c>
      <c r="C141" s="0" t="s">
        <v>2927</v>
      </c>
      <c r="D141" s="0" t="s">
        <v>2934</v>
      </c>
      <c r="E141" s="0" t="s">
        <v>2935</v>
      </c>
      <c r="F141" s="0" t="s">
        <v>2592</v>
      </c>
      <c r="G141" s="0" t="s">
        <v>2936</v>
      </c>
    </row>
    <row customHeight="1" ht="11.25">
      <c r="A142" s="0" t="s">
        <v>14</v>
      </c>
      <c r="B142" s="0" t="s">
        <v>2926</v>
      </c>
      <c r="C142" s="0" t="s">
        <v>2927</v>
      </c>
      <c r="D142" s="0" t="s">
        <v>2937</v>
      </c>
      <c r="E142" s="0" t="s">
        <v>2938</v>
      </c>
      <c r="F142" s="0" t="s">
        <v>2592</v>
      </c>
      <c r="G142" s="0" t="s">
        <v>2939</v>
      </c>
    </row>
    <row customHeight="1" ht="11.25">
      <c r="A143" s="0" t="s">
        <v>14</v>
      </c>
      <c r="B143" s="0" t="s">
        <v>2926</v>
      </c>
      <c r="C143" s="0" t="s">
        <v>2927</v>
      </c>
      <c r="D143" s="0" t="s">
        <v>2940</v>
      </c>
      <c r="E143" s="0" t="s">
        <v>2941</v>
      </c>
      <c r="F143" s="0" t="s">
        <v>2628</v>
      </c>
      <c r="G143" s="0" t="s">
        <v>2942</v>
      </c>
    </row>
    <row customHeight="1" ht="11.25">
      <c r="A144" s="0" t="s">
        <v>14</v>
      </c>
      <c r="B144" s="0" t="s">
        <v>2926</v>
      </c>
      <c r="C144" s="0" t="s">
        <v>2927</v>
      </c>
      <c r="D144" s="0" t="s">
        <v>2943</v>
      </c>
      <c r="E144" s="0" t="s">
        <v>2944</v>
      </c>
      <c r="F144" s="0" t="s">
        <v>2592</v>
      </c>
      <c r="G144" s="0" t="s">
        <v>2945</v>
      </c>
    </row>
    <row customHeight="1" ht="11.25">
      <c r="A145" s="0" t="s">
        <v>14</v>
      </c>
      <c r="B145" s="0" t="s">
        <v>2926</v>
      </c>
      <c r="C145" s="0" t="s">
        <v>2927</v>
      </c>
      <c r="D145" s="0" t="s">
        <v>2946</v>
      </c>
      <c r="E145" s="0" t="s">
        <v>2947</v>
      </c>
      <c r="F145" s="0" t="s">
        <v>2592</v>
      </c>
      <c r="G145" s="0" t="s">
        <v>2948</v>
      </c>
    </row>
    <row customHeight="1" ht="11.25">
      <c r="A146" s="0" t="s">
        <v>14</v>
      </c>
      <c r="B146" s="0" t="s">
        <v>2926</v>
      </c>
      <c r="C146" s="0" t="s">
        <v>2927</v>
      </c>
      <c r="D146" s="0" t="s">
        <v>2949</v>
      </c>
      <c r="E146" s="0" t="s">
        <v>2950</v>
      </c>
      <c r="F146" s="0" t="s">
        <v>2592</v>
      </c>
      <c r="G146" s="0" t="s">
        <v>2951</v>
      </c>
    </row>
    <row customHeight="1" ht="11.25">
      <c r="A147" s="0" t="s">
        <v>14</v>
      </c>
      <c r="B147" s="0" t="s">
        <v>2926</v>
      </c>
      <c r="C147" s="0" t="s">
        <v>2927</v>
      </c>
      <c r="D147" s="0" t="s">
        <v>2952</v>
      </c>
      <c r="E147" s="0" t="s">
        <v>2953</v>
      </c>
      <c r="F147" s="0" t="s">
        <v>2592</v>
      </c>
      <c r="G147" s="0" t="s">
        <v>2954</v>
      </c>
    </row>
    <row customHeight="1" ht="11.25">
      <c r="A148" s="0" t="s">
        <v>14</v>
      </c>
      <c r="B148" s="0" t="s">
        <v>2926</v>
      </c>
      <c r="C148" s="0" t="s">
        <v>2927</v>
      </c>
      <c r="D148" s="0" t="s">
        <v>2955</v>
      </c>
      <c r="E148" s="0" t="s">
        <v>2956</v>
      </c>
      <c r="F148" s="0" t="s">
        <v>2616</v>
      </c>
      <c r="G148" s="0" t="s">
        <v>2957</v>
      </c>
    </row>
    <row customHeight="1" ht="11.25">
      <c r="A149" s="0" t="s">
        <v>14</v>
      </c>
      <c r="B149" s="0" t="s">
        <v>2926</v>
      </c>
      <c r="C149" s="0" t="s">
        <v>2927</v>
      </c>
      <c r="D149" s="0" t="s">
        <v>2958</v>
      </c>
      <c r="E149" s="0" t="s">
        <v>2959</v>
      </c>
      <c r="F149" s="0" t="s">
        <v>2592</v>
      </c>
      <c r="G149" s="0" t="s">
        <v>2960</v>
      </c>
    </row>
    <row customHeight="1" ht="11.25">
      <c r="A150" s="0" t="s">
        <v>14</v>
      </c>
      <c r="B150" s="0" t="s">
        <v>2926</v>
      </c>
      <c r="C150" s="0" t="s">
        <v>2927</v>
      </c>
      <c r="D150" s="0" t="s">
        <v>2926</v>
      </c>
      <c r="E150" s="0" t="s">
        <v>2927</v>
      </c>
      <c r="F150" s="0" t="s">
        <v>2593</v>
      </c>
      <c r="G150" s="0" t="s">
        <v>2961</v>
      </c>
    </row>
    <row customHeight="1" ht="11.25">
      <c r="A151" s="0" t="s">
        <v>14</v>
      </c>
      <c r="B151" s="0" t="s">
        <v>2926</v>
      </c>
      <c r="C151" s="0" t="s">
        <v>2927</v>
      </c>
      <c r="D151" s="0" t="s">
        <v>2962</v>
      </c>
      <c r="E151" s="0" t="s">
        <v>2963</v>
      </c>
      <c r="F151" s="0" t="s">
        <v>2592</v>
      </c>
      <c r="G151" s="0" t="s">
        <v>2964</v>
      </c>
    </row>
    <row customHeight="1" ht="11.25">
      <c r="A152" s="0" t="s">
        <v>14</v>
      </c>
      <c r="B152" s="0" t="s">
        <v>2965</v>
      </c>
      <c r="C152" s="0" t="s">
        <v>2966</v>
      </c>
      <c r="D152" s="0" t="s">
        <v>2967</v>
      </c>
      <c r="E152" s="0" t="s">
        <v>2968</v>
      </c>
      <c r="F152" s="0" t="s">
        <v>2592</v>
      </c>
      <c r="G152" s="0" t="s">
        <v>2969</v>
      </c>
    </row>
    <row customHeight="1" ht="11.25">
      <c r="A153" s="0" t="s">
        <v>14</v>
      </c>
      <c r="B153" s="0" t="s">
        <v>2965</v>
      </c>
      <c r="C153" s="0" t="s">
        <v>2966</v>
      </c>
      <c r="D153" s="0" t="s">
        <v>2970</v>
      </c>
      <c r="E153" s="0" t="s">
        <v>2971</v>
      </c>
      <c r="F153" s="0" t="s">
        <v>2592</v>
      </c>
      <c r="G153" s="0" t="s">
        <v>2972</v>
      </c>
    </row>
    <row customHeight="1" ht="11.25">
      <c r="A154" s="0" t="s">
        <v>14</v>
      </c>
      <c r="B154" s="0" t="s">
        <v>2965</v>
      </c>
      <c r="C154" s="0" t="s">
        <v>2966</v>
      </c>
      <c r="D154" s="0" t="s">
        <v>2973</v>
      </c>
      <c r="E154" s="0" t="s">
        <v>2974</v>
      </c>
      <c r="F154" s="0" t="s">
        <v>2592</v>
      </c>
      <c r="G154" s="0" t="s">
        <v>2975</v>
      </c>
    </row>
    <row customHeight="1" ht="11.25">
      <c r="A155" s="0" t="s">
        <v>14</v>
      </c>
      <c r="B155" s="0" t="s">
        <v>2965</v>
      </c>
      <c r="C155" s="0" t="s">
        <v>2966</v>
      </c>
      <c r="D155" s="0" t="s">
        <v>2976</v>
      </c>
      <c r="E155" s="0" t="s">
        <v>2977</v>
      </c>
      <c r="F155" s="0" t="s">
        <v>2592</v>
      </c>
      <c r="G155" s="0" t="s">
        <v>2978</v>
      </c>
    </row>
    <row customHeight="1" ht="11.25">
      <c r="A156" s="0" t="s">
        <v>14</v>
      </c>
      <c r="B156" s="0" t="s">
        <v>2965</v>
      </c>
      <c r="C156" s="0" t="s">
        <v>2966</v>
      </c>
      <c r="D156" s="0" t="s">
        <v>2979</v>
      </c>
      <c r="E156" s="0" t="s">
        <v>2980</v>
      </c>
      <c r="F156" s="0" t="s">
        <v>2592</v>
      </c>
      <c r="G156" s="0" t="s">
        <v>2981</v>
      </c>
    </row>
    <row customHeight="1" ht="11.25">
      <c r="A157" s="0" t="s">
        <v>14</v>
      </c>
      <c r="B157" s="0" t="s">
        <v>2965</v>
      </c>
      <c r="C157" s="0" t="s">
        <v>2966</v>
      </c>
      <c r="D157" s="0" t="s">
        <v>2982</v>
      </c>
      <c r="E157" s="0" t="s">
        <v>2983</v>
      </c>
      <c r="F157" s="0" t="s">
        <v>2592</v>
      </c>
      <c r="G157" s="0" t="s">
        <v>2984</v>
      </c>
    </row>
    <row customHeight="1" ht="11.25">
      <c r="A158" s="0" t="s">
        <v>14</v>
      </c>
      <c r="B158" s="0" t="s">
        <v>2965</v>
      </c>
      <c r="C158" s="0" t="s">
        <v>2966</v>
      </c>
      <c r="D158" s="0" t="s">
        <v>2985</v>
      </c>
      <c r="E158" s="0" t="s">
        <v>2986</v>
      </c>
      <c r="F158" s="0" t="s">
        <v>2592</v>
      </c>
      <c r="G158" s="0" t="s">
        <v>2987</v>
      </c>
    </row>
    <row customHeight="1" ht="11.25">
      <c r="A159" s="0" t="s">
        <v>14</v>
      </c>
      <c r="B159" s="0" t="s">
        <v>2965</v>
      </c>
      <c r="C159" s="0" t="s">
        <v>2966</v>
      </c>
      <c r="D159" s="0" t="s">
        <v>2988</v>
      </c>
      <c r="E159" s="0" t="s">
        <v>2989</v>
      </c>
      <c r="F159" s="0" t="s">
        <v>2592</v>
      </c>
      <c r="G159" s="0" t="s">
        <v>2990</v>
      </c>
    </row>
    <row customHeight="1" ht="11.25">
      <c r="A160" s="0" t="s">
        <v>14</v>
      </c>
      <c r="B160" s="0" t="s">
        <v>2965</v>
      </c>
      <c r="C160" s="0" t="s">
        <v>2966</v>
      </c>
      <c r="D160" s="0" t="s">
        <v>2991</v>
      </c>
      <c r="E160" s="0" t="s">
        <v>2992</v>
      </c>
      <c r="F160" s="0" t="s">
        <v>2592</v>
      </c>
      <c r="G160" s="0" t="s">
        <v>2993</v>
      </c>
    </row>
    <row customHeight="1" ht="11.25">
      <c r="A161" s="0" t="s">
        <v>14</v>
      </c>
      <c r="B161" s="0" t="s">
        <v>2965</v>
      </c>
      <c r="C161" s="0" t="s">
        <v>2966</v>
      </c>
      <c r="D161" s="0" t="s">
        <v>2994</v>
      </c>
      <c r="E161" s="0" t="s">
        <v>2995</v>
      </c>
      <c r="F161" s="0" t="s">
        <v>2592</v>
      </c>
      <c r="G161" s="0" t="s">
        <v>2996</v>
      </c>
    </row>
    <row customHeight="1" ht="11.25">
      <c r="A162" s="0" t="s">
        <v>14</v>
      </c>
      <c r="B162" s="0" t="s">
        <v>2965</v>
      </c>
      <c r="C162" s="0" t="s">
        <v>2966</v>
      </c>
      <c r="D162" s="0" t="s">
        <v>2997</v>
      </c>
      <c r="E162" s="0" t="s">
        <v>2998</v>
      </c>
      <c r="F162" s="0" t="s">
        <v>2592</v>
      </c>
      <c r="G162" s="0" t="s">
        <v>2999</v>
      </c>
    </row>
    <row customHeight="1" ht="11.25">
      <c r="A163" s="0" t="s">
        <v>14</v>
      </c>
      <c r="B163" s="0" t="s">
        <v>2965</v>
      </c>
      <c r="C163" s="0" t="s">
        <v>2966</v>
      </c>
      <c r="D163" s="0" t="s">
        <v>3000</v>
      </c>
      <c r="E163" s="0" t="s">
        <v>3001</v>
      </c>
      <c r="F163" s="0" t="s">
        <v>2592</v>
      </c>
      <c r="G163" s="0" t="s">
        <v>3002</v>
      </c>
    </row>
    <row customHeight="1" ht="11.25">
      <c r="A164" s="0" t="s">
        <v>14</v>
      </c>
      <c r="B164" s="0" t="s">
        <v>2965</v>
      </c>
      <c r="C164" s="0" t="s">
        <v>2966</v>
      </c>
      <c r="D164" s="0" t="s">
        <v>3003</v>
      </c>
      <c r="E164" s="0" t="s">
        <v>3004</v>
      </c>
      <c r="F164" s="0" t="s">
        <v>2592</v>
      </c>
      <c r="G164" s="0" t="s">
        <v>3005</v>
      </c>
    </row>
    <row customHeight="1" ht="11.25">
      <c r="A165" s="0" t="s">
        <v>14</v>
      </c>
      <c r="B165" s="0" t="s">
        <v>2965</v>
      </c>
      <c r="C165" s="0" t="s">
        <v>2966</v>
      </c>
      <c r="D165" s="0" t="s">
        <v>3006</v>
      </c>
      <c r="E165" s="0" t="s">
        <v>3007</v>
      </c>
      <c r="F165" s="0" t="s">
        <v>2592</v>
      </c>
      <c r="G165" s="0" t="s">
        <v>3008</v>
      </c>
    </row>
    <row customHeight="1" ht="11.25">
      <c r="A166" s="0" t="s">
        <v>14</v>
      </c>
      <c r="B166" s="0" t="s">
        <v>2965</v>
      </c>
      <c r="C166" s="0" t="s">
        <v>2966</v>
      </c>
      <c r="D166" s="0" t="s">
        <v>3009</v>
      </c>
      <c r="E166" s="0" t="s">
        <v>3010</v>
      </c>
      <c r="F166" s="0" t="s">
        <v>2592</v>
      </c>
      <c r="G166" s="0" t="s">
        <v>3011</v>
      </c>
    </row>
    <row customHeight="1" ht="11.25">
      <c r="A167" s="0" t="s">
        <v>14</v>
      </c>
      <c r="B167" s="0" t="s">
        <v>2965</v>
      </c>
      <c r="C167" s="0" t="s">
        <v>2966</v>
      </c>
      <c r="D167" s="0" t="s">
        <v>3012</v>
      </c>
      <c r="E167" s="0" t="s">
        <v>3013</v>
      </c>
      <c r="F167" s="0" t="s">
        <v>2592</v>
      </c>
      <c r="G167" s="0" t="s">
        <v>3014</v>
      </c>
    </row>
    <row customHeight="1" ht="11.25">
      <c r="A168" s="0" t="s">
        <v>14</v>
      </c>
      <c r="B168" s="0" t="s">
        <v>2965</v>
      </c>
      <c r="C168" s="0" t="s">
        <v>2966</v>
      </c>
      <c r="D168" s="0" t="s">
        <v>3015</v>
      </c>
      <c r="E168" s="0" t="s">
        <v>3016</v>
      </c>
      <c r="F168" s="0" t="s">
        <v>2592</v>
      </c>
      <c r="G168" s="0" t="s">
        <v>3017</v>
      </c>
    </row>
    <row customHeight="1" ht="11.25">
      <c r="A169" s="0" t="s">
        <v>14</v>
      </c>
      <c r="B169" s="0" t="s">
        <v>2965</v>
      </c>
      <c r="C169" s="0" t="s">
        <v>2966</v>
      </c>
      <c r="D169" s="0" t="s">
        <v>2965</v>
      </c>
      <c r="E169" s="0" t="s">
        <v>2966</v>
      </c>
      <c r="F169" s="0" t="s">
        <v>2593</v>
      </c>
      <c r="G169" s="0" t="s">
        <v>3018</v>
      </c>
    </row>
    <row customHeight="1" ht="11.25">
      <c r="A170" s="0" t="s">
        <v>14</v>
      </c>
      <c r="B170" s="0" t="s">
        <v>2965</v>
      </c>
      <c r="C170" s="0" t="s">
        <v>2966</v>
      </c>
      <c r="D170" s="0" t="s">
        <v>3019</v>
      </c>
      <c r="E170" s="0" t="s">
        <v>3020</v>
      </c>
      <c r="F170" s="0" t="s">
        <v>2592</v>
      </c>
      <c r="G170" s="0" t="s">
        <v>3021</v>
      </c>
    </row>
    <row customHeight="1" ht="11.25">
      <c r="A171" s="0" t="s">
        <v>14</v>
      </c>
      <c r="B171" s="0" t="s">
        <v>2965</v>
      </c>
      <c r="C171" s="0" t="s">
        <v>2966</v>
      </c>
      <c r="D171" s="0" t="s">
        <v>3022</v>
      </c>
      <c r="E171" s="0" t="s">
        <v>3023</v>
      </c>
      <c r="F171" s="0" t="s">
        <v>2592</v>
      </c>
      <c r="G171" s="0" t="s">
        <v>3024</v>
      </c>
    </row>
    <row customHeight="1" ht="11.25">
      <c r="A172" s="0" t="s">
        <v>14</v>
      </c>
      <c r="B172" s="0" t="s">
        <v>3025</v>
      </c>
      <c r="C172" s="0" t="s">
        <v>3026</v>
      </c>
      <c r="D172" s="0" t="s">
        <v>3027</v>
      </c>
      <c r="E172" s="0" t="s">
        <v>3028</v>
      </c>
      <c r="F172" s="0" t="s">
        <v>2592</v>
      </c>
      <c r="G172" s="0" t="s">
        <v>3029</v>
      </c>
    </row>
    <row customHeight="1" ht="11.25">
      <c r="A173" s="0" t="s">
        <v>14</v>
      </c>
      <c r="B173" s="0" t="s">
        <v>3025</v>
      </c>
      <c r="C173" s="0" t="s">
        <v>3026</v>
      </c>
      <c r="D173" s="0" t="s">
        <v>3030</v>
      </c>
      <c r="E173" s="0" t="s">
        <v>3031</v>
      </c>
      <c r="F173" s="0" t="s">
        <v>2592</v>
      </c>
      <c r="G173" s="0" t="s">
        <v>3032</v>
      </c>
    </row>
    <row customHeight="1" ht="11.25">
      <c r="A174" s="0" t="s">
        <v>14</v>
      </c>
      <c r="B174" s="0" t="s">
        <v>3025</v>
      </c>
      <c r="C174" s="0" t="s">
        <v>3026</v>
      </c>
      <c r="D174" s="0" t="s">
        <v>3033</v>
      </c>
      <c r="E174" s="0" t="s">
        <v>3034</v>
      </c>
      <c r="F174" s="0" t="s">
        <v>2592</v>
      </c>
      <c r="G174" s="0" t="s">
        <v>3035</v>
      </c>
    </row>
    <row customHeight="1" ht="11.25">
      <c r="A175" s="0" t="s">
        <v>14</v>
      </c>
      <c r="B175" s="0" t="s">
        <v>3025</v>
      </c>
      <c r="C175" s="0" t="s">
        <v>3026</v>
      </c>
      <c r="D175" s="0" t="s">
        <v>3036</v>
      </c>
      <c r="E175" s="0" t="s">
        <v>3037</v>
      </c>
      <c r="F175" s="0" t="s">
        <v>2592</v>
      </c>
      <c r="G175" s="0" t="s">
        <v>3038</v>
      </c>
    </row>
    <row customHeight="1" ht="11.25">
      <c r="A176" s="0" t="s">
        <v>14</v>
      </c>
      <c r="B176" s="0" t="s">
        <v>3025</v>
      </c>
      <c r="C176" s="0" t="s">
        <v>3026</v>
      </c>
      <c r="D176" s="0" t="s">
        <v>3039</v>
      </c>
      <c r="E176" s="0" t="s">
        <v>3040</v>
      </c>
      <c r="F176" s="0" t="s">
        <v>2592</v>
      </c>
      <c r="G176" s="0" t="s">
        <v>3041</v>
      </c>
    </row>
    <row customHeight="1" ht="11.25">
      <c r="A177" s="0" t="s">
        <v>14</v>
      </c>
      <c r="B177" s="0" t="s">
        <v>3025</v>
      </c>
      <c r="C177" s="0" t="s">
        <v>3026</v>
      </c>
      <c r="D177" s="0" t="s">
        <v>3042</v>
      </c>
      <c r="E177" s="0" t="s">
        <v>3043</v>
      </c>
      <c r="F177" s="0" t="s">
        <v>2592</v>
      </c>
      <c r="G177" s="0" t="s">
        <v>3044</v>
      </c>
    </row>
    <row customHeight="1" ht="11.25">
      <c r="A178" s="0" t="s">
        <v>14</v>
      </c>
      <c r="B178" s="0" t="s">
        <v>3025</v>
      </c>
      <c r="C178" s="0" t="s">
        <v>3026</v>
      </c>
      <c r="D178" s="0" t="s">
        <v>3045</v>
      </c>
      <c r="E178" s="0" t="s">
        <v>3046</v>
      </c>
      <c r="F178" s="0" t="s">
        <v>2592</v>
      </c>
      <c r="G178" s="0" t="s">
        <v>3047</v>
      </c>
    </row>
    <row customHeight="1" ht="11.25">
      <c r="A179" s="0" t="s">
        <v>14</v>
      </c>
      <c r="B179" s="0" t="s">
        <v>3025</v>
      </c>
      <c r="C179" s="0" t="s">
        <v>3026</v>
      </c>
      <c r="D179" s="0" t="s">
        <v>3048</v>
      </c>
      <c r="E179" s="0" t="s">
        <v>3049</v>
      </c>
      <c r="F179" s="0" t="s">
        <v>2592</v>
      </c>
      <c r="G179" s="0" t="s">
        <v>3050</v>
      </c>
    </row>
    <row customHeight="1" ht="11.25">
      <c r="A180" s="0" t="s">
        <v>14</v>
      </c>
      <c r="B180" s="0" t="s">
        <v>3025</v>
      </c>
      <c r="C180" s="0" t="s">
        <v>3026</v>
      </c>
      <c r="D180" s="0" t="s">
        <v>3051</v>
      </c>
      <c r="E180" s="0" t="s">
        <v>3052</v>
      </c>
      <c r="F180" s="0" t="s">
        <v>2592</v>
      </c>
      <c r="G180" s="0" t="s">
        <v>3053</v>
      </c>
    </row>
    <row customHeight="1" ht="11.25">
      <c r="A181" s="0" t="s">
        <v>14</v>
      </c>
      <c r="B181" s="0" t="s">
        <v>3025</v>
      </c>
      <c r="C181" s="0" t="s">
        <v>3026</v>
      </c>
      <c r="D181" s="0" t="s">
        <v>3025</v>
      </c>
      <c r="E181" s="0" t="s">
        <v>3026</v>
      </c>
      <c r="F181" s="0" t="s">
        <v>2593</v>
      </c>
      <c r="G181" s="0" t="s">
        <v>3054</v>
      </c>
    </row>
    <row customHeight="1" ht="11.25">
      <c r="A182" s="0" t="s">
        <v>14</v>
      </c>
      <c r="B182" s="0" t="s">
        <v>3025</v>
      </c>
      <c r="C182" s="0" t="s">
        <v>3026</v>
      </c>
      <c r="D182" s="0" t="s">
        <v>3055</v>
      </c>
      <c r="E182" s="0" t="s">
        <v>3056</v>
      </c>
      <c r="F182" s="0" t="s">
        <v>2592</v>
      </c>
      <c r="G182" s="0" t="s">
        <v>3057</v>
      </c>
    </row>
    <row customHeight="1" ht="11.25">
      <c r="A183" s="0" t="s">
        <v>14</v>
      </c>
      <c r="B183" s="0" t="s">
        <v>3025</v>
      </c>
      <c r="C183" s="0" t="s">
        <v>3026</v>
      </c>
      <c r="D183" s="0" t="s">
        <v>3058</v>
      </c>
      <c r="E183" s="0" t="s">
        <v>3059</v>
      </c>
      <c r="F183" s="0" t="s">
        <v>2592</v>
      </c>
      <c r="G183" s="0" t="s">
        <v>3060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C0D6D-5A4F-C1C9-9C41-4244E5660E2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09" width="9.140625"/>
    <col min="2" max="2" style="4809" width="84.28125" customWidth="1"/>
    <col min="3" max="3" style="4809" width="9.140625"/>
  </cols>
  <sheetData>
    <row customHeight="1" ht="11.25">
      <c r="A1" s="845" t="s">
        <v>3143</v>
      </c>
      <c r="B1" s="845" t="s">
        <v>3144</v>
      </c>
      <c r="C1" s="845" t="s">
        <v>553</v>
      </c>
    </row>
    <row customHeight="1" ht="11.25">
      <c r="A2" s="845">
        <v>4189678</v>
      </c>
      <c r="B2" s="845" t="s">
        <v>3145</v>
      </c>
      <c r="C2" s="845" t="s">
        <v>3146</v>
      </c>
    </row>
    <row customHeight="1" ht="11.25">
      <c r="A3" s="845">
        <v>4190415</v>
      </c>
      <c r="B3" s="845" t="s">
        <v>3147</v>
      </c>
      <c r="C3" s="845"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F96DF-4D6C-5984-0C6E-D583D0F70F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13" width="38.421875" customWidth="1"/>
    <col min="2" max="5" style="4813" width="9.140625"/>
  </cols>
  <sheetData>
    <row customHeight="1" ht="15">
      <c r="A1" s="149" t="s">
        <v>3148</v>
      </c>
      <c r="B1" s="149" t="s">
        <v>3149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CF153-9512-4644-1D86-88EF7A2C19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3150</v>
      </c>
      <c r="B1" s="0" t="b">
        <v>1</v>
      </c>
    </row>
    <row customHeight="1" ht="11.25">
      <c r="A2" s="0" t="s">
        <v>3151</v>
      </c>
      <c r="B2" s="0" t="b">
        <v>0</v>
      </c>
    </row>
    <row customHeight="1" ht="11.25">
      <c r="A3" s="0" t="s">
        <v>3152</v>
      </c>
      <c r="B3" s="0" t="b">
        <v>0</v>
      </c>
    </row>
    <row customHeight="1" ht="11.25">
      <c r="A4" s="0" t="s">
        <v>3153</v>
      </c>
      <c r="B4" s="0" t="b">
        <v>1</v>
      </c>
    </row>
    <row customHeight="1" ht="11.25">
      <c r="A5" s="0" t="s">
        <v>3154</v>
      </c>
      <c r="B5" s="0" t="b">
        <v>0</v>
      </c>
    </row>
    <row customHeight="1" ht="11.25">
      <c r="A6" s="0" t="s">
        <v>3155</v>
      </c>
      <c r="B6" s="0" t="b">
        <v>0</v>
      </c>
    </row>
    <row customHeight="1" ht="11.25">
      <c r="A7" s="0" t="s">
        <v>3156</v>
      </c>
      <c r="B7" s="0" t="b">
        <v>0</v>
      </c>
    </row>
    <row customHeight="1" ht="11.25">
      <c r="A8" s="0" t="s">
        <v>3157</v>
      </c>
      <c r="B8" s="0" t="b">
        <v>0</v>
      </c>
    </row>
    <row customHeight="1" ht="11.25">
      <c r="A9" s="0" t="s">
        <v>3158</v>
      </c>
      <c r="B9" s="0" t="b">
        <v>0</v>
      </c>
    </row>
    <row customHeight="1" ht="11.25">
      <c r="A10" s="0" t="s">
        <v>3159</v>
      </c>
      <c r="B10" s="0" t="b">
        <v>1</v>
      </c>
    </row>
    <row customHeight="1" ht="11.25">
      <c r="A11" s="0" t="s">
        <v>3160</v>
      </c>
      <c r="B11" s="0" t="b">
        <v>0</v>
      </c>
    </row>
    <row customHeight="1" ht="11.25">
      <c r="A12" s="0" t="s">
        <v>3161</v>
      </c>
      <c r="B12" s="0" t="b">
        <v>0</v>
      </c>
    </row>
    <row customHeight="1" ht="11.25">
      <c r="A13" s="0" t="s">
        <v>3162</v>
      </c>
      <c r="B13" s="0" t="b">
        <v>0</v>
      </c>
    </row>
    <row customHeight="1" ht="11.25">
      <c r="A14" s="0" t="s">
        <v>3163</v>
      </c>
      <c r="B14" s="0" t="b">
        <v>0</v>
      </c>
    </row>
    <row customHeight="1" ht="11.25">
      <c r="A15" s="0" t="s">
        <v>3164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790DA-A2D3-6B7D-BA9C-7EEE6C5392D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15"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0FE09-8311-98AE-4291-E6D6429E6B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791" width="36.28125" customWidth="1"/>
    <col min="2" max="2" style="4791" width="21.140625" customWidth="1"/>
  </cols>
  <sheetData>
    <row customHeight="1" ht="11.25">
      <c r="A1" s="52" t="s">
        <v>3165</v>
      </c>
      <c r="B1" s="52" t="s">
        <v>3166</v>
      </c>
    </row>
    <row customHeight="1" ht="11.25">
      <c r="A2" s="48" t="s">
        <v>3167</v>
      </c>
      <c r="B2" s="48" t="s">
        <v>3168</v>
      </c>
    </row>
    <row customHeight="1" ht="11.25">
      <c r="A3" s="48" t="s">
        <v>3169</v>
      </c>
      <c r="B3" s="48" t="s">
        <v>3170</v>
      </c>
    </row>
    <row customHeight="1" ht="11.25">
      <c r="A4" s="48" t="s">
        <v>3171</v>
      </c>
      <c r="B4" s="48" t="s">
        <v>3172</v>
      </c>
    </row>
    <row customHeight="1" ht="11.25">
      <c r="A5" s="48" t="s">
        <v>3173</v>
      </c>
      <c r="B5" s="48" t="s">
        <v>3174</v>
      </c>
    </row>
    <row customHeight="1" ht="11.25">
      <c r="A6" s="48" t="s">
        <v>3175</v>
      </c>
      <c r="B6" s="48" t="s">
        <v>3176</v>
      </c>
    </row>
    <row customHeight="1" ht="11.25">
      <c r="A7" s="48" t="s">
        <v>3177</v>
      </c>
      <c r="B7" s="48" t="s">
        <v>3178</v>
      </c>
    </row>
    <row customHeight="1" ht="11.25">
      <c r="A8" s="48" t="s">
        <v>3179</v>
      </c>
      <c r="B8" s="48" t="s">
        <v>3180</v>
      </c>
    </row>
    <row customHeight="1" ht="11.25">
      <c r="A9" s="48" t="s">
        <v>3181</v>
      </c>
      <c r="B9" s="48" t="s">
        <v>3182</v>
      </c>
    </row>
    <row customHeight="1" ht="11.25">
      <c r="A10" s="48" t="s">
        <v>3183</v>
      </c>
      <c r="B10" s="48" t="s">
        <v>3184</v>
      </c>
    </row>
    <row customHeight="1" ht="11.25">
      <c r="A11" s="48" t="s">
        <v>3185</v>
      </c>
      <c r="B11" s="48" t="s">
        <v>3186</v>
      </c>
    </row>
    <row customHeight="1" ht="11.25">
      <c r="A12" s="48" t="s">
        <v>3187</v>
      </c>
      <c r="B12" s="48" t="s">
        <v>3188</v>
      </c>
    </row>
    <row customHeight="1" ht="11.25">
      <c r="A13" s="48" t="s">
        <v>3189</v>
      </c>
      <c r="B13" s="48" t="s">
        <v>3190</v>
      </c>
    </row>
    <row customHeight="1" ht="11.25">
      <c r="A14" s="48" t="s">
        <v>3191</v>
      </c>
      <c r="B14" s="48" t="s">
        <v>3192</v>
      </c>
    </row>
    <row customHeight="1" ht="11.25">
      <c r="A15" s="48" t="s">
        <v>3193</v>
      </c>
      <c r="B15" s="48" t="s">
        <v>3194</v>
      </c>
    </row>
    <row customHeight="1" ht="11.25">
      <c r="A16" s="48" t="s">
        <v>3195</v>
      </c>
      <c r="B16" s="48" t="s">
        <v>3196</v>
      </c>
    </row>
    <row customHeight="1" ht="11.25">
      <c r="A17" s="48" t="s">
        <v>3197</v>
      </c>
      <c r="B17" s="48" t="s">
        <v>3198</v>
      </c>
    </row>
    <row customHeight="1" ht="11.25">
      <c r="A18" s="48" t="s">
        <v>3199</v>
      </c>
      <c r="B18" s="48" t="s">
        <v>3200</v>
      </c>
    </row>
    <row customHeight="1" ht="11.25">
      <c r="A19" s="48" t="s">
        <v>3201</v>
      </c>
      <c r="B19" s="48" t="s">
        <v>3202</v>
      </c>
    </row>
    <row customHeight="1" ht="11.25">
      <c r="A20" s="48" t="s">
        <v>3203</v>
      </c>
      <c r="B20" s="48" t="s">
        <v>3204</v>
      </c>
    </row>
    <row customHeight="1" ht="11.25">
      <c r="A21" s="48" t="s">
        <v>3205</v>
      </c>
      <c r="B21" s="48" t="s">
        <v>3206</v>
      </c>
    </row>
    <row customHeight="1" ht="11.25">
      <c r="A22" s="48" t="s">
        <v>3207</v>
      </c>
      <c r="B22" s="48" t="s">
        <v>3208</v>
      </c>
    </row>
    <row customHeight="1" ht="11.25">
      <c r="A23" s="48" t="s">
        <v>3209</v>
      </c>
      <c r="B23" s="48" t="s">
        <v>3210</v>
      </c>
    </row>
    <row customHeight="1" ht="11.25">
      <c r="A24" s="48" t="s">
        <v>3211</v>
      </c>
      <c r="B24" s="48" t="s">
        <v>3212</v>
      </c>
    </row>
    <row customHeight="1" ht="11.25">
      <c r="A25" s="48" t="s">
        <v>3213</v>
      </c>
      <c r="B25" s="48" t="s">
        <v>3214</v>
      </c>
    </row>
    <row customHeight="1" ht="11.25">
      <c r="A26" s="48" t="s">
        <v>3215</v>
      </c>
      <c r="B26" s="48" t="s">
        <v>3216</v>
      </c>
    </row>
    <row customHeight="1" ht="11.25">
      <c r="A27" s="48" t="s">
        <v>3217</v>
      </c>
      <c r="B27" s="48" t="s">
        <v>3218</v>
      </c>
    </row>
    <row customHeight="1" ht="11.25">
      <c r="A28" s="48" t="s">
        <v>3219</v>
      </c>
      <c r="B28" s="48" t="s">
        <v>3220</v>
      </c>
    </row>
    <row customHeight="1" ht="11.25">
      <c r="A29" s="48" t="s">
        <v>3221</v>
      </c>
      <c r="B29" s="48" t="s">
        <v>3222</v>
      </c>
    </row>
    <row customHeight="1" ht="11.25">
      <c r="A30" s="48" t="s">
        <v>3223</v>
      </c>
      <c r="B30" s="48" t="s">
        <v>3224</v>
      </c>
    </row>
    <row customHeight="1" ht="11.25">
      <c r="A31" s="48" t="s">
        <v>3225</v>
      </c>
      <c r="B31" s="48" t="s">
        <v>3226</v>
      </c>
    </row>
    <row customHeight="1" ht="11.25">
      <c r="A32" s="48" t="s">
        <v>3227</v>
      </c>
      <c r="B32" s="48" t="s">
        <v>3228</v>
      </c>
    </row>
    <row customHeight="1" ht="11.25">
      <c r="A33" s="48" t="s">
        <v>3229</v>
      </c>
      <c r="B33" s="48" t="s">
        <v>3230</v>
      </c>
    </row>
    <row customHeight="1" ht="11.25">
      <c r="A34" s="48" t="s">
        <v>3231</v>
      </c>
      <c r="B34" s="48" t="s">
        <v>3232</v>
      </c>
    </row>
    <row customHeight="1" ht="11.25">
      <c r="A35" s="48" t="s">
        <v>3233</v>
      </c>
      <c r="B35" s="48" t="s">
        <v>3234</v>
      </c>
    </row>
    <row customHeight="1" ht="11.25">
      <c r="A36" s="48" t="s">
        <v>3235</v>
      </c>
      <c r="B36" s="48" t="s">
        <v>3236</v>
      </c>
    </row>
    <row customHeight="1" ht="11.25">
      <c r="A37" s="48" t="s">
        <v>3237</v>
      </c>
      <c r="B37" s="48" t="s">
        <v>3238</v>
      </c>
    </row>
    <row customHeight="1" ht="11.25">
      <c r="A38" s="48" t="s">
        <v>3239</v>
      </c>
      <c r="B38" s="48" t="s">
        <v>3240</v>
      </c>
    </row>
    <row customHeight="1" ht="11.25">
      <c r="A39" s="48" t="s">
        <v>3241</v>
      </c>
      <c r="B39" s="48" t="s">
        <v>3242</v>
      </c>
    </row>
    <row customHeight="1" ht="11.25">
      <c r="A40" s="48" t="s">
        <v>3243</v>
      </c>
      <c r="B40" s="48" t="s">
        <v>3244</v>
      </c>
    </row>
    <row customHeight="1" ht="11.25">
      <c r="A41" s="48" t="s">
        <v>3245</v>
      </c>
      <c r="B41" s="48" t="s">
        <v>3246</v>
      </c>
    </row>
    <row customHeight="1" ht="11.25">
      <c r="A42" s="48" t="s">
        <v>3247</v>
      </c>
      <c r="B42" s="48" t="s">
        <v>3248</v>
      </c>
    </row>
    <row customHeight="1" ht="11.25">
      <c r="A43" s="48" t="s">
        <v>3249</v>
      </c>
      <c r="B43" s="48" t="s">
        <v>3250</v>
      </c>
    </row>
    <row customHeight="1" ht="11.25">
      <c r="A44" s="48" t="s">
        <v>3251</v>
      </c>
      <c r="B44" s="48" t="s">
        <v>3252</v>
      </c>
    </row>
    <row customHeight="1" ht="11.25">
      <c r="A45" s="48" t="s">
        <v>3253</v>
      </c>
      <c r="B45" s="48" t="s">
        <v>3254</v>
      </c>
    </row>
    <row customHeight="1" ht="11.25">
      <c r="A46" s="48" t="s">
        <v>3255</v>
      </c>
      <c r="B46" s="48" t="s">
        <v>3256</v>
      </c>
    </row>
    <row customHeight="1" ht="11.25">
      <c r="A47" s="48" t="s">
        <v>3257</v>
      </c>
      <c r="B47" s="48" t="s">
        <v>3258</v>
      </c>
    </row>
    <row customHeight="1" ht="11.25">
      <c r="A48" s="48" t="s">
        <v>3259</v>
      </c>
      <c r="B48" s="48" t="s">
        <v>3260</v>
      </c>
    </row>
    <row customHeight="1" ht="11.25">
      <c r="A49" s="48" t="s">
        <v>3261</v>
      </c>
      <c r="B49" s="48" t="s">
        <v>3262</v>
      </c>
    </row>
    <row customHeight="1" ht="11.25">
      <c r="A50" s="48" t="s">
        <v>3263</v>
      </c>
      <c r="B50" s="48" t="s">
        <v>3264</v>
      </c>
    </row>
    <row customHeight="1" ht="11.25">
      <c r="A51" s="48" t="s">
        <v>3265</v>
      </c>
      <c r="B51" s="48" t="s">
        <v>3266</v>
      </c>
    </row>
    <row customHeight="1" ht="11.25">
      <c r="A52" s="48" t="s">
        <v>3267</v>
      </c>
      <c r="B52" s="48" t="s">
        <v>3268</v>
      </c>
    </row>
    <row customHeight="1" ht="11.25">
      <c r="A53" s="48" t="s">
        <v>3269</v>
      </c>
      <c r="B53" s="48" t="s">
        <v>3270</v>
      </c>
    </row>
    <row customHeight="1" ht="11.25">
      <c r="A54" s="48" t="s">
        <v>3271</v>
      </c>
      <c r="B54" s="48" t="s">
        <v>3272</v>
      </c>
    </row>
    <row customHeight="1" ht="11.25">
      <c r="A55" s="48" t="s">
        <v>3273</v>
      </c>
      <c r="B55" s="48" t="s">
        <v>3274</v>
      </c>
    </row>
    <row customHeight="1" ht="11.25">
      <c r="A56" s="48" t="s">
        <v>3275</v>
      </c>
      <c r="B56" s="48" t="s">
        <v>3276</v>
      </c>
    </row>
    <row customHeight="1" ht="11.25">
      <c r="A57" s="48" t="s">
        <v>3277</v>
      </c>
      <c r="B57" s="48" t="s">
        <v>3278</v>
      </c>
    </row>
    <row customHeight="1" ht="11.25">
      <c r="A58" s="48" t="s">
        <v>3279</v>
      </c>
      <c r="B58" s="48" t="s">
        <v>3280</v>
      </c>
    </row>
    <row customHeight="1" ht="11.25">
      <c r="A59" s="48" t="s">
        <v>3281</v>
      </c>
      <c r="B59" s="48" t="s">
        <v>3282</v>
      </c>
    </row>
    <row customHeight="1" ht="11.25">
      <c r="A60" s="48" t="s">
        <v>3283</v>
      </c>
      <c r="B60" s="48" t="s">
        <v>3284</v>
      </c>
    </row>
    <row customHeight="1" ht="11.25">
      <c r="A61" s="48"/>
      <c r="B61" s="48" t="s">
        <v>3285</v>
      </c>
    </row>
    <row customHeight="1" ht="11.25">
      <c r="A62" s="48"/>
      <c r="B62" s="48" t="s">
        <v>3286</v>
      </c>
    </row>
    <row customHeight="1" ht="11.25">
      <c r="A63" s="48"/>
      <c r="B63" s="48" t="s">
        <v>3287</v>
      </c>
    </row>
    <row customHeight="1" ht="11.25">
      <c r="A64" s="48"/>
      <c r="B64" s="48" t="s">
        <v>3288</v>
      </c>
    </row>
    <row customHeight="1" ht="11.25">
      <c r="A65" s="48"/>
      <c r="B65" s="48" t="s">
        <v>3289</v>
      </c>
    </row>
    <row customHeight="1" ht="11.25">
      <c r="A66" s="48"/>
      <c r="B66" s="48" t="s">
        <v>3290</v>
      </c>
    </row>
    <row customHeight="1" ht="11.25">
      <c r="A67" s="48"/>
      <c r="B67" s="48" t="s">
        <v>3291</v>
      </c>
    </row>
    <row customHeight="1" ht="11.25">
      <c r="A68" s="48"/>
      <c r="B68" s="48" t="s">
        <v>3292</v>
      </c>
    </row>
    <row customHeight="1" ht="11.25">
      <c r="A69" s="48"/>
      <c r="B69" s="48" t="s">
        <v>3293</v>
      </c>
    </row>
    <row customHeight="1" ht="11.25">
      <c r="A70" s="48"/>
      <c r="B70" s="48" t="s">
        <v>3294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7A9C6-7902-3E9B-C5C7-47067E140B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3295</v>
      </c>
    </row>
    <row customHeight="1" ht="90">
      <c r="B2" s="79" t="s">
        <v>3296</v>
      </c>
    </row>
    <row customHeight="1" ht="67.5">
      <c r="B3" s="79" t="s">
        <v>3297</v>
      </c>
    </row>
    <row customHeight="1" ht="33.75">
      <c r="B4" s="79" t="s">
        <v>3298</v>
      </c>
    </row>
    <row customHeight="1" ht="11.25">
      <c r="B5" s="79" t="s">
        <v>3299</v>
      </c>
    </row>
    <row customHeight="1" ht="22.5">
      <c r="B6" s="79" t="s">
        <v>3300</v>
      </c>
    </row>
    <row customHeight="1" ht="22.5">
      <c r="B7" s="79" t="s">
        <v>3301</v>
      </c>
    </row>
    <row customHeight="1" ht="22.5">
      <c r="B8" s="79" t="s">
        <v>3302</v>
      </c>
    </row>
    <row customHeight="1" ht="22.5">
      <c r="B9" s="79" t="s">
        <v>3303</v>
      </c>
    </row>
    <row customHeight="1" ht="56.25">
      <c r="B10" s="79" t="s">
        <v>3304</v>
      </c>
    </row>
    <row customHeight="1" ht="12.75">
      <c r="B11" s="145" t="s">
        <v>3305</v>
      </c>
    </row>
    <row customHeight="1" ht="11.25">
      <c r="B12" s="78" t="s">
        <v>3306</v>
      </c>
    </row>
    <row customHeight="1" ht="22.5">
      <c r="B13" s="79" t="s">
        <v>3307</v>
      </c>
    </row>
    <row customHeight="1" ht="67.5">
      <c r="B14" s="79" t="s">
        <v>3308</v>
      </c>
    </row>
    <row customHeight="1" ht="22.5">
      <c r="B15" s="79" t="s">
        <v>3309</v>
      </c>
    </row>
    <row customHeight="1" ht="11.25">
      <c r="B16" s="78" t="s">
        <v>3310</v>
      </c>
      <c r="D16" s="86"/>
    </row>
    <row customHeight="1" ht="33.75">
      <c r="B17" s="79" t="s">
        <v>3311</v>
      </c>
    </row>
    <row customHeight="1" ht="33.75">
      <c r="B18" s="79" t="s">
        <v>3312</v>
      </c>
    </row>
    <row customHeight="1" ht="11.25">
      <c r="B19" s="79" t="s">
        <v>3313</v>
      </c>
    </row>
    <row customHeight="1" ht="33.75">
      <c r="B20" s="79" t="s">
        <v>3314</v>
      </c>
    </row>
    <row customHeight="1" ht="11.25">
      <c r="B21" s="78" t="s">
        <v>3315</v>
      </c>
    </row>
    <row customHeight="1" ht="11.25">
      <c r="B22" s="79" t="s">
        <v>3316</v>
      </c>
    </row>
    <row r="24" customHeight="1" ht="22.5">
      <c r="B24" s="147" t="s">
        <v>3317</v>
      </c>
    </row>
    <row r="26" customHeight="1" ht="11.25">
      <c r="B26" s="78" t="s">
        <v>3318</v>
      </c>
    </row>
    <row customHeight="1" ht="22.5">
      <c r="B27" s="146" t="s">
        <v>456</v>
      </c>
    </row>
    <row customHeight="1" ht="56.25">
      <c r="B28" s="146" t="s">
        <v>3319</v>
      </c>
    </row>
    <row customHeight="1" ht="11.25">
      <c r="B29" s="196" t="s">
        <v>3320</v>
      </c>
    </row>
    <row customHeight="1" ht="22.5">
      <c r="B30" s="146" t="s">
        <v>3321</v>
      </c>
    </row>
    <row r="32" customHeight="1" ht="11.25">
      <c r="A32" s="174"/>
      <c r="B32" s="175" t="s">
        <v>3322</v>
      </c>
    </row>
    <row customHeight="1" ht="14.25">
      <c r="A33" s="176">
        <v>1</v>
      </c>
      <c r="B33" s="177" t="s">
        <v>3323</v>
      </c>
    </row>
    <row customHeight="1" ht="14.25">
      <c r="A34" s="176">
        <v>2</v>
      </c>
      <c r="B34" s="177" t="s">
        <v>3324</v>
      </c>
    </row>
    <row customHeight="1" ht="11.25">
      <c r="B35" s="175" t="s">
        <v>3325</v>
      </c>
    </row>
    <row customHeight="1" ht="11.25">
      <c r="B36" s="177" t="s">
        <v>3326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FD8D-EC57-C7E3-4D9B-2C814F7D8939}"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00" width="9.140625" hidden="1" customWidth="1"/>
    <col min="2" max="2" style="3097" width="9.140625" hidden="1" customWidth="1"/>
    <col min="3" max="3" style="3075" width="3.7109375" customWidth="1"/>
    <col min="4" max="4" style="3097" width="5.57421875" customWidth="1"/>
    <col min="5" max="5" style="3097" width="38.140625" customWidth="1"/>
    <col min="6" max="7" style="3097" width="3.7109375" customWidth="1"/>
    <col min="8" max="8" style="3097" width="38.28125" customWidth="1"/>
    <col min="9" max="9" style="3097" width="35.7109375" customWidth="1"/>
    <col min="10" max="10" style="3097" width="103.7109375" customWidth="1"/>
    <col min="11" max="11" style="2869" width="3.7109375" customWidth="1"/>
    <col min="12" max="14" style="3091" width="10.57421875"/>
    <col min="15" max="15" style="3091" width="13.7109375" customWidth="1"/>
    <col min="16" max="16" style="3091" width="15.421875" customWidth="1"/>
    <col min="17" max="17" style="3091" width="16.28125" customWidth="1"/>
    <col min="18" max="21" style="3091" width="10.57421875"/>
  </cols>
  <sheetData>
    <row customHeight="1" ht="14.25" hidden="1">
      <c r="E1" s="419"/>
      <c r="F1" s="419"/>
      <c r="G1" s="419"/>
      <c r="H1" s="2056" t="s">
        <v>341</v>
      </c>
      <c r="I1" s="2056"/>
    </row>
    <row s="3078" customFormat="1" customHeight="1" ht="14.25" hidden="1">
      <c r="C2" s="1665"/>
      <c r="D2" s="2072" t="s">
        <v>109</v>
      </c>
      <c r="E2" s="2074"/>
      <c r="F2" s="1671"/>
      <c r="G2" s="1666" t="s">
        <v>109</v>
      </c>
      <c r="H2" s="1669"/>
      <c r="I2" s="1667"/>
      <c r="L2" s="1668"/>
      <c r="M2" s="1668"/>
      <c r="N2" s="1668"/>
      <c r="O2" s="1668" t="s">
        <v>371</v>
      </c>
      <c r="P2" s="1668"/>
      <c r="Q2" s="1668"/>
      <c r="R2" s="1670" t="s">
        <v>370</v>
      </c>
      <c r="S2" s="1670" t="s">
        <v>370</v>
      </c>
      <c r="T2" s="1668"/>
      <c r="U2" s="1668"/>
    </row>
    <row s="3078" customFormat="1" customHeight="1" ht="14.25" hidden="1">
      <c r="C3" s="1665"/>
      <c r="D3" s="2073"/>
      <c r="E3" s="2075"/>
      <c r="F3" s="412"/>
      <c r="G3" s="879"/>
      <c r="H3" s="879" t="s">
        <v>372</v>
      </c>
      <c r="I3" s="303"/>
      <c r="L3" s="1668"/>
      <c r="M3" s="1668"/>
      <c r="N3" s="1668"/>
      <c r="O3" s="1668"/>
      <c r="P3" s="1668"/>
      <c r="Q3" s="1668"/>
      <c r="R3" s="1670"/>
      <c r="S3" s="1670"/>
      <c r="T3" s="1668"/>
      <c r="U3" s="1668"/>
    </row>
    <row customHeight="1" ht="14.25" hidden="1"/>
    <row s="3090" customFormat="1" customHeight="1" ht="6">
      <c r="C5" s="709"/>
      <c r="D5" s="710"/>
      <c r="E5" s="710"/>
      <c r="F5" s="710"/>
      <c r="G5" s="710"/>
      <c r="H5" s="710" t="s">
        <v>345</v>
      </c>
      <c r="I5" s="710"/>
      <c r="J5" s="710"/>
      <c r="L5" s="1660"/>
      <c r="M5" s="1660"/>
      <c r="N5" s="1660"/>
      <c r="O5" s="1660"/>
      <c r="P5" s="1660"/>
      <c r="Q5" s="1660"/>
      <c r="R5" s="1660"/>
      <c r="S5" s="1660"/>
      <c r="T5" s="1660"/>
      <c r="U5" s="1660"/>
    </row>
    <row customHeight="1" ht="17.25">
      <c r="C6" s="1552"/>
      <c r="D6" s="1996" t="s">
        <v>373</v>
      </c>
      <c r="E6" s="1997"/>
      <c r="F6" s="1997"/>
      <c r="G6" s="1997"/>
      <c r="H6" s="1997"/>
      <c r="I6" s="1997"/>
      <c r="J6" s="499"/>
      <c r="K6" s="1661"/>
    </row>
    <row customHeight="1" ht="17.25">
      <c r="C7" s="1552"/>
      <c r="D7" s="2053" t="str">
        <f>IF(org=0,"Не определено",org)</f>
        <v>Филиал "Печорская ГРЭС" АО "Интер РАО-Электрогенерация"</v>
      </c>
      <c r="E7" s="2054"/>
      <c r="F7" s="2054"/>
      <c r="G7" s="2054"/>
      <c r="H7" s="2054"/>
      <c r="I7" s="2054"/>
      <c r="J7" s="499"/>
      <c r="K7" s="1661"/>
    </row>
    <row s="3094" customFormat="1" customHeight="1" ht="6">
      <c r="A8" s="1657"/>
      <c r="C8" s="494"/>
      <c r="D8" s="493"/>
      <c r="E8" s="493"/>
      <c r="F8" s="493"/>
      <c r="G8" s="493"/>
      <c r="H8" s="493"/>
      <c r="I8" s="493"/>
      <c r="J8" s="493"/>
      <c r="L8" s="1660"/>
      <c r="M8" s="1660"/>
      <c r="N8" s="1660"/>
      <c r="O8" s="1660"/>
      <c r="P8" s="1660"/>
      <c r="Q8" s="1660"/>
      <c r="R8" s="1660"/>
      <c r="S8" s="1660"/>
      <c r="T8" s="1660"/>
      <c r="U8" s="1660"/>
    </row>
    <row s="3094"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7" t="s">
        <v>287</v>
      </c>
      <c r="E10" s="2058"/>
      <c r="F10" s="2058"/>
      <c r="G10" s="2058"/>
      <c r="H10" s="2058"/>
      <c r="I10" s="2058"/>
      <c r="J10" s="2062" t="s">
        <v>288</v>
      </c>
    </row>
    <row customHeight="1" ht="25.5">
      <c r="C11" s="1552"/>
      <c r="D11" s="1966" t="s">
        <v>87</v>
      </c>
      <c r="E11" s="2062" t="str">
        <f>IF(TEMPLATE_SPHERE&lt;&gt;"HEAT","Регулируемый вид деятельности","Вид регулируемой деятельности")</f>
        <v>Регулируемый вид деятельности</v>
      </c>
      <c r="F11" s="2029" t="s">
        <v>87</v>
      </c>
      <c r="G11" s="2030"/>
      <c r="H11" s="2012" t="s">
        <v>374</v>
      </c>
      <c r="I11" s="2012" t="s">
        <v>375</v>
      </c>
      <c r="J11" s="2062"/>
    </row>
    <row customHeight="1" ht="14.25">
      <c r="C12" s="1552"/>
      <c r="D12" s="1966"/>
      <c r="E12" s="2062"/>
      <c r="F12" s="2037"/>
      <c r="G12" s="2038"/>
      <c r="H12" s="2071"/>
      <c r="I12" s="2071"/>
      <c r="J12" s="2062"/>
    </row>
    <row s="2586" customFormat="1" customHeight="1" ht="11.25">
      <c r="C13" s="506"/>
      <c r="D13" s="507" t="s">
        <v>365</v>
      </c>
      <c r="E13" s="507"/>
      <c r="F13" s="507"/>
      <c r="G13" s="507"/>
      <c r="H13" s="505"/>
      <c r="I13" s="505"/>
      <c r="J13" s="443"/>
      <c r="L13" s="1660"/>
      <c r="M13" s="1660"/>
      <c r="N13" s="1660"/>
      <c r="O13" s="1660"/>
      <c r="P13" s="1660"/>
      <c r="Q13" s="1660"/>
      <c r="R13" s="1660"/>
      <c r="S13" s="1660"/>
      <c r="T13" s="1660"/>
      <c r="U13" s="1660"/>
    </row>
    <row customHeight="1" ht="14.25">
      <c r="A14" s="1653"/>
      <c r="C14" s="1552"/>
      <c r="D14" s="2072" t="s">
        <v>109</v>
      </c>
      <c r="E14" s="2074"/>
      <c r="F14" s="1663"/>
      <c r="G14" s="1662" t="s">
        <v>109</v>
      </c>
      <c r="H14" s="1669"/>
      <c r="I14" s="1667"/>
      <c r="J14" s="2006" t="s">
        <v>376</v>
      </c>
      <c r="K14" s="1653"/>
      <c r="R14" s="508" t="s">
        <v>370</v>
      </c>
      <c r="S14" s="508" t="s">
        <v>370</v>
      </c>
    </row>
    <row customHeight="1" ht="14.25">
      <c r="A15" s="1653"/>
      <c r="C15" s="1552"/>
      <c r="D15" s="2073"/>
      <c r="E15" s="2075"/>
      <c r="F15" s="412"/>
      <c r="G15" s="879"/>
      <c r="H15" s="879" t="s">
        <v>372</v>
      </c>
      <c r="I15" s="303"/>
      <c r="J15" s="2007"/>
      <c r="K15" s="1653"/>
      <c r="R15" s="508"/>
      <c r="S15" s="508"/>
    </row>
    <row customHeight="1" ht="14.25">
      <c r="A16" s="1653"/>
      <c r="C16" s="1552"/>
      <c r="D16" s="412"/>
      <c r="E16" s="879" t="s">
        <v>122</v>
      </c>
      <c r="F16" s="303"/>
      <c r="G16" s="303"/>
      <c r="H16" s="413"/>
      <c r="I16" s="413"/>
      <c r="J16" s="2008"/>
      <c r="K16" s="1653"/>
    </row>
    <row customHeight="1" ht="14.25">
      <c r="K17" s="165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