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<sst xmlns="http://schemas.openxmlformats.org/spreadsheetml/2006/main" count="10824" uniqueCount="2816">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</sst>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000000"/>
    <numFmt numFmtId="213" formatCode="dd\.mm\.yyyy"/>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3" fontId="0"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213" fontId="48" fillId="0" borderId="0" xfId="0" applyFont="1" applyNumberFormat="1">
      <alignment horizontal="center" vertical="center" wrapText="1"/>
    </xf>
    <xf numFmtId="213" fontId="48" fillId="0" borderId="12" xfId="0" applyFont="1" applyBorder="1" applyNumberFormat="1">
      <alignment horizontal="center" vertical="center" wrapText="1"/>
    </xf>
    <xf numFmtId="213" fontId="0" fillId="39" borderId="12" xfId="0" applyFont="1" applyFill="1" applyBorder="1" applyNumberFormat="1">
      <alignment horizontal="left" vertical="center" wrapText="1"/>
      <protection locked="0"/>
    </xf>
    <xf numFmtId="213" fontId="0" fillId="36" borderId="12" xfId="0" applyFont="1" applyFill="1" applyBorder="1" applyNumberFormat="1">
      <alignment horizontal="left" vertical="center" wrapText="1" indent="1"/>
      <protection locked="0"/>
    </xf>
    <xf numFmtId="21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3" fontId="0" fillId="39" borderId="14" xfId="0" applyFont="1" applyFill="1" applyBorder="1" applyNumberFormat="1">
      <alignment horizontal="left" vertical="center" wrapText="1"/>
      <protection locked="0"/>
    </xf>
    <xf numFmtId="21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3" fontId="22" fillId="34" borderId="12" xfId="0" applyFont="1" applyFill="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2" fontId="22" fillId="0" borderId="17"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2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3" fontId="0" fillId="39" borderId="13" xfId="0" applyFont="1" applyFill="1" applyBorder="1" applyNumberFormat="1">
      <alignment horizontal="left" vertical="center" wrapText="1"/>
      <protection locked="0"/>
    </xf>
    <xf numFmtId="21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2" fontId="22" fillId="0" borderId="37" xfId="0" applyFont="1" applyBorder="1" applyNumberFormat="1">
      <alignment horizontal="center" vertical="center" wrapText="1"/>
    </xf>
    <xf numFmtId="2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3"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3" fontId="48" fillId="0" borderId="0" xfId="0" applyFont="1" applyNumberFormat="1">
      <alignment horizontal="center" vertical="center" wrapText="1"/>
    </xf>
    <xf numFmtId="212" fontId="22" fillId="0" borderId="17"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2" fontId="45" fillId="0" borderId="19" xfId="0" applyFont="1" applyBorder="1" applyNumberFormat="1">
      <alignment horizontal="center"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0" fontId="48" fillId="0" borderId="0" xfId="0" applyFont="1">
      <alignment horizontal="center" vertical="center"/>
    </xf>
    <xf numFmtId="212" fontId="22" fillId="0" borderId="12" xfId="0" applyFont="1" applyBorder="1" applyNumberFormat="1">
      <alignment horizontal="center"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21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CFB7B-B6F7-09DE-D6B6-0022F773DC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EE9E3-61BA-C4F2-B5E1-F6AE2589028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82</v>
      </c>
      <c r="H1" s="552" t="s">
        <v>83</v>
      </c>
      <c r="I1" s="552" t="s">
        <v>84</v>
      </c>
      <c r="P1" s="552" t="s">
        <v>82</v>
      </c>
      <c r="Q1" s="552" t="s">
        <v>83</v>
      </c>
      <c r="R1" s="552" t="s">
        <v>84</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385</v>
      </c>
      <c r="F4" s="2301"/>
      <c r="G4" s="2302"/>
      <c r="H4" s="2302"/>
      <c r="I4" s="2303"/>
      <c r="J4" s="554"/>
      <c r="K4" s="516"/>
      <c r="L4" s="516"/>
      <c r="W4" s="510">
        <v>22</v>
      </c>
    </row>
    <row s="4517" customFormat="1" customHeight="1" ht="18">
      <c r="A5" s="822"/>
      <c r="D5" s="885"/>
      <c r="E5" s="2277" t="str">
        <f>IF(org=0,"Не определено",org)</f>
        <v>Филиал "Уренгойская ГРЭС" АО "Интер РАО - Электрогенерация"</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297</v>
      </c>
      <c r="F7" s="2271"/>
      <c r="G7" s="2272"/>
      <c r="H7" s="2272"/>
      <c r="I7" s="2272"/>
      <c r="J7" s="2272"/>
      <c r="K7" s="2272"/>
      <c r="L7" s="2286" t="s">
        <v>298</v>
      </c>
      <c r="W7" s="510">
        <v>14</v>
      </c>
    </row>
    <row customHeight="1" ht="48.29999999999999">
      <c r="D8" s="513"/>
      <c r="E8" s="536" t="s">
        <v>87</v>
      </c>
      <c r="F8" s="886"/>
      <c r="G8" s="528" t="s">
        <v>85</v>
      </c>
      <c r="H8" s="528" t="s">
        <v>86</v>
      </c>
      <c r="I8" s="477" t="s">
        <v>84</v>
      </c>
      <c r="J8" s="477" t="s">
        <v>386</v>
      </c>
      <c r="K8" s="477" t="s">
        <v>387</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388</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65</v>
      </c>
      <c r="K12" s="1227" t="s">
        <v>22</v>
      </c>
      <c r="L12" s="2304"/>
      <c r="M12" s="574"/>
      <c r="N12" s="574"/>
      <c r="O12" s="574"/>
      <c r="P12" s="579" t="s">
        <v>389</v>
      </c>
      <c r="Q12" s="579" t="s">
        <v>390</v>
      </c>
      <c r="R12" s="580" t="s">
        <v>391</v>
      </c>
      <c r="S12" s="574" t="s">
        <v>392</v>
      </c>
      <c r="T12" s="574"/>
      <c r="U12" s="574"/>
      <c r="V12" s="574"/>
      <c r="W12" s="543">
        <v>14</v>
      </c>
    </row>
    <row customHeight="1" ht="15.75">
      <c r="A13" s="2162"/>
      <c r="B13" s="568"/>
      <c r="D13" s="569"/>
      <c r="E13" s="468"/>
      <c r="F13" s="592"/>
      <c r="G13" s="479" t="s">
        <v>101</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81</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4A09-E657-9161-5A7C-946312B63C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396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398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399</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400</v>
      </c>
      <c r="M6" s="600"/>
      <c r="P6" s="2320">
        <v>1</v>
      </c>
      <c r="Q6" s="1368"/>
      <c r="R6" s="419"/>
      <c r="S6" s="1372">
        <f>$I6</f>
      </c>
      <c r="T6" s="348" t="s">
        <v>401</v>
      </c>
      <c r="U6" s="363"/>
      <c r="V6" s="2308"/>
      <c r="W6" s="2309"/>
      <c r="X6" s="2309"/>
      <c r="Y6" s="2309"/>
      <c r="Z6" s="2309"/>
      <c r="AA6" s="2309"/>
      <c r="AB6" s="2309"/>
      <c r="AC6" s="2310"/>
      <c r="AD6" s="2308"/>
      <c r="AE6" s="2309"/>
      <c r="AF6" s="2309"/>
      <c r="AG6" s="2309"/>
      <c r="AH6" s="2309"/>
      <c r="AI6" s="2309"/>
      <c r="AJ6" s="2309"/>
      <c r="AK6" s="2309"/>
      <c r="AL6" s="2310"/>
      <c r="AM6" s="1321" t="s">
        <v>402</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403</v>
      </c>
      <c r="M7" s="600"/>
      <c r="N7" s="1429"/>
      <c r="P7" s="2320"/>
      <c r="Q7" s="2320">
        <v>1</v>
      </c>
      <c r="R7" s="420"/>
      <c r="S7" s="1372">
        <f>$J7</f>
      </c>
      <c r="T7" s="349" t="s">
        <v>404</v>
      </c>
      <c r="U7" s="363"/>
      <c r="V7" s="2308"/>
      <c r="W7" s="2309"/>
      <c r="X7" s="2309"/>
      <c r="Y7" s="2309"/>
      <c r="Z7" s="2309"/>
      <c r="AA7" s="2309"/>
      <c r="AB7" s="2309"/>
      <c r="AC7" s="2310"/>
      <c r="AD7" s="2308"/>
      <c r="AE7" s="2309"/>
      <c r="AF7" s="2309"/>
      <c r="AG7" s="2309"/>
      <c r="AH7" s="2309"/>
      <c r="AI7" s="2309"/>
      <c r="AJ7" s="2309"/>
      <c r="AK7" s="2309"/>
      <c r="AL7" s="2310"/>
      <c r="AM7" s="1321" t="s">
        <v>405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406</v>
      </c>
      <c r="M8" s="600"/>
      <c r="N8" s="1429"/>
      <c r="O8" s="1429"/>
      <c r="P8" s="2320"/>
      <c r="Q8" s="2320"/>
      <c r="R8" s="420">
        <v>1</v>
      </c>
      <c r="S8" s="1372">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409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410</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65</v>
      </c>
      <c r="AJ17" s="2330"/>
      <c r="AK17" s="2331" t="s">
        <v>65</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414</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415</v>
      </c>
      <c r="P22" s="1425"/>
      <c r="Q22" s="1434"/>
      <c r="R22" s="1434"/>
      <c r="S22" s="792"/>
      <c r="T22" s="1223" t="s">
        <v>416</v>
      </c>
      <c r="AA22" s="249" t="s">
        <v>417</v>
      </c>
      <c r="AC22" s="249" t="s">
        <v>418</v>
      </c>
      <c r="AD22" s="1223" t="s">
        <v>416</v>
      </c>
      <c r="AI22" s="249" t="s">
        <v>419</v>
      </c>
      <c r="AK22" s="249" t="s">
        <v>418</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420</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421</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422</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423</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424</v>
      </c>
      <c r="AD36" s="389"/>
      <c r="AE36" s="389"/>
      <c r="AF36" s="389"/>
      <c r="AG36" s="389"/>
      <c r="AH36" s="389"/>
      <c r="AI36" s="389"/>
      <c r="AJ36" s="389"/>
      <c r="AK36" s="341" t="s">
        <v>424</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218">
        <v>14</v>
      </c>
    </row>
    <row customHeight="1" ht="14.699999999999998">
      <c r="Q39" s="439"/>
      <c r="R39" s="439"/>
      <c r="S39" s="2336" t="s">
        <v>87</v>
      </c>
      <c r="T39" s="2272" t="s">
        <v>425</v>
      </c>
      <c r="U39" s="364"/>
      <c r="V39" s="2337" t="s">
        <v>426</v>
      </c>
      <c r="W39" s="2338"/>
      <c r="X39" s="2338"/>
      <c r="Y39" s="2338"/>
      <c r="Z39" s="2338"/>
      <c r="AA39" s="2338"/>
      <c r="AB39" s="2339"/>
      <c r="AC39" s="2340" t="s">
        <v>427</v>
      </c>
      <c r="AD39" s="2337" t="s">
        <v>426</v>
      </c>
      <c r="AE39" s="2338"/>
      <c r="AF39" s="2338"/>
      <c r="AG39" s="2338"/>
      <c r="AH39" s="2338"/>
      <c r="AI39" s="2338"/>
      <c r="AJ39" s="2339"/>
      <c r="AK39" s="2340" t="s">
        <v>428</v>
      </c>
      <c r="AL39" s="2343" t="s">
        <v>429</v>
      </c>
      <c r="AM39" s="2190"/>
      <c r="AS39" s="1218">
        <v>14</v>
      </c>
    </row>
    <row customHeight="1" ht="35.699999999999996">
      <c r="Q40" s="439"/>
      <c r="R40" s="439"/>
      <c r="S40" s="2336"/>
      <c r="T40" s="2272"/>
      <c r="U40" s="1094"/>
      <c r="V40" s="2323" t="s">
        <v>430</v>
      </c>
      <c r="W40" s="2673" t="s">
        <v>431</v>
      </c>
      <c r="X40" s="2325" t="s">
        <v>432</v>
      </c>
      <c r="Y40" s="2326"/>
      <c r="Z40" s="2325" t="s">
        <v>433</v>
      </c>
      <c r="AA40" s="2332"/>
      <c r="AB40" s="2326"/>
      <c r="AC40" s="2341"/>
      <c r="AD40" s="2323" t="s">
        <v>430</v>
      </c>
      <c r="AE40" s="2346" t="s">
        <v>431</v>
      </c>
      <c r="AF40" s="2325" t="s">
        <v>432</v>
      </c>
      <c r="AG40" s="2326"/>
      <c r="AH40" s="2325" t="s">
        <v>433</v>
      </c>
      <c r="AI40" s="2332"/>
      <c r="AJ40" s="2326"/>
      <c r="AK40" s="2341"/>
      <c r="AL40" s="2344"/>
      <c r="AM40" s="2190"/>
      <c r="AS40" s="1218">
        <v>34</v>
      </c>
    </row>
    <row customHeight="1" ht="35.699999999999996">
      <c r="A41" s="1433"/>
      <c r="B41" s="1433" t="s">
        <v>135</v>
      </c>
      <c r="C41" s="1433" t="s">
        <v>136</v>
      </c>
      <c r="D41" s="1433" t="s">
        <v>137</v>
      </c>
      <c r="E41" s="1427" t="s">
        <v>434</v>
      </c>
      <c r="F41" s="1427" t="s">
        <v>435</v>
      </c>
      <c r="G41" s="1427" t="s">
        <v>436</v>
      </c>
      <c r="H41" s="1427" t="s">
        <v>437</v>
      </c>
      <c r="I41" s="1427" t="s">
        <v>438</v>
      </c>
      <c r="J41" s="1427" t="s">
        <v>439</v>
      </c>
      <c r="K41" s="1427" t="s">
        <v>440</v>
      </c>
      <c r="L41" s="1427" t="s">
        <v>415</v>
      </c>
      <c r="Q41" s="439"/>
      <c r="R41" s="439"/>
      <c r="S41" s="2336"/>
      <c r="T41" s="2272"/>
      <c r="U41" s="365"/>
      <c r="V41" s="2324"/>
      <c r="W41" s="2347"/>
      <c r="X41" s="1285" t="s">
        <v>441</v>
      </c>
      <c r="Y41" s="1285" t="s">
        <v>442</v>
      </c>
      <c r="Z41" s="1284" t="s">
        <v>443</v>
      </c>
      <c r="AA41" s="2333" t="s">
        <v>444</v>
      </c>
      <c r="AB41" s="2334"/>
      <c r="AC41" s="2342"/>
      <c r="AD41" s="2324"/>
      <c r="AE41" s="2347"/>
      <c r="AF41" s="1285" t="s">
        <v>441</v>
      </c>
      <c r="AG41" s="1285" t="s">
        <v>442</v>
      </c>
      <c r="AH41" s="1376" t="s">
        <v>443</v>
      </c>
      <c r="AI41" s="2333" t="s">
        <v>444</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155</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155</v>
      </c>
      <c r="B44" s="1426" t="s">
        <v>156</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563"/>
      <c r="AP44" s="563" t="str">
        <f>IF(T44="","",T44)</f>
        <v>Территория действия тарифа</v>
      </c>
      <c r="AQ44" s="563"/>
      <c r="AR44" s="563"/>
      <c r="AS44" s="1218">
        <v>23</v>
      </c>
    </row>
    <row customHeight="1" ht="24">
      <c r="A45" s="1426" t="s">
        <v>155</v>
      </c>
      <c r="B45" s="1426" t="s">
        <v>156</v>
      </c>
      <c r="C45" s="1426" t="s">
        <v>157</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563"/>
      <c r="AP45" s="563" t="str">
        <f>IF(T45="","",T45)</f>
        <v>Наименование системы теплоснабжения </v>
      </c>
      <c r="AQ45" s="563"/>
      <c r="AR45" s="563"/>
      <c r="AS45" s="1218">
        <v>23</v>
      </c>
    </row>
    <row customHeight="1" ht="24">
      <c r="A46" s="1426" t="s">
        <v>155</v>
      </c>
      <c r="B46" s="1426" t="s">
        <v>156</v>
      </c>
      <c r="C46" s="1426" t="s">
        <v>157</v>
      </c>
      <c r="D46" s="1426" t="s">
        <v>158</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563"/>
      <c r="AP46" s="563" t="str">
        <f>IF(T46="","",T46)</f>
        <v>Источник тепловой энергии  </v>
      </c>
      <c r="AQ46" s="563"/>
      <c r="AR46" s="563"/>
      <c r="AS46" s="1218">
        <v>23</v>
      </c>
    </row>
    <row customHeight="1" ht="49.5">
      <c r="A47" s="1426" t="s">
        <v>155</v>
      </c>
      <c r="B47" s="1426" t="s">
        <v>156</v>
      </c>
      <c r="C47" s="1426" t="s">
        <v>157</v>
      </c>
      <c r="D47" s="1426" t="s">
        <v>158</v>
      </c>
      <c r="E47" s="2322"/>
      <c r="F47" s="2322"/>
      <c r="G47" s="2322"/>
      <c r="H47" s="2322"/>
      <c r="I47" s="2319" t="str">
        <f>S46&amp;".1"</f>
        <v>....1</v>
      </c>
      <c r="J47" s="1426"/>
      <c r="K47" s="1426"/>
      <c r="L47" s="1427" t="s">
        <v>400</v>
      </c>
      <c r="P47" s="2320">
        <v>1</v>
      </c>
      <c r="Q47" s="1283"/>
      <c r="R47" s="419"/>
      <c r="S47" s="1287" t="str">
        <f>$I47</f>
        <v>....1</v>
      </c>
      <c r="T47" s="348" t="s">
        <v>401</v>
      </c>
      <c r="U47" s="363"/>
      <c r="V47" s="2308"/>
      <c r="W47" s="2309"/>
      <c r="X47" s="2309"/>
      <c r="Y47" s="2309"/>
      <c r="Z47" s="2309"/>
      <c r="AA47" s="2309"/>
      <c r="AB47" s="2309"/>
      <c r="AC47" s="2310"/>
      <c r="AD47" s="2308"/>
      <c r="AE47" s="2309"/>
      <c r="AF47" s="2309"/>
      <c r="AG47" s="2309"/>
      <c r="AH47" s="2309"/>
      <c r="AI47" s="2309"/>
      <c r="AJ47" s="2309"/>
      <c r="AK47" s="2309"/>
      <c r="AL47" s="2310"/>
      <c r="AM47" s="1321" t="s">
        <v>402</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155</v>
      </c>
      <c r="B48" s="1426" t="s">
        <v>156</v>
      </c>
      <c r="C48" s="1426" t="s">
        <v>157</v>
      </c>
      <c r="D48" s="1426" t="s">
        <v>158</v>
      </c>
      <c r="E48" s="2322"/>
      <c r="F48" s="2322"/>
      <c r="G48" s="2322"/>
      <c r="H48" s="2322"/>
      <c r="I48" s="2349"/>
      <c r="J48" s="2319" t="str">
        <f>I47&amp;".1"</f>
        <v>....1.1</v>
      </c>
      <c r="K48" s="1426"/>
      <c r="L48" s="1427" t="s">
        <v>403</v>
      </c>
      <c r="P48" s="2320"/>
      <c r="Q48" s="2320">
        <v>1</v>
      </c>
      <c r="R48" s="420"/>
      <c r="S48" s="1287" t="str">
        <f>$J48</f>
        <v>....1.1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563"/>
      <c r="AP48" s="563" t="str">
        <f>IF(T48="","",T48)</f>
        <v>Группа потребителей</v>
      </c>
      <c r="AQ48" s="563"/>
      <c r="AR48" s="563"/>
      <c r="AS48" s="1218">
        <v>23</v>
      </c>
    </row>
    <row customHeight="1" ht="24">
      <c r="A49" s="1426" t="s">
        <v>155</v>
      </c>
      <c r="B49" s="1426" t="s">
        <v>156</v>
      </c>
      <c r="C49" s="1426" t="s">
        <v>157</v>
      </c>
      <c r="D49" s="1426" t="s">
        <v>158</v>
      </c>
      <c r="E49" s="2322"/>
      <c r="F49" s="2322"/>
      <c r="G49" s="2322"/>
      <c r="H49" s="2322"/>
      <c r="I49" s="2349"/>
      <c r="J49" s="2349"/>
      <c r="K49" s="2319" t="str">
        <f>J48&amp;".1"</f>
        <v>....1.1.1</v>
      </c>
      <c r="L49" s="1427" t="s">
        <v>406</v>
      </c>
      <c r="P49" s="2320"/>
      <c r="Q49" s="2320"/>
      <c r="R49" s="420">
        <v>1</v>
      </c>
      <c r="S49" s="1287"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407</v>
      </c>
      <c r="AN49" s="574">
        <f>STRCHECKDATE(V50:AL50)</f>
      </c>
      <c r="AO49" s="563"/>
      <c r="AP49" s="563" t="str">
        <f>IF(T49="","",T49)</f>
        <v/>
      </c>
      <c r="AQ49" s="563"/>
      <c r="AR49" s="563"/>
      <c r="AS49" s="1218">
        <v>23</v>
      </c>
    </row>
    <row customHeight="1" ht="1.05">
      <c r="A50" s="1426" t="s">
        <v>155</v>
      </c>
      <c r="B50" s="1426" t="s">
        <v>156</v>
      </c>
      <c r="C50" s="1426" t="s">
        <v>157</v>
      </c>
      <c r="D50" s="1426" t="s">
        <v>158</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155</v>
      </c>
      <c r="B51" s="1426" t="s">
        <v>156</v>
      </c>
      <c r="C51" s="1426" t="s">
        <v>157</v>
      </c>
      <c r="D51" s="1426" t="s">
        <v>158</v>
      </c>
      <c r="E51" s="2322"/>
      <c r="F51" s="2322"/>
      <c r="G51" s="2322"/>
      <c r="H51" s="2322"/>
      <c r="I51" s="2349"/>
      <c r="J51" s="2319"/>
      <c r="K51" s="1426"/>
      <c r="L51" s="1427"/>
      <c r="P51" s="2320"/>
      <c r="Q51" s="2320"/>
      <c r="R51" s="419"/>
      <c r="S51" s="1341"/>
      <c r="T51" s="351" t="s">
        <v>408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155</v>
      </c>
      <c r="B52" s="1426" t="s">
        <v>156</v>
      </c>
      <c r="C52" s="1426" t="s">
        <v>157</v>
      </c>
      <c r="D52" s="1426" t="s">
        <v>158</v>
      </c>
      <c r="E52" s="2322"/>
      <c r="F52" s="2322"/>
      <c r="G52" s="2322"/>
      <c r="H52" s="2322"/>
      <c r="I52" s="2319"/>
      <c r="J52" s="1426"/>
      <c r="K52" s="1426"/>
      <c r="L52" s="1427"/>
      <c r="P52" s="2320"/>
      <c r="Q52" s="1283"/>
      <c r="R52" s="419"/>
      <c r="S52" s="1341"/>
      <c r="T52" s="350" t="s">
        <v>409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155</v>
      </c>
      <c r="B53" s="1426" t="s">
        <v>156</v>
      </c>
      <c r="C53" s="1426" t="s">
        <v>157</v>
      </c>
      <c r="D53" s="1426" t="s">
        <v>158</v>
      </c>
      <c r="E53" s="2322"/>
      <c r="F53" s="2322"/>
      <c r="G53" s="2322"/>
      <c r="H53" s="2321"/>
      <c r="I53" s="1426"/>
      <c r="J53" s="1426"/>
      <c r="K53" s="1426"/>
      <c r="L53" s="1427"/>
      <c r="M53" s="1428"/>
      <c r="N53" s="1428"/>
      <c r="O53" s="600"/>
      <c r="P53" s="423"/>
      <c r="Q53" s="438"/>
      <c r="R53" s="418"/>
      <c r="S53" s="1341"/>
      <c r="T53" s="428" t="s">
        <v>410</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155</v>
      </c>
      <c r="B54" s="1406" t="s">
        <v>156</v>
      </c>
      <c r="C54" s="1406" t="s">
        <v>157</v>
      </c>
      <c r="D54" s="1377"/>
      <c r="E54" s="2322"/>
      <c r="F54" s="2322"/>
      <c r="G54" s="2321"/>
      <c r="H54" s="1377"/>
      <c r="I54" s="1377"/>
      <c r="J54" s="1377"/>
      <c r="K54" s="1377"/>
      <c r="L54" s="1402"/>
      <c r="M54" s="1378"/>
      <c r="N54" s="1378"/>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155</v>
      </c>
      <c r="B55" s="1406" t="s">
        <v>156</v>
      </c>
      <c r="C55" s="1377"/>
      <c r="D55" s="1377"/>
      <c r="E55" s="2322"/>
      <c r="F55" s="2321"/>
      <c r="G55" s="1377"/>
      <c r="H55" s="1377"/>
      <c r="I55" s="1377"/>
      <c r="J55" s="1377"/>
      <c r="K55" s="1377"/>
      <c r="L55" s="1402"/>
      <c r="M55" s="1384"/>
      <c r="N55" s="1384"/>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155</v>
      </c>
      <c r="B56" s="1406"/>
      <c r="C56" s="1406"/>
      <c r="D56" s="1406"/>
      <c r="E56" s="2321"/>
      <c r="F56" s="1406"/>
      <c r="G56" s="1406"/>
      <c r="H56" s="1406"/>
      <c r="I56" s="1406"/>
      <c r="J56" s="1406"/>
      <c r="K56" s="1406"/>
      <c r="L56" s="1409"/>
      <c r="M56" s="1384"/>
      <c r="N56" s="1384"/>
      <c r="O56" s="581"/>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E5441-EBAB-5FDC-4B57-29770273CC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399</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400</v>
      </c>
      <c r="M6" s="600"/>
      <c r="P6" s="2320">
        <v>1</v>
      </c>
      <c r="Q6" s="1394"/>
      <c r="R6" s="419"/>
      <c r="S6" s="1399">
        <f>$I6</f>
      </c>
      <c r="T6" s="348" t="s">
        <v>401</v>
      </c>
      <c r="U6" s="363"/>
      <c r="V6" s="2308"/>
      <c r="W6" s="2309"/>
      <c r="X6" s="2309"/>
      <c r="Y6" s="2309"/>
      <c r="Z6" s="2309"/>
      <c r="AA6" s="2309"/>
      <c r="AB6" s="2309"/>
      <c r="AC6" s="2310"/>
      <c r="AD6" s="2308"/>
      <c r="AE6" s="2309"/>
      <c r="AF6" s="2309"/>
      <c r="AG6" s="2309"/>
      <c r="AH6" s="2309"/>
      <c r="AI6" s="2309"/>
      <c r="AJ6" s="2309"/>
      <c r="AK6" s="2309"/>
      <c r="AL6" s="2310"/>
      <c r="AM6" s="1321" t="s">
        <v>402</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403</v>
      </c>
      <c r="M7" s="600"/>
      <c r="N7" s="1429"/>
      <c r="P7" s="2320"/>
      <c r="Q7" s="2320">
        <v>1</v>
      </c>
      <c r="R7" s="420"/>
      <c r="S7" s="1399">
        <f>$J7</f>
      </c>
      <c r="T7" s="349" t="s">
        <v>404</v>
      </c>
      <c r="U7" s="363"/>
      <c r="V7" s="2308"/>
      <c r="W7" s="2309"/>
      <c r="X7" s="2309"/>
      <c r="Y7" s="2309"/>
      <c r="Z7" s="2309"/>
      <c r="AA7" s="2309"/>
      <c r="AB7" s="2309"/>
      <c r="AC7" s="2310"/>
      <c r="AD7" s="2308"/>
      <c r="AE7" s="2309"/>
      <c r="AF7" s="2309"/>
      <c r="AG7" s="2309"/>
      <c r="AH7" s="2309"/>
      <c r="AI7" s="2309"/>
      <c r="AJ7" s="2309"/>
      <c r="AK7" s="2309"/>
      <c r="AL7" s="2310"/>
      <c r="AM7" s="1321" t="s">
        <v>405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406</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410</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414</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415</v>
      </c>
      <c r="P22" s="1425"/>
      <c r="Q22" s="1434"/>
      <c r="R22" s="1434"/>
      <c r="S22" s="792"/>
      <c r="T22" s="1223" t="s">
        <v>416</v>
      </c>
      <c r="AA22" s="249" t="s">
        <v>417</v>
      </c>
      <c r="AC22" s="249" t="s">
        <v>418</v>
      </c>
      <c r="AD22" s="1223" t="s">
        <v>416</v>
      </c>
      <c r="AI22" s="249" t="s">
        <v>419</v>
      </c>
      <c r="AK22" s="249" t="s">
        <v>418</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420</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421</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422</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423</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424</v>
      </c>
      <c r="AD36" s="389"/>
      <c r="AE36" s="389"/>
      <c r="AF36" s="389"/>
      <c r="AG36" s="389"/>
      <c r="AH36" s="389"/>
      <c r="AI36" s="389"/>
      <c r="AJ36" s="389"/>
      <c r="AK36" s="341" t="s">
        <v>424</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218">
        <v>14</v>
      </c>
    </row>
    <row customHeight="1" ht="14.699999999999998">
      <c r="Q39" s="439"/>
      <c r="R39" s="439"/>
      <c r="S39" s="2336" t="s">
        <v>87</v>
      </c>
      <c r="T39" s="2272" t="s">
        <v>425</v>
      </c>
      <c r="U39" s="364"/>
      <c r="V39" s="2337" t="s">
        <v>426</v>
      </c>
      <c r="W39" s="2338"/>
      <c r="X39" s="2338"/>
      <c r="Y39" s="2338"/>
      <c r="Z39" s="2338"/>
      <c r="AA39" s="2338"/>
      <c r="AB39" s="2339"/>
      <c r="AC39" s="2340" t="s">
        <v>427</v>
      </c>
      <c r="AD39" s="2337" t="s">
        <v>426</v>
      </c>
      <c r="AE39" s="2338"/>
      <c r="AF39" s="2338"/>
      <c r="AG39" s="2338"/>
      <c r="AH39" s="2338"/>
      <c r="AI39" s="2338"/>
      <c r="AJ39" s="2339"/>
      <c r="AK39" s="2340" t="s">
        <v>428</v>
      </c>
      <c r="AL39" s="2343" t="s">
        <v>429</v>
      </c>
      <c r="AM39" s="2190"/>
      <c r="AS39" s="1218">
        <v>14</v>
      </c>
    </row>
    <row customHeight="1" ht="35.699999999999996">
      <c r="Q40" s="439"/>
      <c r="R40" s="439"/>
      <c r="S40" s="2336"/>
      <c r="T40" s="2272"/>
      <c r="U40" s="1094"/>
      <c r="V40" s="2323" t="s">
        <v>430</v>
      </c>
      <c r="W40" s="2346" t="s">
        <v>431</v>
      </c>
      <c r="X40" s="2325" t="s">
        <v>432</v>
      </c>
      <c r="Y40" s="2326"/>
      <c r="Z40" s="2325" t="s">
        <v>446</v>
      </c>
      <c r="AA40" s="2332"/>
      <c r="AB40" s="2326"/>
      <c r="AC40" s="2341"/>
      <c r="AD40" s="2323" t="s">
        <v>430</v>
      </c>
      <c r="AE40" s="2346" t="s">
        <v>431</v>
      </c>
      <c r="AF40" s="2325" t="s">
        <v>432</v>
      </c>
      <c r="AG40" s="2326"/>
      <c r="AH40" s="2325" t="s">
        <v>433</v>
      </c>
      <c r="AI40" s="2332"/>
      <c r="AJ40" s="2326"/>
      <c r="AK40" s="2341"/>
      <c r="AL40" s="2344"/>
      <c r="AM40" s="2190"/>
      <c r="AS40" s="1218">
        <v>34</v>
      </c>
    </row>
    <row customHeight="1" ht="35.699999999999996">
      <c r="A41" s="1433"/>
      <c r="B41" s="1433" t="s">
        <v>135</v>
      </c>
      <c r="C41" s="1433" t="s">
        <v>136</v>
      </c>
      <c r="D41" s="1433" t="s">
        <v>137</v>
      </c>
      <c r="E41" s="1427" t="s">
        <v>434</v>
      </c>
      <c r="F41" s="1427" t="s">
        <v>435</v>
      </c>
      <c r="G41" s="1427" t="s">
        <v>436</v>
      </c>
      <c r="H41" s="1427" t="s">
        <v>437</v>
      </c>
      <c r="I41" s="1427" t="s">
        <v>438</v>
      </c>
      <c r="J41" s="1427" t="s">
        <v>439</v>
      </c>
      <c r="K41" s="1427" t="s">
        <v>440</v>
      </c>
      <c r="L41" s="1427" t="s">
        <v>415</v>
      </c>
      <c r="Q41" s="439"/>
      <c r="R41" s="439"/>
      <c r="S41" s="2336"/>
      <c r="T41" s="2272"/>
      <c r="U41" s="365"/>
      <c r="V41" s="2324"/>
      <c r="W41" s="2347"/>
      <c r="X41" s="1285" t="s">
        <v>441</v>
      </c>
      <c r="Y41" s="1285" t="s">
        <v>442</v>
      </c>
      <c r="Z41" s="1401" t="s">
        <v>443</v>
      </c>
      <c r="AA41" s="2333" t="s">
        <v>444</v>
      </c>
      <c r="AB41" s="2334"/>
      <c r="AC41" s="2342"/>
      <c r="AD41" s="2324"/>
      <c r="AE41" s="2347"/>
      <c r="AF41" s="1285" t="s">
        <v>441</v>
      </c>
      <c r="AG41" s="1285" t="s">
        <v>442</v>
      </c>
      <c r="AH41" s="1401" t="s">
        <v>443</v>
      </c>
      <c r="AI41" s="2333" t="s">
        <v>444</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160</v>
      </c>
      <c r="B44" s="1426" t="s">
        <v>161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563"/>
      <c r="AP44" s="563" t="str">
        <f>IF(T44="","",T44)</f>
        <v>Территория действия тарифа</v>
      </c>
      <c r="AQ44" s="563"/>
      <c r="AR44" s="563"/>
      <c r="AS44" s="1218">
        <v>21</v>
      </c>
    </row>
    <row customHeight="1" ht="24">
      <c r="A45" s="1426" t="s">
        <v>160</v>
      </c>
      <c r="B45" s="1426" t="s">
        <v>161</v>
      </c>
      <c r="C45" s="1426" t="s">
        <v>162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563"/>
      <c r="AP45" s="563" t="str">
        <f>IF(T45="","",T45)</f>
        <v>Наименование системы теплоснабжения </v>
      </c>
      <c r="AQ45" s="563"/>
      <c r="AR45" s="563"/>
      <c r="AS45" s="1218">
        <v>23</v>
      </c>
    </row>
    <row customHeight="1" ht="22.049999999999997">
      <c r="A46" s="1426" t="s">
        <v>160</v>
      </c>
      <c r="B46" s="1426" t="s">
        <v>161</v>
      </c>
      <c r="C46" s="1426" t="s">
        <v>162</v>
      </c>
      <c r="D46" s="1426" t="s">
        <v>163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563"/>
      <c r="AP46" s="563" t="str">
        <f>IF(T46="","",T46)</f>
        <v>Источник тепловой энергии  </v>
      </c>
      <c r="AQ46" s="563"/>
      <c r="AR46" s="563"/>
      <c r="AS46" s="1218">
        <v>21</v>
      </c>
    </row>
    <row customHeight="1" ht="49.5">
      <c r="A47" s="1426" t="s">
        <v>160</v>
      </c>
      <c r="B47" s="1426" t="s">
        <v>161</v>
      </c>
      <c r="C47" s="1426" t="s">
        <v>162</v>
      </c>
      <c r="D47" s="1426" t="s">
        <v>163</v>
      </c>
      <c r="E47" s="2322"/>
      <c r="F47" s="2322"/>
      <c r="G47" s="2322"/>
      <c r="H47" s="2322"/>
      <c r="I47" s="2319" t="str">
        <f>S46&amp;".1"</f>
        <v>....1</v>
      </c>
      <c r="J47" s="1426"/>
      <c r="K47" s="1426"/>
      <c r="L47" s="1427" t="s">
        <v>400</v>
      </c>
      <c r="P47" s="2320">
        <v>1</v>
      </c>
      <c r="Q47" s="1394"/>
      <c r="R47" s="419"/>
      <c r="S47" s="1399" t="str">
        <f>$I47</f>
        <v>....1</v>
      </c>
      <c r="T47" s="348" t="s">
        <v>401</v>
      </c>
      <c r="U47" s="363"/>
      <c r="V47" s="2308"/>
      <c r="W47" s="2309"/>
      <c r="X47" s="2309"/>
      <c r="Y47" s="2309"/>
      <c r="Z47" s="2309"/>
      <c r="AA47" s="2309"/>
      <c r="AB47" s="2309"/>
      <c r="AC47" s="2310"/>
      <c r="AD47" s="2308"/>
      <c r="AE47" s="2309"/>
      <c r="AF47" s="2309"/>
      <c r="AG47" s="2309"/>
      <c r="AH47" s="2309"/>
      <c r="AI47" s="2309"/>
      <c r="AJ47" s="2309"/>
      <c r="AK47" s="2309"/>
      <c r="AL47" s="2310"/>
      <c r="AM47" s="1321" t="s">
        <v>402</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160</v>
      </c>
      <c r="B48" s="1426" t="s">
        <v>161</v>
      </c>
      <c r="C48" s="1426" t="s">
        <v>162</v>
      </c>
      <c r="D48" s="1426" t="s">
        <v>163</v>
      </c>
      <c r="E48" s="2322"/>
      <c r="F48" s="2322"/>
      <c r="G48" s="2322"/>
      <c r="H48" s="2322"/>
      <c r="I48" s="2349"/>
      <c r="J48" s="2319" t="str">
        <f>I47&amp;".1"</f>
        <v>....1.1</v>
      </c>
      <c r="K48" s="1426"/>
      <c r="L48" s="1427" t="s">
        <v>403</v>
      </c>
      <c r="P48" s="2320"/>
      <c r="Q48" s="2320">
        <v>1</v>
      </c>
      <c r="R48" s="420"/>
      <c r="S48" s="1399" t="str">
        <f>$J48</f>
        <v>....1.1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563"/>
      <c r="AP48" s="563" t="str">
        <f>IF(T48="","",T48)</f>
        <v>Группа потребителей</v>
      </c>
      <c r="AQ48" s="563"/>
      <c r="AR48" s="563"/>
      <c r="AS48" s="1218">
        <v>21</v>
      </c>
    </row>
    <row customHeight="1" ht="22.049999999999997">
      <c r="A49" s="1426" t="s">
        <v>160</v>
      </c>
      <c r="B49" s="1426" t="s">
        <v>161</v>
      </c>
      <c r="C49" s="1426" t="s">
        <v>162</v>
      </c>
      <c r="D49" s="1426" t="s">
        <v>163</v>
      </c>
      <c r="E49" s="2322"/>
      <c r="F49" s="2322"/>
      <c r="G49" s="2322"/>
      <c r="H49" s="2322"/>
      <c r="I49" s="2349"/>
      <c r="J49" s="2349"/>
      <c r="K49" s="2319" t="str">
        <f>J48&amp;".1"</f>
        <v>....1.1.1</v>
      </c>
      <c r="L49" s="1427" t="s">
        <v>406</v>
      </c>
      <c r="P49" s="2320"/>
      <c r="Q49" s="2320"/>
      <c r="R49" s="420">
        <v>1</v>
      </c>
      <c r="S49" s="1399"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407</v>
      </c>
      <c r="AN49" s="574">
        <f>STRCHECKDATE(V50:AL50)</f>
      </c>
      <c r="AO49" s="563"/>
      <c r="AP49" s="563" t="str">
        <f>IF(T49="","",T49)</f>
        <v/>
      </c>
      <c r="AQ49" s="563"/>
      <c r="AR49" s="563"/>
      <c r="AS49" s="1218">
        <v>21</v>
      </c>
    </row>
    <row customHeight="1" ht="1.05">
      <c r="A50" s="1426" t="s">
        <v>160</v>
      </c>
      <c r="B50" s="1426" t="s">
        <v>161</v>
      </c>
      <c r="C50" s="1426" t="s">
        <v>162</v>
      </c>
      <c r="D50" s="1426" t="s">
        <v>163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160</v>
      </c>
      <c r="B51" s="1426" t="s">
        <v>161</v>
      </c>
      <c r="C51" s="1426" t="s">
        <v>162</v>
      </c>
      <c r="D51" s="1426" t="s">
        <v>163</v>
      </c>
      <c r="E51" s="2322"/>
      <c r="F51" s="2322"/>
      <c r="G51" s="2322"/>
      <c r="H51" s="2322"/>
      <c r="I51" s="2349"/>
      <c r="J51" s="2319"/>
      <c r="K51" s="1426"/>
      <c r="L51" s="1427"/>
      <c r="P51" s="2320"/>
      <c r="Q51" s="2320"/>
      <c r="R51" s="419"/>
      <c r="S51" s="1341"/>
      <c r="T51" s="351" t="s">
        <v>408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160</v>
      </c>
      <c r="B52" s="1426" t="s">
        <v>161</v>
      </c>
      <c r="C52" s="1426" t="s">
        <v>162</v>
      </c>
      <c r="D52" s="1426" t="s">
        <v>163</v>
      </c>
      <c r="E52" s="2322"/>
      <c r="F52" s="2322"/>
      <c r="G52" s="2322"/>
      <c r="H52" s="2322"/>
      <c r="I52" s="2319"/>
      <c r="J52" s="1426"/>
      <c r="K52" s="1426"/>
      <c r="L52" s="1427"/>
      <c r="P52" s="2320"/>
      <c r="Q52" s="1394"/>
      <c r="R52" s="419"/>
      <c r="S52" s="1341"/>
      <c r="T52" s="350" t="s">
        <v>409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160</v>
      </c>
      <c r="B53" s="1426" t="s">
        <v>161</v>
      </c>
      <c r="C53" s="1426" t="s">
        <v>162</v>
      </c>
      <c r="D53" s="1426" t="s">
        <v>163</v>
      </c>
      <c r="E53" s="2322"/>
      <c r="F53" s="2322"/>
      <c r="G53" s="2322"/>
      <c r="H53" s="2321"/>
      <c r="I53" s="1426"/>
      <c r="J53" s="1426"/>
      <c r="K53" s="1426"/>
      <c r="L53" s="1427"/>
      <c r="M53" s="1428"/>
      <c r="N53" s="1428"/>
      <c r="O53" s="600"/>
      <c r="P53" s="423"/>
      <c r="Q53" s="438"/>
      <c r="R53" s="418"/>
      <c r="S53" s="1341"/>
      <c r="T53" s="428" t="s">
        <v>410</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160</v>
      </c>
      <c r="B54" s="1406" t="s">
        <v>161</v>
      </c>
      <c r="C54" s="1406" t="s">
        <v>162</v>
      </c>
      <c r="D54" s="1377"/>
      <c r="E54" s="2322"/>
      <c r="F54" s="2322"/>
      <c r="G54" s="2321"/>
      <c r="H54" s="1377"/>
      <c r="I54" s="1377"/>
      <c r="J54" s="1377"/>
      <c r="K54" s="1377"/>
      <c r="L54" s="1402"/>
      <c r="M54" s="1378"/>
      <c r="N54" s="1378"/>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160</v>
      </c>
      <c r="B55" s="1406" t="s">
        <v>161</v>
      </c>
      <c r="C55" s="1377"/>
      <c r="D55" s="1377"/>
      <c r="E55" s="2322"/>
      <c r="F55" s="2321"/>
      <c r="G55" s="1377"/>
      <c r="H55" s="1377"/>
      <c r="I55" s="1377"/>
      <c r="J55" s="1377"/>
      <c r="K55" s="1377"/>
      <c r="L55" s="1402"/>
      <c r="M55" s="1384"/>
      <c r="N55" s="1384"/>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160</v>
      </c>
      <c r="B56" s="1406"/>
      <c r="C56" s="1406"/>
      <c r="D56" s="1406"/>
      <c r="E56" s="2321"/>
      <c r="F56" s="1406"/>
      <c r="G56" s="1406"/>
      <c r="H56" s="1406"/>
      <c r="I56" s="1406"/>
      <c r="J56" s="1406"/>
      <c r="K56" s="1406"/>
      <c r="L56" s="1409"/>
      <c r="M56" s="1384"/>
      <c r="N56" s="1384"/>
      <c r="O56" s="581"/>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6C84D-F85C-4C85-C131-2A6924327D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397</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399</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400</v>
      </c>
      <c r="M6" s="1698"/>
      <c r="P6" s="2320">
        <v>1</v>
      </c>
      <c r="Q6" s="2017"/>
      <c r="R6" s="419"/>
      <c r="S6" s="2021">
        <f>$I6</f>
      </c>
      <c r="T6" s="348" t="s">
        <v>401</v>
      </c>
      <c r="U6" s="363"/>
      <c r="V6" s="2308"/>
      <c r="W6" s="2309"/>
      <c r="X6" s="2309"/>
      <c r="Y6" s="2309"/>
      <c r="Z6" s="2309"/>
      <c r="AA6" s="2309"/>
      <c r="AB6" s="2309"/>
      <c r="AC6" s="2310"/>
      <c r="AD6" s="2308"/>
      <c r="AE6" s="2309"/>
      <c r="AF6" s="2309"/>
      <c r="AG6" s="2309"/>
      <c r="AH6" s="2309"/>
      <c r="AI6" s="2309"/>
      <c r="AJ6" s="2309"/>
      <c r="AK6" s="2309"/>
      <c r="AL6" s="2310"/>
      <c r="AM6" s="1321" t="s">
        <v>402</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403</v>
      </c>
      <c r="M7" s="1698"/>
      <c r="N7" s="1694"/>
      <c r="P7" s="2320"/>
      <c r="Q7" s="2320">
        <v>1</v>
      </c>
      <c r="R7" s="420"/>
      <c r="S7" s="2021">
        <f>$J7</f>
      </c>
      <c r="T7" s="349" t="s">
        <v>404</v>
      </c>
      <c r="U7" s="363"/>
      <c r="V7" s="2308"/>
      <c r="W7" s="2309"/>
      <c r="X7" s="2309"/>
      <c r="Y7" s="2309"/>
      <c r="Z7" s="2309"/>
      <c r="AA7" s="2309"/>
      <c r="AB7" s="2309"/>
      <c r="AC7" s="2310"/>
      <c r="AD7" s="2308"/>
      <c r="AE7" s="2309"/>
      <c r="AF7" s="2309"/>
      <c r="AG7" s="2309"/>
      <c r="AH7" s="2309"/>
      <c r="AI7" s="2309"/>
      <c r="AJ7" s="2309"/>
      <c r="AK7" s="2309"/>
      <c r="AL7" s="2310"/>
      <c r="AM7" s="1321" t="s">
        <v>405</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406</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407</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408</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409</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410</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414</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415</v>
      </c>
      <c r="P22" s="1425"/>
      <c r="Q22" s="1434"/>
      <c r="R22" s="1434"/>
      <c r="S22" s="792"/>
      <c r="T22" s="1429" t="s">
        <v>416</v>
      </c>
      <c r="AA22" s="658" t="s">
        <v>417</v>
      </c>
      <c r="AC22" s="658" t="s">
        <v>418</v>
      </c>
      <c r="AD22" s="1429" t="s">
        <v>416</v>
      </c>
      <c r="AI22" s="658" t="s">
        <v>419</v>
      </c>
      <c r="AK22" s="658" t="s">
        <v>418</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420</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421</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422</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423</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424</v>
      </c>
      <c r="AD36" s="1698"/>
      <c r="AE36" s="1698"/>
      <c r="AF36" s="1698"/>
      <c r="AG36" s="1698"/>
      <c r="AH36" s="1698"/>
      <c r="AI36" s="1698"/>
      <c r="AJ36" s="1698"/>
      <c r="AK36" s="1705" t="s">
        <v>424</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694">
        <v>14</v>
      </c>
    </row>
    <row customHeight="1" ht="14.699999999999998">
      <c r="Q39" s="439"/>
      <c r="R39" s="439"/>
      <c r="S39" s="2336" t="s">
        <v>87</v>
      </c>
      <c r="T39" s="2272" t="s">
        <v>425</v>
      </c>
      <c r="U39" s="400"/>
      <c r="V39" s="2337" t="s">
        <v>426</v>
      </c>
      <c r="W39" s="2338"/>
      <c r="X39" s="2338"/>
      <c r="Y39" s="2338"/>
      <c r="Z39" s="2338"/>
      <c r="AA39" s="2338"/>
      <c r="AB39" s="2339"/>
      <c r="AC39" s="2340" t="s">
        <v>427</v>
      </c>
      <c r="AD39" s="2337" t="s">
        <v>426</v>
      </c>
      <c r="AE39" s="2338"/>
      <c r="AF39" s="2338"/>
      <c r="AG39" s="2338"/>
      <c r="AH39" s="2338"/>
      <c r="AI39" s="2338"/>
      <c r="AJ39" s="2339"/>
      <c r="AK39" s="2340" t="s">
        <v>428</v>
      </c>
      <c r="AL39" s="2343" t="s">
        <v>429</v>
      </c>
      <c r="AM39" s="2190"/>
      <c r="AS39" s="1694">
        <v>14</v>
      </c>
    </row>
    <row customHeight="1" ht="35.699999999999996">
      <c r="Q40" s="439"/>
      <c r="R40" s="439"/>
      <c r="S40" s="2336"/>
      <c r="T40" s="2272"/>
      <c r="U40" s="1094"/>
      <c r="V40" s="2323" t="s">
        <v>430</v>
      </c>
      <c r="W40" s="2346" t="s">
        <v>431</v>
      </c>
      <c r="X40" s="2325" t="s">
        <v>432</v>
      </c>
      <c r="Y40" s="2326"/>
      <c r="Z40" s="2325" t="s">
        <v>446</v>
      </c>
      <c r="AA40" s="2332"/>
      <c r="AB40" s="2326"/>
      <c r="AC40" s="2341"/>
      <c r="AD40" s="2323" t="s">
        <v>430</v>
      </c>
      <c r="AE40" s="2346" t="s">
        <v>431</v>
      </c>
      <c r="AF40" s="2325" t="s">
        <v>432</v>
      </c>
      <c r="AG40" s="2326"/>
      <c r="AH40" s="2325" t="s">
        <v>433</v>
      </c>
      <c r="AI40" s="2332"/>
      <c r="AJ40" s="2326"/>
      <c r="AK40" s="2341"/>
      <c r="AL40" s="2344"/>
      <c r="AM40" s="2190"/>
      <c r="AS40" s="1694">
        <v>34</v>
      </c>
    </row>
    <row customHeight="1" ht="35.699999999999996">
      <c r="A41" s="1329"/>
      <c r="B41" s="1329" t="s">
        <v>135</v>
      </c>
      <c r="C41" s="1329" t="s">
        <v>136</v>
      </c>
      <c r="D41" s="1329" t="s">
        <v>137</v>
      </c>
      <c r="E41" s="1373" t="s">
        <v>434</v>
      </c>
      <c r="F41" s="1373" t="s">
        <v>435</v>
      </c>
      <c r="G41" s="1373" t="s">
        <v>436</v>
      </c>
      <c r="H41" s="1373" t="s">
        <v>437</v>
      </c>
      <c r="I41" s="1373" t="s">
        <v>438</v>
      </c>
      <c r="J41" s="1373" t="s">
        <v>439</v>
      </c>
      <c r="K41" s="1373" t="s">
        <v>440</v>
      </c>
      <c r="L41" s="1373" t="s">
        <v>415</v>
      </c>
      <c r="Q41" s="439"/>
      <c r="R41" s="439"/>
      <c r="S41" s="2336"/>
      <c r="T41" s="2272"/>
      <c r="U41" s="365"/>
      <c r="V41" s="2324"/>
      <c r="W41" s="2347"/>
      <c r="X41" s="2001" t="s">
        <v>441</v>
      </c>
      <c r="Y41" s="2001" t="s">
        <v>442</v>
      </c>
      <c r="Z41" s="2001" t="s">
        <v>443</v>
      </c>
      <c r="AA41" s="2333" t="s">
        <v>444</v>
      </c>
      <c r="AB41" s="2334"/>
      <c r="AC41" s="2342"/>
      <c r="AD41" s="2324"/>
      <c r="AE41" s="2347"/>
      <c r="AF41" s="2001" t="s">
        <v>441</v>
      </c>
      <c r="AG41" s="2001" t="s">
        <v>442</v>
      </c>
      <c r="AH41" s="2001" t="s">
        <v>443</v>
      </c>
      <c r="AI41" s="2333" t="s">
        <v>444</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108</v>
      </c>
      <c r="T42" s="1318" t="s">
        <v>109</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209</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209</v>
      </c>
      <c r="B44" s="1330" t="s">
        <v>210</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1687"/>
      <c r="AP44" s="1687" t="str">
        <f>IF(T44="","",T44)</f>
        <v>Территория действия тарифа</v>
      </c>
      <c r="AQ44" s="1687"/>
      <c r="AR44" s="1687"/>
      <c r="AS44" s="1694">
        <v>21</v>
      </c>
    </row>
    <row customHeight="1" ht="24">
      <c r="A45" s="1330" t="s">
        <v>209</v>
      </c>
      <c r="B45" s="1330" t="s">
        <v>210</v>
      </c>
      <c r="C45" s="1330" t="s">
        <v>211</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1687"/>
      <c r="AP45" s="1687" t="str">
        <f>IF(T45="","",T45)</f>
        <v>Наименование системы теплоснабжения </v>
      </c>
      <c r="AQ45" s="1687"/>
      <c r="AR45" s="1687"/>
      <c r="AS45" s="1694">
        <v>23</v>
      </c>
    </row>
    <row customHeight="1" ht="22.049999999999997">
      <c r="A46" s="1330" t="s">
        <v>209</v>
      </c>
      <c r="B46" s="1330" t="s">
        <v>210</v>
      </c>
      <c r="C46" s="1330" t="s">
        <v>211</v>
      </c>
      <c r="D46" s="1330" t="s">
        <v>212</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1687"/>
      <c r="AP46" s="1687" t="str">
        <f>IF(T46="","",T46)</f>
        <v>Источник тепловой энергии  </v>
      </c>
      <c r="AQ46" s="1687"/>
      <c r="AR46" s="1687"/>
      <c r="AS46" s="1694">
        <v>21</v>
      </c>
    </row>
    <row customHeight="1" ht="49.5">
      <c r="A47" s="1330" t="s">
        <v>209</v>
      </c>
      <c r="B47" s="1330" t="s">
        <v>210</v>
      </c>
      <c r="C47" s="1330" t="s">
        <v>211</v>
      </c>
      <c r="D47" s="1330" t="s">
        <v>212</v>
      </c>
      <c r="E47" s="2353"/>
      <c r="F47" s="2353"/>
      <c r="G47" s="2353"/>
      <c r="H47" s="2353"/>
      <c r="I47" s="2190" t="str">
        <f>S46&amp;".1"</f>
        <v>....1</v>
      </c>
      <c r="J47" s="1330"/>
      <c r="K47" s="1330"/>
      <c r="L47" s="1373" t="s">
        <v>400</v>
      </c>
      <c r="P47" s="2320">
        <v>1</v>
      </c>
      <c r="Q47" s="2017"/>
      <c r="R47" s="419"/>
      <c r="S47" s="2021" t="str">
        <f>$I47</f>
        <v>....1</v>
      </c>
      <c r="T47" s="348" t="s">
        <v>401</v>
      </c>
      <c r="U47" s="363"/>
      <c r="V47" s="2308"/>
      <c r="W47" s="2309"/>
      <c r="X47" s="2309"/>
      <c r="Y47" s="2309"/>
      <c r="Z47" s="2309"/>
      <c r="AA47" s="2309"/>
      <c r="AB47" s="2309"/>
      <c r="AC47" s="2310"/>
      <c r="AD47" s="2308"/>
      <c r="AE47" s="2309"/>
      <c r="AF47" s="2309"/>
      <c r="AG47" s="2309"/>
      <c r="AH47" s="2309"/>
      <c r="AI47" s="2309"/>
      <c r="AJ47" s="2309"/>
      <c r="AK47" s="2309"/>
      <c r="AL47" s="2310"/>
      <c r="AM47" s="1321" t="s">
        <v>402</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209</v>
      </c>
      <c r="B48" s="1330" t="s">
        <v>210</v>
      </c>
      <c r="C48" s="1330" t="s">
        <v>211</v>
      </c>
      <c r="D48" s="1330" t="s">
        <v>212</v>
      </c>
      <c r="E48" s="2353"/>
      <c r="F48" s="2353"/>
      <c r="G48" s="2353"/>
      <c r="H48" s="2353"/>
      <c r="I48" s="2164"/>
      <c r="J48" s="2190" t="str">
        <f>I47&amp;".1"</f>
        <v>....1.1</v>
      </c>
      <c r="K48" s="1330"/>
      <c r="L48" s="1373" t="s">
        <v>403</v>
      </c>
      <c r="P48" s="2320"/>
      <c r="Q48" s="2320">
        <v>1</v>
      </c>
      <c r="R48" s="420"/>
      <c r="S48" s="2021" t="str">
        <f>$J48</f>
        <v>....1.1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1687"/>
      <c r="AP48" s="1687" t="str">
        <f>IF(T48="","",T48)</f>
        <v>Группа потребителей</v>
      </c>
      <c r="AQ48" s="1687"/>
      <c r="AR48" s="1687"/>
      <c r="AS48" s="1694">
        <v>21</v>
      </c>
    </row>
    <row customHeight="1" ht="22.049999999999997">
      <c r="A49" s="1330" t="s">
        <v>209</v>
      </c>
      <c r="B49" s="1330" t="s">
        <v>210</v>
      </c>
      <c r="C49" s="1330" t="s">
        <v>211</v>
      </c>
      <c r="D49" s="1330" t="s">
        <v>212</v>
      </c>
      <c r="E49" s="2353"/>
      <c r="F49" s="2353"/>
      <c r="G49" s="2353"/>
      <c r="H49" s="2353"/>
      <c r="I49" s="2164"/>
      <c r="J49" s="2164"/>
      <c r="K49" s="2190" t="str">
        <f>J48&amp;".1"</f>
        <v>....1.1.1</v>
      </c>
      <c r="L49" s="1373" t="s">
        <v>406</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407</v>
      </c>
      <c r="AN49" s="1699">
        <f>STRCHECKDATE(V50:AL50)</f>
      </c>
      <c r="AO49" s="1687"/>
      <c r="AP49" s="1687" t="str">
        <f>IF(T49="","",T49)</f>
        <v/>
      </c>
      <c r="AQ49" s="1687"/>
      <c r="AR49" s="1687"/>
      <c r="AS49" s="1694">
        <v>21</v>
      </c>
    </row>
    <row customHeight="1" ht="1.05">
      <c r="A50" s="1330" t="s">
        <v>209</v>
      </c>
      <c r="B50" s="1330" t="s">
        <v>210</v>
      </c>
      <c r="C50" s="1330" t="s">
        <v>211</v>
      </c>
      <c r="D50" s="1330" t="s">
        <v>212</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209</v>
      </c>
      <c r="B51" s="1330" t="s">
        <v>210</v>
      </c>
      <c r="C51" s="1330" t="s">
        <v>211</v>
      </c>
      <c r="D51" s="1330" t="s">
        <v>212</v>
      </c>
      <c r="E51" s="2353"/>
      <c r="F51" s="2353"/>
      <c r="G51" s="2353"/>
      <c r="H51" s="2353"/>
      <c r="I51" s="2164"/>
      <c r="J51" s="2190"/>
      <c r="K51" s="1330"/>
      <c r="L51" s="1373"/>
      <c r="P51" s="2320"/>
      <c r="Q51" s="2320"/>
      <c r="R51" s="419"/>
      <c r="S51" s="1341"/>
      <c r="T51" s="351" t="s">
        <v>408</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209</v>
      </c>
      <c r="B52" s="1330" t="s">
        <v>210</v>
      </c>
      <c r="C52" s="1330" t="s">
        <v>211</v>
      </c>
      <c r="D52" s="1330" t="s">
        <v>212</v>
      </c>
      <c r="E52" s="2353"/>
      <c r="F52" s="2353"/>
      <c r="G52" s="2353"/>
      <c r="H52" s="2353"/>
      <c r="I52" s="2190"/>
      <c r="J52" s="1330"/>
      <c r="K52" s="1330"/>
      <c r="L52" s="1373"/>
      <c r="P52" s="2320"/>
      <c r="Q52" s="2017"/>
      <c r="R52" s="419"/>
      <c r="S52" s="1341"/>
      <c r="T52" s="350" t="s">
        <v>409</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209</v>
      </c>
      <c r="B53" s="1330" t="s">
        <v>210</v>
      </c>
      <c r="C53" s="1330" t="s">
        <v>211</v>
      </c>
      <c r="D53" s="1330" t="s">
        <v>212</v>
      </c>
      <c r="E53" s="2353"/>
      <c r="F53" s="2353"/>
      <c r="G53" s="2353"/>
      <c r="H53" s="2352"/>
      <c r="I53" s="1330"/>
      <c r="J53" s="1330"/>
      <c r="K53" s="1330"/>
      <c r="L53" s="1373"/>
      <c r="M53" s="1673"/>
      <c r="N53" s="1673"/>
      <c r="O53" s="1698"/>
      <c r="P53" s="423"/>
      <c r="Q53" s="438"/>
      <c r="R53" s="418"/>
      <c r="S53" s="1341"/>
      <c r="T53" s="428" t="s">
        <v>410</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209</v>
      </c>
      <c r="B54" s="1438" t="s">
        <v>210</v>
      </c>
      <c r="C54" s="1438" t="s">
        <v>211</v>
      </c>
      <c r="D54" s="1437"/>
      <c r="E54" s="2353"/>
      <c r="F54" s="2353"/>
      <c r="G54" s="2352"/>
      <c r="H54" s="1437"/>
      <c r="I54" s="1437"/>
      <c r="J54" s="1437"/>
      <c r="K54" s="1437"/>
      <c r="L54" s="1440"/>
      <c r="M54" s="1441"/>
      <c r="N54" s="1441"/>
      <c r="O54" s="414"/>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209</v>
      </c>
      <c r="B55" s="1438" t="s">
        <v>210</v>
      </c>
      <c r="C55" s="1437"/>
      <c r="D55" s="1437"/>
      <c r="E55" s="2353"/>
      <c r="F55" s="2352"/>
      <c r="G55" s="1437"/>
      <c r="H55" s="1437"/>
      <c r="I55" s="1437"/>
      <c r="J55" s="1437"/>
      <c r="K55" s="1437"/>
      <c r="L55" s="1440"/>
      <c r="M55" s="1442"/>
      <c r="N55" s="1442"/>
      <c r="O55" s="414"/>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209</v>
      </c>
      <c r="B56" s="1438"/>
      <c r="C56" s="1438"/>
      <c r="D56" s="1438"/>
      <c r="E56" s="2352"/>
      <c r="F56" s="1438"/>
      <c r="G56" s="1438"/>
      <c r="H56" s="1438"/>
      <c r="I56" s="1438"/>
      <c r="J56" s="1438"/>
      <c r="K56" s="1438"/>
      <c r="L56" s="1444"/>
      <c r="M56" s="1442"/>
      <c r="N56" s="1442"/>
      <c r="O56" s="414"/>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18E11-EBCA-45C8-E914-D65DEF3C9B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397</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399</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400</v>
      </c>
      <c r="M6" s="1698"/>
      <c r="P6" s="2320">
        <v>1</v>
      </c>
      <c r="Q6" s="2017"/>
      <c r="R6" s="419"/>
      <c r="S6" s="2021">
        <f>$I6</f>
      </c>
      <c r="T6" s="348" t="s">
        <v>401</v>
      </c>
      <c r="U6" s="363"/>
      <c r="V6" s="2308"/>
      <c r="W6" s="2309"/>
      <c r="X6" s="2309"/>
      <c r="Y6" s="2309"/>
      <c r="Z6" s="2309"/>
      <c r="AA6" s="2309"/>
      <c r="AB6" s="2309"/>
      <c r="AC6" s="2310"/>
      <c r="AD6" s="2308"/>
      <c r="AE6" s="2309"/>
      <c r="AF6" s="2309"/>
      <c r="AG6" s="2309"/>
      <c r="AH6" s="2309"/>
      <c r="AI6" s="2309"/>
      <c r="AJ6" s="2309"/>
      <c r="AK6" s="2309"/>
      <c r="AL6" s="2310"/>
      <c r="AM6" s="1321" t="s">
        <v>402</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403</v>
      </c>
      <c r="M7" s="1698"/>
      <c r="N7" s="1694"/>
      <c r="P7" s="2320"/>
      <c r="Q7" s="2320">
        <v>1</v>
      </c>
      <c r="R7" s="420"/>
      <c r="S7" s="2021">
        <f>$J7</f>
      </c>
      <c r="T7" s="349" t="s">
        <v>404</v>
      </c>
      <c r="U7" s="363"/>
      <c r="V7" s="2308"/>
      <c r="W7" s="2309"/>
      <c r="X7" s="2309"/>
      <c r="Y7" s="2309"/>
      <c r="Z7" s="2309"/>
      <c r="AA7" s="2309"/>
      <c r="AB7" s="2309"/>
      <c r="AC7" s="2310"/>
      <c r="AD7" s="2308"/>
      <c r="AE7" s="2309"/>
      <c r="AF7" s="2309"/>
      <c r="AG7" s="2309"/>
      <c r="AH7" s="2309"/>
      <c r="AI7" s="2309"/>
      <c r="AJ7" s="2309"/>
      <c r="AK7" s="2309"/>
      <c r="AL7" s="2310"/>
      <c r="AM7" s="1321" t="s">
        <v>405</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406</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407</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408</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409</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410</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414</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415</v>
      </c>
      <c r="P22" s="1425"/>
      <c r="Q22" s="1434"/>
      <c r="R22" s="1434"/>
      <c r="S22" s="792"/>
      <c r="T22" s="1429" t="s">
        <v>416</v>
      </c>
      <c r="AA22" s="658" t="s">
        <v>417</v>
      </c>
      <c r="AC22" s="658" t="s">
        <v>418</v>
      </c>
      <c r="AD22" s="1429" t="s">
        <v>416</v>
      </c>
      <c r="AI22" s="658" t="s">
        <v>419</v>
      </c>
      <c r="AK22" s="658" t="s">
        <v>418</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420</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421</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422</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423</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424</v>
      </c>
      <c r="AD36" s="1698"/>
      <c r="AE36" s="1698"/>
      <c r="AF36" s="1698"/>
      <c r="AG36" s="1698"/>
      <c r="AH36" s="1698"/>
      <c r="AI36" s="1698"/>
      <c r="AJ36" s="1698"/>
      <c r="AK36" s="1705" t="s">
        <v>424</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694">
        <v>14</v>
      </c>
    </row>
    <row customHeight="1" ht="14.699999999999998">
      <c r="Q39" s="439"/>
      <c r="R39" s="439"/>
      <c r="S39" s="2336" t="s">
        <v>87</v>
      </c>
      <c r="T39" s="2272" t="s">
        <v>425</v>
      </c>
      <c r="U39" s="400"/>
      <c r="V39" s="2337" t="s">
        <v>426</v>
      </c>
      <c r="W39" s="2338"/>
      <c r="X39" s="2338"/>
      <c r="Y39" s="2338"/>
      <c r="Z39" s="2338"/>
      <c r="AA39" s="2338"/>
      <c r="AB39" s="2339"/>
      <c r="AC39" s="2340" t="s">
        <v>427</v>
      </c>
      <c r="AD39" s="2337" t="s">
        <v>426</v>
      </c>
      <c r="AE39" s="2338"/>
      <c r="AF39" s="2338"/>
      <c r="AG39" s="2338"/>
      <c r="AH39" s="2338"/>
      <c r="AI39" s="2338"/>
      <c r="AJ39" s="2339"/>
      <c r="AK39" s="2340" t="s">
        <v>428</v>
      </c>
      <c r="AL39" s="2343" t="s">
        <v>429</v>
      </c>
      <c r="AM39" s="2190"/>
      <c r="AS39" s="1694">
        <v>14</v>
      </c>
    </row>
    <row customHeight="1" ht="35.699999999999996">
      <c r="Q40" s="439"/>
      <c r="R40" s="439"/>
      <c r="S40" s="2336"/>
      <c r="T40" s="2272"/>
      <c r="U40" s="1094"/>
      <c r="V40" s="2323" t="s">
        <v>430</v>
      </c>
      <c r="W40" s="2346" t="s">
        <v>431</v>
      </c>
      <c r="X40" s="2325" t="s">
        <v>432</v>
      </c>
      <c r="Y40" s="2326"/>
      <c r="Z40" s="2325" t="s">
        <v>446</v>
      </c>
      <c r="AA40" s="2332"/>
      <c r="AB40" s="2326"/>
      <c r="AC40" s="2341"/>
      <c r="AD40" s="2323" t="s">
        <v>430</v>
      </c>
      <c r="AE40" s="2346" t="s">
        <v>431</v>
      </c>
      <c r="AF40" s="2325" t="s">
        <v>432</v>
      </c>
      <c r="AG40" s="2326"/>
      <c r="AH40" s="2325" t="s">
        <v>433</v>
      </c>
      <c r="AI40" s="2332"/>
      <c r="AJ40" s="2326"/>
      <c r="AK40" s="2341"/>
      <c r="AL40" s="2344"/>
      <c r="AM40" s="2190"/>
      <c r="AS40" s="1694">
        <v>34</v>
      </c>
    </row>
    <row customHeight="1" ht="35.699999999999996">
      <c r="A41" s="1329"/>
      <c r="B41" s="1329" t="s">
        <v>135</v>
      </c>
      <c r="C41" s="1329" t="s">
        <v>136</v>
      </c>
      <c r="D41" s="1329" t="s">
        <v>137</v>
      </c>
      <c r="E41" s="1373" t="s">
        <v>434</v>
      </c>
      <c r="F41" s="1373" t="s">
        <v>435</v>
      </c>
      <c r="G41" s="1373" t="s">
        <v>436</v>
      </c>
      <c r="H41" s="1373" t="s">
        <v>437</v>
      </c>
      <c r="I41" s="1373" t="s">
        <v>438</v>
      </c>
      <c r="J41" s="1373" t="s">
        <v>439</v>
      </c>
      <c r="K41" s="1373" t="s">
        <v>440</v>
      </c>
      <c r="L41" s="1373" t="s">
        <v>415</v>
      </c>
      <c r="Q41" s="439"/>
      <c r="R41" s="439"/>
      <c r="S41" s="2336"/>
      <c r="T41" s="2272"/>
      <c r="U41" s="365"/>
      <c r="V41" s="2324"/>
      <c r="W41" s="2347"/>
      <c r="X41" s="2001" t="s">
        <v>441</v>
      </c>
      <c r="Y41" s="2001" t="s">
        <v>442</v>
      </c>
      <c r="Z41" s="2001" t="s">
        <v>443</v>
      </c>
      <c r="AA41" s="2333" t="s">
        <v>444</v>
      </c>
      <c r="AB41" s="2334"/>
      <c r="AC41" s="2342"/>
      <c r="AD41" s="2324"/>
      <c r="AE41" s="2347"/>
      <c r="AF41" s="2001" t="s">
        <v>441</v>
      </c>
      <c r="AG41" s="2001" t="s">
        <v>442</v>
      </c>
      <c r="AH41" s="2001" t="s">
        <v>443</v>
      </c>
      <c r="AI41" s="2333" t="s">
        <v>444</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108</v>
      </c>
      <c r="T42" s="1318" t="s">
        <v>109</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209</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209</v>
      </c>
      <c r="B44" s="1330" t="s">
        <v>210</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1687"/>
      <c r="AP44" s="1687" t="str">
        <f>IF(T44="","",T44)</f>
        <v>Территория действия тарифа</v>
      </c>
      <c r="AQ44" s="1687"/>
      <c r="AR44" s="1687"/>
      <c r="AS44" s="1694">
        <v>21</v>
      </c>
    </row>
    <row customHeight="1" ht="24">
      <c r="A45" s="1330" t="s">
        <v>209</v>
      </c>
      <c r="B45" s="1330" t="s">
        <v>210</v>
      </c>
      <c r="C45" s="1330" t="s">
        <v>211</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1687"/>
      <c r="AP45" s="1687" t="str">
        <f>IF(T45="","",T45)</f>
        <v>Наименование системы теплоснабжения </v>
      </c>
      <c r="AQ45" s="1687"/>
      <c r="AR45" s="1687"/>
      <c r="AS45" s="1694">
        <v>23</v>
      </c>
    </row>
    <row customHeight="1" ht="22.049999999999997">
      <c r="A46" s="1330" t="s">
        <v>209</v>
      </c>
      <c r="B46" s="1330" t="s">
        <v>210</v>
      </c>
      <c r="C46" s="1330" t="s">
        <v>211</v>
      </c>
      <c r="D46" s="1330" t="s">
        <v>212</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1687"/>
      <c r="AP46" s="1687" t="str">
        <f>IF(T46="","",T46)</f>
        <v>Источник тепловой энергии  </v>
      </c>
      <c r="AQ46" s="1687"/>
      <c r="AR46" s="1687"/>
      <c r="AS46" s="1694">
        <v>21</v>
      </c>
    </row>
    <row customHeight="1" ht="49.5">
      <c r="A47" s="1330" t="s">
        <v>209</v>
      </c>
      <c r="B47" s="1330" t="s">
        <v>210</v>
      </c>
      <c r="C47" s="1330" t="s">
        <v>211</v>
      </c>
      <c r="D47" s="1330" t="s">
        <v>212</v>
      </c>
      <c r="E47" s="2353"/>
      <c r="F47" s="2353"/>
      <c r="G47" s="2353"/>
      <c r="H47" s="2353"/>
      <c r="I47" s="2190" t="str">
        <f>S46&amp;".1"</f>
        <v>....1</v>
      </c>
      <c r="J47" s="1330"/>
      <c r="K47" s="1330"/>
      <c r="L47" s="1373" t="s">
        <v>400</v>
      </c>
      <c r="P47" s="2320">
        <v>1</v>
      </c>
      <c r="Q47" s="2017"/>
      <c r="R47" s="419"/>
      <c r="S47" s="2021" t="str">
        <f>$I47</f>
        <v>....1</v>
      </c>
      <c r="T47" s="348" t="s">
        <v>401</v>
      </c>
      <c r="U47" s="363"/>
      <c r="V47" s="2308"/>
      <c r="W47" s="2309"/>
      <c r="X47" s="2309"/>
      <c r="Y47" s="2309"/>
      <c r="Z47" s="2309"/>
      <c r="AA47" s="2309"/>
      <c r="AB47" s="2309"/>
      <c r="AC47" s="2310"/>
      <c r="AD47" s="2308"/>
      <c r="AE47" s="2309"/>
      <c r="AF47" s="2309"/>
      <c r="AG47" s="2309"/>
      <c r="AH47" s="2309"/>
      <c r="AI47" s="2309"/>
      <c r="AJ47" s="2309"/>
      <c r="AK47" s="2309"/>
      <c r="AL47" s="2310"/>
      <c r="AM47" s="1321" t="s">
        <v>402</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209</v>
      </c>
      <c r="B48" s="1330" t="s">
        <v>210</v>
      </c>
      <c r="C48" s="1330" t="s">
        <v>211</v>
      </c>
      <c r="D48" s="1330" t="s">
        <v>212</v>
      </c>
      <c r="E48" s="2353"/>
      <c r="F48" s="2353"/>
      <c r="G48" s="2353"/>
      <c r="H48" s="2353"/>
      <c r="I48" s="2164"/>
      <c r="J48" s="2190" t="str">
        <f>I47&amp;".1"</f>
        <v>....1.1</v>
      </c>
      <c r="K48" s="1330"/>
      <c r="L48" s="1373" t="s">
        <v>403</v>
      </c>
      <c r="P48" s="2320"/>
      <c r="Q48" s="2320">
        <v>1</v>
      </c>
      <c r="R48" s="420"/>
      <c r="S48" s="2021" t="str">
        <f>$J48</f>
        <v>....1.1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1687"/>
      <c r="AP48" s="1687" t="str">
        <f>IF(T48="","",T48)</f>
        <v>Группа потребителей</v>
      </c>
      <c r="AQ48" s="1687"/>
      <c r="AR48" s="1687"/>
      <c r="AS48" s="1694">
        <v>21</v>
      </c>
    </row>
    <row customHeight="1" ht="22.049999999999997">
      <c r="A49" s="1330" t="s">
        <v>209</v>
      </c>
      <c r="B49" s="1330" t="s">
        <v>210</v>
      </c>
      <c r="C49" s="1330" t="s">
        <v>211</v>
      </c>
      <c r="D49" s="1330" t="s">
        <v>212</v>
      </c>
      <c r="E49" s="2353"/>
      <c r="F49" s="2353"/>
      <c r="G49" s="2353"/>
      <c r="H49" s="2353"/>
      <c r="I49" s="2164"/>
      <c r="J49" s="2164"/>
      <c r="K49" s="2190" t="str">
        <f>J48&amp;".1"</f>
        <v>....1.1.1</v>
      </c>
      <c r="L49" s="1373" t="s">
        <v>406</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407</v>
      </c>
      <c r="AN49" s="1699">
        <f>STRCHECKDATE(V50:AL50)</f>
      </c>
      <c r="AO49" s="1687"/>
      <c r="AP49" s="1687" t="str">
        <f>IF(T49="","",T49)</f>
        <v/>
      </c>
      <c r="AQ49" s="1687"/>
      <c r="AR49" s="1687"/>
      <c r="AS49" s="1694">
        <v>21</v>
      </c>
    </row>
    <row customHeight="1" ht="1.05">
      <c r="A50" s="1330" t="s">
        <v>209</v>
      </c>
      <c r="B50" s="1330" t="s">
        <v>210</v>
      </c>
      <c r="C50" s="1330" t="s">
        <v>211</v>
      </c>
      <c r="D50" s="1330" t="s">
        <v>212</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209</v>
      </c>
      <c r="B51" s="1330" t="s">
        <v>210</v>
      </c>
      <c r="C51" s="1330" t="s">
        <v>211</v>
      </c>
      <c r="D51" s="1330" t="s">
        <v>212</v>
      </c>
      <c r="E51" s="2353"/>
      <c r="F51" s="2353"/>
      <c r="G51" s="2353"/>
      <c r="H51" s="2353"/>
      <c r="I51" s="2164"/>
      <c r="J51" s="2190"/>
      <c r="K51" s="1330"/>
      <c r="L51" s="1373"/>
      <c r="P51" s="2320"/>
      <c r="Q51" s="2320"/>
      <c r="R51" s="419"/>
      <c r="S51" s="1341"/>
      <c r="T51" s="351" t="s">
        <v>408</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209</v>
      </c>
      <c r="B52" s="1330" t="s">
        <v>210</v>
      </c>
      <c r="C52" s="1330" t="s">
        <v>211</v>
      </c>
      <c r="D52" s="1330" t="s">
        <v>212</v>
      </c>
      <c r="E52" s="2353"/>
      <c r="F52" s="2353"/>
      <c r="G52" s="2353"/>
      <c r="H52" s="2353"/>
      <c r="I52" s="2190"/>
      <c r="J52" s="1330"/>
      <c r="K52" s="1330"/>
      <c r="L52" s="1373"/>
      <c r="P52" s="2320"/>
      <c r="Q52" s="2017"/>
      <c r="R52" s="419"/>
      <c r="S52" s="1341"/>
      <c r="T52" s="350" t="s">
        <v>409</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209</v>
      </c>
      <c r="B53" s="1330" t="s">
        <v>210</v>
      </c>
      <c r="C53" s="1330" t="s">
        <v>211</v>
      </c>
      <c r="D53" s="1330" t="s">
        <v>212</v>
      </c>
      <c r="E53" s="2353"/>
      <c r="F53" s="2353"/>
      <c r="G53" s="2353"/>
      <c r="H53" s="2352"/>
      <c r="I53" s="1330"/>
      <c r="J53" s="1330"/>
      <c r="K53" s="1330"/>
      <c r="L53" s="1373"/>
      <c r="M53" s="1673"/>
      <c r="N53" s="1673"/>
      <c r="O53" s="1698"/>
      <c r="P53" s="423"/>
      <c r="Q53" s="438"/>
      <c r="R53" s="418"/>
      <c r="S53" s="1341"/>
      <c r="T53" s="428" t="s">
        <v>410</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209</v>
      </c>
      <c r="B54" s="1330" t="s">
        <v>210</v>
      </c>
      <c r="C54" s="1330" t="s">
        <v>211</v>
      </c>
      <c r="D54" s="2037"/>
      <c r="E54" s="2353"/>
      <c r="F54" s="2353"/>
      <c r="G54" s="2352"/>
      <c r="H54" s="2037"/>
      <c r="I54" s="2037"/>
      <c r="J54" s="2037"/>
      <c r="K54" s="2037"/>
      <c r="L54" s="1443"/>
      <c r="M54" s="1673"/>
      <c r="N54" s="1673"/>
      <c r="O54" s="1698"/>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209</v>
      </c>
      <c r="B55" s="1330" t="s">
        <v>210</v>
      </c>
      <c r="C55" s="2037"/>
      <c r="D55" s="2037"/>
      <c r="E55" s="2353"/>
      <c r="F55" s="2352"/>
      <c r="G55" s="2037"/>
      <c r="H55" s="2037"/>
      <c r="I55" s="2037"/>
      <c r="J55" s="2037"/>
      <c r="K55" s="2037"/>
      <c r="L55" s="1443"/>
      <c r="M55" s="2038"/>
      <c r="N55" s="2038"/>
      <c r="O55" s="1698"/>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209</v>
      </c>
      <c r="B56" s="1330"/>
      <c r="C56" s="1330"/>
      <c r="D56" s="1330"/>
      <c r="E56" s="2352"/>
      <c r="F56" s="1330"/>
      <c r="G56" s="1330"/>
      <c r="H56" s="1330"/>
      <c r="I56" s="1330"/>
      <c r="J56" s="1330"/>
      <c r="K56" s="1330"/>
      <c r="L56" s="1373"/>
      <c r="M56" s="2038"/>
      <c r="N56" s="2038"/>
      <c r="O56" s="1698"/>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58149-E9D3-E2E8-C29C-A226764C04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399</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400</v>
      </c>
      <c r="M6" s="600"/>
      <c r="P6" s="2320">
        <v>1</v>
      </c>
      <c r="Q6" s="1394"/>
      <c r="R6" s="419"/>
      <c r="S6" s="1399">
        <f>$I6</f>
      </c>
      <c r="T6" s="348" t="s">
        <v>401</v>
      </c>
      <c r="U6" s="363"/>
      <c r="V6" s="2308"/>
      <c r="W6" s="2309"/>
      <c r="X6" s="2309"/>
      <c r="Y6" s="2309"/>
      <c r="Z6" s="2309"/>
      <c r="AA6" s="2309"/>
      <c r="AB6" s="2309"/>
      <c r="AC6" s="2310"/>
      <c r="AD6" s="2308"/>
      <c r="AE6" s="2309"/>
      <c r="AF6" s="2309"/>
      <c r="AG6" s="2309"/>
      <c r="AH6" s="2309"/>
      <c r="AI6" s="2309"/>
      <c r="AJ6" s="2309"/>
      <c r="AK6" s="2309"/>
      <c r="AL6" s="2310"/>
      <c r="AM6" s="1321" t="s">
        <v>402</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403</v>
      </c>
      <c r="M7" s="600"/>
      <c r="N7" s="1429"/>
      <c r="P7" s="2320"/>
      <c r="Q7" s="2320">
        <v>1</v>
      </c>
      <c r="R7" s="420"/>
      <c r="S7" s="1399">
        <f>$J7</f>
      </c>
      <c r="T7" s="349" t="s">
        <v>404</v>
      </c>
      <c r="U7" s="363"/>
      <c r="V7" s="2308"/>
      <c r="W7" s="2309"/>
      <c r="X7" s="2309"/>
      <c r="Y7" s="2309"/>
      <c r="Z7" s="2309"/>
      <c r="AA7" s="2309"/>
      <c r="AB7" s="2309"/>
      <c r="AC7" s="2310"/>
      <c r="AD7" s="2308"/>
      <c r="AE7" s="2309"/>
      <c r="AF7" s="2309"/>
      <c r="AG7" s="2309"/>
      <c r="AH7" s="2309"/>
      <c r="AI7" s="2309"/>
      <c r="AJ7" s="2309"/>
      <c r="AK7" s="2309"/>
      <c r="AL7" s="2310"/>
      <c r="AM7" s="1321" t="s">
        <v>405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406</v>
      </c>
      <c r="M8" s="600"/>
      <c r="N8" s="1429"/>
      <c r="O8" s="1429"/>
      <c r="P8" s="2320"/>
      <c r="Q8" s="2320"/>
      <c r="R8" s="420">
        <v>1</v>
      </c>
      <c r="S8" s="1399">
        <f>$K8</f>
      </c>
      <c r="T8" s="1410"/>
      <c r="U8" s="363"/>
      <c r="V8" s="388"/>
      <c r="W8" s="814"/>
      <c r="X8" s="388"/>
      <c r="Y8" s="447"/>
      <c r="Z8" s="2328"/>
      <c r="AA8" s="2170" t="s">
        <v>65</v>
      </c>
      <c r="AB8" s="2328"/>
      <c r="AC8" s="2170" t="s">
        <v>65</v>
      </c>
      <c r="AD8" s="388"/>
      <c r="AE8" s="814"/>
      <c r="AF8" s="388"/>
      <c r="AG8" s="447"/>
      <c r="AH8" s="2328"/>
      <c r="AI8" s="2170" t="s">
        <v>65</v>
      </c>
      <c r="AJ8" s="2328"/>
      <c r="AK8" s="2170" t="s">
        <v>65</v>
      </c>
      <c r="AL8" s="388"/>
      <c r="AM8" s="2316" t="s">
        <v>407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410</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414</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415</v>
      </c>
      <c r="P22" s="1425"/>
      <c r="Q22" s="1434"/>
      <c r="R22" s="1434"/>
      <c r="S22" s="792"/>
      <c r="T22" s="1223" t="s">
        <v>416</v>
      </c>
      <c r="AA22" s="249" t="s">
        <v>417</v>
      </c>
      <c r="AC22" s="249" t="s">
        <v>418</v>
      </c>
      <c r="AD22" s="1223" t="s">
        <v>416</v>
      </c>
      <c r="AI22" s="249" t="s">
        <v>419</v>
      </c>
      <c r="AK22" s="249" t="s">
        <v>418</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420</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421</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422</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423</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424</v>
      </c>
      <c r="AD36" s="389"/>
      <c r="AE36" s="389"/>
      <c r="AF36" s="389"/>
      <c r="AG36" s="389"/>
      <c r="AH36" s="389"/>
      <c r="AI36" s="389"/>
      <c r="AJ36" s="389"/>
      <c r="AK36" s="341" t="s">
        <v>424</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218">
        <v>14</v>
      </c>
    </row>
    <row customHeight="1" ht="14.699999999999998">
      <c r="Q39" s="439"/>
      <c r="R39" s="439"/>
      <c r="S39" s="2336" t="s">
        <v>87</v>
      </c>
      <c r="T39" s="2272" t="s">
        <v>425</v>
      </c>
      <c r="U39" s="364"/>
      <c r="V39" s="2337" t="s">
        <v>426</v>
      </c>
      <c r="W39" s="2338"/>
      <c r="X39" s="2354"/>
      <c r="Y39" s="2354"/>
      <c r="Z39" s="2338"/>
      <c r="AA39" s="2338"/>
      <c r="AB39" s="2339"/>
      <c r="AC39" s="2340" t="s">
        <v>427</v>
      </c>
      <c r="AD39" s="2337" t="s">
        <v>426</v>
      </c>
      <c r="AE39" s="2338"/>
      <c r="AF39" s="2354"/>
      <c r="AG39" s="2354"/>
      <c r="AH39" s="2338"/>
      <c r="AI39" s="2338"/>
      <c r="AJ39" s="2339"/>
      <c r="AK39" s="2340" t="s">
        <v>428</v>
      </c>
      <c r="AL39" s="2343" t="s">
        <v>429</v>
      </c>
      <c r="AM39" s="2190"/>
      <c r="AS39" s="1218">
        <v>14</v>
      </c>
    </row>
    <row customHeight="1" ht="24">
      <c r="Q40" s="439"/>
      <c r="R40" s="439"/>
      <c r="S40" s="2336"/>
      <c r="T40" s="2272"/>
      <c r="U40" s="1094"/>
      <c r="V40" s="2355" t="s">
        <v>430</v>
      </c>
      <c r="W40" s="2357" t="s">
        <v>431</v>
      </c>
      <c r="X40" s="1439" t="s">
        <v>432</v>
      </c>
      <c r="Y40" s="1439"/>
      <c r="Z40" s="2332" t="s">
        <v>433</v>
      </c>
      <c r="AA40" s="2332"/>
      <c r="AB40" s="2326"/>
      <c r="AC40" s="2341"/>
      <c r="AD40" s="2355" t="s">
        <v>430</v>
      </c>
      <c r="AE40" s="2357" t="s">
        <v>431</v>
      </c>
      <c r="AF40" s="1439" t="s">
        <v>432</v>
      </c>
      <c r="AG40" s="1439"/>
      <c r="AH40" s="2332" t="s">
        <v>433</v>
      </c>
      <c r="AI40" s="2332"/>
      <c r="AJ40" s="2326"/>
      <c r="AK40" s="2341"/>
      <c r="AL40" s="2344"/>
      <c r="AM40" s="2190"/>
      <c r="AS40" s="1218">
        <v>23</v>
      </c>
    </row>
    <row s="4593" customFormat="1" customHeight="1" ht="24">
      <c r="A41" s="1433"/>
      <c r="B41" s="1433" t="s">
        <v>135</v>
      </c>
      <c r="C41" s="1433" t="s">
        <v>136</v>
      </c>
      <c r="D41" s="1433" t="s">
        <v>137</v>
      </c>
      <c r="E41" s="1427" t="s">
        <v>434</v>
      </c>
      <c r="F41" s="1427" t="s">
        <v>435</v>
      </c>
      <c r="G41" s="1427" t="s">
        <v>436</v>
      </c>
      <c r="H41" s="1427" t="s">
        <v>437</v>
      </c>
      <c r="I41" s="1427" t="s">
        <v>438</v>
      </c>
      <c r="J41" s="1427" t="s">
        <v>439</v>
      </c>
      <c r="K41" s="1427" t="s">
        <v>440</v>
      </c>
      <c r="L41" s="1427" t="s">
        <v>415</v>
      </c>
      <c r="M41" s="1425"/>
      <c r="N41" s="1425"/>
      <c r="O41" s="1425"/>
      <c r="P41" s="1391"/>
      <c r="Q41" s="439"/>
      <c r="R41" s="439"/>
      <c r="S41" s="2336"/>
      <c r="T41" s="2272"/>
      <c r="U41" s="365"/>
      <c r="V41" s="2356"/>
      <c r="W41" s="2358"/>
      <c r="X41" s="1436" t="s">
        <v>441</v>
      </c>
      <c r="Y41" s="1436" t="s">
        <v>442</v>
      </c>
      <c r="Z41" s="1397" t="s">
        <v>443</v>
      </c>
      <c r="AA41" s="2333" t="s">
        <v>444</v>
      </c>
      <c r="AB41" s="2334"/>
      <c r="AC41" s="2342"/>
      <c r="AD41" s="2356"/>
      <c r="AE41" s="2358"/>
      <c r="AF41" s="1436" t="s">
        <v>441</v>
      </c>
      <c r="AG41" s="1436" t="s">
        <v>442</v>
      </c>
      <c r="AH41" s="1397" t="s">
        <v>443</v>
      </c>
      <c r="AI41" s="2333" t="s">
        <v>444</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191</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191</v>
      </c>
      <c r="B44" s="1426" t="s">
        <v>192</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563"/>
      <c r="AP44" s="563" t="str">
        <f>IF(T44="","",T44)</f>
        <v>Территория действия тарифа</v>
      </c>
      <c r="AQ44" s="563"/>
      <c r="AR44" s="563"/>
      <c r="AS44" s="1218">
        <v>21</v>
      </c>
    </row>
    <row customHeight="1" ht="24">
      <c r="A45" s="1426" t="s">
        <v>191</v>
      </c>
      <c r="B45" s="1426" t="s">
        <v>192</v>
      </c>
      <c r="C45" s="1426" t="s">
        <v>193</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563"/>
      <c r="AP45" s="563" t="str">
        <f>IF(T45="","",T45)</f>
        <v>Наименование системы теплоснабжения </v>
      </c>
      <c r="AQ45" s="563"/>
      <c r="AR45" s="563"/>
      <c r="AS45" s="1218">
        <v>23</v>
      </c>
    </row>
    <row customHeight="1" ht="22.049999999999997">
      <c r="A46" s="1426" t="s">
        <v>191</v>
      </c>
      <c r="B46" s="1426" t="s">
        <v>192</v>
      </c>
      <c r="C46" s="1426" t="s">
        <v>193</v>
      </c>
      <c r="D46" s="1426" t="s">
        <v>194</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563"/>
      <c r="AP46" s="563" t="str">
        <f>IF(T46="","",T46)</f>
        <v>Источник тепловой энергии  </v>
      </c>
      <c r="AQ46" s="563"/>
      <c r="AR46" s="563"/>
      <c r="AS46" s="1218">
        <v>21</v>
      </c>
    </row>
    <row customHeight="1" ht="49.5">
      <c r="A47" s="1426" t="s">
        <v>191</v>
      </c>
      <c r="B47" s="1426" t="s">
        <v>192</v>
      </c>
      <c r="C47" s="1426" t="s">
        <v>193</v>
      </c>
      <c r="D47" s="1426" t="s">
        <v>194</v>
      </c>
      <c r="E47" s="2322"/>
      <c r="F47" s="2322"/>
      <c r="G47" s="2322"/>
      <c r="H47" s="2322"/>
      <c r="I47" s="2319" t="str">
        <f>S46&amp;".1"</f>
        <v>....1</v>
      </c>
      <c r="J47" s="1426"/>
      <c r="K47" s="1426"/>
      <c r="L47" s="1427" t="s">
        <v>400</v>
      </c>
      <c r="P47" s="2320">
        <v>1</v>
      </c>
      <c r="Q47" s="1394"/>
      <c r="R47" s="419"/>
      <c r="S47" s="1399" t="str">
        <f>$I47</f>
        <v>....1</v>
      </c>
      <c r="T47" s="348" t="s">
        <v>401</v>
      </c>
      <c r="U47" s="363"/>
      <c r="V47" s="2308"/>
      <c r="W47" s="2309"/>
      <c r="X47" s="2309"/>
      <c r="Y47" s="2309"/>
      <c r="Z47" s="2309"/>
      <c r="AA47" s="2309"/>
      <c r="AB47" s="2309"/>
      <c r="AC47" s="2310"/>
      <c r="AD47" s="2308"/>
      <c r="AE47" s="2309"/>
      <c r="AF47" s="2309"/>
      <c r="AG47" s="2309"/>
      <c r="AH47" s="2309"/>
      <c r="AI47" s="2309"/>
      <c r="AJ47" s="2309"/>
      <c r="AK47" s="2309"/>
      <c r="AL47" s="2310"/>
      <c r="AM47" s="1321" t="s">
        <v>402</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191</v>
      </c>
      <c r="B48" s="1426" t="s">
        <v>192</v>
      </c>
      <c r="C48" s="1426" t="s">
        <v>193</v>
      </c>
      <c r="D48" s="1426" t="s">
        <v>194</v>
      </c>
      <c r="E48" s="2322"/>
      <c r="F48" s="2322"/>
      <c r="G48" s="2322"/>
      <c r="H48" s="2322"/>
      <c r="I48" s="2349"/>
      <c r="J48" s="2319" t="str">
        <f>I47&amp;".1"</f>
        <v>....1.1</v>
      </c>
      <c r="K48" s="1426"/>
      <c r="L48" s="1427" t="s">
        <v>403</v>
      </c>
      <c r="P48" s="2320"/>
      <c r="Q48" s="2320">
        <v>1</v>
      </c>
      <c r="R48" s="420"/>
      <c r="S48" s="1399" t="str">
        <f>$J48</f>
        <v>....1.1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563"/>
      <c r="AP48" s="563" t="str">
        <f>IF(T48="","",T48)</f>
        <v>Группа потребителей</v>
      </c>
      <c r="AQ48" s="563"/>
      <c r="AR48" s="563"/>
      <c r="AS48" s="1218">
        <v>21</v>
      </c>
    </row>
    <row customHeight="1" ht="22.049999999999997">
      <c r="A49" s="1426" t="s">
        <v>191</v>
      </c>
      <c r="B49" s="1426" t="s">
        <v>192</v>
      </c>
      <c r="C49" s="1426" t="s">
        <v>193</v>
      </c>
      <c r="D49" s="1426" t="s">
        <v>194</v>
      </c>
      <c r="E49" s="2322"/>
      <c r="F49" s="2322"/>
      <c r="G49" s="2322"/>
      <c r="H49" s="2322"/>
      <c r="I49" s="2349"/>
      <c r="J49" s="2349"/>
      <c r="K49" s="2319" t="str">
        <f>J48&amp;".1"</f>
        <v>....1.1.1</v>
      </c>
      <c r="L49" s="1427" t="s">
        <v>406</v>
      </c>
      <c r="P49" s="2320"/>
      <c r="Q49" s="2320"/>
      <c r="R49" s="420">
        <v>1</v>
      </c>
      <c r="S49" s="1399" t="str">
        <f>$K49</f>
        <v>....1.1.1</v>
      </c>
      <c r="T49" s="1410"/>
      <c r="U49" s="363"/>
      <c r="V49" s="388"/>
      <c r="W49" s="814"/>
      <c r="X49" s="388"/>
      <c r="Y49" s="447"/>
      <c r="Z49" s="2328"/>
      <c r="AA49" s="2170" t="s">
        <v>65</v>
      </c>
      <c r="AB49" s="2328"/>
      <c r="AC49" s="2170" t="s">
        <v>65</v>
      </c>
      <c r="AD49" s="388"/>
      <c r="AE49" s="814"/>
      <c r="AF49" s="388"/>
      <c r="AG49" s="447"/>
      <c r="AH49" s="2328"/>
      <c r="AI49" s="2170" t="s">
        <v>65</v>
      </c>
      <c r="AJ49" s="2350"/>
      <c r="AK49" s="2170" t="s">
        <v>65</v>
      </c>
      <c r="AL49" s="1411"/>
      <c r="AM49" s="2316" t="s">
        <v>407</v>
      </c>
      <c r="AN49" s="574">
        <f>STRCHECKDATE(V50:AL50)</f>
      </c>
      <c r="AO49" s="563"/>
      <c r="AP49" s="563" t="str">
        <f>IF(T49="","",T49)</f>
        <v/>
      </c>
      <c r="AQ49" s="563"/>
      <c r="AR49" s="563"/>
      <c r="AS49" s="1218">
        <v>21</v>
      </c>
    </row>
    <row customHeight="1" ht="1.05">
      <c r="A50" s="1426" t="s">
        <v>191</v>
      </c>
      <c r="B50" s="1426" t="s">
        <v>192</v>
      </c>
      <c r="C50" s="1426" t="s">
        <v>193</v>
      </c>
      <c r="D50" s="1426" t="s">
        <v>194</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191</v>
      </c>
      <c r="B51" s="1426" t="s">
        <v>192</v>
      </c>
      <c r="C51" s="1426" t="s">
        <v>193</v>
      </c>
      <c r="D51" s="1426" t="s">
        <v>194</v>
      </c>
      <c r="E51" s="2322"/>
      <c r="F51" s="2322"/>
      <c r="G51" s="2322"/>
      <c r="H51" s="2322"/>
      <c r="I51" s="2349"/>
      <c r="J51" s="2319"/>
      <c r="K51" s="1426"/>
      <c r="L51" s="1427"/>
      <c r="P51" s="2320"/>
      <c r="Q51" s="2320"/>
      <c r="R51" s="419"/>
      <c r="S51" s="1341"/>
      <c r="T51" s="351" t="s">
        <v>408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191</v>
      </c>
      <c r="B52" s="1426" t="s">
        <v>192</v>
      </c>
      <c r="C52" s="1426" t="s">
        <v>193</v>
      </c>
      <c r="D52" s="1426" t="s">
        <v>194</v>
      </c>
      <c r="E52" s="2322"/>
      <c r="F52" s="2322"/>
      <c r="G52" s="2322"/>
      <c r="H52" s="2322"/>
      <c r="I52" s="2319"/>
      <c r="J52" s="1426"/>
      <c r="K52" s="1426"/>
      <c r="L52" s="1427"/>
      <c r="P52" s="2320"/>
      <c r="Q52" s="1394"/>
      <c r="R52" s="419"/>
      <c r="S52" s="1341"/>
      <c r="T52" s="350" t="s">
        <v>409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191</v>
      </c>
      <c r="B53" s="1426" t="s">
        <v>192</v>
      </c>
      <c r="C53" s="1426" t="s">
        <v>193</v>
      </c>
      <c r="D53" s="1426" t="s">
        <v>194</v>
      </c>
      <c r="E53" s="2322"/>
      <c r="F53" s="2322"/>
      <c r="G53" s="2322"/>
      <c r="H53" s="2321"/>
      <c r="I53" s="1426"/>
      <c r="J53" s="1426"/>
      <c r="K53" s="1426"/>
      <c r="L53" s="1427"/>
      <c r="M53" s="1428"/>
      <c r="N53" s="1428"/>
      <c r="O53" s="600"/>
      <c r="P53" s="423"/>
      <c r="Q53" s="438"/>
      <c r="R53" s="418"/>
      <c r="S53" s="1341"/>
      <c r="T53" s="428" t="s">
        <v>410</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191</v>
      </c>
      <c r="B54" s="1406" t="s">
        <v>192</v>
      </c>
      <c r="C54" s="1406" t="s">
        <v>193</v>
      </c>
      <c r="D54" s="1377"/>
      <c r="E54" s="2322"/>
      <c r="F54" s="2322"/>
      <c r="G54" s="2321"/>
      <c r="H54" s="1377"/>
      <c r="I54" s="1377"/>
      <c r="J54" s="1377"/>
      <c r="K54" s="1377"/>
      <c r="L54" s="1402"/>
      <c r="M54" s="1378"/>
      <c r="N54" s="1378"/>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191</v>
      </c>
      <c r="B55" s="1406" t="s">
        <v>192</v>
      </c>
      <c r="C55" s="1377"/>
      <c r="D55" s="1377"/>
      <c r="E55" s="2322"/>
      <c r="F55" s="2321"/>
      <c r="G55" s="1377"/>
      <c r="H55" s="1377"/>
      <c r="I55" s="1377"/>
      <c r="J55" s="1377"/>
      <c r="K55" s="1377"/>
      <c r="L55" s="1402"/>
      <c r="M55" s="1384"/>
      <c r="N55" s="1384"/>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191</v>
      </c>
      <c r="B56" s="1406"/>
      <c r="C56" s="1406"/>
      <c r="D56" s="1406"/>
      <c r="E56" s="2321"/>
      <c r="F56" s="1406"/>
      <c r="G56" s="1406"/>
      <c r="H56" s="1406"/>
      <c r="I56" s="1406"/>
      <c r="J56" s="1406"/>
      <c r="K56" s="1406"/>
      <c r="L56" s="1409"/>
      <c r="M56" s="1384"/>
      <c r="N56" s="1384"/>
      <c r="O56" s="581"/>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AD312-0C6E-61C4-0BC4-E657933684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399</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400</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403</v>
      </c>
      <c r="M7" s="600"/>
      <c r="N7" s="1429"/>
      <c r="P7" s="2320"/>
      <c r="Q7" s="2320">
        <v>1</v>
      </c>
      <c r="R7" s="420"/>
      <c r="S7" s="1399">
        <f>$J7</f>
      </c>
      <c r="T7" s="349" t="s">
        <v>404</v>
      </c>
      <c r="U7" s="363"/>
      <c r="V7" s="2308"/>
      <c r="W7" s="2309"/>
      <c r="X7" s="2309"/>
      <c r="Y7" s="2309"/>
      <c r="Z7" s="2309"/>
      <c r="AA7" s="2309"/>
      <c r="AB7" s="2309"/>
      <c r="AC7" s="2310"/>
      <c r="AD7" s="2308"/>
      <c r="AE7" s="2309"/>
      <c r="AF7" s="2309"/>
      <c r="AG7" s="2309"/>
      <c r="AH7" s="2309"/>
      <c r="AI7" s="2309"/>
      <c r="AJ7" s="2309"/>
      <c r="AK7" s="2309"/>
      <c r="AL7" s="2310"/>
      <c r="AM7" s="1321" t="s">
        <v>405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406</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409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414</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415</v>
      </c>
      <c r="P22" s="1425"/>
      <c r="Q22" s="1434"/>
      <c r="R22" s="1434"/>
      <c r="S22" s="792"/>
      <c r="T22" s="1223" t="s">
        <v>416</v>
      </c>
      <c r="AA22" s="249" t="s">
        <v>417</v>
      </c>
      <c r="AC22" s="249" t="s">
        <v>418</v>
      </c>
      <c r="AD22" s="1223" t="s">
        <v>416</v>
      </c>
      <c r="AI22" s="249" t="s">
        <v>419</v>
      </c>
      <c r="AK22" s="249" t="s">
        <v>418</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420</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421</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422</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423</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424</v>
      </c>
      <c r="AD36" s="389"/>
      <c r="AE36" s="389"/>
      <c r="AF36" s="389"/>
      <c r="AG36" s="389"/>
      <c r="AH36" s="389"/>
      <c r="AI36" s="389"/>
      <c r="AJ36" s="389"/>
      <c r="AK36" s="341" t="s">
        <v>424</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218">
        <v>14</v>
      </c>
    </row>
    <row customHeight="1" ht="14.699999999999998">
      <c r="Q39" s="439"/>
      <c r="R39" s="439"/>
      <c r="S39" s="2336" t="s">
        <v>87</v>
      </c>
      <c r="T39" s="2272" t="s">
        <v>425</v>
      </c>
      <c r="U39" s="364"/>
      <c r="V39" s="2337" t="s">
        <v>426</v>
      </c>
      <c r="W39" s="2338"/>
      <c r="X39" s="2338"/>
      <c r="Y39" s="2338"/>
      <c r="Z39" s="2338"/>
      <c r="AA39" s="2338"/>
      <c r="AB39" s="2339"/>
      <c r="AC39" s="2340" t="s">
        <v>427</v>
      </c>
      <c r="AD39" s="2337" t="s">
        <v>426</v>
      </c>
      <c r="AE39" s="2338"/>
      <c r="AF39" s="2338"/>
      <c r="AG39" s="2338"/>
      <c r="AH39" s="2338"/>
      <c r="AI39" s="2338"/>
      <c r="AJ39" s="2339"/>
      <c r="AK39" s="2340" t="s">
        <v>428</v>
      </c>
      <c r="AL39" s="2343" t="s">
        <v>429</v>
      </c>
      <c r="AM39" s="2190"/>
      <c r="AS39" s="1218">
        <v>14</v>
      </c>
    </row>
    <row customHeight="1" ht="35.699999999999996">
      <c r="Q40" s="439"/>
      <c r="R40" s="439"/>
      <c r="S40" s="2336"/>
      <c r="T40" s="2272"/>
      <c r="U40" s="1094"/>
      <c r="V40" s="2323" t="s">
        <v>430</v>
      </c>
      <c r="W40" s="2346"/>
      <c r="X40" s="2325" t="s">
        <v>432</v>
      </c>
      <c r="Y40" s="2326"/>
      <c r="Z40" s="2325" t="s">
        <v>433</v>
      </c>
      <c r="AA40" s="2332"/>
      <c r="AB40" s="2326"/>
      <c r="AC40" s="2341"/>
      <c r="AD40" s="2323" t="s">
        <v>447</v>
      </c>
      <c r="AE40" s="2346"/>
      <c r="AF40" s="2325" t="s">
        <v>432</v>
      </c>
      <c r="AG40" s="2326"/>
      <c r="AH40" s="2325" t="s">
        <v>433</v>
      </c>
      <c r="AI40" s="2332"/>
      <c r="AJ40" s="2326"/>
      <c r="AK40" s="2341"/>
      <c r="AL40" s="2344"/>
      <c r="AM40" s="2190"/>
      <c r="AS40" s="1218">
        <v>34</v>
      </c>
    </row>
    <row customHeight="1" ht="35.699999999999996">
      <c r="A41" s="1433"/>
      <c r="B41" s="1433" t="s">
        <v>135</v>
      </c>
      <c r="C41" s="1433" t="s">
        <v>136</v>
      </c>
      <c r="D41" s="1433" t="s">
        <v>137</v>
      </c>
      <c r="E41" s="1427" t="s">
        <v>434</v>
      </c>
      <c r="F41" s="1427" t="s">
        <v>435</v>
      </c>
      <c r="G41" s="1427" t="s">
        <v>436</v>
      </c>
      <c r="H41" s="1427" t="s">
        <v>437</v>
      </c>
      <c r="I41" s="1427" t="s">
        <v>438</v>
      </c>
      <c r="J41" s="1427" t="s">
        <v>439</v>
      </c>
      <c r="K41" s="1427" t="s">
        <v>440</v>
      </c>
      <c r="L41" s="1427" t="s">
        <v>415</v>
      </c>
      <c r="Q41" s="439"/>
      <c r="R41" s="439"/>
      <c r="S41" s="2336"/>
      <c r="T41" s="2272"/>
      <c r="U41" s="365"/>
      <c r="V41" s="2324"/>
      <c r="W41" s="2347"/>
      <c r="X41" s="1285" t="s">
        <v>441</v>
      </c>
      <c r="Y41" s="1285" t="s">
        <v>442</v>
      </c>
      <c r="Z41" s="1401" t="s">
        <v>443</v>
      </c>
      <c r="AA41" s="2333" t="s">
        <v>444</v>
      </c>
      <c r="AB41" s="2334"/>
      <c r="AC41" s="2342"/>
      <c r="AD41" s="2324"/>
      <c r="AE41" s="2347"/>
      <c r="AF41" s="1285" t="s">
        <v>441</v>
      </c>
      <c r="AG41" s="1285" t="s">
        <v>442</v>
      </c>
      <c r="AH41" s="1401" t="s">
        <v>443</v>
      </c>
      <c r="AI41" s="2333" t="s">
        <v>444</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167</v>
      </c>
      <c r="B44" s="1426" t="s">
        <v>168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563"/>
      <c r="AP44" s="563" t="str">
        <f>IF(T44="","",T44)</f>
        <v>Территория действия тарифа</v>
      </c>
      <c r="AQ44" s="563"/>
      <c r="AR44" s="563"/>
      <c r="AS44" s="1218">
        <v>21</v>
      </c>
    </row>
    <row customHeight="1" ht="24">
      <c r="A45" s="1426" t="s">
        <v>167</v>
      </c>
      <c r="B45" s="1426" t="s">
        <v>168</v>
      </c>
      <c r="C45" s="1426" t="s">
        <v>169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563"/>
      <c r="AP45" s="563" t="str">
        <f>IF(T45="","",T45)</f>
        <v>Наименование системы теплоснабжения </v>
      </c>
      <c r="AQ45" s="563"/>
      <c r="AR45" s="563"/>
      <c r="AS45" s="1218">
        <v>23</v>
      </c>
    </row>
    <row customHeight="1" ht="22.049999999999997">
      <c r="A46" s="1426" t="s">
        <v>167</v>
      </c>
      <c r="B46" s="1426" t="s">
        <v>168</v>
      </c>
      <c r="C46" s="1426" t="s">
        <v>169</v>
      </c>
      <c r="D46" s="1426" t="s">
        <v>170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563"/>
      <c r="AP46" s="563" t="str">
        <f>IF(T46="","",T46)</f>
        <v>Источник тепловой энергии  </v>
      </c>
      <c r="AQ46" s="563"/>
      <c r="AR46" s="563"/>
      <c r="AS46" s="1218">
        <v>21</v>
      </c>
    </row>
    <row s="4026" customFormat="1" customHeight="1" ht="0">
      <c r="A47" s="1406" t="s">
        <v>167</v>
      </c>
      <c r="B47" s="1406" t="s">
        <v>168</v>
      </c>
      <c r="C47" s="1406" t="s">
        <v>169</v>
      </c>
      <c r="D47" s="1406" t="s">
        <v>170</v>
      </c>
      <c r="E47" s="2322"/>
      <c r="F47" s="2322"/>
      <c r="G47" s="2322"/>
      <c r="H47" s="2322"/>
      <c r="I47" s="2319" t="str">
        <f>S46&amp;".1"</f>
        <v>....1</v>
      </c>
      <c r="J47" s="1406"/>
      <c r="K47" s="1406"/>
      <c r="L47" s="1409" t="s">
        <v>400</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167</v>
      </c>
      <c r="B48" s="1426" t="s">
        <v>168</v>
      </c>
      <c r="C48" s="1426" t="s">
        <v>169</v>
      </c>
      <c r="D48" s="1426" t="s">
        <v>170</v>
      </c>
      <c r="E48" s="2322"/>
      <c r="F48" s="2322"/>
      <c r="G48" s="2322"/>
      <c r="H48" s="2322"/>
      <c r="I48" s="2349"/>
      <c r="J48" s="2319" t="str">
        <f>S46&amp;".1"</f>
        <v>....1</v>
      </c>
      <c r="K48" s="1426"/>
      <c r="L48" s="1427" t="s">
        <v>403</v>
      </c>
      <c r="P48" s="2320"/>
      <c r="Q48" s="2320">
        <v>1</v>
      </c>
      <c r="R48" s="420"/>
      <c r="S48" s="1399" t="str">
        <f>$J48</f>
        <v>....1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563"/>
      <c r="AP48" s="563" t="str">
        <f>IF(T48="","",T48)</f>
        <v>Группа потребителей</v>
      </c>
      <c r="AQ48" s="563"/>
      <c r="AR48" s="563"/>
      <c r="AS48" s="1218">
        <v>21</v>
      </c>
    </row>
    <row customHeight="1" ht="22.049999999999997">
      <c r="A49" s="1426" t="s">
        <v>167</v>
      </c>
      <c r="B49" s="1426" t="s">
        <v>168</v>
      </c>
      <c r="C49" s="1426" t="s">
        <v>169</v>
      </c>
      <c r="D49" s="1426" t="s">
        <v>170</v>
      </c>
      <c r="E49" s="2322"/>
      <c r="F49" s="2322"/>
      <c r="G49" s="2322"/>
      <c r="H49" s="2322"/>
      <c r="I49" s="2349"/>
      <c r="J49" s="2349"/>
      <c r="K49" s="2319" t="str">
        <f>J48&amp;".1"</f>
        <v>....1.1</v>
      </c>
      <c r="L49" s="1427" t="s">
        <v>406</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448</v>
      </c>
      <c r="AN49" s="574">
        <f>STRCHECKDATE(V50:AL50)</f>
      </c>
      <c r="AO49" s="563"/>
      <c r="AP49" s="563" t="str">
        <f>IF(T49="","",T49)</f>
        <v/>
      </c>
      <c r="AQ49" s="563"/>
      <c r="AR49" s="563"/>
      <c r="AS49" s="1218">
        <v>21</v>
      </c>
    </row>
    <row customHeight="1" ht="1.05">
      <c r="A50" s="1426" t="s">
        <v>167</v>
      </c>
      <c r="B50" s="1426" t="s">
        <v>168</v>
      </c>
      <c r="C50" s="1426" t="s">
        <v>169</v>
      </c>
      <c r="D50" s="1426" t="s">
        <v>170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167</v>
      </c>
      <c r="B51" s="1426" t="s">
        <v>168</v>
      </c>
      <c r="C51" s="1426" t="s">
        <v>169</v>
      </c>
      <c r="D51" s="1426" t="s">
        <v>170</v>
      </c>
      <c r="E51" s="2322"/>
      <c r="F51" s="2322"/>
      <c r="G51" s="2322"/>
      <c r="H51" s="2322"/>
      <c r="I51" s="2349"/>
      <c r="J51" s="2319"/>
      <c r="K51" s="1426"/>
      <c r="L51" s="1427"/>
      <c r="P51" s="2320"/>
      <c r="Q51" s="2320"/>
      <c r="R51" s="419"/>
      <c r="S51" s="1341"/>
      <c r="T51" s="350" t="s">
        <v>408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167</v>
      </c>
      <c r="B52" s="1426" t="s">
        <v>168</v>
      </c>
      <c r="C52" s="1426" t="s">
        <v>169</v>
      </c>
      <c r="D52" s="1426" t="s">
        <v>170</v>
      </c>
      <c r="E52" s="2322"/>
      <c r="F52" s="2322"/>
      <c r="G52" s="2322"/>
      <c r="H52" s="2322"/>
      <c r="I52" s="2319"/>
      <c r="J52" s="1426"/>
      <c r="K52" s="1426"/>
      <c r="L52" s="1427"/>
      <c r="P52" s="2320"/>
      <c r="Q52" s="1394"/>
      <c r="R52" s="419"/>
      <c r="S52" s="1341"/>
      <c r="T52" s="428" t="s">
        <v>409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167</v>
      </c>
      <c r="B53" s="1426" t="s">
        <v>168</v>
      </c>
      <c r="C53" s="1426" t="s">
        <v>169</v>
      </c>
      <c r="D53" s="1426" t="s">
        <v>170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167</v>
      </c>
      <c r="B54" s="1406" t="s">
        <v>168</v>
      </c>
      <c r="C54" s="1406" t="s">
        <v>169</v>
      </c>
      <c r="D54" s="1377"/>
      <c r="E54" s="2322"/>
      <c r="F54" s="2322"/>
      <c r="G54" s="2321"/>
      <c r="H54" s="1377"/>
      <c r="I54" s="1377"/>
      <c r="J54" s="1377"/>
      <c r="K54" s="1377"/>
      <c r="L54" s="1402"/>
      <c r="M54" s="1378"/>
      <c r="N54" s="1378"/>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167</v>
      </c>
      <c r="B55" s="1406" t="s">
        <v>168</v>
      </c>
      <c r="C55" s="1377"/>
      <c r="D55" s="1377"/>
      <c r="E55" s="2322"/>
      <c r="F55" s="2321"/>
      <c r="G55" s="1377"/>
      <c r="H55" s="1377"/>
      <c r="I55" s="1377"/>
      <c r="J55" s="1377"/>
      <c r="K55" s="1377"/>
      <c r="L55" s="1402"/>
      <c r="M55" s="1384"/>
      <c r="N55" s="1384"/>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167</v>
      </c>
      <c r="B56" s="1406"/>
      <c r="C56" s="1406"/>
      <c r="D56" s="1406"/>
      <c r="E56" s="2321"/>
      <c r="F56" s="1406"/>
      <c r="G56" s="1406"/>
      <c r="H56" s="1406"/>
      <c r="I56" s="1406"/>
      <c r="J56" s="1406"/>
      <c r="K56" s="1406"/>
      <c r="L56" s="1409"/>
      <c r="M56" s="1384"/>
      <c r="N56" s="1384"/>
      <c r="O56" s="581"/>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1011C-1B62-5E8B-65FF-E273EE32999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396</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397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398</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399</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400</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403</v>
      </c>
      <c r="M7" s="600"/>
      <c r="N7" s="1429"/>
      <c r="P7" s="2320"/>
      <c r="Q7" s="2320">
        <v>1</v>
      </c>
      <c r="R7" s="1705"/>
      <c r="S7" s="2070">
        <f>$J7</f>
      </c>
      <c r="T7" s="349" t="s">
        <v>404</v>
      </c>
      <c r="U7" s="363"/>
      <c r="V7" s="2368"/>
      <c r="W7" s="2368"/>
      <c r="X7" s="2368"/>
      <c r="Y7" s="2368"/>
      <c r="Z7" s="2368"/>
      <c r="AA7" s="2368"/>
      <c r="AB7" s="2368"/>
      <c r="AC7" s="2368"/>
      <c r="AD7" s="2368"/>
      <c r="AE7" s="2368"/>
      <c r="AF7" s="2368"/>
      <c r="AG7" s="2368"/>
      <c r="AH7" s="2368"/>
      <c r="AI7" s="2368"/>
      <c r="AJ7" s="2368"/>
      <c r="AK7" s="2368"/>
      <c r="AL7" s="2368"/>
      <c r="AM7" s="2073" t="s">
        <v>405</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406</v>
      </c>
      <c r="M8" s="600"/>
      <c r="N8" s="1429"/>
      <c r="O8" s="1429"/>
      <c r="P8" s="2320"/>
      <c r="Q8" s="2320"/>
      <c r="R8" s="420">
        <v>1</v>
      </c>
      <c r="S8" s="2072">
        <f>$K8</f>
      </c>
      <c r="T8" s="2077"/>
      <c r="U8" s="2078"/>
      <c r="V8" s="2079"/>
      <c r="W8" s="1412"/>
      <c r="X8" s="2079"/>
      <c r="Y8" s="2080"/>
      <c r="Z8" s="2369"/>
      <c r="AA8" s="2175" t="s">
        <v>65</v>
      </c>
      <c r="AB8" s="2369"/>
      <c r="AC8" s="2175" t="s">
        <v>65</v>
      </c>
      <c r="AD8" s="2079"/>
      <c r="AE8" s="1412"/>
      <c r="AF8" s="2079"/>
      <c r="AG8" s="2080"/>
      <c r="AH8" s="2369"/>
      <c r="AI8" s="2175" t="s">
        <v>65</v>
      </c>
      <c r="AJ8" s="2369"/>
      <c r="AK8" s="2175" t="s">
        <v>65</v>
      </c>
      <c r="AL8" s="1412"/>
      <c r="AM8" s="2316" t="s">
        <v>407</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408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414</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415</v>
      </c>
      <c r="P22" s="1425"/>
      <c r="Q22" s="1434"/>
      <c r="R22" s="1434"/>
      <c r="S22" s="792"/>
      <c r="T22" s="1223" t="s">
        <v>416</v>
      </c>
      <c r="AA22" s="249" t="s">
        <v>417</v>
      </c>
      <c r="AC22" s="249" t="s">
        <v>418</v>
      </c>
      <c r="AD22" s="1223" t="s">
        <v>416</v>
      </c>
      <c r="AI22" s="249" t="s">
        <v>419</v>
      </c>
      <c r="AK22" s="249" t="s">
        <v>418</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420</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421</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422</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423</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424</v>
      </c>
      <c r="AD36" s="389"/>
      <c r="AE36" s="389"/>
      <c r="AF36" s="389"/>
      <c r="AG36" s="389"/>
      <c r="AH36" s="389"/>
      <c r="AI36" s="389"/>
      <c r="AJ36" s="389"/>
      <c r="AK36" s="341" t="s">
        <v>424</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218">
        <v>14</v>
      </c>
    </row>
    <row customHeight="1" ht="14.699999999999998">
      <c r="Q39" s="439"/>
      <c r="R39" s="439"/>
      <c r="S39" s="2336" t="s">
        <v>87</v>
      </c>
      <c r="T39" s="2272" t="s">
        <v>425</v>
      </c>
      <c r="U39" s="364"/>
      <c r="V39" s="2337" t="s">
        <v>426</v>
      </c>
      <c r="W39" s="2338"/>
      <c r="X39" s="2338"/>
      <c r="Y39" s="2338"/>
      <c r="Z39" s="2338"/>
      <c r="AA39" s="2338"/>
      <c r="AB39" s="2339"/>
      <c r="AC39" s="2340" t="s">
        <v>427</v>
      </c>
      <c r="AD39" s="2337" t="s">
        <v>426</v>
      </c>
      <c r="AE39" s="2338"/>
      <c r="AF39" s="2338"/>
      <c r="AG39" s="2338"/>
      <c r="AH39" s="2338"/>
      <c r="AI39" s="2338"/>
      <c r="AJ39" s="2339"/>
      <c r="AK39" s="2340" t="s">
        <v>428</v>
      </c>
      <c r="AL39" s="2343" t="s">
        <v>429</v>
      </c>
      <c r="AM39" s="2190"/>
      <c r="AS39" s="1218">
        <v>14</v>
      </c>
    </row>
    <row customHeight="1" ht="35.699999999999996">
      <c r="Q40" s="439"/>
      <c r="R40" s="439"/>
      <c r="S40" s="2336"/>
      <c r="T40" s="2272"/>
      <c r="U40" s="1094"/>
      <c r="V40" s="2323" t="s">
        <v>430</v>
      </c>
      <c r="W40" s="2346"/>
      <c r="X40" s="2325" t="s">
        <v>432</v>
      </c>
      <c r="Y40" s="2326"/>
      <c r="Z40" s="2325" t="s">
        <v>433</v>
      </c>
      <c r="AA40" s="2332"/>
      <c r="AB40" s="2326"/>
      <c r="AC40" s="2341"/>
      <c r="AD40" s="2323" t="s">
        <v>447</v>
      </c>
      <c r="AE40" s="2346"/>
      <c r="AF40" s="2325" t="s">
        <v>432</v>
      </c>
      <c r="AG40" s="2326"/>
      <c r="AH40" s="2325" t="s">
        <v>433</v>
      </c>
      <c r="AI40" s="2332"/>
      <c r="AJ40" s="2326"/>
      <c r="AK40" s="2341"/>
      <c r="AL40" s="2344"/>
      <c r="AM40" s="2190"/>
      <c r="AS40" s="1218">
        <v>34</v>
      </c>
    </row>
    <row customHeight="1" ht="35.699999999999996">
      <c r="A41" s="1433"/>
      <c r="B41" s="1433" t="s">
        <v>135</v>
      </c>
      <c r="C41" s="1433" t="s">
        <v>136</v>
      </c>
      <c r="D41" s="1433" t="s">
        <v>137</v>
      </c>
      <c r="E41" s="1427" t="s">
        <v>434</v>
      </c>
      <c r="F41" s="1427" t="s">
        <v>435</v>
      </c>
      <c r="G41" s="1427" t="s">
        <v>436</v>
      </c>
      <c r="H41" s="1427" t="s">
        <v>437</v>
      </c>
      <c r="I41" s="1427" t="s">
        <v>438</v>
      </c>
      <c r="J41" s="1427" t="s">
        <v>439</v>
      </c>
      <c r="K41" s="1427" t="s">
        <v>440</v>
      </c>
      <c r="L41" s="1427" t="s">
        <v>415</v>
      </c>
      <c r="Q41" s="439"/>
      <c r="R41" s="439"/>
      <c r="S41" s="2336"/>
      <c r="T41" s="2272"/>
      <c r="U41" s="365"/>
      <c r="V41" s="2324"/>
      <c r="W41" s="2347"/>
      <c r="X41" s="1285" t="s">
        <v>441</v>
      </c>
      <c r="Y41" s="1285" t="s">
        <v>442</v>
      </c>
      <c r="Z41" s="1401" t="s">
        <v>443</v>
      </c>
      <c r="AA41" s="2333" t="s">
        <v>444</v>
      </c>
      <c r="AB41" s="2334"/>
      <c r="AC41" s="2342"/>
      <c r="AD41" s="2324"/>
      <c r="AE41" s="2347"/>
      <c r="AF41" s="1285" t="s">
        <v>441</v>
      </c>
      <c r="AG41" s="1285" t="s">
        <v>442</v>
      </c>
      <c r="AH41" s="1401" t="s">
        <v>443</v>
      </c>
      <c r="AI41" s="2333" t="s">
        <v>444</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179</v>
      </c>
      <c r="B44" s="1426" t="s">
        <v>180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563"/>
      <c r="AP44" s="563" t="str">
        <f>IF(T44="","",T44)</f>
        <v>Территория действия тарифа</v>
      </c>
      <c r="AQ44" s="563"/>
      <c r="AR44" s="563"/>
      <c r="AS44" s="1218">
        <v>21</v>
      </c>
    </row>
    <row customHeight="1" ht="24">
      <c r="A45" s="1426" t="s">
        <v>179</v>
      </c>
      <c r="B45" s="1426" t="s">
        <v>180</v>
      </c>
      <c r="C45" s="1426" t="s">
        <v>181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563"/>
      <c r="AP45" s="563" t="str">
        <f>IF(T45="","",T45)</f>
        <v>Наименование системы теплоснабжения </v>
      </c>
      <c r="AQ45" s="563"/>
      <c r="AR45" s="563"/>
      <c r="AS45" s="1218">
        <v>23</v>
      </c>
    </row>
    <row customHeight="1" ht="22.049999999999997">
      <c r="A46" s="1426" t="s">
        <v>179</v>
      </c>
      <c r="B46" s="1426" t="s">
        <v>180</v>
      </c>
      <c r="C46" s="1426" t="s">
        <v>181</v>
      </c>
      <c r="D46" s="1426" t="s">
        <v>182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563"/>
      <c r="AP46" s="563" t="str">
        <f>IF(T46="","",T46)</f>
        <v>Источник тепловой энергии  </v>
      </c>
      <c r="AQ46" s="563"/>
      <c r="AR46" s="563"/>
      <c r="AS46" s="1218">
        <v>21</v>
      </c>
    </row>
    <row s="4026" customFormat="1" customHeight="1" ht="0">
      <c r="A47" s="1406" t="s">
        <v>179</v>
      </c>
      <c r="B47" s="1406" t="s">
        <v>180</v>
      </c>
      <c r="C47" s="1406" t="s">
        <v>181</v>
      </c>
      <c r="D47" s="1406" t="s">
        <v>182</v>
      </c>
      <c r="E47" s="2322"/>
      <c r="F47" s="2322"/>
      <c r="G47" s="2322"/>
      <c r="H47" s="2322"/>
      <c r="I47" s="2319" t="str">
        <f>S46&amp;".1"</f>
        <v>....1</v>
      </c>
      <c r="J47" s="1406"/>
      <c r="K47" s="1406"/>
      <c r="L47" s="1409" t="s">
        <v>400</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179</v>
      </c>
      <c r="B48" s="1426" t="s">
        <v>180</v>
      </c>
      <c r="C48" s="1426" t="s">
        <v>181</v>
      </c>
      <c r="D48" s="1426" t="s">
        <v>182</v>
      </c>
      <c r="E48" s="2322"/>
      <c r="F48" s="2322"/>
      <c r="G48" s="2322"/>
      <c r="H48" s="2322"/>
      <c r="I48" s="2349"/>
      <c r="J48" s="2319" t="str">
        <f>S46&amp;".1"</f>
        <v>....1</v>
      </c>
      <c r="K48" s="1426"/>
      <c r="L48" s="1427" t="s">
        <v>403</v>
      </c>
      <c r="P48" s="2320"/>
      <c r="Q48" s="2320">
        <v>1</v>
      </c>
      <c r="R48" s="420"/>
      <c r="S48" s="1399" t="str">
        <f>$J48</f>
        <v>....1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563"/>
      <c r="AP48" s="563" t="str">
        <f>IF(T48="","",T48)</f>
        <v>Группа потребителей</v>
      </c>
      <c r="AQ48" s="563"/>
      <c r="AR48" s="563"/>
      <c r="AS48" s="1218">
        <v>21</v>
      </c>
    </row>
    <row customHeight="1" ht="22.049999999999997">
      <c r="A49" s="1426" t="s">
        <v>179</v>
      </c>
      <c r="B49" s="1426" t="s">
        <v>180</v>
      </c>
      <c r="C49" s="1426" t="s">
        <v>181</v>
      </c>
      <c r="D49" s="1426" t="s">
        <v>182</v>
      </c>
      <c r="E49" s="2322"/>
      <c r="F49" s="2322"/>
      <c r="G49" s="2322"/>
      <c r="H49" s="2322"/>
      <c r="I49" s="2349"/>
      <c r="J49" s="2349"/>
      <c r="K49" s="2319" t="str">
        <f>J48&amp;".1"</f>
        <v>....1.1</v>
      </c>
      <c r="L49" s="1427" t="s">
        <v>406</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448</v>
      </c>
      <c r="AN49" s="574">
        <f>STRCHECKDATE(V50:AL50)</f>
      </c>
      <c r="AO49" s="563"/>
      <c r="AP49" s="563" t="str">
        <f>IF(T49="","",T49)</f>
        <v/>
      </c>
      <c r="AQ49" s="563"/>
      <c r="AR49" s="563"/>
      <c r="AS49" s="1218">
        <v>21</v>
      </c>
    </row>
    <row customHeight="1" ht="1.05">
      <c r="A50" s="1426" t="s">
        <v>179</v>
      </c>
      <c r="B50" s="1426" t="s">
        <v>180</v>
      </c>
      <c r="C50" s="1426" t="s">
        <v>181</v>
      </c>
      <c r="D50" s="1426" t="s">
        <v>182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179</v>
      </c>
      <c r="B51" s="1426" t="s">
        <v>180</v>
      </c>
      <c r="C51" s="1426" t="s">
        <v>181</v>
      </c>
      <c r="D51" s="1426" t="s">
        <v>182</v>
      </c>
      <c r="E51" s="2322"/>
      <c r="F51" s="2322"/>
      <c r="G51" s="2322"/>
      <c r="H51" s="2322"/>
      <c r="I51" s="2349"/>
      <c r="J51" s="2319"/>
      <c r="K51" s="1426"/>
      <c r="L51" s="1427"/>
      <c r="P51" s="2320"/>
      <c r="Q51" s="2320"/>
      <c r="R51" s="419"/>
      <c r="S51" s="1341"/>
      <c r="T51" s="350" t="s">
        <v>408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179</v>
      </c>
      <c r="B52" s="1426" t="s">
        <v>180</v>
      </c>
      <c r="C52" s="1426" t="s">
        <v>181</v>
      </c>
      <c r="D52" s="1426" t="s">
        <v>182</v>
      </c>
      <c r="E52" s="2322"/>
      <c r="F52" s="2322"/>
      <c r="G52" s="2322"/>
      <c r="H52" s="2322"/>
      <c r="I52" s="2319"/>
      <c r="J52" s="1426"/>
      <c r="K52" s="1426"/>
      <c r="L52" s="1427"/>
      <c r="P52" s="2320"/>
      <c r="Q52" s="1394"/>
      <c r="R52" s="419"/>
      <c r="S52" s="1341"/>
      <c r="T52" s="428" t="s">
        <v>409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179</v>
      </c>
      <c r="B53" s="1426" t="s">
        <v>180</v>
      </c>
      <c r="C53" s="1426" t="s">
        <v>181</v>
      </c>
      <c r="D53" s="1426" t="s">
        <v>182</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179</v>
      </c>
      <c r="B54" s="1406" t="s">
        <v>180</v>
      </c>
      <c r="C54" s="1406" t="s">
        <v>181</v>
      </c>
      <c r="D54" s="1377"/>
      <c r="E54" s="2322"/>
      <c r="F54" s="2322"/>
      <c r="G54" s="2321"/>
      <c r="H54" s="1377"/>
      <c r="I54" s="1377"/>
      <c r="J54" s="1377"/>
      <c r="K54" s="1377"/>
      <c r="L54" s="1402"/>
      <c r="M54" s="1378"/>
      <c r="N54" s="1378"/>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179</v>
      </c>
      <c r="B55" s="1406" t="s">
        <v>180</v>
      </c>
      <c r="C55" s="1377"/>
      <c r="D55" s="1377"/>
      <c r="E55" s="2322"/>
      <c r="F55" s="2321"/>
      <c r="G55" s="1377"/>
      <c r="H55" s="1377"/>
      <c r="I55" s="1377"/>
      <c r="J55" s="1377"/>
      <c r="K55" s="1377"/>
      <c r="L55" s="1402"/>
      <c r="M55" s="1384"/>
      <c r="N55" s="1384"/>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179</v>
      </c>
      <c r="B56" s="1406"/>
      <c r="C56" s="1406"/>
      <c r="D56" s="1406"/>
      <c r="E56" s="2321"/>
      <c r="F56" s="1406"/>
      <c r="G56" s="1406"/>
      <c r="H56" s="1406"/>
      <c r="I56" s="1406"/>
      <c r="J56" s="1406"/>
      <c r="K56" s="1406"/>
      <c r="L56" s="1409"/>
      <c r="M56" s="1384"/>
      <c r="N56" s="1384"/>
      <c r="O56" s="581"/>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C77D4-67E2-ADF4-8703-838820E2E9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393</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394</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395</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396</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397</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398</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399</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400</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403</v>
      </c>
      <c r="M7" s="600"/>
      <c r="N7" s="1429"/>
      <c r="P7" s="2320"/>
      <c r="Q7" s="2320">
        <v>1</v>
      </c>
      <c r="R7" s="420"/>
      <c r="S7" s="1399">
        <f>$J7</f>
      </c>
      <c r="T7" s="349" t="s">
        <v>404</v>
      </c>
      <c r="U7" s="363"/>
      <c r="V7" s="2308"/>
      <c r="W7" s="2309"/>
      <c r="X7" s="2309"/>
      <c r="Y7" s="2309"/>
      <c r="Z7" s="2309"/>
      <c r="AA7" s="2309"/>
      <c r="AB7" s="2309"/>
      <c r="AC7" s="2310"/>
      <c r="AD7" s="2308"/>
      <c r="AE7" s="2309"/>
      <c r="AF7" s="2309"/>
      <c r="AG7" s="2309"/>
      <c r="AH7" s="2309"/>
      <c r="AI7" s="2309"/>
      <c r="AJ7" s="2309"/>
      <c r="AK7" s="2309"/>
      <c r="AL7" s="2310"/>
      <c r="AM7" s="1321" t="s">
        <v>405</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406</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407</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408</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409</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411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412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413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414</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415</v>
      </c>
      <c r="P22" s="1425"/>
      <c r="Q22" s="1434"/>
      <c r="R22" s="1434"/>
      <c r="S22" s="792"/>
      <c r="T22" s="1223" t="s">
        <v>416</v>
      </c>
      <c r="AA22" s="249" t="s">
        <v>417</v>
      </c>
      <c r="AC22" s="249" t="s">
        <v>418</v>
      </c>
      <c r="AD22" s="1223" t="s">
        <v>416</v>
      </c>
      <c r="AI22" s="249" t="s">
        <v>419</v>
      </c>
      <c r="AK22" s="249" t="s">
        <v>418</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420</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421</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422</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25.5" hidden="1">
      <c r="A35" s="1431"/>
      <c r="B35" s="1431"/>
      <c r="C35" s="1431"/>
      <c r="D35" s="1431"/>
      <c r="E35" s="1431"/>
      <c r="F35" s="1431"/>
      <c r="G35" s="1431"/>
      <c r="H35" s="1431"/>
      <c r="I35" s="1431"/>
      <c r="J35" s="1431"/>
      <c r="K35" s="1431"/>
      <c r="L35" s="1432"/>
      <c r="M35" s="1431"/>
      <c r="N35" s="1431"/>
      <c r="O35" s="1431"/>
      <c r="S35" s="2313" t="s">
        <v>423</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424</v>
      </c>
      <c r="AD36" s="389"/>
      <c r="AE36" s="389"/>
      <c r="AF36" s="389"/>
      <c r="AG36" s="389"/>
      <c r="AH36" s="389"/>
      <c r="AI36" s="389"/>
      <c r="AJ36" s="389"/>
      <c r="AK36" s="341" t="s">
        <v>424</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297</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298</v>
      </c>
      <c r="AS38" s="1218">
        <v>14</v>
      </c>
    </row>
    <row customHeight="1" ht="14.699999999999998">
      <c r="Q39" s="439"/>
      <c r="R39" s="439"/>
      <c r="S39" s="2336" t="s">
        <v>87</v>
      </c>
      <c r="T39" s="2272" t="s">
        <v>425</v>
      </c>
      <c r="U39" s="364"/>
      <c r="V39" s="2337" t="s">
        <v>426</v>
      </c>
      <c r="W39" s="2338"/>
      <c r="X39" s="2338"/>
      <c r="Y39" s="2338"/>
      <c r="Z39" s="2338"/>
      <c r="AA39" s="2338"/>
      <c r="AB39" s="2339"/>
      <c r="AC39" s="2340" t="s">
        <v>427</v>
      </c>
      <c r="AD39" s="2337" t="s">
        <v>426</v>
      </c>
      <c r="AE39" s="2338"/>
      <c r="AF39" s="2338"/>
      <c r="AG39" s="2338"/>
      <c r="AH39" s="2338"/>
      <c r="AI39" s="2338"/>
      <c r="AJ39" s="2339"/>
      <c r="AK39" s="2340" t="s">
        <v>428</v>
      </c>
      <c r="AL39" s="2343" t="s">
        <v>429</v>
      </c>
      <c r="AM39" s="2190"/>
      <c r="AS39" s="1218">
        <v>14</v>
      </c>
    </row>
    <row customHeight="1" ht="35.699999999999996">
      <c r="Q40" s="439"/>
      <c r="R40" s="439"/>
      <c r="S40" s="2336"/>
      <c r="T40" s="2272"/>
      <c r="U40" s="1094"/>
      <c r="V40" s="2323" t="s">
        <v>430</v>
      </c>
      <c r="W40" s="2346"/>
      <c r="X40" s="2325" t="s">
        <v>432</v>
      </c>
      <c r="Y40" s="2326"/>
      <c r="Z40" s="2325" t="s">
        <v>433</v>
      </c>
      <c r="AA40" s="2332"/>
      <c r="AB40" s="2326"/>
      <c r="AC40" s="2341"/>
      <c r="AD40" s="2323" t="s">
        <v>447</v>
      </c>
      <c r="AE40" s="2346"/>
      <c r="AF40" s="2325" t="s">
        <v>432</v>
      </c>
      <c r="AG40" s="2326"/>
      <c r="AH40" s="2325" t="s">
        <v>433</v>
      </c>
      <c r="AI40" s="2332"/>
      <c r="AJ40" s="2326"/>
      <c r="AK40" s="2341"/>
      <c r="AL40" s="2344"/>
      <c r="AM40" s="2190"/>
      <c r="AS40" s="1218">
        <v>34</v>
      </c>
    </row>
    <row customHeight="1" ht="35.699999999999996">
      <c r="A41" s="1433"/>
      <c r="B41" s="1433" t="s">
        <v>135</v>
      </c>
      <c r="C41" s="1433" t="s">
        <v>136</v>
      </c>
      <c r="D41" s="1433" t="s">
        <v>137</v>
      </c>
      <c r="E41" s="1427" t="s">
        <v>434</v>
      </c>
      <c r="F41" s="1427" t="s">
        <v>435</v>
      </c>
      <c r="G41" s="1427" t="s">
        <v>436</v>
      </c>
      <c r="H41" s="1427" t="s">
        <v>437</v>
      </c>
      <c r="I41" s="1427" t="s">
        <v>438</v>
      </c>
      <c r="J41" s="1427" t="s">
        <v>439</v>
      </c>
      <c r="K41" s="1427" t="s">
        <v>440</v>
      </c>
      <c r="L41" s="1427" t="s">
        <v>415</v>
      </c>
      <c r="Q41" s="439"/>
      <c r="R41" s="439"/>
      <c r="S41" s="2336"/>
      <c r="T41" s="2272"/>
      <c r="U41" s="365"/>
      <c r="V41" s="2324"/>
      <c r="W41" s="2347"/>
      <c r="X41" s="1285" t="s">
        <v>441</v>
      </c>
      <c r="Y41" s="1285" t="s">
        <v>442</v>
      </c>
      <c r="Z41" s="1401" t="s">
        <v>443</v>
      </c>
      <c r="AA41" s="2333" t="s">
        <v>444</v>
      </c>
      <c r="AB41" s="2334"/>
      <c r="AC41" s="2342"/>
      <c r="AD41" s="2324"/>
      <c r="AE41" s="2347"/>
      <c r="AF41" s="1285" t="s">
        <v>441</v>
      </c>
      <c r="AG41" s="1285" t="s">
        <v>442</v>
      </c>
      <c r="AH41" s="1401" t="s">
        <v>443</v>
      </c>
      <c r="AI41" s="2333" t="s">
        <v>444</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185</v>
      </c>
      <c r="B44" s="1426" t="s">
        <v>186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394</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395</v>
      </c>
      <c r="AO44" s="563"/>
      <c r="AP44" s="563" t="str">
        <f>IF(T44="","",T44)</f>
        <v>Территория действия тарифа</v>
      </c>
      <c r="AQ44" s="563"/>
      <c r="AR44" s="563"/>
      <c r="AS44" s="1218">
        <v>21</v>
      </c>
    </row>
    <row customHeight="1" ht="24">
      <c r="A45" s="1426" t="s">
        <v>185</v>
      </c>
      <c r="B45" s="1426" t="s">
        <v>186</v>
      </c>
      <c r="C45" s="1426" t="s">
        <v>187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396</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397</v>
      </c>
      <c r="AO45" s="563"/>
      <c r="AP45" s="563" t="str">
        <f>IF(T45="","",T45)</f>
        <v>Наименование системы теплоснабжения </v>
      </c>
      <c r="AQ45" s="563"/>
      <c r="AR45" s="563"/>
      <c r="AS45" s="1218">
        <v>23</v>
      </c>
    </row>
    <row customHeight="1" ht="22.049999999999997">
      <c r="A46" s="1426" t="s">
        <v>185</v>
      </c>
      <c r="B46" s="1426" t="s">
        <v>186</v>
      </c>
      <c r="C46" s="1426" t="s">
        <v>187</v>
      </c>
      <c r="D46" s="1426" t="s">
        <v>188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398</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399</v>
      </c>
      <c r="AO46" s="563"/>
      <c r="AP46" s="563" t="str">
        <f>IF(T46="","",T46)</f>
        <v>Источник тепловой энергии  </v>
      </c>
      <c r="AQ46" s="563"/>
      <c r="AR46" s="563"/>
      <c r="AS46" s="1218">
        <v>21</v>
      </c>
    </row>
    <row s="4026" customFormat="1" customHeight="1" ht="0">
      <c r="A47" s="1406" t="s">
        <v>185</v>
      </c>
      <c r="B47" s="1406" t="s">
        <v>186</v>
      </c>
      <c r="C47" s="1406" t="s">
        <v>187</v>
      </c>
      <c r="D47" s="1406" t="s">
        <v>188</v>
      </c>
      <c r="E47" s="2322"/>
      <c r="F47" s="2322"/>
      <c r="G47" s="2322"/>
      <c r="H47" s="2322"/>
      <c r="I47" s="2319" t="str">
        <f>S46&amp;".1"</f>
        <v>....1</v>
      </c>
      <c r="J47" s="1406"/>
      <c r="K47" s="1406"/>
      <c r="L47" s="1409" t="s">
        <v>400</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185</v>
      </c>
      <c r="B48" s="1426" t="s">
        <v>186</v>
      </c>
      <c r="C48" s="1426" t="s">
        <v>187</v>
      </c>
      <c r="D48" s="1426" t="s">
        <v>188</v>
      </c>
      <c r="E48" s="2322"/>
      <c r="F48" s="2322"/>
      <c r="G48" s="2322"/>
      <c r="H48" s="2322"/>
      <c r="I48" s="2349"/>
      <c r="J48" s="2319" t="str">
        <f>S46&amp;".1"</f>
        <v>....1</v>
      </c>
      <c r="K48" s="1426"/>
      <c r="L48" s="1427" t="s">
        <v>403</v>
      </c>
      <c r="P48" s="2320"/>
      <c r="Q48" s="2320">
        <v>1</v>
      </c>
      <c r="R48" s="420"/>
      <c r="S48" s="1399" t="str">
        <f>$J48</f>
        <v>....1</v>
      </c>
      <c r="T48" s="349" t="s">
        <v>404</v>
      </c>
      <c r="U48" s="363"/>
      <c r="V48" s="2308"/>
      <c r="W48" s="2309"/>
      <c r="X48" s="2309"/>
      <c r="Y48" s="2309"/>
      <c r="Z48" s="2309"/>
      <c r="AA48" s="2309"/>
      <c r="AB48" s="2309"/>
      <c r="AC48" s="2310"/>
      <c r="AD48" s="2308"/>
      <c r="AE48" s="2309"/>
      <c r="AF48" s="2309"/>
      <c r="AG48" s="2309"/>
      <c r="AH48" s="2309"/>
      <c r="AI48" s="2309"/>
      <c r="AJ48" s="2309"/>
      <c r="AK48" s="2309"/>
      <c r="AL48" s="2310"/>
      <c r="AM48" s="1321" t="s">
        <v>405</v>
      </c>
      <c r="AO48" s="563"/>
      <c r="AP48" s="563" t="str">
        <f>IF(T48="","",T48)</f>
        <v>Группа потребителей</v>
      </c>
      <c r="AQ48" s="563"/>
      <c r="AR48" s="563"/>
      <c r="AS48" s="1218">
        <v>21</v>
      </c>
    </row>
    <row customHeight="1" ht="22.049999999999997">
      <c r="A49" s="1426" t="s">
        <v>185</v>
      </c>
      <c r="B49" s="1426" t="s">
        <v>186</v>
      </c>
      <c r="C49" s="1426" t="s">
        <v>187</v>
      </c>
      <c r="D49" s="1426" t="s">
        <v>188</v>
      </c>
      <c r="E49" s="2322"/>
      <c r="F49" s="2322"/>
      <c r="G49" s="2322"/>
      <c r="H49" s="2322"/>
      <c r="I49" s="2349"/>
      <c r="J49" s="2349"/>
      <c r="K49" s="2319" t="str">
        <f>J48&amp;".1"</f>
        <v>....1.1</v>
      </c>
      <c r="L49" s="1427" t="s">
        <v>406</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448</v>
      </c>
      <c r="AN49" s="574">
        <f>STRCHECKDATE(V50:AL50)</f>
      </c>
      <c r="AO49" s="563"/>
      <c r="AP49" s="563" t="str">
        <f>IF(T49="","",T49)</f>
        <v/>
      </c>
      <c r="AQ49" s="563"/>
      <c r="AR49" s="563"/>
      <c r="AS49" s="1218">
        <v>21</v>
      </c>
    </row>
    <row customHeight="1" ht="0">
      <c r="A50" s="1426" t="s">
        <v>185</v>
      </c>
      <c r="B50" s="1426" t="s">
        <v>186</v>
      </c>
      <c r="C50" s="1426" t="s">
        <v>187</v>
      </c>
      <c r="D50" s="1426" t="s">
        <v>188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185</v>
      </c>
      <c r="B51" s="1426" t="s">
        <v>186</v>
      </c>
      <c r="C51" s="1426" t="s">
        <v>187</v>
      </c>
      <c r="D51" s="1426" t="s">
        <v>188</v>
      </c>
      <c r="E51" s="2322"/>
      <c r="F51" s="2322"/>
      <c r="G51" s="2322"/>
      <c r="H51" s="2322"/>
      <c r="I51" s="2349"/>
      <c r="J51" s="2319"/>
      <c r="K51" s="1426"/>
      <c r="L51" s="1427"/>
      <c r="P51" s="2320"/>
      <c r="Q51" s="2320"/>
      <c r="R51" s="419"/>
      <c r="S51" s="1341"/>
      <c r="T51" s="350" t="s">
        <v>408</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185</v>
      </c>
      <c r="B52" s="1426" t="s">
        <v>186</v>
      </c>
      <c r="C52" s="1426" t="s">
        <v>187</v>
      </c>
      <c r="D52" s="1426" t="s">
        <v>188</v>
      </c>
      <c r="E52" s="2322"/>
      <c r="F52" s="2322"/>
      <c r="G52" s="2322"/>
      <c r="H52" s="2322"/>
      <c r="I52" s="2319"/>
      <c r="J52" s="1426"/>
      <c r="K52" s="1426"/>
      <c r="L52" s="1427"/>
      <c r="P52" s="2320"/>
      <c r="Q52" s="1394"/>
      <c r="R52" s="419"/>
      <c r="S52" s="1341"/>
      <c r="T52" s="428" t="s">
        <v>409</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185</v>
      </c>
      <c r="B53" s="1426" t="s">
        <v>186</v>
      </c>
      <c r="C53" s="1426" t="s">
        <v>187</v>
      </c>
      <c r="D53" s="1426" t="s">
        <v>188</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185</v>
      </c>
      <c r="B54" s="1406" t="s">
        <v>186</v>
      </c>
      <c r="C54" s="1406" t="s">
        <v>187</v>
      </c>
      <c r="D54" s="1377"/>
      <c r="E54" s="2322"/>
      <c r="F54" s="2322"/>
      <c r="G54" s="2321"/>
      <c r="H54" s="1377"/>
      <c r="I54" s="1377"/>
      <c r="J54" s="1377"/>
      <c r="K54" s="1377"/>
      <c r="L54" s="1402"/>
      <c r="M54" s="1378"/>
      <c r="N54" s="1378"/>
      <c r="P54" s="1379"/>
      <c r="Q54" s="1380"/>
      <c r="R54" s="1379"/>
      <c r="S54" s="1385"/>
      <c r="T54" s="1388" t="s">
        <v>411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185</v>
      </c>
      <c r="B55" s="1406" t="s">
        <v>186</v>
      </c>
      <c r="C55" s="1377"/>
      <c r="D55" s="1377"/>
      <c r="E55" s="2322"/>
      <c r="F55" s="2321"/>
      <c r="G55" s="1377"/>
      <c r="H55" s="1377"/>
      <c r="I55" s="1377"/>
      <c r="J55" s="1377"/>
      <c r="K55" s="1377"/>
      <c r="L55" s="1402"/>
      <c r="M55" s="1384"/>
      <c r="N55" s="1384"/>
      <c r="P55" s="1379"/>
      <c r="Q55" s="1380"/>
      <c r="R55" s="1379"/>
      <c r="S55" s="1385"/>
      <c r="T55" s="1388" t="s">
        <v>412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185</v>
      </c>
      <c r="B56" s="1406"/>
      <c r="C56" s="1406"/>
      <c r="D56" s="1406"/>
      <c r="E56" s="2321"/>
      <c r="F56" s="1406"/>
      <c r="G56" s="1406"/>
      <c r="H56" s="1406"/>
      <c r="I56" s="1406"/>
      <c r="J56" s="1406"/>
      <c r="K56" s="1406"/>
      <c r="L56" s="1409"/>
      <c r="M56" s="1384"/>
      <c r="N56" s="1384"/>
      <c r="O56" s="581"/>
      <c r="P56" s="443"/>
      <c r="Q56" s="1407"/>
      <c r="R56" s="443"/>
      <c r="S56" s="1385"/>
      <c r="T56" s="1388" t="s">
        <v>413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445</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DE083-1DB8-5597-C856-173F832D95D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123</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393</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394</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395</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396</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397</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398</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399</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400</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403</v>
      </c>
      <c r="N7" s="572"/>
      <c r="O7" s="390"/>
      <c r="Q7" s="2320"/>
      <c r="R7" s="2320">
        <v>1</v>
      </c>
      <c r="S7" s="581"/>
      <c r="T7" s="420"/>
      <c r="U7" s="1399">
        <f>$J7</f>
      </c>
      <c r="V7" s="349" t="s">
        <v>404</v>
      </c>
      <c r="W7" s="363"/>
      <c r="X7" s="2308"/>
      <c r="Y7" s="2309"/>
      <c r="Z7" s="2309"/>
      <c r="AA7" s="2309"/>
      <c r="AB7" s="2309"/>
      <c r="AC7" s="2298"/>
      <c r="AD7" s="2298"/>
      <c r="AE7" s="2298"/>
      <c r="AF7" s="2371"/>
      <c r="AG7" s="2308"/>
      <c r="AH7" s="2309"/>
      <c r="AI7" s="2309"/>
      <c r="AJ7" s="2309"/>
      <c r="AK7" s="2309"/>
      <c r="AL7" s="2309"/>
      <c r="AM7" s="2309"/>
      <c r="AN7" s="2309"/>
      <c r="AO7" s="2309"/>
      <c r="AP7" s="2310"/>
      <c r="AQ7" s="1321" t="s">
        <v>405</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406</v>
      </c>
      <c r="N8" s="572"/>
      <c r="O8" s="390"/>
      <c r="P8" s="390"/>
      <c r="Q8" s="2320"/>
      <c r="R8" s="2320"/>
      <c r="S8" s="2320">
        <v>1</v>
      </c>
      <c r="T8" s="420"/>
      <c r="U8" s="1399">
        <f>$K8</f>
      </c>
      <c r="V8" s="1410"/>
      <c r="W8" s="363"/>
      <c r="X8" s="814"/>
      <c r="Y8" s="814"/>
      <c r="Z8" s="814"/>
      <c r="AA8" s="814"/>
      <c r="AB8" s="1468"/>
      <c r="AC8" s="2328"/>
      <c r="AD8" s="2170" t="s">
        <v>65</v>
      </c>
      <c r="AE8" s="2328"/>
      <c r="AF8" s="2170" t="s">
        <v>65</v>
      </c>
      <c r="AG8" s="1470"/>
      <c r="AH8" s="814"/>
      <c r="AI8" s="814"/>
      <c r="AJ8" s="814"/>
      <c r="AK8" s="1320"/>
      <c r="AL8" s="2328"/>
      <c r="AM8" s="2170" t="s">
        <v>65</v>
      </c>
      <c r="AN8" s="2328"/>
      <c r="AO8" s="2170" t="s">
        <v>65</v>
      </c>
      <c r="AP8" s="388"/>
      <c r="AQ8" s="1370" t="s">
        <v>449</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450</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451</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408</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409</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411</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412</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413</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65</v>
      </c>
      <c r="AN19" s="2330"/>
      <c r="AO19" s="2331" t="s">
        <v>65</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414</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415</v>
      </c>
      <c r="Q26" s="1425"/>
      <c r="R26" s="1434"/>
      <c r="S26" s="1434"/>
      <c r="T26" s="1434"/>
      <c r="U26" s="792"/>
      <c r="V26" s="1223" t="s">
        <v>416</v>
      </c>
      <c r="AD26" s="249" t="s">
        <v>417</v>
      </c>
      <c r="AF26" s="249" t="s">
        <v>418</v>
      </c>
      <c r="AG26" s="1223" t="s">
        <v>416</v>
      </c>
      <c r="AM26" s="249" t="s">
        <v>419</v>
      </c>
      <c r="AO26" s="249" t="s">
        <v>418</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"Уренгойская ГРЭС" АО "Интер РАО - Электрогенерация"</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420</v>
      </c>
      <c r="V34" s="2313"/>
      <c r="W34" s="1435"/>
      <c r="X34" s="2327" t="str">
        <f>IF(TITLE_DATE_PR_CHANGE="",IF(TITLE_DATE_PR="","",TITLE_DATE_PR),TITLE_DATE_PR_CHANGE)</f>
        <v/>
      </c>
      <c r="Y34" s="2327"/>
      <c r="Z34" s="2327"/>
      <c r="AA34" s="2327"/>
      <c r="AB34" s="2327"/>
      <c r="AC34" s="2327"/>
      <c r="AD34" s="2327"/>
      <c r="AE34" s="2327"/>
      <c r="AF34" s="389"/>
      <c r="AG34" s="2327" t="str">
        <f>IF(TITLE_DATE_PR_CHANGE="",IF(TITLE_DATE_PR="","",TITLE_DATE_PR),TITLE_DATE_PR_CHANGE)</f>
        <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421</v>
      </c>
      <c r="V35" s="2313"/>
      <c r="W35" s="1435"/>
      <c r="X35" s="2314" t="str">
        <f>IF(TITLE_NUMBER_PR_CHANGE="",IF(TITLE_NUMBER_PR="","",TITLE_NUMBER_PR),TITLE_NUMBER_PR_CHANGE)</f>
        <v/>
      </c>
      <c r="Y35" s="2314"/>
      <c r="Z35" s="2314"/>
      <c r="AA35" s="2314"/>
      <c r="AB35" s="2314"/>
      <c r="AC35" s="2314"/>
      <c r="AD35" s="2314"/>
      <c r="AE35" s="2314"/>
      <c r="AF35" s="389"/>
      <c r="AG35" s="2314" t="str">
        <f>IF(TITLE_NUMBER_PR_CHANGE="",IF(TITLE_NUMBER_PR="","",TITLE_NUMBER_PR),TITLE_NUMBER_PR_CHANGE)</f>
        <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hidden="1">
      <c r="A38" s="1311"/>
      <c r="B38" s="1311"/>
      <c r="C38" s="1311"/>
      <c r="D38" s="1311"/>
      <c r="E38" s="1311"/>
      <c r="F38" s="1311"/>
      <c r="G38" s="1311"/>
      <c r="H38" s="1311"/>
      <c r="I38" s="1311"/>
      <c r="J38" s="1311"/>
      <c r="K38" s="1311"/>
      <c r="L38" s="1311"/>
      <c r="M38" s="1443"/>
      <c r="N38" s="1311"/>
      <c r="O38" s="1311"/>
      <c r="P38" s="1311"/>
      <c r="U38" s="2313" t="s">
        <v>422</v>
      </c>
      <c r="V38" s="2313"/>
      <c r="W38" s="1435"/>
      <c r="X38" s="2327" t="str">
        <f>IF(TITLE_DATE_PR_CHANGE="",IF(TITLE_DATE_PR="","",TITLE_DATE_PR),TITLE_DATE_PR_CHANGE)</f>
        <v/>
      </c>
      <c r="Y38" s="2327"/>
      <c r="Z38" s="2327"/>
      <c r="AA38" s="2327"/>
      <c r="AB38" s="2327"/>
      <c r="AC38" s="2327"/>
      <c r="AD38" s="2327"/>
      <c r="AE38" s="2327"/>
      <c r="AF38" s="389"/>
      <c r="AG38" s="2327" t="str">
        <f>IF(TITLE_DATE_PR_CHANGE="",IF(TITLE_DATE_PR="","",TITLE_DATE_PR),TITLE_DATE_PR_CHANGE)</f>
        <v/>
      </c>
      <c r="AH38" s="2327"/>
      <c r="AI38" s="2327"/>
      <c r="AJ38" s="2327"/>
      <c r="AK38" s="2327"/>
      <c r="AL38" s="2327"/>
      <c r="AM38" s="2327"/>
      <c r="AN38" s="2327"/>
      <c r="AO38" s="389"/>
      <c r="AP38" s="389"/>
      <c r="AQ38" s="343"/>
      <c r="AR38" s="431"/>
      <c r="AS38" s="431"/>
      <c r="AT38" s="431"/>
      <c r="AU38" s="431"/>
      <c r="AV38" s="431"/>
      <c r="AW38" s="481">
        <v>0</v>
      </c>
    </row>
    <row s="5060" customFormat="1" customHeight="1" ht="18.75" hidden="1">
      <c r="A39" s="1311"/>
      <c r="B39" s="1311"/>
      <c r="C39" s="1311"/>
      <c r="D39" s="1311"/>
      <c r="E39" s="1311"/>
      <c r="F39" s="1311"/>
      <c r="G39" s="1311"/>
      <c r="H39" s="1311"/>
      <c r="I39" s="1311"/>
      <c r="J39" s="1311"/>
      <c r="K39" s="1311"/>
      <c r="L39" s="1311"/>
      <c r="M39" s="1443"/>
      <c r="N39" s="1311"/>
      <c r="O39" s="1311"/>
      <c r="P39" s="1311"/>
      <c r="U39" s="2313" t="s">
        <v>423</v>
      </c>
      <c r="V39" s="2313"/>
      <c r="W39" s="1435"/>
      <c r="X39" s="2314" t="str">
        <f>IF(TITLE_NUMBER_PR_CHANGE="",IF(TITLE_NUMBER_PR="","",TITLE_NUMBER_PR),TITLE_NUMBER_PR_CHANGE)</f>
        <v/>
      </c>
      <c r="Y39" s="2314"/>
      <c r="Z39" s="2314"/>
      <c r="AA39" s="2314"/>
      <c r="AB39" s="2314"/>
      <c r="AC39" s="2314"/>
      <c r="AD39" s="2314"/>
      <c r="AE39" s="2314"/>
      <c r="AF39" s="389"/>
      <c r="AG39" s="2314" t="str">
        <f>IF(TITLE_NUMBER_PR_CHANGE="",IF(TITLE_NUMBER_PR="","",TITLE_NUMBER_PR),TITLE_NUMBER_PR_CHANGE)</f>
        <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424</v>
      </c>
      <c r="AG40" s="389"/>
      <c r="AH40" s="389"/>
      <c r="AI40" s="389"/>
      <c r="AJ40" s="389"/>
      <c r="AK40" s="389"/>
      <c r="AL40" s="389"/>
      <c r="AM40" s="389"/>
      <c r="AN40" s="389"/>
      <c r="AO40" s="341" t="s">
        <v>424</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297</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298</v>
      </c>
      <c r="AW42" s="1218">
        <v>14</v>
      </c>
    </row>
    <row customHeight="1" ht="14.699999999999998">
      <c r="R43" s="439"/>
      <c r="S43" s="439"/>
      <c r="T43" s="439"/>
      <c r="U43" s="2336" t="s">
        <v>87</v>
      </c>
      <c r="V43" s="2272" t="s">
        <v>425</v>
      </c>
      <c r="W43" s="364"/>
      <c r="X43" s="2337" t="s">
        <v>426</v>
      </c>
      <c r="Y43" s="2354"/>
      <c r="Z43" s="2354"/>
      <c r="AA43" s="2354"/>
      <c r="AB43" s="2354"/>
      <c r="AC43" s="2338"/>
      <c r="AD43" s="2338"/>
      <c r="AE43" s="2339"/>
      <c r="AF43" s="2340" t="s">
        <v>427</v>
      </c>
      <c r="AG43" s="2337" t="s">
        <v>426</v>
      </c>
      <c r="AH43" s="2354"/>
      <c r="AI43" s="2354"/>
      <c r="AJ43" s="2354"/>
      <c r="AK43" s="2354"/>
      <c r="AL43" s="2338"/>
      <c r="AM43" s="2338"/>
      <c r="AN43" s="2339"/>
      <c r="AO43" s="2340" t="s">
        <v>428</v>
      </c>
      <c r="AP43" s="2343" t="s">
        <v>429</v>
      </c>
      <c r="AQ43" s="2190"/>
      <c r="AW43" s="1218">
        <v>14</v>
      </c>
    </row>
    <row customHeight="1" ht="35.699999999999996">
      <c r="R44" s="439"/>
      <c r="S44" s="439"/>
      <c r="T44" s="439"/>
      <c r="U44" s="2336"/>
      <c r="V44" s="2272"/>
      <c r="W44" s="1094"/>
      <c r="X44" s="2357" t="s">
        <v>452</v>
      </c>
      <c r="Y44" s="2375" t="s">
        <v>453</v>
      </c>
      <c r="Z44" s="2375"/>
      <c r="AA44" s="2375"/>
      <c r="AB44" s="2375"/>
      <c r="AC44" s="2357" t="s">
        <v>433</v>
      </c>
      <c r="AD44" s="2674"/>
      <c r="AE44" s="2377"/>
      <c r="AF44" s="2341"/>
      <c r="AG44" s="2357" t="s">
        <v>452</v>
      </c>
      <c r="AH44" s="2375" t="s">
        <v>453</v>
      </c>
      <c r="AI44" s="2375"/>
      <c r="AJ44" s="2375"/>
      <c r="AK44" s="2375"/>
      <c r="AL44" s="2357" t="s">
        <v>433</v>
      </c>
      <c r="AM44" s="2674"/>
      <c r="AN44" s="2377"/>
      <c r="AO44" s="2341"/>
      <c r="AP44" s="2344"/>
      <c r="AQ44" s="2190"/>
      <c r="AW44" s="1218">
        <v>34</v>
      </c>
    </row>
    <row customHeight="1" ht="14.699999999999998">
      <c r="R45" s="439"/>
      <c r="S45" s="439"/>
      <c r="T45" s="439"/>
      <c r="U45" s="2336"/>
      <c r="V45" s="2272"/>
      <c r="W45" s="1094"/>
      <c r="X45" s="2388"/>
      <c r="Y45" s="2380" t="s">
        <v>454</v>
      </c>
      <c r="Z45" s="2333" t="s">
        <v>455</v>
      </c>
      <c r="AA45" s="2383"/>
      <c r="AB45" s="2334"/>
      <c r="AC45" s="2358"/>
      <c r="AD45" s="2675"/>
      <c r="AE45" s="2379"/>
      <c r="AF45" s="2341"/>
      <c r="AG45" s="2388"/>
      <c r="AH45" s="2380" t="s">
        <v>454</v>
      </c>
      <c r="AI45" s="2333" t="s">
        <v>455</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456</v>
      </c>
      <c r="AA46" s="2333" t="s">
        <v>457</v>
      </c>
      <c r="AB46" s="2334"/>
      <c r="AC46" s="2380" t="s">
        <v>443</v>
      </c>
      <c r="AD46" s="2384" t="s">
        <v>444</v>
      </c>
      <c r="AE46" s="2385"/>
      <c r="AF46" s="2341"/>
      <c r="AG46" s="2388"/>
      <c r="AH46" s="2381"/>
      <c r="AI46" s="2380" t="s">
        <v>456</v>
      </c>
      <c r="AJ46" s="2333" t="s">
        <v>457</v>
      </c>
      <c r="AK46" s="2334"/>
      <c r="AL46" s="2380" t="s">
        <v>443</v>
      </c>
      <c r="AM46" s="2384" t="s">
        <v>444</v>
      </c>
      <c r="AN46" s="2385"/>
      <c r="AO46" s="2341"/>
      <c r="AP46" s="2344"/>
      <c r="AQ46" s="2190"/>
      <c r="AW46" s="1218">
        <v>26</v>
      </c>
    </row>
    <row customHeight="1" ht="65.25">
      <c r="A47" s="1322"/>
      <c r="B47" s="1322" t="s">
        <v>135</v>
      </c>
      <c r="C47" s="1322" t="s">
        <v>136</v>
      </c>
      <c r="D47" s="1322" t="s">
        <v>137</v>
      </c>
      <c r="E47" s="1373" t="s">
        <v>434</v>
      </c>
      <c r="F47" s="1373" t="s">
        <v>435</v>
      </c>
      <c r="G47" s="1373" t="s">
        <v>436</v>
      </c>
      <c r="H47" s="1373" t="s">
        <v>437</v>
      </c>
      <c r="I47" s="1373" t="s">
        <v>438</v>
      </c>
      <c r="J47" s="1373" t="s">
        <v>439</v>
      </c>
      <c r="K47" s="1373" t="s">
        <v>440</v>
      </c>
      <c r="L47" s="1373" t="s">
        <v>458</v>
      </c>
      <c r="M47" s="1373" t="s">
        <v>415</v>
      </c>
      <c r="R47" s="439"/>
      <c r="S47" s="439"/>
      <c r="T47" s="439"/>
      <c r="U47" s="2336"/>
      <c r="V47" s="2272"/>
      <c r="W47" s="365"/>
      <c r="X47" s="2358"/>
      <c r="Y47" s="2382"/>
      <c r="Z47" s="2382"/>
      <c r="AA47" s="1285" t="s">
        <v>459</v>
      </c>
      <c r="AB47" s="1285" t="s">
        <v>460</v>
      </c>
      <c r="AC47" s="2382"/>
      <c r="AD47" s="2386"/>
      <c r="AE47" s="2387"/>
      <c r="AF47" s="2342"/>
      <c r="AG47" s="2358"/>
      <c r="AH47" s="2382"/>
      <c r="AI47" s="2382"/>
      <c r="AJ47" s="1285" t="s">
        <v>459</v>
      </c>
      <c r="AK47" s="1285" t="s">
        <v>460</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108</v>
      </c>
      <c r="V48" s="1318" t="s">
        <v>109</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173</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123</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173</v>
      </c>
      <c r="B50" s="1330" t="s">
        <v>174</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394</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395</v>
      </c>
      <c r="AS50" s="563"/>
      <c r="AT50" s="563" t="str">
        <f>IF(V50="","",V50)</f>
        <v>Территория действия тарифа</v>
      </c>
      <c r="AU50" s="563"/>
      <c r="AV50" s="563"/>
      <c r="AW50" s="1218">
        <v>21</v>
      </c>
    </row>
    <row customHeight="1" ht="24">
      <c r="A51" s="1330" t="s">
        <v>173</v>
      </c>
      <c r="B51" s="1330" t="s">
        <v>174</v>
      </c>
      <c r="C51" s="1330" t="s">
        <v>175</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396</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397</v>
      </c>
      <c r="AS51" s="563"/>
      <c r="AT51" s="563" t="str">
        <f>IF(V51="","",V51)</f>
        <v>Наименование системы теплоснабжения </v>
      </c>
      <c r="AU51" s="563"/>
      <c r="AV51" s="563"/>
      <c r="AW51" s="1218">
        <v>23</v>
      </c>
    </row>
    <row customHeight="1" ht="22.049999999999997">
      <c r="A52" s="1330" t="s">
        <v>173</v>
      </c>
      <c r="B52" s="1330" t="s">
        <v>174</v>
      </c>
      <c r="C52" s="1330" t="s">
        <v>175</v>
      </c>
      <c r="D52" s="1330" t="s">
        <v>176</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398</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399</v>
      </c>
      <c r="AS52" s="563"/>
      <c r="AT52" s="563" t="str">
        <f>IF(V52="","",V52)</f>
        <v>Источник тепловой энергии  </v>
      </c>
      <c r="AU52" s="563"/>
      <c r="AV52" s="563"/>
      <c r="AW52" s="1218">
        <v>21</v>
      </c>
    </row>
    <row s="4026" customFormat="1" customHeight="1" ht="0">
      <c r="A53" s="1438" t="s">
        <v>173</v>
      </c>
      <c r="B53" s="1438" t="s">
        <v>174</v>
      </c>
      <c r="C53" s="1438" t="s">
        <v>175</v>
      </c>
      <c r="D53" s="1438" t="s">
        <v>176</v>
      </c>
      <c r="E53" s="2353"/>
      <c r="F53" s="2353"/>
      <c r="G53" s="2353"/>
      <c r="H53" s="2374"/>
      <c r="I53" s="2190" t="str">
        <f>U52&amp;".1"</f>
        <v>....1</v>
      </c>
      <c r="J53" s="1438"/>
      <c r="K53" s="1438"/>
      <c r="L53" s="1438"/>
      <c r="M53" s="1444" t="s">
        <v>400</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173</v>
      </c>
      <c r="B54" s="1330" t="s">
        <v>174</v>
      </c>
      <c r="C54" s="1330" t="s">
        <v>175</v>
      </c>
      <c r="D54" s="1330" t="s">
        <v>176</v>
      </c>
      <c r="E54" s="2353"/>
      <c r="F54" s="2353"/>
      <c r="G54" s="2353"/>
      <c r="H54" s="2374"/>
      <c r="I54" s="2164"/>
      <c r="J54" s="2190" t="str">
        <f>I53&amp;".1"</f>
        <v>....1.1</v>
      </c>
      <c r="K54" s="1330"/>
      <c r="L54" s="1330"/>
      <c r="M54" s="1373" t="s">
        <v>403</v>
      </c>
      <c r="Q54" s="2320"/>
      <c r="R54" s="2320">
        <v>1</v>
      </c>
      <c r="S54" s="581"/>
      <c r="T54" s="420"/>
      <c r="U54" s="1399" t="str">
        <f>$J54</f>
        <v>....1.1</v>
      </c>
      <c r="V54" s="349" t="s">
        <v>404</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405</v>
      </c>
      <c r="AS54" s="563"/>
      <c r="AT54" s="563" t="str">
        <f>IF(V54="","",V54)</f>
        <v>Группа потребителей</v>
      </c>
      <c r="AU54" s="563"/>
      <c r="AV54" s="563"/>
      <c r="AW54" s="1218">
        <v>21</v>
      </c>
    </row>
    <row customHeight="1" ht="22.049999999999997">
      <c r="A55" s="1330" t="s">
        <v>173</v>
      </c>
      <c r="B55" s="1330" t="s">
        <v>174</v>
      </c>
      <c r="C55" s="1330" t="s">
        <v>175</v>
      </c>
      <c r="D55" s="1330" t="s">
        <v>176</v>
      </c>
      <c r="E55" s="2353"/>
      <c r="F55" s="2353"/>
      <c r="G55" s="2353"/>
      <c r="H55" s="2374"/>
      <c r="I55" s="2164"/>
      <c r="J55" s="2164"/>
      <c r="K55" s="2190" t="str">
        <f>J54&amp;".1"</f>
        <v>....1.1.1</v>
      </c>
      <c r="L55" s="202"/>
      <c r="M55" s="1373" t="s">
        <v>406</v>
      </c>
      <c r="Q55" s="2320"/>
      <c r="R55" s="2320"/>
      <c r="S55" s="581">
        <v>1</v>
      </c>
      <c r="T55" s="420"/>
      <c r="U55" s="1399" t="str">
        <f>$K55</f>
        <v>....1.1.1</v>
      </c>
      <c r="V55" s="1410"/>
      <c r="W55" s="363"/>
      <c r="X55" s="814"/>
      <c r="Y55" s="814"/>
      <c r="Z55" s="814"/>
      <c r="AA55" s="814"/>
      <c r="AB55" s="1468"/>
      <c r="AC55" s="2328"/>
      <c r="AD55" s="2170" t="s">
        <v>65</v>
      </c>
      <c r="AE55" s="2328"/>
      <c r="AF55" s="2170" t="s">
        <v>65</v>
      </c>
      <c r="AG55" s="1470"/>
      <c r="AH55" s="814"/>
      <c r="AI55" s="814"/>
      <c r="AJ55" s="814"/>
      <c r="AK55" s="1320"/>
      <c r="AL55" s="2328"/>
      <c r="AM55" s="2170" t="s">
        <v>65</v>
      </c>
      <c r="AN55" s="2328"/>
      <c r="AO55" s="2170" t="s">
        <v>65</v>
      </c>
      <c r="AP55" s="1411"/>
      <c r="AQ55" s="1370" t="s">
        <v>449</v>
      </c>
      <c r="AR55" s="574">
        <f>STRCHECKDATE(X57:AP57)</f>
      </c>
      <c r="AS55" s="563"/>
      <c r="AT55" s="563" t="str">
        <f>IF(V55="","",V55)</f>
        <v/>
      </c>
      <c r="AU55" s="563"/>
      <c r="AV55" s="563"/>
      <c r="AW55" s="1218">
        <v>21</v>
      </c>
    </row>
    <row customHeight="1" ht="11.549999999999999">
      <c r="A56" s="1330" t="s">
        <v>173</v>
      </c>
      <c r="B56" s="1330" t="s">
        <v>174</v>
      </c>
      <c r="C56" s="1330" t="s">
        <v>175</v>
      </c>
      <c r="D56" s="1330" t="s">
        <v>176</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450</v>
      </c>
      <c r="AR56" s="574">
        <f>STRCHECKDATE(X58:AP58)</f>
      </c>
      <c r="AS56" s="563"/>
      <c r="AT56" s="563" t="str">
        <f>IF(V56="","",V56)</f>
        <v/>
      </c>
      <c r="AU56" s="563"/>
      <c r="AV56" s="563"/>
      <c r="AW56" s="1218">
        <v>11</v>
      </c>
    </row>
    <row customHeight="1" ht="0">
      <c r="A57" s="1330" t="s">
        <v>173</v>
      </c>
      <c r="B57" s="1330" t="s">
        <v>174</v>
      </c>
      <c r="C57" s="1330" t="s">
        <v>175</v>
      </c>
      <c r="D57" s="1330" t="s">
        <v>176</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173</v>
      </c>
      <c r="B58" s="1330" t="s">
        <v>174</v>
      </c>
      <c r="C58" s="1330" t="s">
        <v>175</v>
      </c>
      <c r="D58" s="1330" t="s">
        <v>176</v>
      </c>
      <c r="E58" s="2353"/>
      <c r="F58" s="2353"/>
      <c r="G58" s="2353"/>
      <c r="H58" s="2374"/>
      <c r="I58" s="2164"/>
      <c r="J58" s="2164"/>
      <c r="K58" s="2190"/>
      <c r="L58" s="1330"/>
      <c r="M58" s="1373"/>
      <c r="Q58" s="2320"/>
      <c r="R58" s="2320"/>
      <c r="S58" s="1394"/>
      <c r="T58" s="419"/>
      <c r="U58" s="1341"/>
      <c r="V58" s="351" t="s">
        <v>451</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173</v>
      </c>
      <c r="B59" s="1330" t="s">
        <v>174</v>
      </c>
      <c r="C59" s="1330" t="s">
        <v>175</v>
      </c>
      <c r="D59" s="1330" t="s">
        <v>176</v>
      </c>
      <c r="E59" s="2353"/>
      <c r="F59" s="2353"/>
      <c r="G59" s="2353"/>
      <c r="H59" s="2374"/>
      <c r="I59" s="2164"/>
      <c r="J59" s="2190"/>
      <c r="K59" s="1330"/>
      <c r="L59" s="1330"/>
      <c r="M59" s="1373"/>
      <c r="Q59" s="2320"/>
      <c r="R59" s="2320"/>
      <c r="S59" s="1394"/>
      <c r="T59" s="419"/>
      <c r="U59" s="1341"/>
      <c r="V59" s="350" t="s">
        <v>408</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173</v>
      </c>
      <c r="B60" s="1330" t="s">
        <v>174</v>
      </c>
      <c r="C60" s="1330" t="s">
        <v>175</v>
      </c>
      <c r="D60" s="1330" t="s">
        <v>176</v>
      </c>
      <c r="E60" s="2353"/>
      <c r="F60" s="2353"/>
      <c r="G60" s="2353"/>
      <c r="H60" s="2374"/>
      <c r="I60" s="2190"/>
      <c r="J60" s="1330"/>
      <c r="K60" s="1330"/>
      <c r="L60" s="1330"/>
      <c r="M60" s="1373"/>
      <c r="Q60" s="2320"/>
      <c r="R60" s="1394"/>
      <c r="S60" s="1394"/>
      <c r="T60" s="419"/>
      <c r="U60" s="1341"/>
      <c r="V60" s="428" t="s">
        <v>409</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173</v>
      </c>
      <c r="B61" s="1330" t="s">
        <v>174</v>
      </c>
      <c r="C61" s="1330" t="s">
        <v>175</v>
      </c>
      <c r="D61" s="1330" t="s">
        <v>176</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173</v>
      </c>
      <c r="B62" s="1438" t="s">
        <v>174</v>
      </c>
      <c r="C62" s="1438" t="s">
        <v>175</v>
      </c>
      <c r="D62" s="1437"/>
      <c r="E62" s="2353"/>
      <c r="F62" s="2353"/>
      <c r="G62" s="2352"/>
      <c r="H62" s="1437"/>
      <c r="I62" s="1437"/>
      <c r="J62" s="1437"/>
      <c r="K62" s="1437"/>
      <c r="L62" s="1437"/>
      <c r="M62" s="1440"/>
      <c r="N62" s="1441"/>
      <c r="O62" s="1441"/>
      <c r="P62" s="414"/>
      <c r="Q62" s="1379"/>
      <c r="R62" s="1380"/>
      <c r="S62" s="1379"/>
      <c r="T62" s="1379"/>
      <c r="U62" s="1385"/>
      <c r="V62" s="1388" t="s">
        <v>411</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173</v>
      </c>
      <c r="B63" s="1438" t="s">
        <v>174</v>
      </c>
      <c r="C63" s="1437"/>
      <c r="D63" s="1437"/>
      <c r="E63" s="2353"/>
      <c r="F63" s="2352"/>
      <c r="G63" s="1437"/>
      <c r="H63" s="1437"/>
      <c r="I63" s="1437"/>
      <c r="J63" s="1437"/>
      <c r="K63" s="1437"/>
      <c r="L63" s="1437"/>
      <c r="M63" s="1440"/>
      <c r="N63" s="1442"/>
      <c r="O63" s="1442"/>
      <c r="P63" s="414"/>
      <c r="Q63" s="1379"/>
      <c r="R63" s="1380"/>
      <c r="S63" s="1379"/>
      <c r="T63" s="1379"/>
      <c r="U63" s="1385"/>
      <c r="V63" s="1388" t="s">
        <v>412</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173</v>
      </c>
      <c r="B64" s="1438"/>
      <c r="C64" s="1438"/>
      <c r="D64" s="1438"/>
      <c r="E64" s="2352"/>
      <c r="F64" s="1438"/>
      <c r="G64" s="1438"/>
      <c r="H64" s="1438"/>
      <c r="I64" s="1438"/>
      <c r="J64" s="1438"/>
      <c r="K64" s="1438"/>
      <c r="L64" s="1438"/>
      <c r="M64" s="1444"/>
      <c r="N64" s="1442"/>
      <c r="O64" s="1442"/>
      <c r="P64" s="414"/>
      <c r="Q64" s="443"/>
      <c r="R64" s="1407"/>
      <c r="S64" s="443"/>
      <c r="T64" s="443"/>
      <c r="U64" s="1385"/>
      <c r="V64" s="1388" t="s">
        <v>413</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445</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81</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65A7FC-434C-06E5-0E91-8DDDFAEF2AB2}"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PP108.OPEN.INFO.QUARTER.VOTV.EIAS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hidden="1">
      <c r="A11" s="2161" t="s">
        <v>20</v>
      </c>
      <c r="D11" s="138"/>
      <c r="E11" s="1228" t="s">
        <v>21</v>
      </c>
      <c r="F11" s="1795" t="s">
        <v>22</v>
      </c>
      <c r="G11" s="140"/>
      <c r="H11" s="836" t="s">
        <v>23</v>
      </c>
      <c r="J11" s="939" t="s">
        <v>24</v>
      </c>
      <c r="Q11" s="137">
        <v>0</v>
      </c>
    </row>
    <row customHeight="1" ht="22.5" hidden="1">
      <c r="A12" s="2161"/>
      <c r="D12" s="138"/>
      <c r="E12" s="1228" t="s">
        <v>25</v>
      </c>
      <c r="F12" s="1795"/>
      <c r="G12" s="136"/>
      <c r="J12" s="939" t="s">
        <v>26</v>
      </c>
      <c r="Q12" s="137">
        <v>0</v>
      </c>
    </row>
    <row s="4517" customFormat="1" customHeight="1" ht="22.5" hidden="1">
      <c r="A13" s="851" t="s">
        <v>27</v>
      </c>
      <c r="B13" s="161"/>
      <c r="C13" s="471"/>
      <c r="D13" s="473"/>
      <c r="E13" s="1838" t="s">
        <v>28</v>
      </c>
      <c r="F13" s="1795" t="s">
        <v>22</v>
      </c>
      <c r="G13" s="140"/>
      <c r="H13" s="833"/>
      <c r="I13" s="474"/>
      <c r="J13" s="1839" t="s">
        <v>29</v>
      </c>
      <c r="Q13" s="472">
        <v>0</v>
      </c>
    </row>
    <row s="4517" customFormat="1" customHeight="1" ht="27">
      <c r="A14" s="851" t="s">
        <v>30</v>
      </c>
      <c r="B14" s="161"/>
      <c r="C14" s="471"/>
      <c r="D14" s="473"/>
      <c r="E14" s="1228" t="s">
        <v>31</v>
      </c>
      <c r="F14" s="4489">
        <v>2024</v>
      </c>
      <c r="G14" s="140"/>
      <c r="H14" s="833"/>
      <c r="I14" s="474"/>
      <c r="J14" s="939" t="s">
        <v>32</v>
      </c>
      <c r="Q14" s="472">
        <v>0</v>
      </c>
    </row>
    <row s="4517" customFormat="1" customHeight="1" ht="19.5">
      <c r="A15" s="851" t="s">
        <v>33</v>
      </c>
      <c r="B15" s="161"/>
      <c r="C15" s="471"/>
      <c r="D15" s="473"/>
      <c r="E15" s="1228" t="s">
        <v>34</v>
      </c>
      <c r="F15" s="4489" t="s">
        <v>35</v>
      </c>
      <c r="G15" s="140"/>
      <c r="H15" s="833"/>
      <c r="I15" s="474"/>
      <c r="J15" s="939" t="s">
        <v>36</v>
      </c>
      <c r="Q15" s="472">
        <v>0</v>
      </c>
    </row>
    <row s="3333" customFormat="1" customHeight="1" ht="6.3">
      <c r="A16" s="848"/>
      <c r="B16" s="295"/>
      <c r="C16" s="296"/>
      <c r="D16" s="302"/>
      <c r="E16" s="300"/>
      <c r="F16" s="303"/>
      <c r="G16" s="140"/>
      <c r="H16" s="472"/>
      <c r="I16" s="474"/>
      <c r="J16" s="937"/>
      <c r="Q16" s="299">
        <v>6</v>
      </c>
    </row>
    <row customHeight="1" ht="21">
      <c r="D17" s="138"/>
      <c r="E17" s="454" t="s">
        <v>37</v>
      </c>
      <c r="F17" s="279" t="s">
        <v>38</v>
      </c>
      <c r="G17" s="136"/>
      <c r="H17" s="836" t="s">
        <v>23</v>
      </c>
      <c r="Q17" s="137">
        <v>20</v>
      </c>
    </row>
    <row customHeight="1" ht="25.5" hidden="1">
      <c r="D18" s="138"/>
      <c r="E18" s="1838" t="s">
        <v>39</v>
      </c>
      <c r="F18" s="1796"/>
      <c r="G18" s="136"/>
      <c r="I18" s="837"/>
      <c r="J18" s="2160" t="s">
        <v>40</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hidden="1">
      <c r="D20" s="138"/>
      <c r="E20" s="139"/>
      <c r="F20" s="333" t="str">
        <f>"Первичное "&amp;IF(TEMPLATE_GROUP="P","установление тарифов","предложение по тарифам")</f>
        <v>Первичное предложение по тарифам</v>
      </c>
      <c r="G20" s="136"/>
      <c r="I20" s="457"/>
      <c r="J20" s="938" t="s">
        <v>41</v>
      </c>
      <c r="Q20" s="137">
        <v>0</v>
      </c>
    </row>
    <row customHeight="1" ht="19.5" hidden="1">
      <c r="D21" s="138"/>
      <c r="E21" s="454" t="str">
        <f>"Дата "&amp;IF(TEMPLATE_GROUP="P","документа","подачи заявления")&amp;" об утверждении тарифов"</f>
        <v>Дата подачи заявления об утверждении тарифов</v>
      </c>
      <c r="F21" s="1795"/>
      <c r="G21" s="136"/>
      <c r="I21" s="838"/>
      <c r="Q21" s="137">
        <v>0</v>
      </c>
    </row>
    <row customHeight="1" ht="19.5" hidden="1">
      <c r="D22" s="138"/>
      <c r="E22" s="454" t="str">
        <f>"Номер "&amp;IF(TEMPLATE_GROUP="P","документа","подачи заявления")&amp;" об утверждении тарифов"</f>
        <v>Номер подачи заявления об утверждении тарифов</v>
      </c>
      <c r="F22" s="279"/>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45</v>
      </c>
      <c r="F28" s="281"/>
      <c r="G28" s="136"/>
      <c r="Q28" s="137">
        <v>0</v>
      </c>
    </row>
    <row customHeight="1" ht="19.5" hidden="1">
      <c r="D29" s="138"/>
      <c r="E29" s="454" t="s">
        <v>43</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46</v>
      </c>
      <c r="G31" s="839"/>
      <c r="Q31" s="137">
        <v>20</v>
      </c>
    </row>
    <row customHeight="1" ht="21" hidden="1">
      <c r="C32" s="141"/>
      <c r="D32" s="142"/>
      <c r="E32" s="455" t="s">
        <v>47</v>
      </c>
      <c r="F32" s="280"/>
      <c r="G32" s="839"/>
      <c r="Q32" s="137">
        <v>20</v>
      </c>
    </row>
    <row customHeight="1" ht="21">
      <c r="C33" s="141"/>
      <c r="D33" s="142"/>
      <c r="E33" s="454" t="s">
        <v>48</v>
      </c>
      <c r="F33" s="280" t="s">
        <v>49</v>
      </c>
      <c r="G33" s="839"/>
      <c r="Q33" s="137">
        <v>20</v>
      </c>
    </row>
    <row customHeight="1" ht="21">
      <c r="C34" s="141"/>
      <c r="D34" s="142"/>
      <c r="E34" s="454" t="s">
        <v>50</v>
      </c>
      <c r="F34" s="280" t="s">
        <v>51</v>
      </c>
      <c r="G34" s="839"/>
      <c r="H34" s="143"/>
      <c r="Q34" s="137">
        <v>20</v>
      </c>
    </row>
    <row s="3333" customFormat="1" customHeight="1" ht="11.549999999999999">
      <c r="A35" s="848"/>
      <c r="B35" s="295"/>
      <c r="C35" s="296"/>
      <c r="D35" s="302"/>
      <c r="E35" s="300"/>
      <c r="F35" s="303"/>
      <c r="G35" s="140"/>
      <c r="H35" s="472"/>
      <c r="I35" s="474"/>
      <c r="J35" s="937"/>
      <c r="Q35" s="299">
        <v>11</v>
      </c>
    </row>
    <row customHeight="1" ht="19.5" hidden="1">
      <c r="A36" s="942"/>
      <c r="D36" s="142"/>
      <c r="E36" s="454" t="s">
        <v>52</v>
      </c>
      <c r="F36" s="411"/>
      <c r="G36" s="140"/>
      <c r="Q36" s="137">
        <v>0</v>
      </c>
    </row>
    <row customHeight="1" ht="21">
      <c r="A37" s="942"/>
      <c r="D37" s="142"/>
      <c r="E37" s="454" t="s">
        <v>53</v>
      </c>
      <c r="F37" s="4971" t="s">
        <v>54</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55</v>
      </c>
      <c r="F39" s="773" t="s">
        <v>19</v>
      </c>
      <c r="G39" s="136"/>
      <c r="H39" s="836" t="s">
        <v>23</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27</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3" t="s">
        <v>19</v>
      </c>
      <c r="G41" s="136"/>
      <c r="I41" s="474"/>
      <c r="J41" s="939"/>
      <c r="Q41" s="472">
        <v>0</v>
      </c>
    </row>
    <row s="3333" customFormat="1" customHeight="1" ht="6" hidden="1">
      <c r="A42" s="847"/>
      <c r="B42" s="489"/>
      <c r="C42" s="490"/>
      <c r="D42" s="491"/>
      <c r="E42" s="492"/>
      <c r="F42" s="1116"/>
      <c r="G42" s="136"/>
      <c r="H42" s="472"/>
      <c r="I42" s="474"/>
      <c r="J42" s="937"/>
      <c r="Q42" s="493">
        <v>0</v>
      </c>
    </row>
    <row s="4517" customFormat="1" customHeight="1" ht="27" hidden="1">
      <c r="A43" s="847"/>
      <c r="B43" s="476"/>
      <c r="C43" s="471"/>
      <c r="D43" s="473"/>
      <c r="E43" s="454" t="s">
        <v>56</v>
      </c>
      <c r="F43" s="773" t="s">
        <v>19</v>
      </c>
      <c r="G43" s="136"/>
      <c r="I43" s="474"/>
      <c r="J43" s="939"/>
      <c r="Q43" s="472">
        <v>0</v>
      </c>
    </row>
    <row s="4517" customFormat="1" customHeight="1" ht="27" hidden="1">
      <c r="A44" s="847"/>
      <c r="B44" s="476"/>
      <c r="C44" s="471"/>
      <c r="D44" s="473"/>
      <c r="E44" s="1228" t="s">
        <v>57</v>
      </c>
      <c r="F44" s="1951"/>
      <c r="G44" s="136"/>
      <c r="I44" s="474"/>
      <c r="J44" s="939"/>
      <c r="Q44" s="472">
        <v>0</v>
      </c>
    </row>
    <row s="3333" customFormat="1" customHeight="1" ht="6" hidden="1">
      <c r="A45" s="847"/>
      <c r="B45" s="489"/>
      <c r="C45" s="490"/>
      <c r="D45" s="491"/>
      <c r="E45" s="492"/>
      <c r="F45" s="1116"/>
      <c r="G45" s="136"/>
      <c r="H45" s="472"/>
      <c r="I45" s="474"/>
      <c r="J45" s="939"/>
      <c r="Q45" s="493">
        <v>0</v>
      </c>
    </row>
    <row s="3333" customFormat="1" customHeight="1" ht="24.75" hidden="1">
      <c r="A46" s="847"/>
      <c r="B46" s="489"/>
      <c r="C46" s="490"/>
      <c r="D46" s="491"/>
      <c r="E46" s="1228" t="s">
        <v>58</v>
      </c>
      <c r="F46" s="773" t="s">
        <v>19</v>
      </c>
      <c r="G46" s="136"/>
      <c r="H46" s="472"/>
      <c r="I46" s="474"/>
      <c r="J46" s="939"/>
      <c r="Q46" s="493">
        <v>0</v>
      </c>
    </row>
    <row s="4517" customFormat="1" customHeight="1" ht="24.75" hidden="1">
      <c r="A47" s="847"/>
      <c r="B47" s="476"/>
      <c r="C47" s="471"/>
      <c r="D47" s="473"/>
      <c r="E47" s="1228" t="s">
        <v>59</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60</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61</v>
      </c>
      <c r="F53" s="1111" t="s">
        <v>19</v>
      </c>
      <c r="G53" s="595"/>
      <c r="I53" s="597"/>
      <c r="J53" s="941"/>
      <c r="P53" s="598"/>
      <c r="Q53" s="596">
        <v>0</v>
      </c>
    </row>
    <row s="4517" customFormat="1" customHeight="1" ht="27" hidden="1">
      <c r="A54" s="849"/>
      <c r="B54" s="476"/>
      <c r="C54" s="593"/>
      <c r="D54" s="594"/>
      <c r="E54" s="454" t="s">
        <v>62</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63</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64</v>
      </c>
      <c r="F58" s="1111" t="s">
        <v>65</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2"/>
      <c r="G59" s="595"/>
      <c r="I59" s="597"/>
      <c r="J59" s="941"/>
      <c r="P59" s="598"/>
      <c r="Q59" s="596">
        <v>0</v>
      </c>
    </row>
    <row s="4517" customFormat="1" customHeight="1" ht="15" hidden="1">
      <c r="A60" s="849"/>
      <c r="B60" s="476"/>
      <c r="C60" s="593"/>
      <c r="D60" s="594"/>
      <c r="E60" s="1228" t="s">
        <v>66</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67</v>
      </c>
      <c r="F62" s="1734" t="s">
        <v>65</v>
      </c>
      <c r="G62" s="136"/>
      <c r="H62" s="836" t="s">
        <v>23</v>
      </c>
      <c r="I62" s="474"/>
      <c r="J62" s="939"/>
      <c r="Q62" s="472">
        <v>0</v>
      </c>
    </row>
    <row s="3333" customFormat="1" customHeight="1" ht="6.3">
      <c r="A63" s="848"/>
      <c r="B63" s="295"/>
      <c r="C63" s="296"/>
      <c r="D63" s="302"/>
      <c r="E63" s="300"/>
      <c r="F63" s="303"/>
      <c r="G63" s="140"/>
      <c r="H63" s="472"/>
      <c r="I63" s="474"/>
      <c r="J63" s="937"/>
      <c r="Q63" s="299">
        <v>6</v>
      </c>
    </row>
    <row customHeight="1" ht="21">
      <c r="A64" s="850"/>
      <c r="B64" s="162"/>
      <c r="D64" s="145"/>
      <c r="E64" s="454" t="s">
        <v>68</v>
      </c>
      <c r="F64" s="279" t="s">
        <v>69</v>
      </c>
      <c r="G64" s="140"/>
      <c r="Q64" s="137">
        <v>20</v>
      </c>
    </row>
    <row customHeight="1" ht="21">
      <c r="A65" s="850"/>
      <c r="B65" s="162"/>
      <c r="D65" s="145"/>
      <c r="E65" s="454" t="s">
        <v>70</v>
      </c>
      <c r="F65" s="279" t="s">
        <v>71</v>
      </c>
      <c r="G65" s="140"/>
      <c r="Q65" s="137">
        <v>20</v>
      </c>
    </row>
    <row customHeight="1" ht="36.75">
      <c r="D66" s="138"/>
      <c r="E66" s="456" t="s">
        <v>72</v>
      </c>
      <c r="F66" s="1117"/>
      <c r="G66" s="136"/>
      <c r="Q66" s="137">
        <v>35</v>
      </c>
    </row>
    <row customHeight="1" ht="21">
      <c r="A67" s="850"/>
      <c r="D67" s="473"/>
      <c r="E67" s="454" t="s">
        <v>73</v>
      </c>
      <c r="F67" s="334" t="s">
        <v>74</v>
      </c>
      <c r="G67" s="140"/>
      <c r="Q67" s="137">
        <v>20</v>
      </c>
    </row>
    <row customHeight="1" ht="21">
      <c r="A68" s="850"/>
      <c r="B68" s="162"/>
      <c r="D68" s="145"/>
      <c r="E68" s="454" t="s">
        <v>75</v>
      </c>
      <c r="F68" s="334" t="s">
        <v>76</v>
      </c>
      <c r="G68" s="140"/>
      <c r="Q68" s="137">
        <v>20</v>
      </c>
    </row>
    <row customHeight="1" ht="21">
      <c r="A69" s="850"/>
      <c r="B69" s="162"/>
      <c r="D69" s="145"/>
      <c r="E69" s="454" t="s">
        <v>77</v>
      </c>
      <c r="F69" s="334" t="s">
        <v>78</v>
      </c>
      <c r="G69" s="140"/>
      <c r="Q69" s="137">
        <v>20</v>
      </c>
    </row>
    <row customHeight="1" ht="21">
      <c r="D70" s="473"/>
      <c r="E70" s="454" t="s">
        <v>79</v>
      </c>
      <c r="F70" s="334" t="s">
        <v>80</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81</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592E00F-36BB-AB84-BB91-1B2098256B8A}"/>
    <hyperlink ref="H17" location="Титульный!H9" display="Как заполнить?" tooltip="Помощь по работе с полями отчётной формы" xr:uid="{66F325FA-328D-207D-9269-42C408A6669C}"/>
    <hyperlink ref="H39" location="Титульный!H9" display="Как заполнить?" tooltip="Помощь по работе с полями отчётной формы" xr:uid="{EB56CF7C-5B5E-B411-68A8-137BE073B2AB}"/>
    <hyperlink ref="H62" location="Титульный!H9" display="Как заполнить?" tooltip="Помощь по работе с полями отчётной формы" xr:uid="{67B565CB-E899-91C1-A692-30AD4CC758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E9F2A-2408-F22B-C567-457C1CA932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123</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393</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394</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395</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396</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397</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398</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399</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400</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65</v>
      </c>
      <c r="Z8" s="2328"/>
      <c r="AA8" s="2170" t="s">
        <v>65</v>
      </c>
      <c r="AB8" s="2170" t="s">
        <v>19</v>
      </c>
      <c r="AC8" s="2389"/>
      <c r="AD8" s="2268">
        <v>1</v>
      </c>
      <c r="AE8" s="2390"/>
      <c r="AF8" s="2170" t="s">
        <v>19</v>
      </c>
      <c r="AG8" s="2389"/>
      <c r="AH8" s="2268">
        <v>1</v>
      </c>
      <c r="AI8" s="2390"/>
      <c r="AJ8" s="2170" t="s">
        <v>19</v>
      </c>
      <c r="AK8" s="374"/>
      <c r="AL8" s="1400">
        <v>1</v>
      </c>
      <c r="AM8" s="1461"/>
      <c r="AN8" s="814"/>
      <c r="AO8" s="1320"/>
      <c r="AP8" s="1797"/>
      <c r="AQ8" s="1522" t="s">
        <v>65</v>
      </c>
      <c r="AR8" s="1797"/>
      <c r="AS8" s="1522" t="s">
        <v>65</v>
      </c>
      <c r="AT8" s="1411"/>
      <c r="AU8" s="2316" t="s">
        <v>461</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462</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463</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464</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465</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412</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413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65</v>
      </c>
      <c r="AR19" s="1799"/>
      <c r="AS19" s="1523" t="s">
        <v>65</v>
      </c>
      <c r="BA19" s="1218">
        <v>0</v>
      </c>
    </row>
    <row customHeight="1" ht="14.25" hidden="1">
      <c r="AV20" s="559"/>
      <c r="AW20" s="559"/>
      <c r="AX20" s="559"/>
      <c r="AY20" s="559"/>
      <c r="AZ20" s="559"/>
      <c r="BA20" s="1218">
        <v>0</v>
      </c>
    </row>
    <row customHeight="1" ht="14.25" hidden="1">
      <c r="O21" s="1430" t="s">
        <v>414</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415</v>
      </c>
      <c r="P23" s="1571"/>
      <c r="Q23" s="1573"/>
      <c r="R23" s="1573"/>
      <c r="Y23" s="1570" t="s">
        <v>417</v>
      </c>
      <c r="AA23" s="1570" t="s">
        <v>418</v>
      </c>
      <c r="AB23" s="1570" t="s">
        <v>466</v>
      </c>
      <c r="AE23" s="1570" t="s">
        <v>467</v>
      </c>
      <c r="AF23" s="1570" t="s">
        <v>466</v>
      </c>
      <c r="AI23" s="1570" t="s">
        <v>468</v>
      </c>
      <c r="AJ23" s="1570" t="s">
        <v>466</v>
      </c>
      <c r="AM23" s="1570" t="s">
        <v>469</v>
      </c>
      <c r="AQ23" s="1570" t="s">
        <v>417</v>
      </c>
      <c r="AS23" s="1570" t="s">
        <v>418</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"Уренгойская ГРЭС" АО "Интер РАО - Электрогенерация"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420</v>
      </c>
      <c r="T31" s="2313"/>
      <c r="U31" s="1435"/>
      <c r="V31" s="2327" t="str">
        <f>IF(TITLE_DATE_PR_CHANGE="",IF(TITLE_DATE_PR="","",TITLE_DATE_PR),TITLE_DATE_PR_CHANGE)</f>
        <v/>
      </c>
      <c r="W31" s="2327"/>
      <c r="X31" s="2327"/>
      <c r="Y31" s="2327"/>
      <c r="Z31" s="2327"/>
      <c r="AA31" s="389"/>
      <c r="AB31" s="2327" t="str">
        <f>IF(TITLE_DATE_PR_CHANGE="",IF(TITLE_DATE_PR="","",TITLE_DATE_PR),TITLE_DATE_PR_CHANGE)</f>
        <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421</v>
      </c>
      <c r="T32" s="2313"/>
      <c r="U32" s="1435"/>
      <c r="V32" s="2314" t="str">
        <f>IF(TITLE_NUMBER_PR_CHANGE="",IF(TITLE_NUMBER_PR="","",TITLE_NUMBER_PR),TITLE_NUMBER_PR_CHANGE)</f>
        <v/>
      </c>
      <c r="W32" s="2314"/>
      <c r="X32" s="2314"/>
      <c r="Y32" s="2314"/>
      <c r="Z32" s="2314"/>
      <c r="AA32" s="389"/>
      <c r="AB32" s="2314" t="str">
        <f>IF(TITLE_NUMBER_PR_CHANGE="",IF(TITLE_NUMBER_PR="","",TITLE_NUMBER_PR),TITLE_NUMBER_PR_CHANGE)</f>
        <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420</v>
      </c>
      <c r="T35" s="2313"/>
      <c r="U35" s="1435"/>
      <c r="V35" s="2327" t="str">
        <f>IF(TITLE_DATE_PR_CHANGE="",IF(TITLE_DATE_PR="","",TITLE_DATE_PR),TITLE_DATE_PR_CHANGE)</f>
        <v/>
      </c>
      <c r="W35" s="2327"/>
      <c r="X35" s="2327"/>
      <c r="Y35" s="2327"/>
      <c r="Z35" s="2327"/>
      <c r="AA35" s="389"/>
      <c r="AB35" s="2327" t="str">
        <f>IF(TITLE_DATE_PR_CHANGE="",IF(TITLE_DATE_PR="","",TITLE_DATE_PR),TITLE_DATE_PR_CHANGE)</f>
        <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421</v>
      </c>
      <c r="T36" s="2313"/>
      <c r="U36" s="1435"/>
      <c r="V36" s="2314" t="str">
        <f>IF(TITLE_NUMBER_PR_CHANGE="",IF(TITLE_NUMBER_PR="","",TITLE_NUMBER_PR),TITLE_NUMBER_PR_CHANGE)</f>
        <v/>
      </c>
      <c r="W36" s="2314"/>
      <c r="X36" s="2314"/>
      <c r="Y36" s="2314"/>
      <c r="Z36" s="2314"/>
      <c r="AA36" s="389"/>
      <c r="AB36" s="2314" t="str">
        <f>IF(TITLE_NUMBER_PR_CHANGE="",IF(TITLE_NUMBER_PR="","",TITLE_NUMBER_PR),TITLE_NUMBER_PR_CHANGE)</f>
        <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424</v>
      </c>
      <c r="AB37" s="389"/>
      <c r="AC37" s="389"/>
      <c r="AD37" s="389"/>
      <c r="AE37" s="389"/>
      <c r="AF37" s="389"/>
      <c r="AG37" s="389"/>
      <c r="AH37" s="389"/>
      <c r="AI37" s="389"/>
      <c r="AJ37" s="389"/>
      <c r="AK37" s="389"/>
      <c r="AL37" s="389"/>
      <c r="AM37" s="389"/>
      <c r="AN37" s="389"/>
      <c r="AO37" s="389"/>
      <c r="AP37" s="389"/>
      <c r="AQ37" s="389"/>
      <c r="AR37" s="389"/>
      <c r="AS37" s="341" t="s">
        <v>424</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297</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298</v>
      </c>
      <c r="BA39" s="1218">
        <v>14</v>
      </c>
    </row>
    <row customHeight="1" ht="14.699999999999998">
      <c r="Q40" s="354"/>
      <c r="R40" s="439"/>
      <c r="S40" s="2336" t="s">
        <v>87</v>
      </c>
      <c r="T40" s="2272" t="s">
        <v>470</v>
      </c>
      <c r="U40" s="364"/>
      <c r="V40" s="2338"/>
      <c r="W40" s="2338"/>
      <c r="X40" s="2338"/>
      <c r="Y40" s="2338"/>
      <c r="Z40" s="2339"/>
      <c r="AA40" s="2399" t="s">
        <v>427</v>
      </c>
      <c r="AB40" s="2391" t="s">
        <v>471</v>
      </c>
      <c r="AC40" s="2354"/>
      <c r="AD40" s="2354"/>
      <c r="AE40" s="2392"/>
      <c r="AF40" s="2354" t="s">
        <v>472</v>
      </c>
      <c r="AG40" s="2354"/>
      <c r="AH40" s="2354"/>
      <c r="AI40" s="2392"/>
      <c r="AJ40" s="2391" t="s">
        <v>473</v>
      </c>
      <c r="AK40" s="2354"/>
      <c r="AL40" s="2354"/>
      <c r="AM40" s="2392"/>
      <c r="AN40" s="2391" t="s">
        <v>426</v>
      </c>
      <c r="AO40" s="2354"/>
      <c r="AP40" s="2338"/>
      <c r="AQ40" s="2338"/>
      <c r="AR40" s="2339"/>
      <c r="AS40" s="2340" t="s">
        <v>427</v>
      </c>
      <c r="AT40" s="2343" t="s">
        <v>429</v>
      </c>
      <c r="AU40" s="2190"/>
      <c r="BA40" s="1218">
        <v>14</v>
      </c>
    </row>
    <row customHeight="1" ht="35.699999999999996">
      <c r="Q41" s="354"/>
      <c r="R41" s="439"/>
      <c r="S41" s="2336"/>
      <c r="T41" s="2272"/>
      <c r="U41" s="1094"/>
      <c r="V41" s="2190" t="s">
        <v>474</v>
      </c>
      <c r="W41" s="2190"/>
      <c r="X41" s="2357" t="s">
        <v>433</v>
      </c>
      <c r="Y41" s="2376"/>
      <c r="Z41" s="2377"/>
      <c r="AA41" s="2400"/>
      <c r="AB41" s="2393"/>
      <c r="AC41" s="2394"/>
      <c r="AD41" s="2394"/>
      <c r="AE41" s="2395"/>
      <c r="AF41" s="2394"/>
      <c r="AG41" s="2394"/>
      <c r="AH41" s="2394"/>
      <c r="AI41" s="2395"/>
      <c r="AJ41" s="2393"/>
      <c r="AK41" s="2394"/>
      <c r="AL41" s="2394"/>
      <c r="AM41" s="2394"/>
      <c r="AN41" s="2190" t="s">
        <v>474</v>
      </c>
      <c r="AO41" s="2190"/>
      <c r="AP41" s="2376" t="s">
        <v>433</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135</v>
      </c>
      <c r="C43" s="1433" t="s">
        <v>136</v>
      </c>
      <c r="D43" s="1433" t="s">
        <v>137</v>
      </c>
      <c r="E43" s="1427" t="s">
        <v>434</v>
      </c>
      <c r="F43" s="1427" t="s">
        <v>435</v>
      </c>
      <c r="G43" s="1427" t="s">
        <v>436</v>
      </c>
      <c r="H43" s="1427" t="s">
        <v>437</v>
      </c>
      <c r="I43" s="1427" t="s">
        <v>438</v>
      </c>
      <c r="J43" s="1427" t="s">
        <v>439</v>
      </c>
      <c r="K43" s="1427" t="s">
        <v>440</v>
      </c>
      <c r="L43" s="1427" t="s">
        <v>415</v>
      </c>
      <c r="Q43" s="354"/>
      <c r="R43" s="439"/>
      <c r="S43" s="2336"/>
      <c r="T43" s="2272"/>
      <c r="U43" s="365"/>
      <c r="V43" s="1393" t="s">
        <v>475</v>
      </c>
      <c r="W43" s="1393" t="s">
        <v>476</v>
      </c>
      <c r="X43" s="1401" t="s">
        <v>443</v>
      </c>
      <c r="Y43" s="2333" t="s">
        <v>444</v>
      </c>
      <c r="Z43" s="2334"/>
      <c r="AA43" s="2401"/>
      <c r="AB43" s="2396"/>
      <c r="AC43" s="2397"/>
      <c r="AD43" s="2397"/>
      <c r="AE43" s="2398"/>
      <c r="AF43" s="2397"/>
      <c r="AG43" s="2397"/>
      <c r="AH43" s="2397"/>
      <c r="AI43" s="2398"/>
      <c r="AJ43" s="2396"/>
      <c r="AK43" s="2397"/>
      <c r="AL43" s="2397"/>
      <c r="AM43" s="2398"/>
      <c r="AN43" s="1923" t="s">
        <v>475</v>
      </c>
      <c r="AO43" s="1923" t="s">
        <v>476</v>
      </c>
      <c r="AP43" s="1401" t="s">
        <v>443</v>
      </c>
      <c r="AQ43" s="2333" t="s">
        <v>444</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108</v>
      </c>
      <c r="T44" s="1318" t="s">
        <v>109</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197</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123</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197</v>
      </c>
      <c r="B46" s="1426" t="s">
        <v>198</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394</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395</v>
      </c>
      <c r="AW46" s="563"/>
      <c r="AX46" s="563" t="str">
        <f>IF(T46="","",T46)</f>
        <v>Территория действия тарифа</v>
      </c>
      <c r="AY46" s="563"/>
      <c r="AZ46" s="563"/>
      <c r="BA46" s="1218">
        <v>21</v>
      </c>
    </row>
    <row customHeight="1" ht="24">
      <c r="A47" s="1426" t="s">
        <v>197</v>
      </c>
      <c r="B47" s="1426" t="s">
        <v>198</v>
      </c>
      <c r="C47" s="1426" t="s">
        <v>199</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396</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397</v>
      </c>
      <c r="AW47" s="563"/>
      <c r="AX47" s="563" t="str">
        <f>IF(T47="","",T47)</f>
        <v>Наименование системы теплоснабжения </v>
      </c>
      <c r="AY47" s="563"/>
      <c r="AZ47" s="563"/>
      <c r="BA47" s="1218">
        <v>23</v>
      </c>
    </row>
    <row customHeight="1" ht="21">
      <c r="A48" s="1426" t="s">
        <v>197</v>
      </c>
      <c r="B48" s="1426" t="s">
        <v>198</v>
      </c>
      <c r="C48" s="1426" t="s">
        <v>199</v>
      </c>
      <c r="D48" s="1426" t="s">
        <v>200</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398</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399</v>
      </c>
      <c r="AW48" s="563"/>
      <c r="AX48" s="563" t="str">
        <f>IF(T48="","",T48)</f>
        <v>Источник тепловой энергии  </v>
      </c>
      <c r="AY48" s="563"/>
      <c r="AZ48" s="563"/>
      <c r="BA48" s="1218">
        <v>20</v>
      </c>
    </row>
    <row s="4026" customFormat="1" customHeight="1" ht="1.05">
      <c r="A49" s="1406" t="s">
        <v>197</v>
      </c>
      <c r="B49" s="1406" t="s">
        <v>198</v>
      </c>
      <c r="C49" s="1406" t="s">
        <v>199</v>
      </c>
      <c r="D49" s="1406" t="s">
        <v>200</v>
      </c>
      <c r="E49" s="2322"/>
      <c r="F49" s="2322"/>
      <c r="G49" s="2322"/>
      <c r="H49" s="2322"/>
      <c r="I49" s="2319" t="str">
        <f>S48&amp;".1"</f>
        <v>....1</v>
      </c>
      <c r="J49" s="1406"/>
      <c r="K49" s="1406"/>
      <c r="L49" s="1409" t="s">
        <v>400</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197</v>
      </c>
      <c r="B50" s="1406" t="s">
        <v>198</v>
      </c>
      <c r="C50" s="1406" t="s">
        <v>199</v>
      </c>
      <c r="D50" s="1406" t="s">
        <v>200</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197</v>
      </c>
      <c r="B51" s="1426" t="s">
        <v>198</v>
      </c>
      <c r="C51" s="1426" t="s">
        <v>199</v>
      </c>
      <c r="D51" s="1426" t="s">
        <v>200</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65</v>
      </c>
      <c r="Z51" s="1797"/>
      <c r="AA51" s="1522" t="s">
        <v>65</v>
      </c>
      <c r="AB51" s="2170" t="s">
        <v>19</v>
      </c>
      <c r="AC51" s="2389"/>
      <c r="AD51" s="2268">
        <v>1</v>
      </c>
      <c r="AE51" s="2411" t="s">
        <v>22</v>
      </c>
      <c r="AF51" s="2170" t="s">
        <v>19</v>
      </c>
      <c r="AG51" s="2389"/>
      <c r="AH51" s="2268">
        <v>1</v>
      </c>
      <c r="AI51" s="2411" t="s">
        <v>22</v>
      </c>
      <c r="AJ51" s="2170" t="s">
        <v>19</v>
      </c>
      <c r="AK51" s="374"/>
      <c r="AL51" s="1400">
        <v>1</v>
      </c>
      <c r="AM51" s="1465"/>
      <c r="AN51" s="814"/>
      <c r="AO51" s="1320"/>
      <c r="AP51" s="1797"/>
      <c r="AQ51" s="1522" t="s">
        <v>65</v>
      </c>
      <c r="AR51" s="1797"/>
      <c r="AS51" s="1522" t="s">
        <v>65</v>
      </c>
      <c r="AT51" s="1411"/>
      <c r="AU51" s="2316" t="s">
        <v>477</v>
      </c>
      <c r="AV51" s="574">
        <f>STRCHECKDATE(V54:AT54)</f>
      </c>
      <c r="AW51" s="563"/>
      <c r="AX51" s="563" t="str">
        <f>IF(T51="","",T51)</f>
        <v/>
      </c>
      <c r="AY51" s="563"/>
      <c r="AZ51" s="563"/>
      <c r="BA51" s="1218">
        <v>21</v>
      </c>
    </row>
    <row customHeight="1" ht="11.549999999999999">
      <c r="A52" s="1426" t="s">
        <v>197</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462</v>
      </c>
      <c r="AN52" s="1456"/>
      <c r="AO52" s="1559"/>
      <c r="AP52" s="1456"/>
      <c r="AQ52" s="1456"/>
      <c r="AR52" s="1456"/>
      <c r="AS52" s="1456"/>
      <c r="AT52" s="1453"/>
      <c r="AU52" s="2317"/>
      <c r="AW52" s="563"/>
      <c r="AX52" s="563"/>
      <c r="AY52" s="563"/>
      <c r="AZ52" s="563"/>
      <c r="BA52" s="1218">
        <v>11</v>
      </c>
    </row>
    <row customHeight="1" ht="11.549999999999999">
      <c r="A53" s="1426" t="s">
        <v>197</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463</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197</v>
      </c>
      <c r="B54" s="1426" t="s">
        <v>198</v>
      </c>
      <c r="C54" s="1426" t="s">
        <v>199</v>
      </c>
      <c r="D54" s="1426" t="s">
        <v>200</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464</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197</v>
      </c>
      <c r="B55" s="1426" t="s">
        <v>198</v>
      </c>
      <c r="C55" s="1426" t="s">
        <v>199</v>
      </c>
      <c r="D55" s="1426" t="s">
        <v>200</v>
      </c>
      <c r="E55" s="2322"/>
      <c r="F55" s="2322"/>
      <c r="G55" s="2322"/>
      <c r="H55" s="2322"/>
      <c r="I55" s="2349"/>
      <c r="J55" s="2319"/>
      <c r="K55" s="1426"/>
      <c r="L55" s="1427"/>
      <c r="P55" s="2320"/>
      <c r="Q55" s="2320"/>
      <c r="R55" s="419"/>
      <c r="S55" s="1341"/>
      <c r="T55" s="350" t="s">
        <v>465</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197</v>
      </c>
      <c r="B56" s="1406" t="s">
        <v>198</v>
      </c>
      <c r="C56" s="1406" t="s">
        <v>199</v>
      </c>
      <c r="D56" s="1406" t="s">
        <v>200</v>
      </c>
      <c r="E56" s="2322"/>
      <c r="F56" s="2322"/>
      <c r="G56" s="2322"/>
      <c r="H56" s="2322"/>
      <c r="I56" s="2319"/>
      <c r="J56" s="1406"/>
      <c r="K56" s="1406"/>
      <c r="L56" s="1409"/>
      <c r="M56" s="573"/>
      <c r="N56" s="573"/>
      <c r="O56" s="573"/>
      <c r="P56" s="2320"/>
      <c r="Q56" s="1394"/>
      <c r="R56" s="419"/>
      <c r="S56" s="1449"/>
      <c r="T56" s="1450" t="s">
        <v>409</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197</v>
      </c>
      <c r="B57" s="1406" t="s">
        <v>198</v>
      </c>
      <c r="C57" s="1406" t="s">
        <v>199</v>
      </c>
      <c r="D57" s="1406" t="s">
        <v>200</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197</v>
      </c>
      <c r="B58" s="1406" t="s">
        <v>198</v>
      </c>
      <c r="C58" s="1406" t="s">
        <v>199</v>
      </c>
      <c r="D58" s="1377"/>
      <c r="E58" s="2322"/>
      <c r="F58" s="2322"/>
      <c r="G58" s="2321"/>
      <c r="H58" s="1377"/>
      <c r="I58" s="1377"/>
      <c r="J58" s="1377"/>
      <c r="K58" s="1377"/>
      <c r="L58" s="1402"/>
      <c r="M58" s="1378"/>
      <c r="N58" s="1378"/>
      <c r="P58" s="1379"/>
      <c r="Q58" s="1380"/>
      <c r="R58" s="1379"/>
      <c r="S58" s="1385"/>
      <c r="T58" s="1388" t="s">
        <v>411</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197</v>
      </c>
      <c r="B59" s="1406" t="s">
        <v>198</v>
      </c>
      <c r="C59" s="1377"/>
      <c r="D59" s="1377"/>
      <c r="E59" s="2322"/>
      <c r="F59" s="2321"/>
      <c r="G59" s="1377"/>
      <c r="H59" s="1377"/>
      <c r="I59" s="1377"/>
      <c r="J59" s="1377"/>
      <c r="K59" s="1377"/>
      <c r="L59" s="1402"/>
      <c r="M59" s="1384"/>
      <c r="N59" s="1384"/>
      <c r="P59" s="1379"/>
      <c r="Q59" s="1380"/>
      <c r="R59" s="1379"/>
      <c r="S59" s="1385"/>
      <c r="T59" s="1388" t="s">
        <v>412</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197</v>
      </c>
      <c r="B60" s="1406"/>
      <c r="C60" s="1406"/>
      <c r="D60" s="1406"/>
      <c r="E60" s="2322"/>
      <c r="F60" s="1406"/>
      <c r="G60" s="1406"/>
      <c r="H60" s="1406"/>
      <c r="I60" s="1406"/>
      <c r="J60" s="1406"/>
      <c r="K60" s="1406"/>
      <c r="L60" s="1409"/>
      <c r="M60" s="1384"/>
      <c r="N60" s="1384"/>
      <c r="O60" s="581"/>
      <c r="P60" s="443"/>
      <c r="Q60" s="1407"/>
      <c r="R60" s="443"/>
      <c r="S60" s="1385"/>
      <c r="T60" s="1388" t="s">
        <v>413</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197</v>
      </c>
      <c r="B61" s="1406"/>
      <c r="C61" s="1406"/>
      <c r="D61" s="1406"/>
      <c r="E61" s="2321"/>
      <c r="F61" s="1406"/>
      <c r="G61" s="1406"/>
      <c r="H61" s="1406"/>
      <c r="I61" s="1406"/>
      <c r="J61" s="1406"/>
      <c r="K61" s="1406"/>
      <c r="L61" s="1409"/>
      <c r="M61" s="1384"/>
      <c r="N61" s="1384"/>
      <c r="O61" s="581"/>
      <c r="P61" s="443"/>
      <c r="Q61" s="1407"/>
      <c r="R61" s="443"/>
      <c r="S61" s="1385"/>
      <c r="T61" s="1388" t="s">
        <v>413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445</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81</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0E07E-FC65-571B-0D1C-759495F281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394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478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480</v>
      </c>
      <c r="U5" s="363"/>
      <c r="V5" s="2413"/>
      <c r="W5" s="2414"/>
      <c r="X5" s="2414"/>
      <c r="Y5" s="2414"/>
      <c r="Z5" s="2414"/>
      <c r="AA5" s="2414"/>
      <c r="AB5" s="2415"/>
      <c r="AC5" s="2416"/>
      <c r="AD5" s="2417"/>
      <c r="AE5" s="2417"/>
      <c r="AF5" s="2417"/>
      <c r="AG5" s="2417"/>
      <c r="AH5" s="2417"/>
      <c r="AI5" s="2417"/>
      <c r="AJ5" s="2418"/>
      <c r="AK5" s="1321" t="s">
        <v>481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403</v>
      </c>
      <c r="P6" s="2320"/>
      <c r="Q6" s="2320">
        <v>1</v>
      </c>
      <c r="R6" s="420"/>
      <c r="S6" s="1488">
        <f>$J6</f>
      </c>
      <c r="T6" s="349" t="s">
        <v>404</v>
      </c>
      <c r="U6" s="363"/>
      <c r="V6" s="2308"/>
      <c r="W6" s="2309"/>
      <c r="X6" s="2309"/>
      <c r="Y6" s="2309"/>
      <c r="Z6" s="2309"/>
      <c r="AA6" s="2309"/>
      <c r="AB6" s="2310"/>
      <c r="AC6" s="2308"/>
      <c r="AD6" s="2309"/>
      <c r="AE6" s="2309"/>
      <c r="AF6" s="2309"/>
      <c r="AG6" s="2309"/>
      <c r="AH6" s="2309"/>
      <c r="AI6" s="2309"/>
      <c r="AJ6" s="2310"/>
      <c r="AK6" s="1370" t="s">
        <v>482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430"/>
      <c r="X9" s="430"/>
      <c r="Y9" s="430"/>
      <c r="Z9" s="430"/>
      <c r="AA9" s="430"/>
      <c r="AB9" s="430"/>
      <c r="AC9" s="430"/>
      <c r="AD9" s="430"/>
      <c r="AE9" s="430"/>
      <c r="AF9" s="430"/>
      <c r="AG9" s="430"/>
      <c r="AH9" s="430"/>
      <c r="AI9" s="430"/>
      <c r="AJ9" s="430"/>
      <c r="AK9" s="1321" t="s">
        <v>484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409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414</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415</v>
      </c>
      <c r="P20" s="1425"/>
      <c r="Q20" s="1505"/>
      <c r="R20" s="1505"/>
      <c r="S20" s="792"/>
      <c r="T20" s="1223" t="s">
        <v>416</v>
      </c>
      <c r="Z20" s="249" t="s">
        <v>417</v>
      </c>
      <c r="AB20" s="249" t="s">
        <v>418</v>
      </c>
      <c r="AC20" s="1223" t="s">
        <v>416</v>
      </c>
      <c r="AG20" s="249" t="s">
        <v>419</v>
      </c>
      <c r="AI20" s="249" t="s">
        <v>418</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424</v>
      </c>
      <c r="AC34" s="389"/>
      <c r="AD34" s="389"/>
      <c r="AE34" s="389"/>
      <c r="AF34" s="389"/>
      <c r="AG34" s="389"/>
      <c r="AH34" s="389"/>
      <c r="AI34" s="341" t="s">
        <v>424</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t="s">
        <v>298</v>
      </c>
      <c r="AQ36" s="1218">
        <v>14</v>
      </c>
    </row>
    <row customHeight="1" ht="14.699999999999998">
      <c r="Q37" s="439"/>
      <c r="R37" s="439"/>
      <c r="S37" s="2336" t="s">
        <v>87</v>
      </c>
      <c r="T37" s="2272" t="s">
        <v>425</v>
      </c>
      <c r="U37" s="364"/>
      <c r="V37" s="2337" t="s">
        <v>426</v>
      </c>
      <c r="W37" s="2338"/>
      <c r="X37" s="2338"/>
      <c r="Y37" s="2338"/>
      <c r="Z37" s="2338"/>
      <c r="AA37" s="2339"/>
      <c r="AB37" s="2340" t="s">
        <v>427</v>
      </c>
      <c r="AC37" s="2337" t="s">
        <v>426</v>
      </c>
      <c r="AD37" s="2338"/>
      <c r="AE37" s="2338"/>
      <c r="AF37" s="2338"/>
      <c r="AG37" s="2338"/>
      <c r="AH37" s="2339"/>
      <c r="AI37" s="2340" t="s">
        <v>428</v>
      </c>
      <c r="AJ37" s="2343" t="s">
        <v>429</v>
      </c>
      <c r="AK37" s="2190"/>
      <c r="AQ37" s="1218">
        <v>14</v>
      </c>
    </row>
    <row customHeight="1" ht="35.699999999999996">
      <c r="Q38" s="439"/>
      <c r="R38" s="439"/>
      <c r="S38" s="2336"/>
      <c r="T38" s="2272"/>
      <c r="U38" s="1094"/>
      <c r="V38" s="1415" t="s">
        <v>486</v>
      </c>
      <c r="W38" s="2325" t="s">
        <v>432</v>
      </c>
      <c r="X38" s="2326"/>
      <c r="Y38" s="2325" t="s">
        <v>433</v>
      </c>
      <c r="Z38" s="2332"/>
      <c r="AA38" s="2326"/>
      <c r="AB38" s="2341"/>
      <c r="AC38" s="1415" t="s">
        <v>486</v>
      </c>
      <c r="AD38" s="2325" t="s">
        <v>432</v>
      </c>
      <c r="AE38" s="2326"/>
      <c r="AF38" s="2325" t="s">
        <v>433</v>
      </c>
      <c r="AG38" s="2332"/>
      <c r="AH38" s="2326"/>
      <c r="AI38" s="2341"/>
      <c r="AJ38" s="2344"/>
      <c r="AK38" s="2190"/>
      <c r="AQ38" s="1218">
        <v>34</v>
      </c>
    </row>
    <row customHeight="1" ht="35.699999999999996">
      <c r="A39" s="1433"/>
      <c r="B39" s="1433" t="s">
        <v>135</v>
      </c>
      <c r="C39" s="1433" t="s">
        <v>136</v>
      </c>
      <c r="D39" s="1433" t="s">
        <v>137</v>
      </c>
      <c r="E39" s="1427" t="s">
        <v>434</v>
      </c>
      <c r="F39" s="1427" t="s">
        <v>435</v>
      </c>
      <c r="G39" s="1427" t="s">
        <v>436</v>
      </c>
      <c r="H39" s="1427"/>
      <c r="I39" s="1427" t="s">
        <v>487</v>
      </c>
      <c r="J39" s="1427" t="s">
        <v>439</v>
      </c>
      <c r="K39" s="1427" t="s">
        <v>488</v>
      </c>
      <c r="L39" s="1427" t="s">
        <v>415</v>
      </c>
      <c r="Q39" s="439"/>
      <c r="R39" s="439"/>
      <c r="S39" s="2336"/>
      <c r="T39" s="2272"/>
      <c r="U39" s="365"/>
      <c r="V39" s="1415" t="s">
        <v>489</v>
      </c>
      <c r="W39" s="1285" t="s">
        <v>490</v>
      </c>
      <c r="X39" s="1285" t="s">
        <v>491</v>
      </c>
      <c r="Y39" s="1420" t="s">
        <v>443</v>
      </c>
      <c r="Z39" s="2333" t="s">
        <v>444</v>
      </c>
      <c r="AA39" s="2334"/>
      <c r="AB39" s="2342"/>
      <c r="AC39" s="1415" t="s">
        <v>489</v>
      </c>
      <c r="AD39" s="1285" t="s">
        <v>490</v>
      </c>
      <c r="AE39" s="1285" t="s">
        <v>491</v>
      </c>
      <c r="AF39" s="1420" t="s">
        <v>443</v>
      </c>
      <c r="AG39" s="2333" t="s">
        <v>444</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223</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223</v>
      </c>
      <c r="B42" s="1426" t="s">
        <v>224</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394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395</v>
      </c>
      <c r="AM42" s="563"/>
      <c r="AN42" s="563" t="str">
        <f>IF(T42="","",T42)</f>
        <v>Территория действия тарифа</v>
      </c>
      <c r="AO42" s="563"/>
      <c r="AP42" s="563"/>
      <c r="AQ42" s="1218">
        <v>23</v>
      </c>
    </row>
    <row customHeight="1" ht="24">
      <c r="A43" s="1426" t="s">
        <v>223</v>
      </c>
      <c r="B43" s="1426" t="s">
        <v>224</v>
      </c>
      <c r="C43" s="1426" t="s">
        <v>225</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478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479</v>
      </c>
      <c r="AM43" s="563"/>
      <c r="AN43" s="563" t="str">
        <f>IF(T43="","",T43)</f>
        <v>Наименование централизованной системы холодного водоснабжения</v>
      </c>
      <c r="AO43" s="563"/>
      <c r="AP43" s="563"/>
      <c r="AQ43" s="1218">
        <v>23</v>
      </c>
    </row>
    <row customHeight="1" ht="24">
      <c r="A44" s="1426" t="s">
        <v>223</v>
      </c>
      <c r="B44" s="1426" t="s">
        <v>224</v>
      </c>
      <c r="C44" s="1426" t="s">
        <v>225</v>
      </c>
      <c r="D44" s="1426" t="s">
        <v>492</v>
      </c>
      <c r="E44" s="2322"/>
      <c r="F44" s="2322"/>
      <c r="G44" s="2322"/>
      <c r="H44" s="2322"/>
      <c r="I44" s="2319" t="str">
        <f>S43&amp;".1"</f>
        <v>...1</v>
      </c>
      <c r="J44" s="1426"/>
      <c r="K44" s="1426"/>
      <c r="L44" s="1427"/>
      <c r="P44" s="2320">
        <v>1</v>
      </c>
      <c r="Q44" s="1417"/>
      <c r="R44" s="419"/>
      <c r="S44" s="1421" t="str">
        <f>$I44</f>
        <v>...1</v>
      </c>
      <c r="T44" s="348" t="s">
        <v>480</v>
      </c>
      <c r="U44" s="363"/>
      <c r="V44" s="2413"/>
      <c r="W44" s="2414"/>
      <c r="X44" s="2414"/>
      <c r="Y44" s="2414"/>
      <c r="Z44" s="2414"/>
      <c r="AA44" s="2414"/>
      <c r="AB44" s="2415"/>
      <c r="AC44" s="2416"/>
      <c r="AD44" s="2417"/>
      <c r="AE44" s="2417"/>
      <c r="AF44" s="2417"/>
      <c r="AG44" s="2417"/>
      <c r="AH44" s="2417"/>
      <c r="AI44" s="2417"/>
      <c r="AJ44" s="2418"/>
      <c r="AK44" s="1321" t="s">
        <v>481</v>
      </c>
      <c r="AM44" s="563"/>
      <c r="AN44" s="563" t="str">
        <f>IF(T44="","",T44)</f>
        <v>Наименование признака дифференциации</v>
      </c>
      <c r="AO44" s="563"/>
      <c r="AP44" s="563"/>
      <c r="AQ44" s="1218">
        <v>23</v>
      </c>
    </row>
    <row customHeight="1" ht="24">
      <c r="A45" s="1426" t="s">
        <v>223</v>
      </c>
      <c r="B45" s="1426" t="s">
        <v>224</v>
      </c>
      <c r="C45" s="1426" t="s">
        <v>225</v>
      </c>
      <c r="D45" s="1426" t="s">
        <v>492</v>
      </c>
      <c r="E45" s="2322"/>
      <c r="F45" s="2322"/>
      <c r="G45" s="2322"/>
      <c r="H45" s="2322"/>
      <c r="I45" s="2349"/>
      <c r="J45" s="2319" t="str">
        <f>I44&amp;".1"</f>
        <v>...1.1</v>
      </c>
      <c r="K45" s="1426"/>
      <c r="L45" s="1427" t="s">
        <v>403</v>
      </c>
      <c r="P45" s="2320"/>
      <c r="Q45" s="2320">
        <v>1</v>
      </c>
      <c r="R45" s="420"/>
      <c r="S45" s="1421" t="str">
        <f>$J45</f>
        <v>...1.1</v>
      </c>
      <c r="T45" s="349" t="s">
        <v>404</v>
      </c>
      <c r="U45" s="363"/>
      <c r="V45" s="2308"/>
      <c r="W45" s="2309"/>
      <c r="X45" s="2309"/>
      <c r="Y45" s="2309"/>
      <c r="Z45" s="2309"/>
      <c r="AA45" s="2309"/>
      <c r="AB45" s="2310"/>
      <c r="AC45" s="2308"/>
      <c r="AD45" s="2309"/>
      <c r="AE45" s="2309"/>
      <c r="AF45" s="2309"/>
      <c r="AG45" s="2309"/>
      <c r="AH45" s="2309"/>
      <c r="AI45" s="2309"/>
      <c r="AJ45" s="2310"/>
      <c r="AK45" s="1370" t="s">
        <v>482</v>
      </c>
      <c r="AM45" s="563"/>
      <c r="AN45" s="563" t="str">
        <f>IF(T45="","",T45)</f>
        <v>Группа потребителей</v>
      </c>
      <c r="AO45" s="563"/>
      <c r="AP45" s="563"/>
      <c r="AQ45" s="1218">
        <v>23</v>
      </c>
    </row>
    <row customHeight="1" ht="24">
      <c r="A46" s="1426" t="s">
        <v>223</v>
      </c>
      <c r="B46" s="1426" t="s">
        <v>224</v>
      </c>
      <c r="C46" s="1426" t="s">
        <v>225</v>
      </c>
      <c r="D46" s="1426" t="s">
        <v>492</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223</v>
      </c>
      <c r="B47" s="1426" t="s">
        <v>224</v>
      </c>
      <c r="C47" s="1426" t="s">
        <v>225</v>
      </c>
      <c r="D47" s="1426" t="s">
        <v>492</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223</v>
      </c>
      <c r="B48" s="1426" t="s">
        <v>224</v>
      </c>
      <c r="C48" s="1426" t="s">
        <v>225</v>
      </c>
      <c r="D48" s="1426" t="s">
        <v>492</v>
      </c>
      <c r="E48" s="2322"/>
      <c r="F48" s="2322"/>
      <c r="G48" s="2322"/>
      <c r="H48" s="2322"/>
      <c r="I48" s="2349"/>
      <c r="J48" s="2319"/>
      <c r="K48" s="1426"/>
      <c r="L48" s="1427"/>
      <c r="P48" s="2320"/>
      <c r="Q48" s="2320"/>
      <c r="R48" s="419"/>
      <c r="S48" s="1341"/>
      <c r="T48" s="350" t="s">
        <v>483</v>
      </c>
      <c r="U48" s="430"/>
      <c r="V48" s="430"/>
      <c r="W48" s="430"/>
      <c r="X48" s="430"/>
      <c r="Y48" s="430"/>
      <c r="Z48" s="430"/>
      <c r="AA48" s="430"/>
      <c r="AB48" s="430"/>
      <c r="AC48" s="430"/>
      <c r="AD48" s="430"/>
      <c r="AE48" s="430"/>
      <c r="AF48" s="430"/>
      <c r="AG48" s="430"/>
      <c r="AH48" s="430"/>
      <c r="AI48" s="430"/>
      <c r="AJ48" s="430"/>
      <c r="AK48" s="1321" t="s">
        <v>484</v>
      </c>
      <c r="AM48" s="563"/>
      <c r="AN48" s="563" t="str">
        <f>IF(T48="","",T48)</f>
        <v>Добавить значение признака дифференциации</v>
      </c>
      <c r="AO48" s="563"/>
      <c r="AP48" s="563"/>
      <c r="AQ48" s="1218">
        <v>20</v>
      </c>
    </row>
    <row customHeight="1" ht="22.049999999999997">
      <c r="A49" s="1426" t="s">
        <v>223</v>
      </c>
      <c r="B49" s="1426" t="s">
        <v>224</v>
      </c>
      <c r="C49" s="1426" t="s">
        <v>225</v>
      </c>
      <c r="D49" s="1426" t="s">
        <v>492</v>
      </c>
      <c r="E49" s="2322"/>
      <c r="F49" s="2322"/>
      <c r="G49" s="2322"/>
      <c r="H49" s="2322"/>
      <c r="I49" s="2319"/>
      <c r="J49" s="1426"/>
      <c r="K49" s="1426"/>
      <c r="L49" s="1427"/>
      <c r="P49" s="2320"/>
      <c r="Q49" s="1417"/>
      <c r="R49" s="419"/>
      <c r="S49" s="1341"/>
      <c r="T49" s="428" t="s">
        <v>409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223</v>
      </c>
      <c r="B50" s="1426" t="s">
        <v>224</v>
      </c>
      <c r="C50" s="1426" t="s">
        <v>225</v>
      </c>
      <c r="D50" s="1426" t="s">
        <v>492</v>
      </c>
      <c r="E50" s="2322"/>
      <c r="F50" s="2322"/>
      <c r="G50" s="2322"/>
      <c r="H50" s="2321"/>
      <c r="I50" s="1426"/>
      <c r="J50" s="1426"/>
      <c r="K50" s="1426"/>
      <c r="L50" s="1427"/>
      <c r="M50" s="1428"/>
      <c r="N50" s="1428"/>
      <c r="O50" s="600"/>
      <c r="P50" s="423"/>
      <c r="Q50" s="438"/>
      <c r="R50" s="418"/>
      <c r="S50" s="1341"/>
      <c r="T50" s="435" t="s">
        <v>485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223</v>
      </c>
      <c r="B51" s="1406" t="s">
        <v>224</v>
      </c>
      <c r="C51" s="1377"/>
      <c r="D51" s="1377"/>
      <c r="E51" s="2322"/>
      <c r="F51" s="2321"/>
      <c r="G51" s="1377"/>
      <c r="H51" s="1377"/>
      <c r="I51" s="1377"/>
      <c r="J51" s="1377"/>
      <c r="K51" s="1377"/>
      <c r="L51" s="1489"/>
      <c r="M51" s="1384"/>
      <c r="N51" s="1384"/>
      <c r="P51" s="1379"/>
      <c r="Q51" s="1380"/>
      <c r="R51" s="1379"/>
      <c r="S51" s="1385"/>
      <c r="T51" s="1388" t="s">
        <v>412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223</v>
      </c>
      <c r="B52" s="1406"/>
      <c r="C52" s="1406"/>
      <c r="D52" s="1406"/>
      <c r="E52" s="2321"/>
      <c r="F52" s="1406"/>
      <c r="G52" s="1406"/>
      <c r="H52" s="1406"/>
      <c r="I52" s="1406"/>
      <c r="J52" s="1406"/>
      <c r="K52" s="1406"/>
      <c r="L52" s="1409"/>
      <c r="M52" s="1384"/>
      <c r="N52" s="1384"/>
      <c r="O52" s="581"/>
      <c r="P52" s="443"/>
      <c r="Q52" s="1407"/>
      <c r="R52" s="443"/>
      <c r="S52" s="1385"/>
      <c r="T52" s="1388" t="s">
        <v>413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445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2A005-15AD-1479-C889-2AAB35F282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480</v>
      </c>
      <c r="U5" s="363"/>
      <c r="V5" s="2413"/>
      <c r="W5" s="2414"/>
      <c r="X5" s="2414"/>
      <c r="Y5" s="2414"/>
      <c r="Z5" s="2414"/>
      <c r="AA5" s="2414"/>
      <c r="AB5" s="2415"/>
      <c r="AC5" s="2416"/>
      <c r="AD5" s="2417"/>
      <c r="AE5" s="2417"/>
      <c r="AF5" s="2417"/>
      <c r="AG5" s="2417"/>
      <c r="AH5" s="2417"/>
      <c r="AI5" s="2417"/>
      <c r="AJ5" s="2418"/>
      <c r="AK5" s="1321" t="s">
        <v>481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403</v>
      </c>
      <c r="P6" s="2320"/>
      <c r="Q6" s="2320">
        <v>1</v>
      </c>
      <c r="R6" s="420"/>
      <c r="S6" s="1520">
        <f>$J6</f>
      </c>
      <c r="T6" s="349" t="s">
        <v>404</v>
      </c>
      <c r="U6" s="363"/>
      <c r="V6" s="2308"/>
      <c r="W6" s="2309"/>
      <c r="X6" s="2309"/>
      <c r="Y6" s="2309"/>
      <c r="Z6" s="2309"/>
      <c r="AA6" s="2309"/>
      <c r="AB6" s="2310"/>
      <c r="AC6" s="2308"/>
      <c r="AD6" s="2309"/>
      <c r="AE6" s="2309"/>
      <c r="AF6" s="2309"/>
      <c r="AG6" s="2309"/>
      <c r="AH6" s="2309"/>
      <c r="AI6" s="2309"/>
      <c r="AJ6" s="2310"/>
      <c r="AK6" s="1370" t="s">
        <v>482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430"/>
      <c r="X9" s="430"/>
      <c r="Y9" s="430"/>
      <c r="Z9" s="430"/>
      <c r="AA9" s="430"/>
      <c r="AB9" s="430"/>
      <c r="AC9" s="430"/>
      <c r="AD9" s="430"/>
      <c r="AE9" s="430"/>
      <c r="AF9" s="430"/>
      <c r="AG9" s="430"/>
      <c r="AH9" s="430"/>
      <c r="AI9" s="430"/>
      <c r="AJ9" s="430"/>
      <c r="AK9" s="1321" t="s">
        <v>484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414</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415</v>
      </c>
      <c r="P20" s="1425"/>
      <c r="Q20" s="1505"/>
      <c r="R20" s="1505"/>
      <c r="S20" s="792"/>
      <c r="T20" s="1223" t="s">
        <v>416</v>
      </c>
      <c r="Z20" s="249" t="s">
        <v>417</v>
      </c>
      <c r="AB20" s="249" t="s">
        <v>418</v>
      </c>
      <c r="AC20" s="1223" t="s">
        <v>416</v>
      </c>
      <c r="AG20" s="249" t="s">
        <v>419</v>
      </c>
      <c r="AI20" s="249" t="s">
        <v>418</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424</v>
      </c>
      <c r="AC34" s="389"/>
      <c r="AD34" s="389"/>
      <c r="AE34" s="389"/>
      <c r="AF34" s="389"/>
      <c r="AG34" s="389"/>
      <c r="AH34" s="389"/>
      <c r="AI34" s="341" t="s">
        <v>424</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t="s">
        <v>298</v>
      </c>
      <c r="AQ36" s="1218">
        <v>14</v>
      </c>
    </row>
    <row customHeight="1" ht="14.699999999999998">
      <c r="Q37" s="439"/>
      <c r="R37" s="439"/>
      <c r="S37" s="2336" t="s">
        <v>87</v>
      </c>
      <c r="T37" s="2272" t="s">
        <v>425</v>
      </c>
      <c r="U37" s="364"/>
      <c r="V37" s="2337" t="s">
        <v>426</v>
      </c>
      <c r="W37" s="2338"/>
      <c r="X37" s="2338"/>
      <c r="Y37" s="2338"/>
      <c r="Z37" s="2338"/>
      <c r="AA37" s="2339"/>
      <c r="AB37" s="2340" t="s">
        <v>427</v>
      </c>
      <c r="AC37" s="2337" t="s">
        <v>426</v>
      </c>
      <c r="AD37" s="2338"/>
      <c r="AE37" s="2338"/>
      <c r="AF37" s="2338"/>
      <c r="AG37" s="2338"/>
      <c r="AH37" s="2339"/>
      <c r="AI37" s="2340" t="s">
        <v>428</v>
      </c>
      <c r="AJ37" s="2343" t="s">
        <v>429</v>
      </c>
      <c r="AK37" s="2190"/>
      <c r="AQ37" s="1218">
        <v>14</v>
      </c>
    </row>
    <row customHeight="1" ht="35.699999999999996">
      <c r="Q38" s="439"/>
      <c r="R38" s="439"/>
      <c r="S38" s="2336"/>
      <c r="T38" s="2272"/>
      <c r="U38" s="1094"/>
      <c r="V38" s="1515" t="s">
        <v>486</v>
      </c>
      <c r="W38" s="2325" t="s">
        <v>432</v>
      </c>
      <c r="X38" s="2326"/>
      <c r="Y38" s="2325" t="s">
        <v>433</v>
      </c>
      <c r="Z38" s="2332"/>
      <c r="AA38" s="2326"/>
      <c r="AB38" s="2341"/>
      <c r="AC38" s="1515" t="s">
        <v>486</v>
      </c>
      <c r="AD38" s="2325" t="s">
        <v>432</v>
      </c>
      <c r="AE38" s="2326"/>
      <c r="AF38" s="2325" t="s">
        <v>433</v>
      </c>
      <c r="AG38" s="2332"/>
      <c r="AH38" s="2326"/>
      <c r="AI38" s="2341"/>
      <c r="AJ38" s="2344"/>
      <c r="AK38" s="2190"/>
      <c r="AQ38" s="1218">
        <v>34</v>
      </c>
    </row>
    <row customHeight="1" ht="35.699999999999996">
      <c r="A39" s="1433"/>
      <c r="B39" s="1433" t="s">
        <v>135</v>
      </c>
      <c r="C39" s="1433" t="s">
        <v>136</v>
      </c>
      <c r="D39" s="1433" t="s">
        <v>137</v>
      </c>
      <c r="E39" s="1427" t="s">
        <v>434</v>
      </c>
      <c r="F39" s="1427" t="s">
        <v>435</v>
      </c>
      <c r="G39" s="1427" t="s">
        <v>436</v>
      </c>
      <c r="H39" s="1427"/>
      <c r="I39" s="1427" t="s">
        <v>487</v>
      </c>
      <c r="J39" s="1427" t="s">
        <v>439</v>
      </c>
      <c r="K39" s="1427" t="s">
        <v>488</v>
      </c>
      <c r="L39" s="1427" t="s">
        <v>415</v>
      </c>
      <c r="Q39" s="439"/>
      <c r="R39" s="439"/>
      <c r="S39" s="2336"/>
      <c r="T39" s="2272"/>
      <c r="U39" s="365"/>
      <c r="V39" s="1515" t="s">
        <v>489</v>
      </c>
      <c r="W39" s="1285" t="s">
        <v>490</v>
      </c>
      <c r="X39" s="1285" t="s">
        <v>491</v>
      </c>
      <c r="Y39" s="1518" t="s">
        <v>443</v>
      </c>
      <c r="Z39" s="2333" t="s">
        <v>444</v>
      </c>
      <c r="AA39" s="2334"/>
      <c r="AB39" s="2342"/>
      <c r="AC39" s="1515" t="s">
        <v>489</v>
      </c>
      <c r="AD39" s="1285" t="s">
        <v>490</v>
      </c>
      <c r="AE39" s="1285" t="s">
        <v>491</v>
      </c>
      <c r="AF39" s="1518" t="s">
        <v>443</v>
      </c>
      <c r="AG39" s="2333" t="s">
        <v>444</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228</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228</v>
      </c>
      <c r="B42" s="1426" t="s">
        <v>229</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395</v>
      </c>
      <c r="AM42" s="563"/>
      <c r="AN42" s="563" t="str">
        <f>IF(T42="","",T42)</f>
        <v>Территория действия тарифа</v>
      </c>
      <c r="AO42" s="563"/>
      <c r="AP42" s="563"/>
      <c r="AQ42" s="1218">
        <v>23</v>
      </c>
    </row>
    <row customHeight="1" ht="24">
      <c r="A43" s="1426" t="s">
        <v>228</v>
      </c>
      <c r="B43" s="1426" t="s">
        <v>229</v>
      </c>
      <c r="C43" s="1426" t="s">
        <v>230</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479</v>
      </c>
      <c r="AM43" s="563"/>
      <c r="AN43" s="563" t="str">
        <f>IF(T43="","",T43)</f>
        <v>Наименование централизованной системы холодного водоснабжения</v>
      </c>
      <c r="AO43" s="563"/>
      <c r="AP43" s="563"/>
      <c r="AQ43" s="1218">
        <v>23</v>
      </c>
    </row>
    <row customHeight="1" ht="24">
      <c r="A44" s="1426" t="s">
        <v>228</v>
      </c>
      <c r="B44" s="1426" t="s">
        <v>229</v>
      </c>
      <c r="C44" s="1426" t="s">
        <v>230</v>
      </c>
      <c r="D44" s="1426" t="s">
        <v>493</v>
      </c>
      <c r="E44" s="2322"/>
      <c r="F44" s="2322"/>
      <c r="G44" s="2322"/>
      <c r="H44" s="2322"/>
      <c r="I44" s="2319" t="str">
        <f>S43&amp;".1"</f>
        <v>...1</v>
      </c>
      <c r="J44" s="1426"/>
      <c r="K44" s="1426"/>
      <c r="L44" s="1427"/>
      <c r="P44" s="2320">
        <v>1</v>
      </c>
      <c r="Q44" s="1513"/>
      <c r="R44" s="419"/>
      <c r="S44" s="1520" t="str">
        <f>$I44</f>
        <v>...1</v>
      </c>
      <c r="T44" s="348" t="s">
        <v>480</v>
      </c>
      <c r="U44" s="363"/>
      <c r="V44" s="2413"/>
      <c r="W44" s="2414"/>
      <c r="X44" s="2414"/>
      <c r="Y44" s="2414"/>
      <c r="Z44" s="2414"/>
      <c r="AA44" s="2414"/>
      <c r="AB44" s="2415"/>
      <c r="AC44" s="2416"/>
      <c r="AD44" s="2417"/>
      <c r="AE44" s="2417"/>
      <c r="AF44" s="2417"/>
      <c r="AG44" s="2417"/>
      <c r="AH44" s="2417"/>
      <c r="AI44" s="2417"/>
      <c r="AJ44" s="2418"/>
      <c r="AK44" s="1321" t="s">
        <v>481</v>
      </c>
      <c r="AM44" s="563"/>
      <c r="AN44" s="563" t="str">
        <f>IF(T44="","",T44)</f>
        <v>Наименование признака дифференциации</v>
      </c>
      <c r="AO44" s="563"/>
      <c r="AP44" s="563"/>
      <c r="AQ44" s="1218">
        <v>23</v>
      </c>
    </row>
    <row customHeight="1" ht="24">
      <c r="A45" s="1426" t="s">
        <v>228</v>
      </c>
      <c r="B45" s="1426" t="s">
        <v>229</v>
      </c>
      <c r="C45" s="1426" t="s">
        <v>230</v>
      </c>
      <c r="D45" s="1426" t="s">
        <v>493</v>
      </c>
      <c r="E45" s="2322"/>
      <c r="F45" s="2322"/>
      <c r="G45" s="2322"/>
      <c r="H45" s="2322"/>
      <c r="I45" s="2349"/>
      <c r="J45" s="2319" t="str">
        <f>I44&amp;".1"</f>
        <v>...1.1</v>
      </c>
      <c r="K45" s="1426"/>
      <c r="L45" s="1427" t="s">
        <v>403</v>
      </c>
      <c r="P45" s="2320"/>
      <c r="Q45" s="2320">
        <v>1</v>
      </c>
      <c r="R45" s="420"/>
      <c r="S45" s="1520" t="str">
        <f>$J45</f>
        <v>...1.1</v>
      </c>
      <c r="T45" s="349" t="s">
        <v>404</v>
      </c>
      <c r="U45" s="363"/>
      <c r="V45" s="2308"/>
      <c r="W45" s="2309"/>
      <c r="X45" s="2309"/>
      <c r="Y45" s="2309"/>
      <c r="Z45" s="2309"/>
      <c r="AA45" s="2309"/>
      <c r="AB45" s="2310"/>
      <c r="AC45" s="2308"/>
      <c r="AD45" s="2309"/>
      <c r="AE45" s="2309"/>
      <c r="AF45" s="2309"/>
      <c r="AG45" s="2309"/>
      <c r="AH45" s="2309"/>
      <c r="AI45" s="2309"/>
      <c r="AJ45" s="2310"/>
      <c r="AK45" s="1370" t="s">
        <v>482</v>
      </c>
      <c r="AM45" s="563"/>
      <c r="AN45" s="563" t="str">
        <f>IF(T45="","",T45)</f>
        <v>Группа потребителей</v>
      </c>
      <c r="AO45" s="563"/>
      <c r="AP45" s="563"/>
      <c r="AQ45" s="1218">
        <v>23</v>
      </c>
    </row>
    <row customHeight="1" ht="24">
      <c r="A46" s="1426" t="s">
        <v>228</v>
      </c>
      <c r="B46" s="1426" t="s">
        <v>229</v>
      </c>
      <c r="C46" s="1426" t="s">
        <v>230</v>
      </c>
      <c r="D46" s="1426" t="s">
        <v>493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228</v>
      </c>
      <c r="B47" s="1426" t="s">
        <v>229</v>
      </c>
      <c r="C47" s="1426" t="s">
        <v>230</v>
      </c>
      <c r="D47" s="1426" t="s">
        <v>493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228</v>
      </c>
      <c r="B48" s="1426" t="s">
        <v>229</v>
      </c>
      <c r="C48" s="1426" t="s">
        <v>230</v>
      </c>
      <c r="D48" s="1426" t="s">
        <v>493</v>
      </c>
      <c r="E48" s="2322"/>
      <c r="F48" s="2322"/>
      <c r="G48" s="2322"/>
      <c r="H48" s="2322"/>
      <c r="I48" s="2349"/>
      <c r="J48" s="2319"/>
      <c r="K48" s="1426"/>
      <c r="L48" s="1427"/>
      <c r="P48" s="2320"/>
      <c r="Q48" s="2320"/>
      <c r="R48" s="419"/>
      <c r="S48" s="1341"/>
      <c r="T48" s="350" t="s">
        <v>483</v>
      </c>
      <c r="U48" s="430"/>
      <c r="V48" s="430"/>
      <c r="W48" s="430"/>
      <c r="X48" s="430"/>
      <c r="Y48" s="430"/>
      <c r="Z48" s="430"/>
      <c r="AA48" s="430"/>
      <c r="AB48" s="430"/>
      <c r="AC48" s="430"/>
      <c r="AD48" s="430"/>
      <c r="AE48" s="430"/>
      <c r="AF48" s="430"/>
      <c r="AG48" s="430"/>
      <c r="AH48" s="430"/>
      <c r="AI48" s="430"/>
      <c r="AJ48" s="430"/>
      <c r="AK48" s="1321" t="s">
        <v>484</v>
      </c>
      <c r="AM48" s="563"/>
      <c r="AN48" s="563" t="str">
        <f>IF(T48="","",T48)</f>
        <v>Добавить значение признака дифференциации</v>
      </c>
      <c r="AO48" s="563"/>
      <c r="AP48" s="563"/>
      <c r="AQ48" s="1218">
        <v>20</v>
      </c>
    </row>
    <row customHeight="1" ht="22.049999999999997">
      <c r="A49" s="1426" t="s">
        <v>228</v>
      </c>
      <c r="B49" s="1426" t="s">
        <v>229</v>
      </c>
      <c r="C49" s="1426" t="s">
        <v>230</v>
      </c>
      <c r="D49" s="1426" t="s">
        <v>493</v>
      </c>
      <c r="E49" s="2322"/>
      <c r="F49" s="2322"/>
      <c r="G49" s="2322"/>
      <c r="H49" s="2322"/>
      <c r="I49" s="2319"/>
      <c r="J49" s="1426"/>
      <c r="K49" s="1426"/>
      <c r="L49" s="1427"/>
      <c r="P49" s="2320"/>
      <c r="Q49" s="1513"/>
      <c r="R49" s="419"/>
      <c r="S49" s="1341"/>
      <c r="T49" s="428" t="s">
        <v>409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228</v>
      </c>
      <c r="B50" s="1426" t="s">
        <v>229</v>
      </c>
      <c r="C50" s="1426" t="s">
        <v>230</v>
      </c>
      <c r="D50" s="1426" t="s">
        <v>493</v>
      </c>
      <c r="E50" s="2322"/>
      <c r="F50" s="2322"/>
      <c r="G50" s="2322"/>
      <c r="H50" s="2321"/>
      <c r="I50" s="1426"/>
      <c r="J50" s="1426"/>
      <c r="K50" s="1426"/>
      <c r="L50" s="1427"/>
      <c r="M50" s="1428"/>
      <c r="N50" s="1428"/>
      <c r="O50" s="600"/>
      <c r="P50" s="423"/>
      <c r="Q50" s="438"/>
      <c r="R50" s="418"/>
      <c r="S50" s="1341"/>
      <c r="T50" s="435" t="s">
        <v>485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228</v>
      </c>
      <c r="B51" s="1406" t="s">
        <v>229</v>
      </c>
      <c r="C51" s="1377"/>
      <c r="D51" s="1377"/>
      <c r="E51" s="2322"/>
      <c r="F51" s="2321"/>
      <c r="G51" s="1377"/>
      <c r="H51" s="1377"/>
      <c r="I51" s="1377"/>
      <c r="J51" s="1377"/>
      <c r="K51" s="1377"/>
      <c r="L51" s="1521"/>
      <c r="M51" s="1384"/>
      <c r="N51" s="1384"/>
      <c r="P51" s="1379"/>
      <c r="Q51" s="1380"/>
      <c r="R51" s="1379"/>
      <c r="S51" s="1385"/>
      <c r="T51" s="1388" t="s">
        <v>412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228</v>
      </c>
      <c r="B52" s="1406"/>
      <c r="C52" s="1406"/>
      <c r="D52" s="1406"/>
      <c r="E52" s="2321"/>
      <c r="F52" s="1406"/>
      <c r="G52" s="1406"/>
      <c r="H52" s="1406"/>
      <c r="I52" s="1406"/>
      <c r="J52" s="1406"/>
      <c r="K52" s="1406"/>
      <c r="L52" s="1409"/>
      <c r="M52" s="1384"/>
      <c r="N52" s="1384"/>
      <c r="O52" s="581"/>
      <c r="P52" s="443"/>
      <c r="Q52" s="1407"/>
      <c r="R52" s="443"/>
      <c r="S52" s="1385"/>
      <c r="T52" s="1388" t="s">
        <v>413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D3F35-3047-0D06-54D4-A102C7FA5E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480</v>
      </c>
      <c r="U5" s="363"/>
      <c r="V5" s="2413"/>
      <c r="W5" s="2414"/>
      <c r="X5" s="2414"/>
      <c r="Y5" s="2414"/>
      <c r="Z5" s="2414"/>
      <c r="AA5" s="2414"/>
      <c r="AB5" s="2415"/>
      <c r="AC5" s="2416"/>
      <c r="AD5" s="2417"/>
      <c r="AE5" s="2417"/>
      <c r="AF5" s="2417"/>
      <c r="AG5" s="2417"/>
      <c r="AH5" s="2417"/>
      <c r="AI5" s="2417"/>
      <c r="AJ5" s="2418"/>
      <c r="AK5" s="1321" t="s">
        <v>481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403</v>
      </c>
      <c r="P6" s="2320"/>
      <c r="Q6" s="2320">
        <v>1</v>
      </c>
      <c r="R6" s="420"/>
      <c r="S6" s="1520">
        <f>$J6</f>
      </c>
      <c r="T6" s="349" t="s">
        <v>404</v>
      </c>
      <c r="U6" s="363"/>
      <c r="V6" s="2308"/>
      <c r="W6" s="2309"/>
      <c r="X6" s="2309"/>
      <c r="Y6" s="2309"/>
      <c r="Z6" s="2309"/>
      <c r="AA6" s="2309"/>
      <c r="AB6" s="2310"/>
      <c r="AC6" s="2308"/>
      <c r="AD6" s="2309"/>
      <c r="AE6" s="2309"/>
      <c r="AF6" s="2309"/>
      <c r="AG6" s="2309"/>
      <c r="AH6" s="2309"/>
      <c r="AI6" s="2309"/>
      <c r="AJ6" s="2310"/>
      <c r="AK6" s="1370" t="s">
        <v>482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430"/>
      <c r="X9" s="430"/>
      <c r="Y9" s="430"/>
      <c r="Z9" s="430"/>
      <c r="AA9" s="430"/>
      <c r="AB9" s="430"/>
      <c r="AC9" s="430"/>
      <c r="AD9" s="430"/>
      <c r="AE9" s="430"/>
      <c r="AF9" s="430"/>
      <c r="AG9" s="430"/>
      <c r="AH9" s="430"/>
      <c r="AI9" s="430"/>
      <c r="AJ9" s="430"/>
      <c r="AK9" s="1321" t="s">
        <v>484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414</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415</v>
      </c>
      <c r="P20" s="1425"/>
      <c r="Q20" s="1505"/>
      <c r="R20" s="1505"/>
      <c r="S20" s="792"/>
      <c r="T20" s="1223" t="s">
        <v>416</v>
      </c>
      <c r="Z20" s="249" t="s">
        <v>417</v>
      </c>
      <c r="AB20" s="249" t="s">
        <v>418</v>
      </c>
      <c r="AC20" s="1223" t="s">
        <v>416</v>
      </c>
      <c r="AG20" s="249" t="s">
        <v>419</v>
      </c>
      <c r="AI20" s="249" t="s">
        <v>418</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424</v>
      </c>
      <c r="AC34" s="389"/>
      <c r="AD34" s="389"/>
      <c r="AE34" s="389"/>
      <c r="AF34" s="389"/>
      <c r="AG34" s="389"/>
      <c r="AH34" s="389"/>
      <c r="AI34" s="341" t="s">
        <v>424</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t="s">
        <v>298</v>
      </c>
      <c r="AQ36" s="1218">
        <v>14</v>
      </c>
    </row>
    <row customHeight="1" ht="14.699999999999998">
      <c r="Q37" s="439"/>
      <c r="R37" s="439"/>
      <c r="S37" s="2336" t="s">
        <v>87</v>
      </c>
      <c r="T37" s="2272" t="s">
        <v>425</v>
      </c>
      <c r="U37" s="364"/>
      <c r="V37" s="2337" t="s">
        <v>426</v>
      </c>
      <c r="W37" s="2338"/>
      <c r="X37" s="2338"/>
      <c r="Y37" s="2338"/>
      <c r="Z37" s="2338"/>
      <c r="AA37" s="2339"/>
      <c r="AB37" s="2340" t="s">
        <v>427</v>
      </c>
      <c r="AC37" s="2337" t="s">
        <v>426</v>
      </c>
      <c r="AD37" s="2338"/>
      <c r="AE37" s="2338"/>
      <c r="AF37" s="2338"/>
      <c r="AG37" s="2338"/>
      <c r="AH37" s="2339"/>
      <c r="AI37" s="2340" t="s">
        <v>428</v>
      </c>
      <c r="AJ37" s="2343" t="s">
        <v>429</v>
      </c>
      <c r="AK37" s="2190"/>
      <c r="AQ37" s="1218">
        <v>14</v>
      </c>
    </row>
    <row customHeight="1" ht="35.699999999999996">
      <c r="Q38" s="439"/>
      <c r="R38" s="439"/>
      <c r="S38" s="2336"/>
      <c r="T38" s="2272"/>
      <c r="U38" s="1094"/>
      <c r="V38" s="1515" t="s">
        <v>486</v>
      </c>
      <c r="W38" s="2325" t="s">
        <v>432</v>
      </c>
      <c r="X38" s="2326"/>
      <c r="Y38" s="2325" t="s">
        <v>433</v>
      </c>
      <c r="Z38" s="2332"/>
      <c r="AA38" s="2326"/>
      <c r="AB38" s="2341"/>
      <c r="AC38" s="1515" t="s">
        <v>486</v>
      </c>
      <c r="AD38" s="2325" t="s">
        <v>432</v>
      </c>
      <c r="AE38" s="2326"/>
      <c r="AF38" s="2325" t="s">
        <v>433</v>
      </c>
      <c r="AG38" s="2332"/>
      <c r="AH38" s="2326"/>
      <c r="AI38" s="2341"/>
      <c r="AJ38" s="2344"/>
      <c r="AK38" s="2190"/>
      <c r="AQ38" s="1218">
        <v>34</v>
      </c>
    </row>
    <row customHeight="1" ht="35.699999999999996">
      <c r="A39" s="1433"/>
      <c r="B39" s="1433" t="s">
        <v>135</v>
      </c>
      <c r="C39" s="1433" t="s">
        <v>136</v>
      </c>
      <c r="D39" s="1433" t="s">
        <v>137</v>
      </c>
      <c r="E39" s="1427" t="s">
        <v>434</v>
      </c>
      <c r="F39" s="1427" t="s">
        <v>435</v>
      </c>
      <c r="G39" s="1427" t="s">
        <v>436</v>
      </c>
      <c r="H39" s="1427"/>
      <c r="I39" s="1427" t="s">
        <v>487</v>
      </c>
      <c r="J39" s="1427" t="s">
        <v>439</v>
      </c>
      <c r="K39" s="1427" t="s">
        <v>488</v>
      </c>
      <c r="L39" s="1427" t="s">
        <v>415</v>
      </c>
      <c r="Q39" s="439"/>
      <c r="R39" s="439"/>
      <c r="S39" s="2336"/>
      <c r="T39" s="2272"/>
      <c r="U39" s="365"/>
      <c r="V39" s="1515" t="s">
        <v>489</v>
      </c>
      <c r="W39" s="1285" t="s">
        <v>490</v>
      </c>
      <c r="X39" s="1285" t="s">
        <v>491</v>
      </c>
      <c r="Y39" s="1518" t="s">
        <v>443</v>
      </c>
      <c r="Z39" s="2333" t="s">
        <v>444</v>
      </c>
      <c r="AA39" s="2334"/>
      <c r="AB39" s="2342"/>
      <c r="AC39" s="1515" t="s">
        <v>489</v>
      </c>
      <c r="AD39" s="1285" t="s">
        <v>490</v>
      </c>
      <c r="AE39" s="1285" t="s">
        <v>491</v>
      </c>
      <c r="AF39" s="1518" t="s">
        <v>443</v>
      </c>
      <c r="AG39" s="2333" t="s">
        <v>444</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233</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233</v>
      </c>
      <c r="B42" s="1426" t="s">
        <v>234</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395</v>
      </c>
      <c r="AM42" s="563"/>
      <c r="AN42" s="563" t="str">
        <f>IF(T42="","",T42)</f>
        <v>Территория действия тарифа</v>
      </c>
      <c r="AO42" s="563"/>
      <c r="AP42" s="563"/>
      <c r="AQ42" s="1218">
        <v>23</v>
      </c>
    </row>
    <row customHeight="1" ht="24">
      <c r="A43" s="1426" t="s">
        <v>233</v>
      </c>
      <c r="B43" s="1426" t="s">
        <v>234</v>
      </c>
      <c r="C43" s="1426" t="s">
        <v>235</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479</v>
      </c>
      <c r="AM43" s="563"/>
      <c r="AN43" s="563" t="str">
        <f>IF(T43="","",T43)</f>
        <v>Наименование централизованной системы холодного водоснабжения</v>
      </c>
      <c r="AO43" s="563"/>
      <c r="AP43" s="563"/>
      <c r="AQ43" s="1218">
        <v>23</v>
      </c>
    </row>
    <row customHeight="1" ht="24">
      <c r="A44" s="1426" t="s">
        <v>233</v>
      </c>
      <c r="B44" s="1426" t="s">
        <v>234</v>
      </c>
      <c r="C44" s="1426" t="s">
        <v>235</v>
      </c>
      <c r="D44" s="1426" t="s">
        <v>494</v>
      </c>
      <c r="E44" s="2322"/>
      <c r="F44" s="2322"/>
      <c r="G44" s="2322"/>
      <c r="H44" s="2322"/>
      <c r="I44" s="2319" t="str">
        <f>S43&amp;".1"</f>
        <v>...1</v>
      </c>
      <c r="J44" s="1426"/>
      <c r="K44" s="1426"/>
      <c r="L44" s="1427"/>
      <c r="P44" s="2320">
        <v>1</v>
      </c>
      <c r="Q44" s="1513"/>
      <c r="R44" s="419"/>
      <c r="S44" s="1520" t="str">
        <f>$I44</f>
        <v>...1</v>
      </c>
      <c r="T44" s="348" t="s">
        <v>480</v>
      </c>
      <c r="U44" s="363"/>
      <c r="V44" s="2413"/>
      <c r="W44" s="2414"/>
      <c r="X44" s="2414"/>
      <c r="Y44" s="2414"/>
      <c r="Z44" s="2414"/>
      <c r="AA44" s="2414"/>
      <c r="AB44" s="2415"/>
      <c r="AC44" s="2416"/>
      <c r="AD44" s="2417"/>
      <c r="AE44" s="2417"/>
      <c r="AF44" s="2417"/>
      <c r="AG44" s="2417"/>
      <c r="AH44" s="2417"/>
      <c r="AI44" s="2417"/>
      <c r="AJ44" s="2418"/>
      <c r="AK44" s="1321" t="s">
        <v>481</v>
      </c>
      <c r="AM44" s="563"/>
      <c r="AN44" s="563" t="str">
        <f>IF(T44="","",T44)</f>
        <v>Наименование признака дифференциации</v>
      </c>
      <c r="AO44" s="563"/>
      <c r="AP44" s="563"/>
      <c r="AQ44" s="1218">
        <v>23</v>
      </c>
    </row>
    <row customHeight="1" ht="24">
      <c r="A45" s="1426" t="s">
        <v>233</v>
      </c>
      <c r="B45" s="1426" t="s">
        <v>234</v>
      </c>
      <c r="C45" s="1426" t="s">
        <v>235</v>
      </c>
      <c r="D45" s="1426" t="s">
        <v>494</v>
      </c>
      <c r="E45" s="2322"/>
      <c r="F45" s="2322"/>
      <c r="G45" s="2322"/>
      <c r="H45" s="2322"/>
      <c r="I45" s="2349"/>
      <c r="J45" s="2319" t="str">
        <f>I44&amp;".1"</f>
        <v>...1.1</v>
      </c>
      <c r="K45" s="1426"/>
      <c r="L45" s="1427" t="s">
        <v>403</v>
      </c>
      <c r="P45" s="2320"/>
      <c r="Q45" s="2320">
        <v>1</v>
      </c>
      <c r="R45" s="420"/>
      <c r="S45" s="1520" t="str">
        <f>$J45</f>
        <v>...1.1</v>
      </c>
      <c r="T45" s="349" t="s">
        <v>404</v>
      </c>
      <c r="U45" s="363"/>
      <c r="V45" s="2308"/>
      <c r="W45" s="2309"/>
      <c r="X45" s="2309"/>
      <c r="Y45" s="2309"/>
      <c r="Z45" s="2309"/>
      <c r="AA45" s="2309"/>
      <c r="AB45" s="2310"/>
      <c r="AC45" s="2308"/>
      <c r="AD45" s="2309"/>
      <c r="AE45" s="2309"/>
      <c r="AF45" s="2309"/>
      <c r="AG45" s="2309"/>
      <c r="AH45" s="2309"/>
      <c r="AI45" s="2309"/>
      <c r="AJ45" s="2310"/>
      <c r="AK45" s="1370" t="s">
        <v>482</v>
      </c>
      <c r="AM45" s="563"/>
      <c r="AN45" s="563" t="str">
        <f>IF(T45="","",T45)</f>
        <v>Группа потребителей</v>
      </c>
      <c r="AO45" s="563"/>
      <c r="AP45" s="563"/>
      <c r="AQ45" s="1218">
        <v>23</v>
      </c>
    </row>
    <row customHeight="1" ht="24">
      <c r="A46" s="1426" t="s">
        <v>233</v>
      </c>
      <c r="B46" s="1426" t="s">
        <v>234</v>
      </c>
      <c r="C46" s="1426" t="s">
        <v>235</v>
      </c>
      <c r="D46" s="1426" t="s">
        <v>494</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233</v>
      </c>
      <c r="B47" s="1426" t="s">
        <v>234</v>
      </c>
      <c r="C47" s="1426" t="s">
        <v>235</v>
      </c>
      <c r="D47" s="1426" t="s">
        <v>494</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233</v>
      </c>
      <c r="B48" s="1426" t="s">
        <v>234</v>
      </c>
      <c r="C48" s="1426" t="s">
        <v>235</v>
      </c>
      <c r="D48" s="1426" t="s">
        <v>494</v>
      </c>
      <c r="E48" s="2322"/>
      <c r="F48" s="2322"/>
      <c r="G48" s="2322"/>
      <c r="H48" s="2322"/>
      <c r="I48" s="2349"/>
      <c r="J48" s="2319"/>
      <c r="K48" s="1426"/>
      <c r="L48" s="1427"/>
      <c r="P48" s="2320"/>
      <c r="Q48" s="2320"/>
      <c r="R48" s="419"/>
      <c r="S48" s="1341"/>
      <c r="T48" s="350" t="s">
        <v>483</v>
      </c>
      <c r="U48" s="430"/>
      <c r="V48" s="430"/>
      <c r="W48" s="430"/>
      <c r="X48" s="430"/>
      <c r="Y48" s="430"/>
      <c r="Z48" s="430"/>
      <c r="AA48" s="430"/>
      <c r="AB48" s="430"/>
      <c r="AC48" s="430"/>
      <c r="AD48" s="430"/>
      <c r="AE48" s="430"/>
      <c r="AF48" s="430"/>
      <c r="AG48" s="430"/>
      <c r="AH48" s="430"/>
      <c r="AI48" s="430"/>
      <c r="AJ48" s="430"/>
      <c r="AK48" s="1321" t="s">
        <v>484</v>
      </c>
      <c r="AM48" s="563"/>
      <c r="AN48" s="563" t="str">
        <f>IF(T48="","",T48)</f>
        <v>Добавить значение признака дифференциации</v>
      </c>
      <c r="AO48" s="563"/>
      <c r="AP48" s="563"/>
      <c r="AQ48" s="1218">
        <v>20</v>
      </c>
    </row>
    <row customHeight="1" ht="22.049999999999997">
      <c r="A49" s="1426" t="s">
        <v>233</v>
      </c>
      <c r="B49" s="1426" t="s">
        <v>234</v>
      </c>
      <c r="C49" s="1426" t="s">
        <v>235</v>
      </c>
      <c r="D49" s="1426" t="s">
        <v>494</v>
      </c>
      <c r="E49" s="2322"/>
      <c r="F49" s="2322"/>
      <c r="G49" s="2322"/>
      <c r="H49" s="2322"/>
      <c r="I49" s="2319"/>
      <c r="J49" s="1426"/>
      <c r="K49" s="1426"/>
      <c r="L49" s="1427"/>
      <c r="P49" s="2320"/>
      <c r="Q49" s="1513"/>
      <c r="R49" s="419"/>
      <c r="S49" s="1341"/>
      <c r="T49" s="428" t="s">
        <v>409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233</v>
      </c>
      <c r="B50" s="1426" t="s">
        <v>234</v>
      </c>
      <c r="C50" s="1426" t="s">
        <v>235</v>
      </c>
      <c r="D50" s="1426" t="s">
        <v>494</v>
      </c>
      <c r="E50" s="2322"/>
      <c r="F50" s="2322"/>
      <c r="G50" s="2322"/>
      <c r="H50" s="2321"/>
      <c r="I50" s="1426"/>
      <c r="J50" s="1426"/>
      <c r="K50" s="1426"/>
      <c r="L50" s="1427"/>
      <c r="M50" s="1428"/>
      <c r="N50" s="1428"/>
      <c r="O50" s="600"/>
      <c r="P50" s="423"/>
      <c r="Q50" s="438"/>
      <c r="R50" s="418"/>
      <c r="S50" s="1341"/>
      <c r="T50" s="435" t="s">
        <v>485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233</v>
      </c>
      <c r="B51" s="1406" t="s">
        <v>234</v>
      </c>
      <c r="C51" s="1377"/>
      <c r="D51" s="1377"/>
      <c r="E51" s="2322"/>
      <c r="F51" s="2321"/>
      <c r="G51" s="1377"/>
      <c r="H51" s="1377"/>
      <c r="I51" s="1377"/>
      <c r="J51" s="1377"/>
      <c r="K51" s="1377"/>
      <c r="L51" s="1521"/>
      <c r="M51" s="1384"/>
      <c r="N51" s="1384"/>
      <c r="P51" s="1379"/>
      <c r="Q51" s="1380"/>
      <c r="R51" s="1379"/>
      <c r="S51" s="1385"/>
      <c r="T51" s="1388" t="s">
        <v>412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233</v>
      </c>
      <c r="B52" s="1406"/>
      <c r="C52" s="1406"/>
      <c r="D52" s="1406"/>
      <c r="E52" s="2321"/>
      <c r="F52" s="1406"/>
      <c r="G52" s="1406"/>
      <c r="H52" s="1406"/>
      <c r="I52" s="1406"/>
      <c r="J52" s="1406"/>
      <c r="K52" s="1406"/>
      <c r="L52" s="1409"/>
      <c r="M52" s="1384"/>
      <c r="N52" s="1384"/>
      <c r="O52" s="581"/>
      <c r="P52" s="443"/>
      <c r="Q52" s="1407"/>
      <c r="R52" s="443"/>
      <c r="S52" s="1385"/>
      <c r="T52" s="1388" t="s">
        <v>413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DF3C2-2282-CE8D-75A2-883ACCAA3F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478</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479</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480</v>
      </c>
      <c r="U5" s="363"/>
      <c r="V5" s="2413"/>
      <c r="W5" s="2414"/>
      <c r="X5" s="2414"/>
      <c r="Y5" s="2414"/>
      <c r="Z5" s="2414"/>
      <c r="AA5" s="2414"/>
      <c r="AB5" s="2415"/>
      <c r="AC5" s="2416"/>
      <c r="AD5" s="2417"/>
      <c r="AE5" s="2417"/>
      <c r="AF5" s="2417"/>
      <c r="AG5" s="2417"/>
      <c r="AH5" s="2417"/>
      <c r="AI5" s="2417"/>
      <c r="AJ5" s="2418"/>
      <c r="AK5" s="1321" t="s">
        <v>481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403</v>
      </c>
      <c r="P6" s="2320"/>
      <c r="Q6" s="2320">
        <v>1</v>
      </c>
      <c r="R6" s="420"/>
      <c r="S6" s="1520">
        <f>$J6</f>
      </c>
      <c r="T6" s="349" t="s">
        <v>404</v>
      </c>
      <c r="U6" s="363"/>
      <c r="V6" s="2308"/>
      <c r="W6" s="2309"/>
      <c r="X6" s="2309"/>
      <c r="Y6" s="2309"/>
      <c r="Z6" s="2309"/>
      <c r="AA6" s="2309"/>
      <c r="AB6" s="2310"/>
      <c r="AC6" s="2308"/>
      <c r="AD6" s="2309"/>
      <c r="AE6" s="2309"/>
      <c r="AF6" s="2309"/>
      <c r="AG6" s="2309"/>
      <c r="AH6" s="2309"/>
      <c r="AI6" s="2309"/>
      <c r="AJ6" s="2310"/>
      <c r="AK6" s="1370" t="s">
        <v>482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430"/>
      <c r="X9" s="430"/>
      <c r="Y9" s="430"/>
      <c r="Z9" s="430"/>
      <c r="AA9" s="430"/>
      <c r="AB9" s="430"/>
      <c r="AC9" s="430"/>
      <c r="AD9" s="430"/>
      <c r="AE9" s="430"/>
      <c r="AF9" s="430"/>
      <c r="AG9" s="430"/>
      <c r="AH9" s="430"/>
      <c r="AI9" s="430"/>
      <c r="AJ9" s="430"/>
      <c r="AK9" s="1321" t="s">
        <v>484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414</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415</v>
      </c>
      <c r="P20" s="1425"/>
      <c r="Q20" s="1505"/>
      <c r="R20" s="1505"/>
      <c r="S20" s="792"/>
      <c r="T20" s="1223" t="s">
        <v>416</v>
      </c>
      <c r="Z20" s="249" t="s">
        <v>417</v>
      </c>
      <c r="AB20" s="249" t="s">
        <v>418</v>
      </c>
      <c r="AC20" s="1223" t="s">
        <v>416</v>
      </c>
      <c r="AG20" s="249" t="s">
        <v>419</v>
      </c>
      <c r="AI20" s="249" t="s">
        <v>418</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424</v>
      </c>
      <c r="AC34" s="389"/>
      <c r="AD34" s="389"/>
      <c r="AE34" s="389"/>
      <c r="AF34" s="389"/>
      <c r="AG34" s="389"/>
      <c r="AH34" s="389"/>
      <c r="AI34" s="341" t="s">
        <v>424</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t="s">
        <v>298</v>
      </c>
      <c r="AQ36" s="1218">
        <v>14</v>
      </c>
    </row>
    <row customHeight="1" ht="14.699999999999998">
      <c r="Q37" s="439"/>
      <c r="R37" s="439"/>
      <c r="S37" s="2336" t="s">
        <v>87</v>
      </c>
      <c r="T37" s="2272" t="s">
        <v>425</v>
      </c>
      <c r="U37" s="364"/>
      <c r="V37" s="2337" t="s">
        <v>426</v>
      </c>
      <c r="W37" s="2338"/>
      <c r="X37" s="2338"/>
      <c r="Y37" s="2338"/>
      <c r="Z37" s="2338"/>
      <c r="AA37" s="2339"/>
      <c r="AB37" s="2340" t="s">
        <v>427</v>
      </c>
      <c r="AC37" s="2337" t="s">
        <v>426</v>
      </c>
      <c r="AD37" s="2338"/>
      <c r="AE37" s="2338"/>
      <c r="AF37" s="2338"/>
      <c r="AG37" s="2338"/>
      <c r="AH37" s="2339"/>
      <c r="AI37" s="2340" t="s">
        <v>428</v>
      </c>
      <c r="AJ37" s="2343" t="s">
        <v>429</v>
      </c>
      <c r="AK37" s="2190"/>
      <c r="AQ37" s="1218">
        <v>14</v>
      </c>
    </row>
    <row customHeight="1" ht="35.699999999999996">
      <c r="Q38" s="439"/>
      <c r="R38" s="439"/>
      <c r="S38" s="2336"/>
      <c r="T38" s="2272"/>
      <c r="U38" s="1094"/>
      <c r="V38" s="1515" t="s">
        <v>486</v>
      </c>
      <c r="W38" s="2325" t="s">
        <v>432</v>
      </c>
      <c r="X38" s="2326"/>
      <c r="Y38" s="2325" t="s">
        <v>433</v>
      </c>
      <c r="Z38" s="2332"/>
      <c r="AA38" s="2326"/>
      <c r="AB38" s="2341"/>
      <c r="AC38" s="1515" t="s">
        <v>486</v>
      </c>
      <c r="AD38" s="2325" t="s">
        <v>432</v>
      </c>
      <c r="AE38" s="2326"/>
      <c r="AF38" s="2325" t="s">
        <v>433</v>
      </c>
      <c r="AG38" s="2332"/>
      <c r="AH38" s="2326"/>
      <c r="AI38" s="2341"/>
      <c r="AJ38" s="2344"/>
      <c r="AK38" s="2190"/>
      <c r="AQ38" s="1218">
        <v>34</v>
      </c>
    </row>
    <row customHeight="1" ht="35.699999999999996">
      <c r="A39" s="1433"/>
      <c r="B39" s="1433" t="s">
        <v>135</v>
      </c>
      <c r="C39" s="1433" t="s">
        <v>136</v>
      </c>
      <c r="D39" s="1433" t="s">
        <v>137</v>
      </c>
      <c r="E39" s="1427" t="s">
        <v>434</v>
      </c>
      <c r="F39" s="1427" t="s">
        <v>435</v>
      </c>
      <c r="G39" s="1427" t="s">
        <v>436</v>
      </c>
      <c r="H39" s="1427"/>
      <c r="I39" s="1427" t="s">
        <v>487</v>
      </c>
      <c r="J39" s="1427" t="s">
        <v>439</v>
      </c>
      <c r="K39" s="1427" t="s">
        <v>488</v>
      </c>
      <c r="L39" s="1427" t="s">
        <v>415</v>
      </c>
      <c r="Q39" s="439"/>
      <c r="R39" s="439"/>
      <c r="S39" s="2336"/>
      <c r="T39" s="2272"/>
      <c r="U39" s="365"/>
      <c r="V39" s="1515" t="s">
        <v>489</v>
      </c>
      <c r="W39" s="1285" t="s">
        <v>490</v>
      </c>
      <c r="X39" s="1285" t="s">
        <v>491</v>
      </c>
      <c r="Y39" s="1518" t="s">
        <v>443</v>
      </c>
      <c r="Z39" s="2333" t="s">
        <v>444</v>
      </c>
      <c r="AA39" s="2334"/>
      <c r="AB39" s="2342"/>
      <c r="AC39" s="1515" t="s">
        <v>489</v>
      </c>
      <c r="AD39" s="1285" t="s">
        <v>490</v>
      </c>
      <c r="AE39" s="1285" t="s">
        <v>491</v>
      </c>
      <c r="AF39" s="1518" t="s">
        <v>443</v>
      </c>
      <c r="AG39" s="2333" t="s">
        <v>444</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238</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238</v>
      </c>
      <c r="B42" s="1426" t="s">
        <v>239</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395</v>
      </c>
      <c r="AM42" s="563"/>
      <c r="AN42" s="563" t="str">
        <f>IF(T42="","",T42)</f>
        <v>Территория действия тарифа</v>
      </c>
      <c r="AO42" s="563"/>
      <c r="AP42" s="563"/>
      <c r="AQ42" s="1218">
        <v>23</v>
      </c>
    </row>
    <row customHeight="1" ht="24">
      <c r="A43" s="1426" t="s">
        <v>238</v>
      </c>
      <c r="B43" s="1426" t="s">
        <v>239</v>
      </c>
      <c r="C43" s="1426" t="s">
        <v>240</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478</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479</v>
      </c>
      <c r="AM43" s="563"/>
      <c r="AN43" s="563" t="str">
        <f>IF(T43="","",T43)</f>
        <v>Наименование централизованной системы холодного водоснабжения</v>
      </c>
      <c r="AO43" s="563"/>
      <c r="AP43" s="563"/>
      <c r="AQ43" s="1218">
        <v>23</v>
      </c>
    </row>
    <row customHeight="1" ht="24">
      <c r="A44" s="1426" t="s">
        <v>238</v>
      </c>
      <c r="B44" s="1426" t="s">
        <v>239</v>
      </c>
      <c r="C44" s="1426" t="s">
        <v>240</v>
      </c>
      <c r="D44" s="1426" t="s">
        <v>495</v>
      </c>
      <c r="E44" s="2322"/>
      <c r="F44" s="2322"/>
      <c r="G44" s="2322"/>
      <c r="H44" s="2322"/>
      <c r="I44" s="2319" t="str">
        <f>S43&amp;".1"</f>
        <v>...1</v>
      </c>
      <c r="J44" s="1426"/>
      <c r="K44" s="1426"/>
      <c r="L44" s="1427"/>
      <c r="P44" s="2320">
        <v>1</v>
      </c>
      <c r="Q44" s="1513"/>
      <c r="R44" s="419"/>
      <c r="S44" s="1520" t="str">
        <f>$I44</f>
        <v>...1</v>
      </c>
      <c r="T44" s="348" t="s">
        <v>480</v>
      </c>
      <c r="U44" s="363"/>
      <c r="V44" s="2413"/>
      <c r="W44" s="2414"/>
      <c r="X44" s="2414"/>
      <c r="Y44" s="2414"/>
      <c r="Z44" s="2414"/>
      <c r="AA44" s="2414"/>
      <c r="AB44" s="2415"/>
      <c r="AC44" s="2416"/>
      <c r="AD44" s="2417"/>
      <c r="AE44" s="2417"/>
      <c r="AF44" s="2417"/>
      <c r="AG44" s="2417"/>
      <c r="AH44" s="2417"/>
      <c r="AI44" s="2417"/>
      <c r="AJ44" s="2418"/>
      <c r="AK44" s="1321" t="s">
        <v>481</v>
      </c>
      <c r="AM44" s="563"/>
      <c r="AN44" s="563" t="str">
        <f>IF(T44="","",T44)</f>
        <v>Наименование признака дифференциации</v>
      </c>
      <c r="AO44" s="563"/>
      <c r="AP44" s="563"/>
      <c r="AQ44" s="1218">
        <v>23</v>
      </c>
    </row>
    <row customHeight="1" ht="24">
      <c r="A45" s="1426" t="s">
        <v>238</v>
      </c>
      <c r="B45" s="1426" t="s">
        <v>239</v>
      </c>
      <c r="C45" s="1426" t="s">
        <v>240</v>
      </c>
      <c r="D45" s="1426" t="s">
        <v>495</v>
      </c>
      <c r="E45" s="2322"/>
      <c r="F45" s="2322"/>
      <c r="G45" s="2322"/>
      <c r="H45" s="2322"/>
      <c r="I45" s="2349"/>
      <c r="J45" s="2319" t="str">
        <f>I44&amp;".1"</f>
        <v>...1.1</v>
      </c>
      <c r="K45" s="1426"/>
      <c r="L45" s="1427" t="s">
        <v>403</v>
      </c>
      <c r="P45" s="2320"/>
      <c r="Q45" s="2320">
        <v>1</v>
      </c>
      <c r="R45" s="420"/>
      <c r="S45" s="1520" t="str">
        <f>$J45</f>
        <v>...1.1</v>
      </c>
      <c r="T45" s="349" t="s">
        <v>404</v>
      </c>
      <c r="U45" s="363"/>
      <c r="V45" s="2308"/>
      <c r="W45" s="2309"/>
      <c r="X45" s="2309"/>
      <c r="Y45" s="2309"/>
      <c r="Z45" s="2309"/>
      <c r="AA45" s="2309"/>
      <c r="AB45" s="2310"/>
      <c r="AC45" s="2308"/>
      <c r="AD45" s="2309"/>
      <c r="AE45" s="2309"/>
      <c r="AF45" s="2309"/>
      <c r="AG45" s="2309"/>
      <c r="AH45" s="2309"/>
      <c r="AI45" s="2309"/>
      <c r="AJ45" s="2310"/>
      <c r="AK45" s="1370" t="s">
        <v>482</v>
      </c>
      <c r="AM45" s="563"/>
      <c r="AN45" s="563" t="str">
        <f>IF(T45="","",T45)</f>
        <v>Группа потребителей</v>
      </c>
      <c r="AO45" s="563"/>
      <c r="AP45" s="563"/>
      <c r="AQ45" s="1218">
        <v>23</v>
      </c>
    </row>
    <row customHeight="1" ht="24">
      <c r="A46" s="1426" t="s">
        <v>238</v>
      </c>
      <c r="B46" s="1426" t="s">
        <v>239</v>
      </c>
      <c r="C46" s="1426" t="s">
        <v>240</v>
      </c>
      <c r="D46" s="1426" t="s">
        <v>495</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238</v>
      </c>
      <c r="B47" s="1426" t="s">
        <v>239</v>
      </c>
      <c r="C47" s="1426" t="s">
        <v>240</v>
      </c>
      <c r="D47" s="1426" t="s">
        <v>495</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238</v>
      </c>
      <c r="B48" s="1426" t="s">
        <v>239</v>
      </c>
      <c r="C48" s="1426" t="s">
        <v>240</v>
      </c>
      <c r="D48" s="1426" t="s">
        <v>495</v>
      </c>
      <c r="E48" s="2322"/>
      <c r="F48" s="2322"/>
      <c r="G48" s="2322"/>
      <c r="H48" s="2322"/>
      <c r="I48" s="2349"/>
      <c r="J48" s="2319"/>
      <c r="K48" s="1426"/>
      <c r="L48" s="1427"/>
      <c r="P48" s="2320"/>
      <c r="Q48" s="2320"/>
      <c r="R48" s="419"/>
      <c r="S48" s="1341"/>
      <c r="T48" s="350" t="s">
        <v>483</v>
      </c>
      <c r="U48" s="430"/>
      <c r="V48" s="430"/>
      <c r="W48" s="430"/>
      <c r="X48" s="430"/>
      <c r="Y48" s="430"/>
      <c r="Z48" s="430"/>
      <c r="AA48" s="430"/>
      <c r="AB48" s="430"/>
      <c r="AC48" s="430"/>
      <c r="AD48" s="430"/>
      <c r="AE48" s="430"/>
      <c r="AF48" s="430"/>
      <c r="AG48" s="430"/>
      <c r="AH48" s="430"/>
      <c r="AI48" s="430"/>
      <c r="AJ48" s="430"/>
      <c r="AK48" s="1321" t="s">
        <v>484</v>
      </c>
      <c r="AM48" s="563"/>
      <c r="AN48" s="563" t="str">
        <f>IF(T48="","",T48)</f>
        <v>Добавить значение признака дифференциации</v>
      </c>
      <c r="AO48" s="563"/>
      <c r="AP48" s="563"/>
      <c r="AQ48" s="1218">
        <v>20</v>
      </c>
    </row>
    <row customHeight="1" ht="22.049999999999997">
      <c r="A49" s="1426" t="s">
        <v>238</v>
      </c>
      <c r="B49" s="1426" t="s">
        <v>239</v>
      </c>
      <c r="C49" s="1426" t="s">
        <v>240</v>
      </c>
      <c r="D49" s="1426" t="s">
        <v>495</v>
      </c>
      <c r="E49" s="2322"/>
      <c r="F49" s="2322"/>
      <c r="G49" s="2322"/>
      <c r="H49" s="2322"/>
      <c r="I49" s="2319"/>
      <c r="J49" s="1426"/>
      <c r="K49" s="1426"/>
      <c r="L49" s="1427"/>
      <c r="P49" s="2320"/>
      <c r="Q49" s="1513"/>
      <c r="R49" s="419"/>
      <c r="S49" s="1341"/>
      <c r="T49" s="428" t="s">
        <v>409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238</v>
      </c>
      <c r="B50" s="1426" t="s">
        <v>239</v>
      </c>
      <c r="C50" s="1426" t="s">
        <v>240</v>
      </c>
      <c r="D50" s="1426" t="s">
        <v>495</v>
      </c>
      <c r="E50" s="2322"/>
      <c r="F50" s="2322"/>
      <c r="G50" s="2322"/>
      <c r="H50" s="2321"/>
      <c r="I50" s="1426"/>
      <c r="J50" s="1426"/>
      <c r="K50" s="1426"/>
      <c r="L50" s="1427"/>
      <c r="M50" s="1428"/>
      <c r="N50" s="1428"/>
      <c r="O50" s="600"/>
      <c r="P50" s="423"/>
      <c r="Q50" s="438"/>
      <c r="R50" s="418"/>
      <c r="S50" s="1341"/>
      <c r="T50" s="435" t="s">
        <v>485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238</v>
      </c>
      <c r="B51" s="1406" t="s">
        <v>239</v>
      </c>
      <c r="C51" s="1377"/>
      <c r="D51" s="1377"/>
      <c r="E51" s="2322"/>
      <c r="F51" s="2321"/>
      <c r="G51" s="1377"/>
      <c r="H51" s="1377"/>
      <c r="I51" s="1377"/>
      <c r="J51" s="1377"/>
      <c r="K51" s="1377"/>
      <c r="L51" s="1521"/>
      <c r="M51" s="1384"/>
      <c r="N51" s="1384"/>
      <c r="P51" s="1379"/>
      <c r="Q51" s="1380"/>
      <c r="R51" s="1379"/>
      <c r="S51" s="1385"/>
      <c r="T51" s="1388" t="s">
        <v>412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238</v>
      </c>
      <c r="B52" s="1406"/>
      <c r="C52" s="1406"/>
      <c r="D52" s="1406"/>
      <c r="E52" s="2321"/>
      <c r="F52" s="1406"/>
      <c r="G52" s="1406"/>
      <c r="H52" s="1406"/>
      <c r="I52" s="1406"/>
      <c r="J52" s="1406"/>
      <c r="K52" s="1406"/>
      <c r="L52" s="1409"/>
      <c r="M52" s="1384"/>
      <c r="N52" s="1384"/>
      <c r="O52" s="581"/>
      <c r="P52" s="443"/>
      <c r="Q52" s="1407"/>
      <c r="R52" s="443"/>
      <c r="S52" s="1385"/>
      <c r="T52" s="1388" t="s">
        <v>413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B82C6-5577-0846-D7BD-8B2AFFBEBF7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123</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393</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394</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395</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396</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397</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398</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399</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400</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65</v>
      </c>
      <c r="Z8" s="2055"/>
      <c r="AA8" s="2053" t="s">
        <v>65</v>
      </c>
      <c r="AB8" s="2059"/>
      <c r="AC8" s="2060" t="s">
        <v>22</v>
      </c>
      <c r="AD8" s="814"/>
      <c r="AE8" s="1320"/>
      <c r="AF8" s="2018"/>
      <c r="AG8" s="2005" t="s">
        <v>65</v>
      </c>
      <c r="AH8" s="2018"/>
      <c r="AI8" s="2005" t="s">
        <v>65</v>
      </c>
      <c r="AJ8" s="1411"/>
      <c r="AK8" s="2316" t="s">
        <v>461</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465</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412</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413</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65</v>
      </c>
      <c r="AH16" s="1799"/>
      <c r="AI16" s="2029" t="s">
        <v>65</v>
      </c>
      <c r="AQ16" s="1694">
        <v>0</v>
      </c>
    </row>
    <row customHeight="1" ht="14.25" hidden="1">
      <c r="AL17" s="1704"/>
      <c r="AM17" s="1704"/>
      <c r="AN17" s="1704"/>
      <c r="AO17" s="1704"/>
      <c r="AP17" s="1704"/>
      <c r="AQ17" s="1694">
        <v>0</v>
      </c>
    </row>
    <row customHeight="1" ht="14.25" hidden="1">
      <c r="O18" s="1408" t="s">
        <v>414</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415</v>
      </c>
      <c r="P20" s="1571"/>
      <c r="Q20" s="1573"/>
      <c r="R20" s="1573"/>
      <c r="Y20" s="1570" t="s">
        <v>417</v>
      </c>
      <c r="AA20" s="1570" t="s">
        <v>418</v>
      </c>
      <c r="AC20" s="1570" t="s">
        <v>467</v>
      </c>
      <c r="AG20" s="1570" t="s">
        <v>417</v>
      </c>
      <c r="AI20" s="1570" t="s">
        <v>418</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420</v>
      </c>
      <c r="T28" s="2313"/>
      <c r="U28" s="1435"/>
      <c r="V28" s="2327" t="str">
        <f>IF(TITLE_DATE_PR_CHANGE="",IF(TITLE_DATE_PR="","",TITLE_DATE_PR),TITLE_DATE_PR_CHANGE)</f>
        <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421</v>
      </c>
      <c r="T29" s="2313"/>
      <c r="U29" s="1435"/>
      <c r="V29" s="2314" t="str">
        <f>IF(TITLE_NUMBER_PR_CHANGE="",IF(TITLE_NUMBER_PR="","",TITLE_NUMBER_PR),TITLE_NUMBER_PR_CHANGE)</f>
        <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420</v>
      </c>
      <c r="T32" s="2313"/>
      <c r="U32" s="1435"/>
      <c r="V32" s="2327" t="str">
        <f>IF(TITLE_DATE_PR_CHANGE="",IF(TITLE_DATE_PR="","",TITLE_DATE_PR),TITLE_DATE_PR_CHANGE)</f>
        <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421</v>
      </c>
      <c r="T33" s="2313"/>
      <c r="U33" s="1435"/>
      <c r="V33" s="2314" t="str">
        <f>IF(TITLE_NUMBER_PR_CHANGE="",IF(TITLE_NUMBER_PR="","",TITLE_NUMBER_PR),TITLE_NUMBER_PR_CHANGE)</f>
        <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424</v>
      </c>
      <c r="AB34" s="1705"/>
      <c r="AC34" s="1698"/>
      <c r="AD34" s="1698"/>
      <c r="AE34" s="1698"/>
      <c r="AF34" s="1698"/>
      <c r="AG34" s="1698"/>
      <c r="AH34" s="1698"/>
      <c r="AI34" s="1705" t="s">
        <v>424</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297</v>
      </c>
      <c r="T36" s="2190"/>
      <c r="U36" s="2190"/>
      <c r="V36" s="2190"/>
      <c r="W36" s="2190"/>
      <c r="X36" s="2190"/>
      <c r="Y36" s="2190"/>
      <c r="Z36" s="2190"/>
      <c r="AA36" s="2238"/>
      <c r="AB36" s="2238"/>
      <c r="AC36" s="2238"/>
      <c r="AD36" s="2190"/>
      <c r="AE36" s="2190"/>
      <c r="AF36" s="2190"/>
      <c r="AG36" s="2190"/>
      <c r="AH36" s="2190"/>
      <c r="AI36" s="2190"/>
      <c r="AJ36" s="2190"/>
      <c r="AK36" s="2190" t="s">
        <v>298</v>
      </c>
      <c r="AQ36" s="1694">
        <v>14</v>
      </c>
    </row>
    <row customHeight="1" ht="14.699999999999998">
      <c r="Q37" s="354"/>
      <c r="R37" s="439"/>
      <c r="S37" s="2336" t="s">
        <v>87</v>
      </c>
      <c r="T37" s="2272" t="s">
        <v>496</v>
      </c>
      <c r="U37" s="400"/>
      <c r="V37" s="2338"/>
      <c r="W37" s="2338"/>
      <c r="X37" s="2338"/>
      <c r="Y37" s="2338"/>
      <c r="Z37" s="2338"/>
      <c r="AA37" s="2272" t="s">
        <v>427</v>
      </c>
      <c r="AB37" s="2271" t="s">
        <v>497</v>
      </c>
      <c r="AC37" s="2271" t="s">
        <v>471</v>
      </c>
      <c r="AD37" s="2354" t="s">
        <v>426</v>
      </c>
      <c r="AE37" s="2354"/>
      <c r="AF37" s="2338"/>
      <c r="AG37" s="2338"/>
      <c r="AH37" s="2339"/>
      <c r="AI37" s="2340" t="s">
        <v>427</v>
      </c>
      <c r="AJ37" s="2343" t="s">
        <v>429</v>
      </c>
      <c r="AK37" s="2190"/>
      <c r="AQ37" s="1694">
        <v>14</v>
      </c>
    </row>
    <row customHeight="1" ht="35.699999999999996">
      <c r="Q38" s="354"/>
      <c r="R38" s="439"/>
      <c r="S38" s="2336"/>
      <c r="T38" s="2272"/>
      <c r="U38" s="1094"/>
      <c r="V38" s="2166" t="s">
        <v>474</v>
      </c>
      <c r="W38" s="2190"/>
      <c r="X38" s="2357" t="s">
        <v>433</v>
      </c>
      <c r="Y38" s="2376"/>
      <c r="Z38" s="2376"/>
      <c r="AA38" s="2272"/>
      <c r="AB38" s="2271"/>
      <c r="AC38" s="2271"/>
      <c r="AD38" s="2166" t="s">
        <v>474</v>
      </c>
      <c r="AE38" s="2190"/>
      <c r="AF38" s="2376" t="s">
        <v>433</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135</v>
      </c>
      <c r="C40" s="1329" t="s">
        <v>136</v>
      </c>
      <c r="D40" s="1329" t="s">
        <v>137</v>
      </c>
      <c r="E40" s="1373" t="s">
        <v>434</v>
      </c>
      <c r="F40" s="1373" t="s">
        <v>435</v>
      </c>
      <c r="G40" s="1373" t="s">
        <v>436</v>
      </c>
      <c r="H40" s="1373" t="s">
        <v>437</v>
      </c>
      <c r="I40" s="1373" t="s">
        <v>438</v>
      </c>
      <c r="J40" s="1373" t="s">
        <v>439</v>
      </c>
      <c r="K40" s="1373" t="s">
        <v>440</v>
      </c>
      <c r="L40" s="1373" t="s">
        <v>415</v>
      </c>
      <c r="Q40" s="354"/>
      <c r="R40" s="439"/>
      <c r="S40" s="2336"/>
      <c r="T40" s="2272"/>
      <c r="U40" s="365"/>
      <c r="V40" s="2013" t="s">
        <v>475</v>
      </c>
      <c r="W40" s="2013" t="s">
        <v>476</v>
      </c>
      <c r="X40" s="2001" t="s">
        <v>443</v>
      </c>
      <c r="Y40" s="2333" t="s">
        <v>444</v>
      </c>
      <c r="Z40" s="2383"/>
      <c r="AA40" s="2272"/>
      <c r="AB40" s="2271"/>
      <c r="AC40" s="2271"/>
      <c r="AD40" s="2031" t="s">
        <v>475</v>
      </c>
      <c r="AE40" s="2022" t="s">
        <v>476</v>
      </c>
      <c r="AF40" s="2001" t="s">
        <v>443</v>
      </c>
      <c r="AG40" s="2333" t="s">
        <v>444</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108</v>
      </c>
      <c r="T41" s="1318" t="s">
        <v>109</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203</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123</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203</v>
      </c>
      <c r="B43" s="1330" t="s">
        <v>204</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394</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395</v>
      </c>
      <c r="AM43" s="1687"/>
      <c r="AN43" s="1687" t="str">
        <f>IF(T43="","",T43)</f>
        <v>Территория действия тарифа</v>
      </c>
      <c r="AO43" s="1687"/>
      <c r="AP43" s="1687"/>
      <c r="AQ43" s="1694">
        <v>21</v>
      </c>
    </row>
    <row customHeight="1" ht="24">
      <c r="A44" s="1330" t="s">
        <v>203</v>
      </c>
      <c r="B44" s="1330" t="s">
        <v>204</v>
      </c>
      <c r="C44" s="1330" t="s">
        <v>205</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396</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397</v>
      </c>
      <c r="AM44" s="1687"/>
      <c r="AN44" s="1687" t="str">
        <f>IF(T44="","",T44)</f>
        <v>Наименование системы теплоснабжения </v>
      </c>
      <c r="AO44" s="1687"/>
      <c r="AP44" s="1687"/>
      <c r="AQ44" s="1694">
        <v>23</v>
      </c>
    </row>
    <row customHeight="1" ht="22.049999999999997">
      <c r="A45" s="1330" t="s">
        <v>203</v>
      </c>
      <c r="B45" s="1330" t="s">
        <v>204</v>
      </c>
      <c r="C45" s="1330" t="s">
        <v>205</v>
      </c>
      <c r="D45" s="1330" t="s">
        <v>206</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398</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399</v>
      </c>
      <c r="AM45" s="1687"/>
      <c r="AN45" s="1687" t="str">
        <f>IF(T45="","",T45)</f>
        <v>Источник тепловой энергии  </v>
      </c>
      <c r="AO45" s="1687"/>
      <c r="AP45" s="1687"/>
      <c r="AQ45" s="1694">
        <v>21</v>
      </c>
    </row>
    <row s="4026" customFormat="1" customHeight="1" ht="0">
      <c r="A46" s="1438" t="s">
        <v>203</v>
      </c>
      <c r="B46" s="1438" t="s">
        <v>204</v>
      </c>
      <c r="C46" s="1438" t="s">
        <v>205</v>
      </c>
      <c r="D46" s="1438" t="s">
        <v>206</v>
      </c>
      <c r="E46" s="2353"/>
      <c r="F46" s="2353"/>
      <c r="G46" s="2353"/>
      <c r="H46" s="2353"/>
      <c r="I46" s="2190" t="str">
        <f>S45&amp;".1"</f>
        <v>....1</v>
      </c>
      <c r="J46" s="1438"/>
      <c r="K46" s="1438"/>
      <c r="L46" s="1444" t="s">
        <v>400</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203</v>
      </c>
      <c r="B47" s="1438" t="s">
        <v>204</v>
      </c>
      <c r="C47" s="1438" t="s">
        <v>205</v>
      </c>
      <c r="D47" s="1438" t="s">
        <v>206</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203</v>
      </c>
      <c r="B48" s="1330" t="s">
        <v>204</v>
      </c>
      <c r="C48" s="1330" t="s">
        <v>205</v>
      </c>
      <c r="D48" s="1330" t="s">
        <v>206</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65</v>
      </c>
      <c r="Z48" s="2018"/>
      <c r="AA48" s="2005" t="s">
        <v>65</v>
      </c>
      <c r="AB48" s="2027"/>
      <c r="AC48" s="2026" t="s">
        <v>22</v>
      </c>
      <c r="AD48" s="814"/>
      <c r="AE48" s="1320"/>
      <c r="AF48" s="2018"/>
      <c r="AG48" s="2005" t="s">
        <v>65</v>
      </c>
      <c r="AH48" s="2018"/>
      <c r="AI48" s="2005" t="s">
        <v>65</v>
      </c>
      <c r="AJ48" s="1411"/>
      <c r="AK48" s="2316" t="s">
        <v>477</v>
      </c>
      <c r="AL48" s="1699">
        <f>STRCHECKDATE(#REF!)</f>
      </c>
      <c r="AM48" s="1687"/>
      <c r="AN48" s="1687" t="str">
        <f>IF(T48="","",T48)</f>
        <v/>
      </c>
      <c r="AO48" s="1687"/>
      <c r="AP48" s="1687"/>
      <c r="AQ48" s="1694">
        <v>21</v>
      </c>
    </row>
    <row customHeight="1" ht="11.549999999999999">
      <c r="A49" s="1330" t="s">
        <v>203</v>
      </c>
      <c r="B49" s="1330" t="s">
        <v>204</v>
      </c>
      <c r="C49" s="1330" t="s">
        <v>205</v>
      </c>
      <c r="D49" s="1330" t="s">
        <v>206</v>
      </c>
      <c r="E49" s="2353"/>
      <c r="F49" s="2353"/>
      <c r="G49" s="2353"/>
      <c r="H49" s="2353"/>
      <c r="I49" s="2164"/>
      <c r="J49" s="2190"/>
      <c r="K49" s="1330"/>
      <c r="L49" s="1373"/>
      <c r="P49" s="2320"/>
      <c r="Q49" s="2320"/>
      <c r="R49" s="419"/>
      <c r="S49" s="1341"/>
      <c r="T49" s="350" t="s">
        <v>465</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203</v>
      </c>
      <c r="B50" s="1438" t="s">
        <v>204</v>
      </c>
      <c r="C50" s="1438" t="s">
        <v>205</v>
      </c>
      <c r="D50" s="1438" t="s">
        <v>206</v>
      </c>
      <c r="E50" s="2353"/>
      <c r="F50" s="2353"/>
      <c r="G50" s="2353"/>
      <c r="H50" s="2353"/>
      <c r="I50" s="2190"/>
      <c r="J50" s="1438"/>
      <c r="K50" s="1438"/>
      <c r="L50" s="1444"/>
      <c r="M50" s="1309"/>
      <c r="N50" s="1309"/>
      <c r="O50" s="1309"/>
      <c r="P50" s="2320"/>
      <c r="Q50" s="2017"/>
      <c r="R50" s="419"/>
      <c r="S50" s="1449"/>
      <c r="T50" s="1450" t="s">
        <v>409</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203</v>
      </c>
      <c r="B51" s="1438" t="s">
        <v>204</v>
      </c>
      <c r="C51" s="1438" t="s">
        <v>205</v>
      </c>
      <c r="D51" s="1438" t="s">
        <v>206</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203</v>
      </c>
      <c r="B52" s="1438" t="s">
        <v>204</v>
      </c>
      <c r="C52" s="1438" t="s">
        <v>205</v>
      </c>
      <c r="D52" s="1437"/>
      <c r="E52" s="2353"/>
      <c r="F52" s="2353"/>
      <c r="G52" s="2352"/>
      <c r="H52" s="1437"/>
      <c r="I52" s="1437"/>
      <c r="J52" s="1437"/>
      <c r="K52" s="1437"/>
      <c r="L52" s="1440"/>
      <c r="M52" s="1441"/>
      <c r="N52" s="1441"/>
      <c r="O52" s="414"/>
      <c r="P52" s="1379"/>
      <c r="Q52" s="1380"/>
      <c r="R52" s="1379"/>
      <c r="S52" s="1385"/>
      <c r="T52" s="1388" t="s">
        <v>411</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203</v>
      </c>
      <c r="B53" s="1438" t="s">
        <v>204</v>
      </c>
      <c r="C53" s="1437"/>
      <c r="D53" s="1437"/>
      <c r="E53" s="2353"/>
      <c r="F53" s="2352"/>
      <c r="G53" s="1437"/>
      <c r="H53" s="1437"/>
      <c r="I53" s="1437"/>
      <c r="J53" s="1437"/>
      <c r="K53" s="1437"/>
      <c r="L53" s="1440"/>
      <c r="M53" s="1442"/>
      <c r="N53" s="1442"/>
      <c r="O53" s="414"/>
      <c r="P53" s="1379"/>
      <c r="Q53" s="1380"/>
      <c r="R53" s="1379"/>
      <c r="S53" s="1385"/>
      <c r="T53" s="1388" t="s">
        <v>412</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203</v>
      </c>
      <c r="B54" s="1438"/>
      <c r="C54" s="1438"/>
      <c r="D54" s="1438"/>
      <c r="E54" s="2353"/>
      <c r="F54" s="1438"/>
      <c r="G54" s="1438"/>
      <c r="H54" s="1438"/>
      <c r="I54" s="1438"/>
      <c r="J54" s="1438"/>
      <c r="K54" s="1438"/>
      <c r="L54" s="1444"/>
      <c r="M54" s="1442"/>
      <c r="N54" s="1442"/>
      <c r="O54" s="414"/>
      <c r="P54" s="443"/>
      <c r="Q54" s="1407"/>
      <c r="R54" s="443"/>
      <c r="S54" s="1385"/>
      <c r="T54" s="1388" t="s">
        <v>413</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203</v>
      </c>
      <c r="B55" s="1438"/>
      <c r="C55" s="1438"/>
      <c r="D55" s="1438"/>
      <c r="E55" s="2352"/>
      <c r="F55" s="1438"/>
      <c r="G55" s="1438"/>
      <c r="H55" s="1438"/>
      <c r="I55" s="1438"/>
      <c r="J55" s="1438"/>
      <c r="K55" s="1438"/>
      <c r="L55" s="1444"/>
      <c r="M55" s="1442"/>
      <c r="N55" s="1442"/>
      <c r="O55" s="414"/>
      <c r="P55" s="443"/>
      <c r="Q55" s="1407"/>
      <c r="R55" s="443"/>
      <c r="S55" s="1385"/>
      <c r="T55" s="1388" t="s">
        <v>413</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445</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81</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A5A4F-AF94-CE1C-E369-B42D8500E2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394</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395</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478</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479</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399</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400</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65</v>
      </c>
      <c r="AB8" s="1797"/>
      <c r="AC8" s="1522" t="s">
        <v>65</v>
      </c>
      <c r="AD8" s="2248" t="s">
        <v>65</v>
      </c>
      <c r="AE8" s="2389"/>
      <c r="AF8" s="2268">
        <v>1</v>
      </c>
      <c r="AG8" s="2426"/>
      <c r="AH8" s="2170" t="s">
        <v>65</v>
      </c>
      <c r="AI8" s="2389"/>
      <c r="AJ8" s="2268">
        <v>1</v>
      </c>
      <c r="AK8" s="2390" t="s">
        <v>22</v>
      </c>
      <c r="AL8" s="2170" t="s">
        <v>65</v>
      </c>
      <c r="AM8" s="2255"/>
      <c r="AN8" s="2268">
        <v>1</v>
      </c>
      <c r="AO8" s="2420"/>
      <c r="AP8" s="2421" t="s">
        <v>65</v>
      </c>
      <c r="AQ8" s="374"/>
      <c r="AR8" s="1526">
        <v>1</v>
      </c>
      <c r="AS8" s="1529" t="s">
        <v>22</v>
      </c>
      <c r="AT8" s="814"/>
      <c r="AU8" s="1320"/>
      <c r="AV8" s="814"/>
      <c r="AW8" s="1320"/>
      <c r="AX8" s="1797"/>
      <c r="AY8" s="1522" t="s">
        <v>65</v>
      </c>
      <c r="AZ8" s="1797"/>
      <c r="BA8" s="1522" t="s">
        <v>65</v>
      </c>
      <c r="BB8" s="1411"/>
      <c r="BC8" s="2316" t="s">
        <v>498</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499</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500</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501</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502</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465</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412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413</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65</v>
      </c>
      <c r="AZ20" s="1799"/>
      <c r="BA20" s="1523" t="s">
        <v>65</v>
      </c>
      <c r="BI20" s="1218">
        <v>0</v>
      </c>
    </row>
    <row customHeight="1" ht="14.25" hidden="1">
      <c r="BD21" s="559"/>
      <c r="BE21" s="559"/>
      <c r="BF21" s="559"/>
      <c r="BG21" s="559"/>
      <c r="BH21" s="559"/>
      <c r="BI21" s="1218">
        <v>0</v>
      </c>
    </row>
    <row customHeight="1" ht="14.25" hidden="1">
      <c r="O22" s="1430" t="s">
        <v>414</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415</v>
      </c>
      <c r="P24" s="1571"/>
      <c r="Q24" s="1573"/>
      <c r="R24" s="1573"/>
      <c r="AA24" s="1570" t="s">
        <v>417</v>
      </c>
      <c r="AC24" s="1570" t="s">
        <v>418</v>
      </c>
      <c r="AD24" s="1570" t="s">
        <v>466</v>
      </c>
      <c r="AH24" s="1570" t="s">
        <v>466</v>
      </c>
      <c r="AK24" s="1570" t="s">
        <v>503</v>
      </c>
      <c r="AL24" s="1570" t="s">
        <v>466</v>
      </c>
      <c r="AP24" s="1570" t="s">
        <v>466</v>
      </c>
      <c r="AY24" s="1570" t="s">
        <v>417</v>
      </c>
      <c r="BA24" s="1570" t="s">
        <v>418</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420</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421</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420</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421</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424</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424</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297</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298</v>
      </c>
      <c r="BI40" s="1218">
        <v>14</v>
      </c>
    </row>
    <row customHeight="1" ht="14.699999999999998">
      <c r="Q41" s="354"/>
      <c r="R41" s="439"/>
      <c r="S41" s="2336" t="s">
        <v>87</v>
      </c>
      <c r="T41" s="2272" t="s">
        <v>504</v>
      </c>
      <c r="U41" s="364"/>
      <c r="V41" s="2337" t="s">
        <v>426</v>
      </c>
      <c r="W41" s="2338"/>
      <c r="X41" s="2338"/>
      <c r="Y41" s="2338"/>
      <c r="Z41" s="2338"/>
      <c r="AA41" s="2338"/>
      <c r="AB41" s="2339"/>
      <c r="AC41" s="2340" t="s">
        <v>427</v>
      </c>
      <c r="AD41" s="2391" t="s">
        <v>505</v>
      </c>
      <c r="AE41" s="2354"/>
      <c r="AF41" s="2354"/>
      <c r="AG41" s="2392"/>
      <c r="AH41" s="2391" t="s">
        <v>506</v>
      </c>
      <c r="AI41" s="2354"/>
      <c r="AJ41" s="2354"/>
      <c r="AK41" s="2392"/>
      <c r="AL41" s="2391" t="s">
        <v>507</v>
      </c>
      <c r="AM41" s="2354"/>
      <c r="AN41" s="2354"/>
      <c r="AO41" s="2392"/>
      <c r="AP41" s="2391" t="s">
        <v>508</v>
      </c>
      <c r="AQ41" s="2354"/>
      <c r="AR41" s="2354"/>
      <c r="AS41" s="2392"/>
      <c r="AT41" s="2337" t="s">
        <v>426</v>
      </c>
      <c r="AU41" s="2338"/>
      <c r="AV41" s="2338"/>
      <c r="AW41" s="2338"/>
      <c r="AX41" s="2338"/>
      <c r="AY41" s="2338"/>
      <c r="AZ41" s="2339"/>
      <c r="BA41" s="2340" t="s">
        <v>427</v>
      </c>
      <c r="BB41" s="2343" t="s">
        <v>429</v>
      </c>
      <c r="BC41" s="2190"/>
      <c r="BI41" s="1218">
        <v>14</v>
      </c>
    </row>
    <row customHeight="1" ht="35.699999999999996">
      <c r="Q42" s="354"/>
      <c r="R42" s="439"/>
      <c r="S42" s="2336"/>
      <c r="T42" s="2272"/>
      <c r="U42" s="1094"/>
      <c r="V42" s="2255" t="s">
        <v>509</v>
      </c>
      <c r="W42" s="2256"/>
      <c r="X42" s="2255" t="s">
        <v>510</v>
      </c>
      <c r="Y42" s="2256"/>
      <c r="Z42" s="2357" t="s">
        <v>511</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509</v>
      </c>
      <c r="AU42" s="2256"/>
      <c r="AV42" s="2255" t="s">
        <v>510</v>
      </c>
      <c r="AW42" s="2256"/>
      <c r="AX42" s="2357" t="s">
        <v>511</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434</v>
      </c>
      <c r="F44" s="1427" t="s">
        <v>435</v>
      </c>
      <c r="G44" s="1427" t="s">
        <v>436</v>
      </c>
      <c r="H44" s="1427" t="s">
        <v>437</v>
      </c>
      <c r="I44" s="1427" t="s">
        <v>438</v>
      </c>
      <c r="J44" s="1427" t="s">
        <v>439</v>
      </c>
      <c r="K44" s="1427" t="s">
        <v>440</v>
      </c>
      <c r="L44" s="1427" t="s">
        <v>415</v>
      </c>
      <c r="Q44" s="354"/>
      <c r="R44" s="439"/>
      <c r="S44" s="2336"/>
      <c r="T44" s="2272"/>
      <c r="U44" s="365"/>
      <c r="V44" s="1511" t="s">
        <v>475</v>
      </c>
      <c r="W44" s="1511" t="s">
        <v>476</v>
      </c>
      <c r="X44" s="1511" t="s">
        <v>475</v>
      </c>
      <c r="Y44" s="1511" t="s">
        <v>476</v>
      </c>
      <c r="Z44" s="1518" t="s">
        <v>443</v>
      </c>
      <c r="AA44" s="2333" t="s">
        <v>444</v>
      </c>
      <c r="AB44" s="2334"/>
      <c r="AC44" s="2342"/>
      <c r="AD44" s="2396"/>
      <c r="AE44" s="2397"/>
      <c r="AF44" s="2397"/>
      <c r="AG44" s="2398"/>
      <c r="AH44" s="2396"/>
      <c r="AI44" s="2397"/>
      <c r="AJ44" s="2397"/>
      <c r="AK44" s="2398"/>
      <c r="AL44" s="2396"/>
      <c r="AM44" s="2397"/>
      <c r="AN44" s="2397"/>
      <c r="AO44" s="2398"/>
      <c r="AP44" s="2396"/>
      <c r="AQ44" s="2397"/>
      <c r="AR44" s="2397"/>
      <c r="AS44" s="2398"/>
      <c r="AT44" s="1511" t="s">
        <v>475</v>
      </c>
      <c r="AU44" s="1511" t="s">
        <v>476</v>
      </c>
      <c r="AV44" s="1511" t="s">
        <v>475</v>
      </c>
      <c r="AW44" s="1511" t="s">
        <v>476</v>
      </c>
      <c r="AX44" s="1518" t="s">
        <v>443</v>
      </c>
      <c r="AY44" s="2333" t="s">
        <v>444</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243</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243</v>
      </c>
      <c r="B47" s="1426" t="s">
        <v>244</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394</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395</v>
      </c>
      <c r="BE47" s="563"/>
      <c r="BF47" s="563" t="str">
        <f>IF(T47="","",T47)</f>
        <v>Территория действия тарифа</v>
      </c>
      <c r="BG47" s="563"/>
      <c r="BH47" s="563"/>
      <c r="BI47" s="1218">
        <v>21</v>
      </c>
    </row>
    <row customHeight="1" ht="43.050000000000004">
      <c r="A48" s="1426" t="s">
        <v>243</v>
      </c>
      <c r="B48" s="1426" t="s">
        <v>244</v>
      </c>
      <c r="C48" s="1426" t="s">
        <v>245</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478</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479</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243</v>
      </c>
      <c r="B49" s="1406" t="s">
        <v>244</v>
      </c>
      <c r="C49" s="1406" t="s">
        <v>245</v>
      </c>
      <c r="D49" s="1406" t="s">
        <v>512</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399</v>
      </c>
      <c r="BE49" s="563"/>
      <c r="BF49" s="563" t="str">
        <f>IF(T49="","",T49)</f>
        <v/>
      </c>
      <c r="BG49" s="563"/>
      <c r="BH49" s="563"/>
      <c r="BI49" s="574">
        <v>0</v>
      </c>
    </row>
    <row s="4026" customFormat="1" customHeight="1" ht="0">
      <c r="A50" s="1406" t="s">
        <v>243</v>
      </c>
      <c r="B50" s="1406" t="s">
        <v>244</v>
      </c>
      <c r="C50" s="1406" t="s">
        <v>245</v>
      </c>
      <c r="D50" s="1406" t="s">
        <v>512</v>
      </c>
      <c r="E50" s="2322"/>
      <c r="F50" s="2322"/>
      <c r="G50" s="2322"/>
      <c r="H50" s="2322"/>
      <c r="I50" s="2319" t="str">
        <f>S49&amp;".1"</f>
        <v>.1</v>
      </c>
      <c r="J50" s="1406"/>
      <c r="K50" s="1406"/>
      <c r="L50" s="1409" t="s">
        <v>400</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243</v>
      </c>
      <c r="B51" s="1406" t="s">
        <v>244</v>
      </c>
      <c r="C51" s="1406" t="s">
        <v>245</v>
      </c>
      <c r="D51" s="1406" t="s">
        <v>512</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243</v>
      </c>
      <c r="B52" s="1426" t="s">
        <v>244</v>
      </c>
      <c r="C52" s="1426" t="s">
        <v>245</v>
      </c>
      <c r="D52" s="1426" t="s">
        <v>512</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65</v>
      </c>
      <c r="AB52" s="1797"/>
      <c r="AC52" s="152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26">
        <v>1</v>
      </c>
      <c r="AS52" s="1529" t="s">
        <v>22</v>
      </c>
      <c r="AT52" s="814"/>
      <c r="AU52" s="1320"/>
      <c r="AV52" s="814"/>
      <c r="AW52" s="1320"/>
      <c r="AX52" s="1797"/>
      <c r="AY52" s="1522" t="s">
        <v>65</v>
      </c>
      <c r="AZ52" s="1797"/>
      <c r="BA52" s="1522" t="s">
        <v>65</v>
      </c>
      <c r="BB52" s="1411"/>
      <c r="BC52" s="2316" t="s">
        <v>498</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499</v>
      </c>
      <c r="AT53" s="1456"/>
      <c r="AU53" s="1559"/>
      <c r="AV53" s="1456"/>
      <c r="AW53" s="1559"/>
      <c r="AX53" s="1456"/>
      <c r="AY53" s="1456"/>
      <c r="AZ53" s="1456"/>
      <c r="BA53" s="1456"/>
      <c r="BB53" s="1460"/>
      <c r="BC53" s="2317"/>
      <c r="BE53" s="563"/>
      <c r="BF53" s="563"/>
      <c r="BG53" s="563"/>
      <c r="BH53" s="563"/>
      <c r="BI53" s="1218">
        <v>11</v>
      </c>
    </row>
    <row customHeight="1" ht="11.549999999999999">
      <c r="A54" s="1426" t="s">
        <v>243</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500</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243</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501</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243</v>
      </c>
      <c r="B56" s="1426" t="s">
        <v>244</v>
      </c>
      <c r="C56" s="1426" t="s">
        <v>245</v>
      </c>
      <c r="D56" s="1426" t="s">
        <v>512</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502</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243</v>
      </c>
      <c r="B57" s="1426" t="s">
        <v>244</v>
      </c>
      <c r="C57" s="1426" t="s">
        <v>245</v>
      </c>
      <c r="D57" s="1426" t="s">
        <v>512</v>
      </c>
      <c r="E57" s="2322"/>
      <c r="F57" s="2322"/>
      <c r="G57" s="2322"/>
      <c r="H57" s="2322"/>
      <c r="I57" s="2349"/>
      <c r="J57" s="2319"/>
      <c r="K57" s="1426"/>
      <c r="L57" s="1427"/>
      <c r="P57" s="2320"/>
      <c r="Q57" s="2320"/>
      <c r="R57" s="419"/>
      <c r="S57" s="1341"/>
      <c r="T57" s="350" t="s">
        <v>465</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243</v>
      </c>
      <c r="B58" s="1406" t="s">
        <v>244</v>
      </c>
      <c r="C58" s="1406" t="s">
        <v>245</v>
      </c>
      <c r="D58" s="1406" t="s">
        <v>512</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243</v>
      </c>
      <c r="B59" s="1406" t="s">
        <v>244</v>
      </c>
      <c r="C59" s="1406" t="s">
        <v>245</v>
      </c>
      <c r="D59" s="1406" t="s">
        <v>512</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243</v>
      </c>
      <c r="B60" s="1406" t="s">
        <v>244</v>
      </c>
      <c r="C60" s="1406" t="s">
        <v>245</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243</v>
      </c>
      <c r="B61" s="1406" t="s">
        <v>244</v>
      </c>
      <c r="C61" s="1377"/>
      <c r="D61" s="1377"/>
      <c r="E61" s="2322"/>
      <c r="F61" s="2321"/>
      <c r="G61" s="1377"/>
      <c r="H61" s="1377"/>
      <c r="I61" s="1377"/>
      <c r="J61" s="1377"/>
      <c r="K61" s="1377"/>
      <c r="L61" s="1527"/>
      <c r="M61" s="1384"/>
      <c r="N61" s="1384"/>
      <c r="P61" s="1379"/>
      <c r="Q61" s="1380"/>
      <c r="R61" s="1379"/>
      <c r="S61" s="1385"/>
      <c r="T61" s="1388" t="s">
        <v>412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243</v>
      </c>
      <c r="B62" s="1406"/>
      <c r="C62" s="1406"/>
      <c r="D62" s="1406"/>
      <c r="E62" s="2321"/>
      <c r="F62" s="1406"/>
      <c r="G62" s="1406"/>
      <c r="H62" s="1406"/>
      <c r="I62" s="1406"/>
      <c r="J62" s="1406"/>
      <c r="K62" s="1406"/>
      <c r="L62" s="1409"/>
      <c r="M62" s="1384"/>
      <c r="N62" s="1384"/>
      <c r="O62" s="581"/>
      <c r="P62" s="443"/>
      <c r="Q62" s="1407"/>
      <c r="R62" s="443"/>
      <c r="S62" s="1385"/>
      <c r="T62" s="1388" t="s">
        <v>413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445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A0F02-45B3-0F38-5B3E-83818C6ABE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513</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514</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480</v>
      </c>
      <c r="U5" s="363"/>
      <c r="V5" s="2413"/>
      <c r="W5" s="2414"/>
      <c r="X5" s="2414"/>
      <c r="Y5" s="2414"/>
      <c r="Z5" s="2414"/>
      <c r="AA5" s="2414"/>
      <c r="AB5" s="2415"/>
      <c r="AC5" s="2416"/>
      <c r="AD5" s="2417"/>
      <c r="AE5" s="2417"/>
      <c r="AF5" s="2417"/>
      <c r="AG5" s="2417"/>
      <c r="AH5" s="2417"/>
      <c r="AI5" s="2417"/>
      <c r="AJ5" s="2418"/>
      <c r="AK5" s="1321" t="s">
        <v>481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403</v>
      </c>
      <c r="P6" s="2320"/>
      <c r="Q6" s="2320">
        <v>1</v>
      </c>
      <c r="R6" s="420"/>
      <c r="S6" s="1556">
        <f>$J6</f>
      </c>
      <c r="T6" s="349" t="s">
        <v>404</v>
      </c>
      <c r="U6" s="363"/>
      <c r="V6" s="2308"/>
      <c r="W6" s="2309"/>
      <c r="X6" s="2309"/>
      <c r="Y6" s="2309"/>
      <c r="Z6" s="2309"/>
      <c r="AA6" s="2309"/>
      <c r="AB6" s="2310"/>
      <c r="AC6" s="2308"/>
      <c r="AD6" s="2309"/>
      <c r="AE6" s="2309"/>
      <c r="AF6" s="2309"/>
      <c r="AG6" s="2309"/>
      <c r="AH6" s="2309"/>
      <c r="AI6" s="2309"/>
      <c r="AJ6" s="2310"/>
      <c r="AK6" s="1370" t="s">
        <v>482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430"/>
      <c r="X9" s="430"/>
      <c r="Y9" s="430"/>
      <c r="Z9" s="430"/>
      <c r="AA9" s="430"/>
      <c r="AB9" s="430"/>
      <c r="AC9" s="430"/>
      <c r="AD9" s="430"/>
      <c r="AE9" s="430"/>
      <c r="AF9" s="430"/>
      <c r="AG9" s="430"/>
      <c r="AH9" s="430"/>
      <c r="AI9" s="430"/>
      <c r="AJ9" s="430"/>
      <c r="AK9" s="1321" t="s">
        <v>484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414</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415</v>
      </c>
      <c r="P20" s="1425"/>
      <c r="Q20" s="1505"/>
      <c r="R20" s="1505"/>
      <c r="S20" s="792"/>
      <c r="T20" s="1223" t="s">
        <v>416</v>
      </c>
      <c r="Z20" s="249" t="s">
        <v>417</v>
      </c>
      <c r="AB20" s="249" t="s">
        <v>418</v>
      </c>
      <c r="AC20" s="1223" t="s">
        <v>416</v>
      </c>
      <c r="AG20" s="249" t="s">
        <v>419</v>
      </c>
      <c r="AI20" s="249" t="s">
        <v>418</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424</v>
      </c>
      <c r="AC34" s="389"/>
      <c r="AD34" s="389"/>
      <c r="AE34" s="389"/>
      <c r="AF34" s="389"/>
      <c r="AG34" s="389"/>
      <c r="AH34" s="389"/>
      <c r="AI34" s="341" t="s">
        <v>424</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t="s">
        <v>298</v>
      </c>
      <c r="AQ36" s="1218">
        <v>14</v>
      </c>
    </row>
    <row customHeight="1" ht="14.699999999999998">
      <c r="Q37" s="439"/>
      <c r="R37" s="439"/>
      <c r="S37" s="2336" t="s">
        <v>87</v>
      </c>
      <c r="T37" s="2272" t="s">
        <v>425</v>
      </c>
      <c r="U37" s="364"/>
      <c r="V37" s="2337" t="s">
        <v>426</v>
      </c>
      <c r="W37" s="2338"/>
      <c r="X37" s="2338"/>
      <c r="Y37" s="2338"/>
      <c r="Z37" s="2338"/>
      <c r="AA37" s="2339"/>
      <c r="AB37" s="2340" t="s">
        <v>427</v>
      </c>
      <c r="AC37" s="2337" t="s">
        <v>426</v>
      </c>
      <c r="AD37" s="2338"/>
      <c r="AE37" s="2338"/>
      <c r="AF37" s="2338"/>
      <c r="AG37" s="2338"/>
      <c r="AH37" s="2339"/>
      <c r="AI37" s="2340" t="s">
        <v>428</v>
      </c>
      <c r="AJ37" s="2343" t="s">
        <v>429</v>
      </c>
      <c r="AK37" s="2190"/>
      <c r="AQ37" s="1218">
        <v>14</v>
      </c>
    </row>
    <row customHeight="1" ht="35.699999999999996">
      <c r="Q38" s="439"/>
      <c r="R38" s="439"/>
      <c r="S38" s="2336"/>
      <c r="T38" s="2272"/>
      <c r="U38" s="1094"/>
      <c r="V38" s="1546" t="s">
        <v>486</v>
      </c>
      <c r="W38" s="2325" t="s">
        <v>432</v>
      </c>
      <c r="X38" s="2326"/>
      <c r="Y38" s="2325" t="s">
        <v>433</v>
      </c>
      <c r="Z38" s="2332"/>
      <c r="AA38" s="2326"/>
      <c r="AB38" s="2341"/>
      <c r="AC38" s="1546" t="s">
        <v>486</v>
      </c>
      <c r="AD38" s="2325" t="s">
        <v>432</v>
      </c>
      <c r="AE38" s="2326"/>
      <c r="AF38" s="2325" t="s">
        <v>433</v>
      </c>
      <c r="AG38" s="2332"/>
      <c r="AH38" s="2326"/>
      <c r="AI38" s="2341"/>
      <c r="AJ38" s="2344"/>
      <c r="AK38" s="2190"/>
      <c r="AQ38" s="1218">
        <v>34</v>
      </c>
    </row>
    <row customHeight="1" ht="90.3">
      <c r="A39" s="1433"/>
      <c r="B39" s="1433" t="s">
        <v>135</v>
      </c>
      <c r="C39" s="1433" t="s">
        <v>136</v>
      </c>
      <c r="D39" s="1433" t="s">
        <v>137</v>
      </c>
      <c r="E39" s="1427" t="s">
        <v>434</v>
      </c>
      <c r="F39" s="1427" t="s">
        <v>435</v>
      </c>
      <c r="G39" s="1427" t="s">
        <v>436</v>
      </c>
      <c r="H39" s="1427"/>
      <c r="I39" s="1427" t="s">
        <v>487</v>
      </c>
      <c r="J39" s="1427" t="s">
        <v>439</v>
      </c>
      <c r="K39" s="1427" t="s">
        <v>488</v>
      </c>
      <c r="L39" s="1427" t="s">
        <v>415</v>
      </c>
      <c r="Q39" s="439"/>
      <c r="R39" s="439"/>
      <c r="S39" s="2336"/>
      <c r="T39" s="2272"/>
      <c r="U39" s="365"/>
      <c r="V39" s="1546" t="s">
        <v>515</v>
      </c>
      <c r="W39" s="1285" t="s">
        <v>516</v>
      </c>
      <c r="X39" s="1285" t="s">
        <v>491</v>
      </c>
      <c r="Y39" s="1552" t="s">
        <v>443</v>
      </c>
      <c r="Z39" s="2333" t="s">
        <v>444</v>
      </c>
      <c r="AA39" s="2334"/>
      <c r="AB39" s="2342"/>
      <c r="AC39" s="1546" t="s">
        <v>515</v>
      </c>
      <c r="AD39" s="1285" t="s">
        <v>516</v>
      </c>
      <c r="AE39" s="1285" t="s">
        <v>491</v>
      </c>
      <c r="AF39" s="1552" t="s">
        <v>443</v>
      </c>
      <c r="AG39" s="2333" t="s">
        <v>444</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263</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263</v>
      </c>
      <c r="B42" s="1426" t="s">
        <v>264</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395</v>
      </c>
      <c r="AM42" s="563"/>
      <c r="AN42" s="563" t="str">
        <f>IF(T42="","",T42)</f>
        <v>Территория действия тарифа</v>
      </c>
      <c r="AO42" s="563"/>
      <c r="AP42" s="563"/>
      <c r="AQ42" s="1218">
        <v>23</v>
      </c>
    </row>
    <row customHeight="1" ht="24">
      <c r="A43" s="1426" t="s">
        <v>263</v>
      </c>
      <c r="B43" s="1426" t="s">
        <v>264</v>
      </c>
      <c r="C43" s="1426" t="s">
        <v>265</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513</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514</v>
      </c>
      <c r="AM43" s="563"/>
      <c r="AN43" s="563" t="str">
        <f>IF(T43="","",T43)</f>
        <v>Наименование централизованной системы водоотведения</v>
      </c>
      <c r="AO43" s="563"/>
      <c r="AP43" s="563"/>
      <c r="AQ43" s="1218">
        <v>23</v>
      </c>
    </row>
    <row customHeight="1" ht="24">
      <c r="A44" s="1426" t="s">
        <v>263</v>
      </c>
      <c r="B44" s="1426" t="s">
        <v>264</v>
      </c>
      <c r="C44" s="1426" t="s">
        <v>265</v>
      </c>
      <c r="D44" s="1426" t="s">
        <v>517</v>
      </c>
      <c r="E44" s="2322"/>
      <c r="F44" s="2322"/>
      <c r="G44" s="2322"/>
      <c r="H44" s="2322"/>
      <c r="I44" s="2319" t="str">
        <f>S43&amp;".1"</f>
        <v>...1</v>
      </c>
      <c r="J44" s="1426"/>
      <c r="K44" s="1426"/>
      <c r="L44" s="1427"/>
      <c r="P44" s="2320">
        <v>1</v>
      </c>
      <c r="Q44" s="1544"/>
      <c r="R44" s="419"/>
      <c r="S44" s="1556" t="str">
        <f>$I44</f>
        <v>...1</v>
      </c>
      <c r="T44" s="348" t="s">
        <v>480</v>
      </c>
      <c r="U44" s="363"/>
      <c r="V44" s="2413"/>
      <c r="W44" s="2414"/>
      <c r="X44" s="2414"/>
      <c r="Y44" s="2414"/>
      <c r="Z44" s="2414"/>
      <c r="AA44" s="2414"/>
      <c r="AB44" s="2415"/>
      <c r="AC44" s="2416"/>
      <c r="AD44" s="2417"/>
      <c r="AE44" s="2417"/>
      <c r="AF44" s="2417"/>
      <c r="AG44" s="2417"/>
      <c r="AH44" s="2417"/>
      <c r="AI44" s="2417"/>
      <c r="AJ44" s="2418"/>
      <c r="AK44" s="1321" t="s">
        <v>481</v>
      </c>
      <c r="AM44" s="563"/>
      <c r="AN44" s="563" t="str">
        <f>IF(T44="","",T44)</f>
        <v>Наименование признака дифференциации</v>
      </c>
      <c r="AO44" s="563"/>
      <c r="AP44" s="563"/>
      <c r="AQ44" s="1218">
        <v>23</v>
      </c>
    </row>
    <row customHeight="1" ht="24">
      <c r="A45" s="1426" t="s">
        <v>263</v>
      </c>
      <c r="B45" s="1426" t="s">
        <v>264</v>
      </c>
      <c r="C45" s="1426" t="s">
        <v>265</v>
      </c>
      <c r="D45" s="1426" t="s">
        <v>517</v>
      </c>
      <c r="E45" s="2322"/>
      <c r="F45" s="2322"/>
      <c r="G45" s="2322"/>
      <c r="H45" s="2322"/>
      <c r="I45" s="2349"/>
      <c r="J45" s="2319" t="str">
        <f>I44&amp;".1"</f>
        <v>...1.1</v>
      </c>
      <c r="K45" s="1426"/>
      <c r="L45" s="1427" t="s">
        <v>403</v>
      </c>
      <c r="P45" s="2320"/>
      <c r="Q45" s="2320">
        <v>1</v>
      </c>
      <c r="R45" s="420"/>
      <c r="S45" s="1556" t="str">
        <f>$J45</f>
        <v>...1.1</v>
      </c>
      <c r="T45" s="349" t="s">
        <v>404</v>
      </c>
      <c r="U45" s="363"/>
      <c r="V45" s="2308"/>
      <c r="W45" s="2309"/>
      <c r="X45" s="2309"/>
      <c r="Y45" s="2309"/>
      <c r="Z45" s="2309"/>
      <c r="AA45" s="2309"/>
      <c r="AB45" s="2310"/>
      <c r="AC45" s="2308"/>
      <c r="AD45" s="2309"/>
      <c r="AE45" s="2309"/>
      <c r="AF45" s="2309"/>
      <c r="AG45" s="2309"/>
      <c r="AH45" s="2309"/>
      <c r="AI45" s="2309"/>
      <c r="AJ45" s="2310"/>
      <c r="AK45" s="1370" t="s">
        <v>482</v>
      </c>
      <c r="AM45" s="563"/>
      <c r="AN45" s="563" t="str">
        <f>IF(T45="","",T45)</f>
        <v>Группа потребителей</v>
      </c>
      <c r="AO45" s="563"/>
      <c r="AP45" s="563"/>
      <c r="AQ45" s="1218">
        <v>23</v>
      </c>
    </row>
    <row customHeight="1" ht="24">
      <c r="A46" s="1426" t="s">
        <v>263</v>
      </c>
      <c r="B46" s="1426" t="s">
        <v>264</v>
      </c>
      <c r="C46" s="1426" t="s">
        <v>265</v>
      </c>
      <c r="D46" s="1426" t="s">
        <v>517</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263</v>
      </c>
      <c r="B47" s="1426" t="s">
        <v>264</v>
      </c>
      <c r="C47" s="1426" t="s">
        <v>265</v>
      </c>
      <c r="D47" s="1426" t="s">
        <v>517</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263</v>
      </c>
      <c r="B48" s="1426" t="s">
        <v>264</v>
      </c>
      <c r="C48" s="1426" t="s">
        <v>265</v>
      </c>
      <c r="D48" s="1426" t="s">
        <v>517</v>
      </c>
      <c r="E48" s="2322"/>
      <c r="F48" s="2322"/>
      <c r="G48" s="2322"/>
      <c r="H48" s="2322"/>
      <c r="I48" s="2349"/>
      <c r="J48" s="2319"/>
      <c r="K48" s="1426"/>
      <c r="L48" s="1427"/>
      <c r="P48" s="2320"/>
      <c r="Q48" s="2320"/>
      <c r="R48" s="419"/>
      <c r="S48" s="1341"/>
      <c r="T48" s="350" t="s">
        <v>483</v>
      </c>
      <c r="U48" s="430"/>
      <c r="V48" s="430"/>
      <c r="W48" s="430"/>
      <c r="X48" s="430"/>
      <c r="Y48" s="430"/>
      <c r="Z48" s="430"/>
      <c r="AA48" s="430"/>
      <c r="AB48" s="430"/>
      <c r="AC48" s="430"/>
      <c r="AD48" s="430"/>
      <c r="AE48" s="430"/>
      <c r="AF48" s="430"/>
      <c r="AG48" s="430"/>
      <c r="AH48" s="430"/>
      <c r="AI48" s="430"/>
      <c r="AJ48" s="430"/>
      <c r="AK48" s="1321" t="s">
        <v>484</v>
      </c>
      <c r="AM48" s="563"/>
      <c r="AN48" s="563" t="str">
        <f>IF(T48="","",T48)</f>
        <v>Добавить значение признака дифференциации</v>
      </c>
      <c r="AO48" s="563"/>
      <c r="AP48" s="563"/>
      <c r="AQ48" s="1218">
        <v>20</v>
      </c>
    </row>
    <row customHeight="1" ht="22.049999999999997">
      <c r="A49" s="1426" t="s">
        <v>263</v>
      </c>
      <c r="B49" s="1426" t="s">
        <v>264</v>
      </c>
      <c r="C49" s="1426" t="s">
        <v>265</v>
      </c>
      <c r="D49" s="1426" t="s">
        <v>517</v>
      </c>
      <c r="E49" s="2322"/>
      <c r="F49" s="2322"/>
      <c r="G49" s="2322"/>
      <c r="H49" s="2322"/>
      <c r="I49" s="2319"/>
      <c r="J49" s="1426"/>
      <c r="K49" s="1426"/>
      <c r="L49" s="1427"/>
      <c r="P49" s="2320"/>
      <c r="Q49" s="1544"/>
      <c r="R49" s="419"/>
      <c r="S49" s="1341"/>
      <c r="T49" s="428" t="s">
        <v>409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263</v>
      </c>
      <c r="B50" s="1426" t="s">
        <v>264</v>
      </c>
      <c r="C50" s="1426" t="s">
        <v>265</v>
      </c>
      <c r="D50" s="1426" t="s">
        <v>517</v>
      </c>
      <c r="E50" s="2322"/>
      <c r="F50" s="2322"/>
      <c r="G50" s="2322"/>
      <c r="H50" s="2321"/>
      <c r="I50" s="1426"/>
      <c r="J50" s="1426"/>
      <c r="K50" s="1426"/>
      <c r="L50" s="1427"/>
      <c r="M50" s="1428"/>
      <c r="N50" s="1428"/>
      <c r="O50" s="600"/>
      <c r="P50" s="423"/>
      <c r="Q50" s="438"/>
      <c r="R50" s="418"/>
      <c r="S50" s="1341"/>
      <c r="T50" s="435" t="s">
        <v>485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263</v>
      </c>
      <c r="B51" s="1406" t="s">
        <v>264</v>
      </c>
      <c r="C51" s="1377"/>
      <c r="D51" s="1377"/>
      <c r="E51" s="2322"/>
      <c r="F51" s="2321"/>
      <c r="G51" s="1377"/>
      <c r="H51" s="1377"/>
      <c r="I51" s="1377"/>
      <c r="J51" s="1377"/>
      <c r="K51" s="1377"/>
      <c r="L51" s="1557"/>
      <c r="M51" s="1384"/>
      <c r="N51" s="1384"/>
      <c r="P51" s="1379"/>
      <c r="Q51" s="1380"/>
      <c r="R51" s="1379"/>
      <c r="S51" s="1385"/>
      <c r="T51" s="1388" t="s">
        <v>412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263</v>
      </c>
      <c r="B52" s="1406"/>
      <c r="C52" s="1406"/>
      <c r="D52" s="1406"/>
      <c r="E52" s="2321"/>
      <c r="F52" s="1406"/>
      <c r="G52" s="1406"/>
      <c r="H52" s="1406"/>
      <c r="I52" s="1406"/>
      <c r="J52" s="1406"/>
      <c r="K52" s="1406"/>
      <c r="L52" s="1409"/>
      <c r="M52" s="1384"/>
      <c r="N52" s="1384"/>
      <c r="O52" s="581"/>
      <c r="P52" s="443"/>
      <c r="Q52" s="1407"/>
      <c r="R52" s="443"/>
      <c r="S52" s="1385"/>
      <c r="T52" s="1388" t="s">
        <v>413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E42E6-3C91-146C-6CBE-C75751EEF2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394</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395</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513</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514</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480</v>
      </c>
      <c r="U5" s="363"/>
      <c r="V5" s="2413"/>
      <c r="W5" s="2414"/>
      <c r="X5" s="2414"/>
      <c r="Y5" s="2414"/>
      <c r="Z5" s="2414"/>
      <c r="AA5" s="2414"/>
      <c r="AB5" s="2415"/>
      <c r="AC5" s="2416"/>
      <c r="AD5" s="2417"/>
      <c r="AE5" s="2417"/>
      <c r="AF5" s="2417"/>
      <c r="AG5" s="2417"/>
      <c r="AH5" s="2417"/>
      <c r="AI5" s="2417"/>
      <c r="AJ5" s="2418"/>
      <c r="AK5" s="1321" t="s">
        <v>481</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403</v>
      </c>
      <c r="P6" s="2320"/>
      <c r="Q6" s="2320">
        <v>1</v>
      </c>
      <c r="R6" s="420"/>
      <c r="S6" s="1556">
        <f>$J6</f>
      </c>
      <c r="T6" s="349" t="s">
        <v>404</v>
      </c>
      <c r="U6" s="363"/>
      <c r="V6" s="2308"/>
      <c r="W6" s="2309"/>
      <c r="X6" s="2309"/>
      <c r="Y6" s="2309"/>
      <c r="Z6" s="2309"/>
      <c r="AA6" s="2309"/>
      <c r="AB6" s="2310"/>
      <c r="AC6" s="2308"/>
      <c r="AD6" s="2309"/>
      <c r="AE6" s="2309"/>
      <c r="AF6" s="2309"/>
      <c r="AG6" s="2309"/>
      <c r="AH6" s="2309"/>
      <c r="AI6" s="2309"/>
      <c r="AJ6" s="2310"/>
      <c r="AK6" s="1370" t="s">
        <v>482</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430"/>
      <c r="X9" s="430"/>
      <c r="Y9" s="430"/>
      <c r="Z9" s="430"/>
      <c r="AA9" s="430"/>
      <c r="AB9" s="430"/>
      <c r="AC9" s="430"/>
      <c r="AD9" s="430"/>
      <c r="AE9" s="430"/>
      <c r="AF9" s="430"/>
      <c r="AG9" s="430"/>
      <c r="AH9" s="430"/>
      <c r="AI9" s="430"/>
      <c r="AJ9" s="430"/>
      <c r="AK9" s="1321" t="s">
        <v>484</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409</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414</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415</v>
      </c>
      <c r="P20" s="1425"/>
      <c r="Q20" s="1505"/>
      <c r="R20" s="1505"/>
      <c r="S20" s="792"/>
      <c r="T20" s="1223" t="s">
        <v>416</v>
      </c>
      <c r="Z20" s="249" t="s">
        <v>417</v>
      </c>
      <c r="AB20" s="249" t="s">
        <v>418</v>
      </c>
      <c r="AC20" s="1223" t="s">
        <v>416</v>
      </c>
      <c r="AG20" s="249" t="s">
        <v>419</v>
      </c>
      <c r="AI20" s="249" t="s">
        <v>418</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424</v>
      </c>
      <c r="AC34" s="389"/>
      <c r="AD34" s="389"/>
      <c r="AE34" s="389"/>
      <c r="AF34" s="389"/>
      <c r="AG34" s="389"/>
      <c r="AH34" s="389"/>
      <c r="AI34" s="341" t="s">
        <v>424</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t="s">
        <v>298</v>
      </c>
      <c r="AQ36" s="1218">
        <v>14</v>
      </c>
    </row>
    <row customHeight="1" ht="14.699999999999998">
      <c r="Q37" s="439"/>
      <c r="R37" s="439"/>
      <c r="S37" s="2336" t="s">
        <v>87</v>
      </c>
      <c r="T37" s="2272" t="s">
        <v>425</v>
      </c>
      <c r="U37" s="364"/>
      <c r="V37" s="2337" t="s">
        <v>426</v>
      </c>
      <c r="W37" s="2338"/>
      <c r="X37" s="2338"/>
      <c r="Y37" s="2338"/>
      <c r="Z37" s="2338"/>
      <c r="AA37" s="2339"/>
      <c r="AB37" s="2340" t="s">
        <v>427</v>
      </c>
      <c r="AC37" s="2337" t="s">
        <v>426</v>
      </c>
      <c r="AD37" s="2338"/>
      <c r="AE37" s="2338"/>
      <c r="AF37" s="2338"/>
      <c r="AG37" s="2338"/>
      <c r="AH37" s="2339"/>
      <c r="AI37" s="2340" t="s">
        <v>428</v>
      </c>
      <c r="AJ37" s="2343" t="s">
        <v>429</v>
      </c>
      <c r="AK37" s="2190"/>
      <c r="AQ37" s="1218">
        <v>14</v>
      </c>
    </row>
    <row customHeight="1" ht="35.699999999999996">
      <c r="Q38" s="439"/>
      <c r="R38" s="439"/>
      <c r="S38" s="2336"/>
      <c r="T38" s="2272"/>
      <c r="U38" s="1094"/>
      <c r="V38" s="1546" t="s">
        <v>486</v>
      </c>
      <c r="W38" s="2325" t="s">
        <v>432</v>
      </c>
      <c r="X38" s="2326"/>
      <c r="Y38" s="2325" t="s">
        <v>433</v>
      </c>
      <c r="Z38" s="2332"/>
      <c r="AA38" s="2326"/>
      <c r="AB38" s="2341"/>
      <c r="AC38" s="1546" t="s">
        <v>486</v>
      </c>
      <c r="AD38" s="2325" t="s">
        <v>432</v>
      </c>
      <c r="AE38" s="2326"/>
      <c r="AF38" s="2325" t="s">
        <v>433</v>
      </c>
      <c r="AG38" s="2332"/>
      <c r="AH38" s="2326"/>
      <c r="AI38" s="2341"/>
      <c r="AJ38" s="2344"/>
      <c r="AK38" s="2190"/>
      <c r="AQ38" s="1218">
        <v>34</v>
      </c>
    </row>
    <row customHeight="1" ht="90.3">
      <c r="A39" s="1433"/>
      <c r="B39" s="1433" t="s">
        <v>135</v>
      </c>
      <c r="C39" s="1433" t="s">
        <v>136</v>
      </c>
      <c r="D39" s="1433" t="s">
        <v>137</v>
      </c>
      <c r="E39" s="1427" t="s">
        <v>434</v>
      </c>
      <c r="F39" s="1427" t="s">
        <v>435</v>
      </c>
      <c r="G39" s="1427" t="s">
        <v>436</v>
      </c>
      <c r="H39" s="1427"/>
      <c r="I39" s="1427" t="s">
        <v>487</v>
      </c>
      <c r="J39" s="1427" t="s">
        <v>439</v>
      </c>
      <c r="K39" s="1427" t="s">
        <v>488</v>
      </c>
      <c r="L39" s="1427" t="s">
        <v>415</v>
      </c>
      <c r="Q39" s="439"/>
      <c r="R39" s="439"/>
      <c r="S39" s="2336"/>
      <c r="T39" s="2272"/>
      <c r="U39" s="365"/>
      <c r="V39" s="1546" t="s">
        <v>515</v>
      </c>
      <c r="W39" s="1285" t="s">
        <v>516</v>
      </c>
      <c r="X39" s="1285" t="s">
        <v>491</v>
      </c>
      <c r="Y39" s="1552" t="s">
        <v>443</v>
      </c>
      <c r="Z39" s="2333" t="s">
        <v>444</v>
      </c>
      <c r="AA39" s="2334"/>
      <c r="AB39" s="2342"/>
      <c r="AC39" s="1546" t="s">
        <v>515</v>
      </c>
      <c r="AD39" s="1285" t="s">
        <v>516</v>
      </c>
      <c r="AE39" s="1285" t="s">
        <v>491</v>
      </c>
      <c r="AF39" s="1552" t="s">
        <v>443</v>
      </c>
      <c r="AG39" s="2333" t="s">
        <v>444</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268</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268</v>
      </c>
      <c r="B42" s="1426" t="s">
        <v>269</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394</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395</v>
      </c>
      <c r="AM42" s="563"/>
      <c r="AN42" s="563" t="str">
        <f>IF(T42="","",T42)</f>
        <v>Территория действия тарифа</v>
      </c>
      <c r="AO42" s="563"/>
      <c r="AP42" s="563"/>
      <c r="AQ42" s="1218">
        <v>23</v>
      </c>
    </row>
    <row customHeight="1" ht="24">
      <c r="A43" s="1426" t="s">
        <v>268</v>
      </c>
      <c r="B43" s="1426" t="s">
        <v>269</v>
      </c>
      <c r="C43" s="1426" t="s">
        <v>270</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513</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514</v>
      </c>
      <c r="AM43" s="563"/>
      <c r="AN43" s="563" t="str">
        <f>IF(T43="","",T43)</f>
        <v>Наименование централизованной системы водоотведения</v>
      </c>
      <c r="AO43" s="563"/>
      <c r="AP43" s="563"/>
      <c r="AQ43" s="1218">
        <v>23</v>
      </c>
    </row>
    <row customHeight="1" ht="24">
      <c r="A44" s="1426" t="s">
        <v>268</v>
      </c>
      <c r="B44" s="1426" t="s">
        <v>269</v>
      </c>
      <c r="C44" s="1426" t="s">
        <v>270</v>
      </c>
      <c r="D44" s="1426" t="s">
        <v>518</v>
      </c>
      <c r="E44" s="2322"/>
      <c r="F44" s="2322"/>
      <c r="G44" s="2322"/>
      <c r="H44" s="2322"/>
      <c r="I44" s="2319" t="str">
        <f>S43&amp;".1"</f>
        <v>...1</v>
      </c>
      <c r="J44" s="1426"/>
      <c r="K44" s="1426"/>
      <c r="L44" s="1427"/>
      <c r="P44" s="2320">
        <v>1</v>
      </c>
      <c r="Q44" s="1544"/>
      <c r="R44" s="419"/>
      <c r="S44" s="1556" t="str">
        <f>$I44</f>
        <v>...1</v>
      </c>
      <c r="T44" s="348" t="s">
        <v>480</v>
      </c>
      <c r="U44" s="363"/>
      <c r="V44" s="2413"/>
      <c r="W44" s="2414"/>
      <c r="X44" s="2414"/>
      <c r="Y44" s="2414"/>
      <c r="Z44" s="2414"/>
      <c r="AA44" s="2414"/>
      <c r="AB44" s="2415"/>
      <c r="AC44" s="2416"/>
      <c r="AD44" s="2417"/>
      <c r="AE44" s="2417"/>
      <c r="AF44" s="2417"/>
      <c r="AG44" s="2417"/>
      <c r="AH44" s="2417"/>
      <c r="AI44" s="2417"/>
      <c r="AJ44" s="2418"/>
      <c r="AK44" s="1321" t="s">
        <v>481</v>
      </c>
      <c r="AM44" s="563"/>
      <c r="AN44" s="563" t="str">
        <f>IF(T44="","",T44)</f>
        <v>Наименование признака дифференциации</v>
      </c>
      <c r="AO44" s="563"/>
      <c r="AP44" s="563"/>
      <c r="AQ44" s="1218">
        <v>23</v>
      </c>
    </row>
    <row customHeight="1" ht="24">
      <c r="A45" s="1426" t="s">
        <v>268</v>
      </c>
      <c r="B45" s="1426" t="s">
        <v>269</v>
      </c>
      <c r="C45" s="1426" t="s">
        <v>270</v>
      </c>
      <c r="D45" s="1426" t="s">
        <v>518</v>
      </c>
      <c r="E45" s="2322"/>
      <c r="F45" s="2322"/>
      <c r="G45" s="2322"/>
      <c r="H45" s="2322"/>
      <c r="I45" s="2349"/>
      <c r="J45" s="2319" t="str">
        <f>I44&amp;".1"</f>
        <v>...1.1</v>
      </c>
      <c r="K45" s="1426"/>
      <c r="L45" s="1427" t="s">
        <v>403</v>
      </c>
      <c r="P45" s="2320"/>
      <c r="Q45" s="2320">
        <v>1</v>
      </c>
      <c r="R45" s="420"/>
      <c r="S45" s="1556" t="str">
        <f>$J45</f>
        <v>...1.1</v>
      </c>
      <c r="T45" s="349" t="s">
        <v>404</v>
      </c>
      <c r="U45" s="363"/>
      <c r="V45" s="2308"/>
      <c r="W45" s="2309"/>
      <c r="X45" s="2309"/>
      <c r="Y45" s="2309"/>
      <c r="Z45" s="2309"/>
      <c r="AA45" s="2309"/>
      <c r="AB45" s="2310"/>
      <c r="AC45" s="2308"/>
      <c r="AD45" s="2309"/>
      <c r="AE45" s="2309"/>
      <c r="AF45" s="2309"/>
      <c r="AG45" s="2309"/>
      <c r="AH45" s="2309"/>
      <c r="AI45" s="2309"/>
      <c r="AJ45" s="2310"/>
      <c r="AK45" s="1370" t="s">
        <v>482</v>
      </c>
      <c r="AM45" s="563"/>
      <c r="AN45" s="563" t="str">
        <f>IF(T45="","",T45)</f>
        <v>Группа потребителей</v>
      </c>
      <c r="AO45" s="563"/>
      <c r="AP45" s="563"/>
      <c r="AQ45" s="1218">
        <v>23</v>
      </c>
    </row>
    <row customHeight="1" ht="24">
      <c r="A46" s="1426" t="s">
        <v>268</v>
      </c>
      <c r="B46" s="1426" t="s">
        <v>269</v>
      </c>
      <c r="C46" s="1426" t="s">
        <v>270</v>
      </c>
      <c r="D46" s="1426" t="s">
        <v>518</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268</v>
      </c>
      <c r="B47" s="1426" t="s">
        <v>269</v>
      </c>
      <c r="C47" s="1426" t="s">
        <v>270</v>
      </c>
      <c r="D47" s="1426" t="s">
        <v>518</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268</v>
      </c>
      <c r="B48" s="1426" t="s">
        <v>269</v>
      </c>
      <c r="C48" s="1426" t="s">
        <v>270</v>
      </c>
      <c r="D48" s="1426" t="s">
        <v>518</v>
      </c>
      <c r="E48" s="2322"/>
      <c r="F48" s="2322"/>
      <c r="G48" s="2322"/>
      <c r="H48" s="2322"/>
      <c r="I48" s="2349"/>
      <c r="J48" s="2319"/>
      <c r="K48" s="1426"/>
      <c r="L48" s="1427"/>
      <c r="P48" s="2320"/>
      <c r="Q48" s="2320"/>
      <c r="R48" s="419"/>
      <c r="S48" s="1341"/>
      <c r="T48" s="350" t="s">
        <v>483</v>
      </c>
      <c r="U48" s="430"/>
      <c r="V48" s="430"/>
      <c r="W48" s="430"/>
      <c r="X48" s="430"/>
      <c r="Y48" s="430"/>
      <c r="Z48" s="430"/>
      <c r="AA48" s="430"/>
      <c r="AB48" s="430"/>
      <c r="AC48" s="430"/>
      <c r="AD48" s="430"/>
      <c r="AE48" s="430"/>
      <c r="AF48" s="430"/>
      <c r="AG48" s="430"/>
      <c r="AH48" s="430"/>
      <c r="AI48" s="430"/>
      <c r="AJ48" s="430"/>
      <c r="AK48" s="1321" t="s">
        <v>484</v>
      </c>
      <c r="AM48" s="563"/>
      <c r="AN48" s="563" t="str">
        <f>IF(T48="","",T48)</f>
        <v>Добавить значение признака дифференциации</v>
      </c>
      <c r="AO48" s="563"/>
      <c r="AP48" s="563"/>
      <c r="AQ48" s="1218">
        <v>20</v>
      </c>
    </row>
    <row customHeight="1" ht="22.049999999999997">
      <c r="A49" s="1426" t="s">
        <v>268</v>
      </c>
      <c r="B49" s="1426" t="s">
        <v>269</v>
      </c>
      <c r="C49" s="1426" t="s">
        <v>270</v>
      </c>
      <c r="D49" s="1426" t="s">
        <v>518</v>
      </c>
      <c r="E49" s="2322"/>
      <c r="F49" s="2322"/>
      <c r="G49" s="2322"/>
      <c r="H49" s="2322"/>
      <c r="I49" s="2319"/>
      <c r="J49" s="1426"/>
      <c r="K49" s="1426"/>
      <c r="L49" s="1427"/>
      <c r="P49" s="2320"/>
      <c r="Q49" s="1544"/>
      <c r="R49" s="419"/>
      <c r="S49" s="1341"/>
      <c r="T49" s="428" t="s">
        <v>409</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268</v>
      </c>
      <c r="B50" s="1426" t="s">
        <v>269</v>
      </c>
      <c r="C50" s="1426" t="s">
        <v>270</v>
      </c>
      <c r="D50" s="1426" t="s">
        <v>518</v>
      </c>
      <c r="E50" s="2322"/>
      <c r="F50" s="2322"/>
      <c r="G50" s="2322"/>
      <c r="H50" s="2321"/>
      <c r="I50" s="1426"/>
      <c r="J50" s="1426"/>
      <c r="K50" s="1426"/>
      <c r="L50" s="1427"/>
      <c r="M50" s="1428"/>
      <c r="N50" s="1428"/>
      <c r="O50" s="600"/>
      <c r="P50" s="423"/>
      <c r="Q50" s="438"/>
      <c r="R50" s="418"/>
      <c r="S50" s="1341"/>
      <c r="T50" s="435" t="s">
        <v>485</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268</v>
      </c>
      <c r="B51" s="1406" t="s">
        <v>269</v>
      </c>
      <c r="C51" s="1377"/>
      <c r="D51" s="1377"/>
      <c r="E51" s="2322"/>
      <c r="F51" s="2321"/>
      <c r="G51" s="1377"/>
      <c r="H51" s="1377"/>
      <c r="I51" s="1377"/>
      <c r="J51" s="1377"/>
      <c r="K51" s="1377"/>
      <c r="L51" s="1557"/>
      <c r="M51" s="1384"/>
      <c r="N51" s="1384"/>
      <c r="P51" s="1379"/>
      <c r="Q51" s="1380"/>
      <c r="R51" s="1379"/>
      <c r="S51" s="1385"/>
      <c r="T51" s="1388" t="s">
        <v>412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268</v>
      </c>
      <c r="B52" s="1406"/>
      <c r="C52" s="1406"/>
      <c r="D52" s="1406"/>
      <c r="E52" s="2321"/>
      <c r="F52" s="1406"/>
      <c r="G52" s="1406"/>
      <c r="H52" s="1406"/>
      <c r="I52" s="1406"/>
      <c r="J52" s="1406"/>
      <c r="K52" s="1406"/>
      <c r="L52" s="1409"/>
      <c r="M52" s="1384"/>
      <c r="N52" s="1384"/>
      <c r="O52" s="581"/>
      <c r="P52" s="443"/>
      <c r="Q52" s="1407"/>
      <c r="R52" s="443"/>
      <c r="S52" s="1385"/>
      <c r="T52" s="1388" t="s">
        <v>413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445</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E9C47-533A-7F2D-A3E1-438BC757C64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394</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395</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513</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514</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399</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400</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22</v>
      </c>
      <c r="AL8" s="2170" t="s">
        <v>65</v>
      </c>
      <c r="AM8" s="2255"/>
      <c r="AN8" s="2268">
        <v>1</v>
      </c>
      <c r="AO8" s="2420"/>
      <c r="AP8" s="2421" t="s">
        <v>65</v>
      </c>
      <c r="AQ8" s="374"/>
      <c r="AR8" s="1549">
        <v>1</v>
      </c>
      <c r="AS8" s="1555" t="s">
        <v>22</v>
      </c>
      <c r="AT8" s="814"/>
      <c r="AU8" s="1320"/>
      <c r="AV8" s="814"/>
      <c r="AW8" s="1320"/>
      <c r="AX8" s="1797"/>
      <c r="AY8" s="1532" t="s">
        <v>65</v>
      </c>
      <c r="AZ8" s="1797"/>
      <c r="BA8" s="1532" t="s">
        <v>65</v>
      </c>
      <c r="BB8" s="1411"/>
      <c r="BC8" s="2316" t="s">
        <v>498</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499</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519</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520</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502</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465</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413</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414</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415</v>
      </c>
      <c r="P24" s="1571"/>
      <c r="Q24" s="1573"/>
      <c r="R24" s="1573"/>
      <c r="AA24" s="1570" t="s">
        <v>417</v>
      </c>
      <c r="AC24" s="1570" t="s">
        <v>418</v>
      </c>
      <c r="AD24" s="1570" t="s">
        <v>466</v>
      </c>
      <c r="AH24" s="1570" t="s">
        <v>466</v>
      </c>
      <c r="AK24" s="1570" t="s">
        <v>503</v>
      </c>
      <c r="AL24" s="1570" t="s">
        <v>466</v>
      </c>
      <c r="AP24" s="1570" t="s">
        <v>466</v>
      </c>
      <c r="AY24" s="1570" t="s">
        <v>417</v>
      </c>
      <c r="BA24" s="1570" t="s">
        <v>418</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420</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421</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420</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421</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424</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424</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297</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298</v>
      </c>
      <c r="BI40" s="1218">
        <v>14</v>
      </c>
    </row>
    <row customHeight="1" ht="14.699999999999998">
      <c r="Q41" s="354"/>
      <c r="R41" s="439"/>
      <c r="S41" s="2336" t="s">
        <v>87</v>
      </c>
      <c r="T41" s="2272" t="s">
        <v>504</v>
      </c>
      <c r="U41" s="364"/>
      <c r="V41" s="2337" t="s">
        <v>426</v>
      </c>
      <c r="W41" s="2338"/>
      <c r="X41" s="2338"/>
      <c r="Y41" s="2338"/>
      <c r="Z41" s="2338"/>
      <c r="AA41" s="2338"/>
      <c r="AB41" s="2339"/>
      <c r="AC41" s="2340" t="s">
        <v>427</v>
      </c>
      <c r="AD41" s="2391" t="s">
        <v>521</v>
      </c>
      <c r="AE41" s="2354"/>
      <c r="AF41" s="2354"/>
      <c r="AG41" s="2392"/>
      <c r="AH41" s="2391" t="s">
        <v>522</v>
      </c>
      <c r="AI41" s="2354"/>
      <c r="AJ41" s="2354"/>
      <c r="AK41" s="2392"/>
      <c r="AL41" s="2391" t="s">
        <v>523</v>
      </c>
      <c r="AM41" s="2354"/>
      <c r="AN41" s="2354"/>
      <c r="AO41" s="2392"/>
      <c r="AP41" s="2391" t="s">
        <v>508</v>
      </c>
      <c r="AQ41" s="2354"/>
      <c r="AR41" s="2354"/>
      <c r="AS41" s="2392"/>
      <c r="AT41" s="2337" t="s">
        <v>426</v>
      </c>
      <c r="AU41" s="2338"/>
      <c r="AV41" s="2338"/>
      <c r="AW41" s="2338"/>
      <c r="AX41" s="2338"/>
      <c r="AY41" s="2338"/>
      <c r="AZ41" s="2339"/>
      <c r="BA41" s="2340" t="s">
        <v>427</v>
      </c>
      <c r="BB41" s="2343" t="s">
        <v>429</v>
      </c>
      <c r="BC41" s="2190"/>
      <c r="BI41" s="1218">
        <v>14</v>
      </c>
    </row>
    <row customHeight="1" ht="35.699999999999996">
      <c r="Q42" s="354"/>
      <c r="R42" s="439"/>
      <c r="S42" s="2336"/>
      <c r="T42" s="2272"/>
      <c r="U42" s="1094"/>
      <c r="V42" s="2255" t="s">
        <v>509</v>
      </c>
      <c r="W42" s="2256"/>
      <c r="X42" s="2255" t="s">
        <v>510</v>
      </c>
      <c r="Y42" s="2256"/>
      <c r="Z42" s="2357" t="s">
        <v>511</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524</v>
      </c>
      <c r="AU42" s="2256"/>
      <c r="AV42" s="2255" t="s">
        <v>525</v>
      </c>
      <c r="AW42" s="2256"/>
      <c r="AX42" s="2357" t="s">
        <v>511</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434</v>
      </c>
      <c r="F44" s="1427" t="s">
        <v>435</v>
      </c>
      <c r="G44" s="1427" t="s">
        <v>436</v>
      </c>
      <c r="H44" s="1427" t="s">
        <v>437</v>
      </c>
      <c r="I44" s="1427" t="s">
        <v>438</v>
      </c>
      <c r="J44" s="1427" t="s">
        <v>439</v>
      </c>
      <c r="K44" s="1427" t="s">
        <v>440</v>
      </c>
      <c r="L44" s="1427" t="s">
        <v>415</v>
      </c>
      <c r="Q44" s="354"/>
      <c r="R44" s="439"/>
      <c r="S44" s="2336"/>
      <c r="T44" s="2272"/>
      <c r="U44" s="365"/>
      <c r="V44" s="1542" t="s">
        <v>475</v>
      </c>
      <c r="W44" s="1542" t="s">
        <v>476</v>
      </c>
      <c r="X44" s="1542" t="s">
        <v>475</v>
      </c>
      <c r="Y44" s="1542" t="s">
        <v>476</v>
      </c>
      <c r="Z44" s="1552" t="s">
        <v>443</v>
      </c>
      <c r="AA44" s="2333" t="s">
        <v>444</v>
      </c>
      <c r="AB44" s="2334"/>
      <c r="AC44" s="2342"/>
      <c r="AD44" s="2396"/>
      <c r="AE44" s="2397"/>
      <c r="AF44" s="2397"/>
      <c r="AG44" s="2398"/>
      <c r="AH44" s="2396"/>
      <c r="AI44" s="2397"/>
      <c r="AJ44" s="2397"/>
      <c r="AK44" s="2398"/>
      <c r="AL44" s="2396"/>
      <c r="AM44" s="2397"/>
      <c r="AN44" s="2397"/>
      <c r="AO44" s="2398"/>
      <c r="AP44" s="2396"/>
      <c r="AQ44" s="2397"/>
      <c r="AR44" s="2397"/>
      <c r="AS44" s="2398"/>
      <c r="AT44" s="1542" t="s">
        <v>475</v>
      </c>
      <c r="AU44" s="1542" t="s">
        <v>476</v>
      </c>
      <c r="AV44" s="1542" t="s">
        <v>475</v>
      </c>
      <c r="AW44" s="1542" t="s">
        <v>476</v>
      </c>
      <c r="AX44" s="1552" t="s">
        <v>443</v>
      </c>
      <c r="AY44" s="2333" t="s">
        <v>444</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273</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273</v>
      </c>
      <c r="B47" s="1426" t="s">
        <v>274</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394</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395</v>
      </c>
      <c r="BE47" s="563"/>
      <c r="BF47" s="563" t="str">
        <f>IF(T47="","",T47)</f>
        <v>Территория действия тарифа</v>
      </c>
      <c r="BG47" s="563"/>
      <c r="BH47" s="563"/>
      <c r="BI47" s="1218">
        <v>21</v>
      </c>
    </row>
    <row customHeight="1" ht="35.699999999999996">
      <c r="A48" s="1426" t="s">
        <v>273</v>
      </c>
      <c r="B48" s="1426" t="s">
        <v>274</v>
      </c>
      <c r="C48" s="1426" t="s">
        <v>275</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513</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514</v>
      </c>
      <c r="BE48" s="563"/>
      <c r="BF48" s="563" t="str">
        <f>IF(T48="","",T48)</f>
        <v>Наименование централизованной системы водоотведения</v>
      </c>
      <c r="BG48" s="563"/>
      <c r="BH48" s="563"/>
      <c r="BI48" s="1218">
        <v>34</v>
      </c>
    </row>
    <row s="4026" customFormat="1" customHeight="1" ht="0">
      <c r="A49" s="1406" t="s">
        <v>273</v>
      </c>
      <c r="B49" s="1406" t="s">
        <v>274</v>
      </c>
      <c r="C49" s="1406" t="s">
        <v>275</v>
      </c>
      <c r="D49" s="1406" t="s">
        <v>526</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399</v>
      </c>
      <c r="BE49" s="563"/>
      <c r="BF49" s="563" t="str">
        <f>IF(T49="","",T49)</f>
        <v/>
      </c>
      <c r="BG49" s="563"/>
      <c r="BH49" s="563"/>
      <c r="BI49" s="574">
        <v>0</v>
      </c>
    </row>
    <row s="4026" customFormat="1" customHeight="1" ht="0">
      <c r="A50" s="1406" t="s">
        <v>273</v>
      </c>
      <c r="B50" s="1406" t="s">
        <v>274</v>
      </c>
      <c r="C50" s="1406" t="s">
        <v>275</v>
      </c>
      <c r="D50" s="1406" t="s">
        <v>526</v>
      </c>
      <c r="E50" s="2322"/>
      <c r="F50" s="2322"/>
      <c r="G50" s="2322"/>
      <c r="H50" s="2322"/>
      <c r="I50" s="2319" t="str">
        <f>S49&amp;".1"</f>
        <v>.1</v>
      </c>
      <c r="J50" s="1406"/>
      <c r="K50" s="1406"/>
      <c r="L50" s="1409" t="s">
        <v>400</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273</v>
      </c>
      <c r="B51" s="1406" t="s">
        <v>274</v>
      </c>
      <c r="C51" s="1406" t="s">
        <v>275</v>
      </c>
      <c r="D51" s="1406" t="s">
        <v>526</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273</v>
      </c>
      <c r="B52" s="1426" t="s">
        <v>274</v>
      </c>
      <c r="C52" s="1426" t="s">
        <v>275</v>
      </c>
      <c r="D52" s="1426" t="s">
        <v>526</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49">
        <v>1</v>
      </c>
      <c r="AS52" s="1555" t="s">
        <v>22</v>
      </c>
      <c r="AT52" s="814"/>
      <c r="AU52" s="1320"/>
      <c r="AV52" s="814"/>
      <c r="AW52" s="1320"/>
      <c r="AX52" s="1797"/>
      <c r="AY52" s="1532" t="s">
        <v>65</v>
      </c>
      <c r="AZ52" s="1797"/>
      <c r="BA52" s="1532" t="s">
        <v>65</v>
      </c>
      <c r="BB52" s="1411"/>
      <c r="BC52" s="2316" t="s">
        <v>498</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499</v>
      </c>
      <c r="AT53" s="1456"/>
      <c r="AU53" s="1559"/>
      <c r="AV53" s="1456"/>
      <c r="AW53" s="1559"/>
      <c r="AX53" s="1456"/>
      <c r="AY53" s="1456"/>
      <c r="AZ53" s="1456"/>
      <c r="BA53" s="1456"/>
      <c r="BB53" s="1460"/>
      <c r="BC53" s="2317"/>
      <c r="BE53" s="563"/>
      <c r="BF53" s="563"/>
      <c r="BG53" s="563"/>
      <c r="BH53" s="563"/>
      <c r="BI53" s="1218">
        <v>11</v>
      </c>
    </row>
    <row customHeight="1" ht="11.549999999999999">
      <c r="A54" s="1426" t="s">
        <v>273</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519</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273</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520</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273</v>
      </c>
      <c r="B56" s="1426" t="s">
        <v>274</v>
      </c>
      <c r="C56" s="1426" t="s">
        <v>275</v>
      </c>
      <c r="D56" s="1426" t="s">
        <v>526</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502</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273</v>
      </c>
      <c r="B57" s="1426" t="s">
        <v>274</v>
      </c>
      <c r="C57" s="1426" t="s">
        <v>275</v>
      </c>
      <c r="D57" s="1426" t="s">
        <v>526</v>
      </c>
      <c r="E57" s="2322"/>
      <c r="F57" s="2322"/>
      <c r="G57" s="2322"/>
      <c r="H57" s="2322"/>
      <c r="I57" s="2349"/>
      <c r="J57" s="2319"/>
      <c r="K57" s="1426"/>
      <c r="L57" s="1427"/>
      <c r="P57" s="2320"/>
      <c r="Q57" s="2320"/>
      <c r="R57" s="419"/>
      <c r="S57" s="1341"/>
      <c r="T57" s="350" t="s">
        <v>465</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273</v>
      </c>
      <c r="B58" s="1406" t="s">
        <v>274</v>
      </c>
      <c r="C58" s="1406" t="s">
        <v>275</v>
      </c>
      <c r="D58" s="1406" t="s">
        <v>526</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273</v>
      </c>
      <c r="B59" s="1406" t="s">
        <v>274</v>
      </c>
      <c r="C59" s="1406" t="s">
        <v>275</v>
      </c>
      <c r="D59" s="1406" t="s">
        <v>526</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273</v>
      </c>
      <c r="B60" s="1406" t="s">
        <v>274</v>
      </c>
      <c r="C60" s="1406" t="s">
        <v>275</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273</v>
      </c>
      <c r="B61" s="1406" t="s">
        <v>274</v>
      </c>
      <c r="C61" s="1377"/>
      <c r="D61" s="1377"/>
      <c r="E61" s="2322"/>
      <c r="F61" s="2321"/>
      <c r="G61" s="1377"/>
      <c r="H61" s="1377"/>
      <c r="I61" s="1377"/>
      <c r="J61" s="1377"/>
      <c r="K61" s="1377"/>
      <c r="L61" s="1557"/>
      <c r="M61" s="1384"/>
      <c r="N61" s="1384"/>
      <c r="P61" s="1379"/>
      <c r="Q61" s="1380"/>
      <c r="R61" s="1379"/>
      <c r="S61" s="1385"/>
      <c r="T61" s="1388" t="s">
        <v>412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273</v>
      </c>
      <c r="B62" s="1406"/>
      <c r="C62" s="1406"/>
      <c r="D62" s="1406"/>
      <c r="E62" s="2321"/>
      <c r="F62" s="1406"/>
      <c r="G62" s="1406"/>
      <c r="H62" s="1406"/>
      <c r="I62" s="1406"/>
      <c r="J62" s="1406"/>
      <c r="K62" s="1406"/>
      <c r="L62" s="1409"/>
      <c r="M62" s="1384"/>
      <c r="N62" s="1384"/>
      <c r="O62" s="581"/>
      <c r="P62" s="443"/>
      <c r="Q62" s="1407"/>
      <c r="R62" s="443"/>
      <c r="S62" s="1385"/>
      <c r="T62" s="1388" t="s">
        <v>413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27FE7-1947-2CBC-95D3-523ADFCB96D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82</v>
      </c>
      <c r="H1" s="557" t="s">
        <v>83</v>
      </c>
      <c r="I1" s="290" t="s">
        <v>84</v>
      </c>
      <c r="J1" s="310" t="s">
        <v>82</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85</v>
      </c>
      <c r="F8" s="2165"/>
      <c r="G8" s="2166"/>
      <c r="H8" s="2167" t="s">
        <v>86</v>
      </c>
      <c r="I8" s="2167"/>
      <c r="J8" s="218"/>
      <c r="K8" s="218"/>
      <c r="L8" s="218"/>
      <c r="M8" s="218"/>
      <c r="N8" s="289"/>
      <c r="O8" s="218"/>
      <c r="P8" s="288"/>
      <c r="Q8" s="288"/>
      <c r="R8" s="288"/>
      <c r="S8" s="288"/>
      <c r="AC8" s="179">
        <v>14</v>
      </c>
    </row>
    <row s="3380" customFormat="1" customHeight="1" ht="21">
      <c r="A9" s="821"/>
      <c r="B9" s="480"/>
      <c r="C9" s="821"/>
      <c r="D9" s="227"/>
      <c r="E9" s="840" t="s">
        <v>87</v>
      </c>
      <c r="F9" s="840"/>
      <c r="G9" s="235" t="s">
        <v>88</v>
      </c>
      <c r="H9" s="235" t="s">
        <v>88</v>
      </c>
      <c r="I9" s="235" t="s">
        <v>84</v>
      </c>
      <c r="J9" s="218"/>
      <c r="K9" s="218"/>
      <c r="L9" s="218"/>
      <c r="M9" s="218"/>
      <c r="N9" s="289"/>
      <c r="O9" s="218"/>
      <c r="P9" s="288"/>
      <c r="Q9" s="288"/>
      <c r="R9" s="288"/>
      <c r="S9" s="288"/>
      <c r="AC9" s="179">
        <v>20</v>
      </c>
    </row>
    <row customHeight="1" ht="11.549999999999999">
      <c r="D10" s="239"/>
      <c r="E10" s="841" t="s">
        <v>89</v>
      </c>
      <c r="F10" s="841"/>
      <c r="G10" s="286" t="s">
        <v>90</v>
      </c>
      <c r="H10" s="286" t="s">
        <v>91</v>
      </c>
      <c r="I10" s="286" t="s">
        <v>92</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93</v>
      </c>
      <c r="K11" s="218"/>
      <c r="L11" s="218"/>
      <c r="M11" s="218" t="s">
        <v>94</v>
      </c>
      <c r="N11" s="289" t="s">
        <v>95</v>
      </c>
      <c r="O11" s="218" t="s">
        <v>96</v>
      </c>
      <c r="P11" s="288"/>
      <c r="Q11" s="288"/>
      <c r="R11" s="288"/>
      <c r="S11" s="288"/>
      <c r="AC11" s="179">
        <v>1</v>
      </c>
    </row>
    <row s="3380" customFormat="1" customHeight="1" ht="15">
      <c r="A12" s="2162">
        <v>1</v>
      </c>
      <c r="B12" s="480"/>
      <c r="C12" s="821"/>
      <c r="D12" s="845"/>
      <c r="E12" s="282">
        <f>A12</f>
        <v>1</v>
      </c>
      <c r="F12" s="865" t="s">
        <v>97</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98</v>
      </c>
      <c r="G13" s="856" t="s">
        <v>99</v>
      </c>
      <c r="H13" s="856" t="s">
        <v>99</v>
      </c>
      <c r="I13" s="854" t="s">
        <v>100</v>
      </c>
      <c r="J13" s="563">
        <f>MERGEVALUE(G13)</f>
      </c>
      <c r="K13" s="574"/>
      <c r="L13" s="574"/>
      <c r="M13" s="563" t="str">
        <f t="array" ref="M13:M13">IF(ISERROR(MATCH(MID(N13,1,250),MID(note_ter,1,250),0)),"n","y")</f>
        <v>n</v>
      </c>
      <c r="N13" s="574"/>
      <c r="O13" s="563" t="str">
        <f>H13&amp;"("&amp;I13&amp;")"</f>
        <v>город Новый Уренгой(71956000)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101</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102</v>
      </c>
      <c r="H15" s="241"/>
      <c r="I15" s="242"/>
      <c r="J15" s="312"/>
      <c r="K15" s="218"/>
      <c r="L15" s="218"/>
      <c r="M15" s="218"/>
      <c r="N15" s="289" t="s">
        <v>103</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81</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0FBBB-32B9-7447-1DBD-34F5F0B54FA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394</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395</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527</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528</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480</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481</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403</v>
      </c>
      <c r="P6" s="2320"/>
      <c r="Q6" s="2320">
        <v>1</v>
      </c>
      <c r="R6" s="420"/>
      <c r="S6" s="1556">
        <f>$J6</f>
      </c>
      <c r="T6" s="349" t="s">
        <v>404</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482</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65</v>
      </c>
      <c r="AE7" s="2328"/>
      <c r="AF7" s="2170" t="s">
        <v>65</v>
      </c>
      <c r="AG7" s="814"/>
      <c r="AH7" s="814"/>
      <c r="AI7" s="814"/>
      <c r="AJ7" s="814"/>
      <c r="AK7" s="814"/>
      <c r="AL7" s="814"/>
      <c r="AM7" s="814"/>
      <c r="AN7" s="2328"/>
      <c r="AO7" s="2170" t="s">
        <v>65</v>
      </c>
      <c r="AP7" s="2350"/>
      <c r="AQ7" s="2170" t="s">
        <v>65</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484</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409</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65</v>
      </c>
      <c r="AP15" s="2330"/>
      <c r="AQ15" s="2331" t="s">
        <v>65</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414</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415</v>
      </c>
      <c r="P20" s="1425"/>
      <c r="Q20" s="1505"/>
      <c r="R20" s="1505"/>
      <c r="S20" s="792"/>
      <c r="T20" s="1223" t="s">
        <v>416</v>
      </c>
      <c r="W20" s="1429"/>
      <c r="X20" s="1429"/>
      <c r="Y20" s="1429"/>
      <c r="Z20" s="1429"/>
      <c r="AA20" s="1429"/>
      <c r="AB20" s="1429"/>
      <c r="AD20" s="249" t="s">
        <v>417</v>
      </c>
      <c r="AF20" s="249" t="s">
        <v>418</v>
      </c>
      <c r="AG20" s="1223" t="s">
        <v>416</v>
      </c>
      <c r="AH20" s="1429"/>
      <c r="AI20" s="1429"/>
      <c r="AJ20" s="1429"/>
      <c r="AK20" s="1429"/>
      <c r="AL20" s="1429"/>
      <c r="AO20" s="249" t="s">
        <v>419</v>
      </c>
      <c r="AQ20" s="249" t="s">
        <v>418</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424</v>
      </c>
      <c r="AG34" s="389"/>
      <c r="AH34" s="1698"/>
      <c r="AI34" s="1698"/>
      <c r="AJ34" s="1698"/>
      <c r="AK34" s="1698"/>
      <c r="AL34" s="1698"/>
      <c r="AM34" s="389"/>
      <c r="AN34" s="389"/>
      <c r="AO34" s="389"/>
      <c r="AP34" s="389"/>
      <c r="AQ34" s="341" t="s">
        <v>424</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298</v>
      </c>
      <c r="AY36" s="1218">
        <v>14</v>
      </c>
    </row>
    <row customHeight="1" ht="14.699999999999998">
      <c r="Q37" s="439"/>
      <c r="R37" s="439"/>
      <c r="S37" s="2336" t="s">
        <v>87</v>
      </c>
      <c r="T37" s="2272" t="s">
        <v>425</v>
      </c>
      <c r="U37" s="364"/>
      <c r="V37" s="2337" t="s">
        <v>426</v>
      </c>
      <c r="W37" s="2354"/>
      <c r="X37" s="2354"/>
      <c r="Y37" s="2354"/>
      <c r="Z37" s="2354"/>
      <c r="AA37" s="2354"/>
      <c r="AB37" s="2354"/>
      <c r="AC37" s="2338"/>
      <c r="AD37" s="2338"/>
      <c r="AE37" s="2339"/>
      <c r="AF37" s="2340" t="s">
        <v>427</v>
      </c>
      <c r="AG37" s="2337" t="s">
        <v>426</v>
      </c>
      <c r="AH37" s="2338"/>
      <c r="AI37" s="2338"/>
      <c r="AJ37" s="2338"/>
      <c r="AK37" s="2338"/>
      <c r="AL37" s="2338"/>
      <c r="AM37" s="2338"/>
      <c r="AN37" s="2338"/>
      <c r="AO37" s="2338"/>
      <c r="AP37" s="2339"/>
      <c r="AQ37" s="2340" t="s">
        <v>428</v>
      </c>
      <c r="AR37" s="2343" t="s">
        <v>429</v>
      </c>
      <c r="AS37" s="2190"/>
      <c r="AY37" s="1218">
        <v>14</v>
      </c>
    </row>
    <row customHeight="1" ht="19.95">
      <c r="Q38" s="439"/>
      <c r="R38" s="439"/>
      <c r="S38" s="2336"/>
      <c r="T38" s="2272"/>
      <c r="U38" s="1094"/>
      <c r="V38" s="2429" t="s">
        <v>529</v>
      </c>
      <c r="W38" s="2428" t="s">
        <v>530</v>
      </c>
      <c r="X38" s="2428"/>
      <c r="Y38" s="2428"/>
      <c r="Z38" s="2428" t="s">
        <v>531</v>
      </c>
      <c r="AA38" s="2428"/>
      <c r="AB38" s="2428"/>
      <c r="AC38" s="2357" t="s">
        <v>433</v>
      </c>
      <c r="AD38" s="2376"/>
      <c r="AE38" s="2377"/>
      <c r="AF38" s="2341"/>
      <c r="AG38" s="2429" t="s">
        <v>529</v>
      </c>
      <c r="AH38" s="2428" t="s">
        <v>530</v>
      </c>
      <c r="AI38" s="2428"/>
      <c r="AJ38" s="2428"/>
      <c r="AK38" s="2428" t="s">
        <v>531</v>
      </c>
      <c r="AL38" s="2428"/>
      <c r="AM38" s="2428"/>
      <c r="AN38" s="2357" t="s">
        <v>433</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532</v>
      </c>
      <c r="X39" s="2428" t="s">
        <v>533</v>
      </c>
      <c r="Y39" s="2428"/>
      <c r="Z39" s="2428" t="s">
        <v>534</v>
      </c>
      <c r="AA39" s="2428" t="s">
        <v>533</v>
      </c>
      <c r="AB39" s="2428"/>
      <c r="AC39" s="2358"/>
      <c r="AD39" s="2378"/>
      <c r="AE39" s="2379"/>
      <c r="AF39" s="2341"/>
      <c r="AG39" s="2429"/>
      <c r="AH39" s="2428" t="s">
        <v>532</v>
      </c>
      <c r="AI39" s="2428" t="s">
        <v>533</v>
      </c>
      <c r="AJ39" s="2428"/>
      <c r="AK39" s="2428" t="s">
        <v>534</v>
      </c>
      <c r="AL39" s="2428" t="s">
        <v>533</v>
      </c>
      <c r="AM39" s="2428"/>
      <c r="AN39" s="2358"/>
      <c r="AO39" s="2378"/>
      <c r="AP39" s="2379"/>
      <c r="AQ39" s="2341"/>
      <c r="AR39" s="2344"/>
      <c r="AS39" s="2190"/>
      <c r="AT39" s="1699"/>
      <c r="AU39" s="1699"/>
      <c r="AV39" s="1699"/>
      <c r="AW39" s="1699"/>
      <c r="AX39" s="1699"/>
      <c r="AY39" s="1694">
        <v>19</v>
      </c>
    </row>
    <row customHeight="1" ht="61.949999999999996">
      <c r="A40" s="1433"/>
      <c r="B40" s="1433" t="s">
        <v>135</v>
      </c>
      <c r="C40" s="1433" t="s">
        <v>136</v>
      </c>
      <c r="D40" s="1433" t="s">
        <v>137</v>
      </c>
      <c r="E40" s="1427" t="s">
        <v>434</v>
      </c>
      <c r="F40" s="1427" t="s">
        <v>435</v>
      </c>
      <c r="G40" s="1427" t="s">
        <v>436</v>
      </c>
      <c r="H40" s="1427"/>
      <c r="I40" s="1427" t="s">
        <v>487</v>
      </c>
      <c r="J40" s="1427" t="s">
        <v>439</v>
      </c>
      <c r="K40" s="1427" t="s">
        <v>488</v>
      </c>
      <c r="L40" s="1427" t="s">
        <v>415</v>
      </c>
      <c r="Q40" s="439"/>
      <c r="R40" s="439"/>
      <c r="S40" s="2336"/>
      <c r="T40" s="2272"/>
      <c r="U40" s="365"/>
      <c r="V40" s="2429"/>
      <c r="W40" s="2428"/>
      <c r="X40" s="2046" t="s">
        <v>535</v>
      </c>
      <c r="Y40" s="2046" t="s">
        <v>536</v>
      </c>
      <c r="Z40" s="2428"/>
      <c r="AA40" s="2046" t="s">
        <v>537</v>
      </c>
      <c r="AB40" s="2046" t="s">
        <v>538</v>
      </c>
      <c r="AC40" s="1552" t="s">
        <v>443</v>
      </c>
      <c r="AD40" s="2333" t="s">
        <v>444</v>
      </c>
      <c r="AE40" s="2334"/>
      <c r="AF40" s="2342"/>
      <c r="AG40" s="2429"/>
      <c r="AH40" s="2428"/>
      <c r="AI40" s="2046" t="s">
        <v>535</v>
      </c>
      <c r="AJ40" s="2046" t="s">
        <v>536</v>
      </c>
      <c r="AK40" s="2428"/>
      <c r="AL40" s="2046" t="s">
        <v>537</v>
      </c>
      <c r="AM40" s="2046" t="s">
        <v>538</v>
      </c>
      <c r="AN40" s="1552" t="s">
        <v>443</v>
      </c>
      <c r="AO40" s="2333" t="s">
        <v>444</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108</v>
      </c>
      <c r="T41" s="1318" t="s">
        <v>109</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248</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123</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248</v>
      </c>
      <c r="B43" s="1426" t="s">
        <v>249</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394</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395</v>
      </c>
      <c r="AU43" s="563"/>
      <c r="AV43" s="563" t="str">
        <f>IF(T43="","",T43)</f>
        <v>Территория действия тарифа</v>
      </c>
      <c r="AW43" s="563"/>
      <c r="AX43" s="563"/>
      <c r="AY43" s="1218">
        <v>23</v>
      </c>
    </row>
    <row customHeight="1" ht="24">
      <c r="A44" s="1426" t="s">
        <v>248</v>
      </c>
      <c r="B44" s="1426" t="s">
        <v>249</v>
      </c>
      <c r="C44" s="1426" t="s">
        <v>250</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527</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528</v>
      </c>
      <c r="AU44" s="563"/>
      <c r="AV44" s="563" t="str">
        <f>IF(T44="","",T44)</f>
        <v>Наименование централизованной системы горячего водоснабжения</v>
      </c>
      <c r="AW44" s="563"/>
      <c r="AX44" s="563"/>
      <c r="AY44" s="1218">
        <v>23</v>
      </c>
    </row>
    <row customHeight="1" ht="24">
      <c r="A45" s="1426" t="s">
        <v>248</v>
      </c>
      <c r="B45" s="1426" t="s">
        <v>249</v>
      </c>
      <c r="C45" s="1426" t="s">
        <v>250</v>
      </c>
      <c r="D45" s="1426" t="s">
        <v>539</v>
      </c>
      <c r="E45" s="2322"/>
      <c r="F45" s="2322"/>
      <c r="G45" s="2322"/>
      <c r="H45" s="2322"/>
      <c r="I45" s="2319" t="str">
        <f>S44&amp;".1"</f>
        <v>...1</v>
      </c>
      <c r="J45" s="1426"/>
      <c r="K45" s="1426"/>
      <c r="L45" s="1427"/>
      <c r="P45" s="2320">
        <v>1</v>
      </c>
      <c r="Q45" s="1544"/>
      <c r="R45" s="419"/>
      <c r="S45" s="1556" t="str">
        <f>$I45</f>
        <v>...1</v>
      </c>
      <c r="T45" s="348" t="s">
        <v>480</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481</v>
      </c>
      <c r="AU45" s="563"/>
      <c r="AV45" s="563" t="str">
        <f>IF(T45="","",T45)</f>
        <v>Наименование признака дифференциации</v>
      </c>
      <c r="AW45" s="563"/>
      <c r="AX45" s="563"/>
      <c r="AY45" s="1218">
        <v>23</v>
      </c>
    </row>
    <row customHeight="1" ht="24">
      <c r="A46" s="1426" t="s">
        <v>248</v>
      </c>
      <c r="B46" s="1426" t="s">
        <v>249</v>
      </c>
      <c r="C46" s="1426" t="s">
        <v>250</v>
      </c>
      <c r="D46" s="1426" t="s">
        <v>539</v>
      </c>
      <c r="E46" s="2322"/>
      <c r="F46" s="2322"/>
      <c r="G46" s="2322"/>
      <c r="H46" s="2322"/>
      <c r="I46" s="2349"/>
      <c r="J46" s="2319" t="str">
        <f>I45&amp;".1"</f>
        <v>...1.1</v>
      </c>
      <c r="K46" s="1426"/>
      <c r="L46" s="1427" t="s">
        <v>403</v>
      </c>
      <c r="P46" s="2320"/>
      <c r="Q46" s="2320">
        <v>1</v>
      </c>
      <c r="R46" s="420"/>
      <c r="S46" s="1556" t="str">
        <f>$J46</f>
        <v>...1.1</v>
      </c>
      <c r="T46" s="349" t="s">
        <v>404</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482</v>
      </c>
      <c r="AU46" s="563"/>
      <c r="AV46" s="563" t="str">
        <f>IF(T46="","",T46)</f>
        <v>Группа потребителей</v>
      </c>
      <c r="AW46" s="563"/>
      <c r="AX46" s="563"/>
      <c r="AY46" s="1218">
        <v>23</v>
      </c>
    </row>
    <row customHeight="1" ht="24">
      <c r="A47" s="1426" t="s">
        <v>248</v>
      </c>
      <c r="B47" s="1426" t="s">
        <v>249</v>
      </c>
      <c r="C47" s="1426" t="s">
        <v>250</v>
      </c>
      <c r="D47" s="1426" t="s">
        <v>539</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65</v>
      </c>
      <c r="AE47" s="2330"/>
      <c r="AF47" s="2331" t="s">
        <v>65</v>
      </c>
      <c r="AG47" s="814"/>
      <c r="AH47" s="814"/>
      <c r="AI47" s="814"/>
      <c r="AJ47" s="814"/>
      <c r="AK47" s="814"/>
      <c r="AL47" s="814"/>
      <c r="AM47" s="814"/>
      <c r="AN47" s="2328"/>
      <c r="AO47" s="2170" t="s">
        <v>65</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248</v>
      </c>
      <c r="B48" s="1426" t="s">
        <v>249</v>
      </c>
      <c r="C48" s="1426" t="s">
        <v>250</v>
      </c>
      <c r="D48" s="1426" t="s">
        <v>539</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248</v>
      </c>
      <c r="B49" s="1426" t="s">
        <v>249</v>
      </c>
      <c r="C49" s="1426" t="s">
        <v>250</v>
      </c>
      <c r="D49" s="1426" t="s">
        <v>539</v>
      </c>
      <c r="E49" s="2322"/>
      <c r="F49" s="2322"/>
      <c r="G49" s="2322"/>
      <c r="H49" s="2322"/>
      <c r="I49" s="2349"/>
      <c r="J49" s="2319"/>
      <c r="K49" s="1426"/>
      <c r="L49" s="1427"/>
      <c r="P49" s="2320"/>
      <c r="Q49" s="2320"/>
      <c r="R49" s="419"/>
      <c r="S49" s="1341"/>
      <c r="T49" s="350" t="s">
        <v>483</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484</v>
      </c>
      <c r="AU49" s="563"/>
      <c r="AV49" s="563" t="str">
        <f>IF(T49="","",T49)</f>
        <v>Добавить значение признака дифференциации</v>
      </c>
      <c r="AW49" s="563"/>
      <c r="AX49" s="563"/>
      <c r="AY49" s="1218">
        <v>20</v>
      </c>
    </row>
    <row customHeight="1" ht="22.049999999999997">
      <c r="A50" s="1426" t="s">
        <v>248</v>
      </c>
      <c r="B50" s="1426" t="s">
        <v>249</v>
      </c>
      <c r="C50" s="1426" t="s">
        <v>250</v>
      </c>
      <c r="D50" s="1426" t="s">
        <v>539</v>
      </c>
      <c r="E50" s="2322"/>
      <c r="F50" s="2322"/>
      <c r="G50" s="2322"/>
      <c r="H50" s="2322"/>
      <c r="I50" s="2319"/>
      <c r="J50" s="1426"/>
      <c r="K50" s="1426"/>
      <c r="L50" s="1427"/>
      <c r="P50" s="2320"/>
      <c r="Q50" s="1544"/>
      <c r="R50" s="419"/>
      <c r="S50" s="1341"/>
      <c r="T50" s="428" t="s">
        <v>409</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248</v>
      </c>
      <c r="B51" s="1426" t="s">
        <v>249</v>
      </c>
      <c r="C51" s="1426" t="s">
        <v>250</v>
      </c>
      <c r="D51" s="1426" t="s">
        <v>539</v>
      </c>
      <c r="E51" s="2322"/>
      <c r="F51" s="2322"/>
      <c r="G51" s="2322"/>
      <c r="H51" s="2321"/>
      <c r="I51" s="1426"/>
      <c r="J51" s="1426"/>
      <c r="K51" s="1426"/>
      <c r="L51" s="1427"/>
      <c r="M51" s="1428"/>
      <c r="N51" s="1428"/>
      <c r="O51" s="600"/>
      <c r="P51" s="423"/>
      <c r="Q51" s="438"/>
      <c r="R51" s="418"/>
      <c r="S51" s="1341"/>
      <c r="T51" s="435" t="s">
        <v>485</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248</v>
      </c>
      <c r="B52" s="1406" t="s">
        <v>249</v>
      </c>
      <c r="C52" s="1377"/>
      <c r="D52" s="1377"/>
      <c r="E52" s="2322"/>
      <c r="F52" s="2321"/>
      <c r="G52" s="1377"/>
      <c r="H52" s="1377"/>
      <c r="I52" s="1377"/>
      <c r="J52" s="1377"/>
      <c r="K52" s="1377"/>
      <c r="L52" s="1557"/>
      <c r="M52" s="1384"/>
      <c r="N52" s="1384"/>
      <c r="P52" s="1379"/>
      <c r="Q52" s="1380"/>
      <c r="R52" s="1379"/>
      <c r="S52" s="1385"/>
      <c r="T52" s="1388" t="s">
        <v>412</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248</v>
      </c>
      <c r="B53" s="1406"/>
      <c r="C53" s="1406"/>
      <c r="D53" s="1406"/>
      <c r="E53" s="2321"/>
      <c r="F53" s="1406"/>
      <c r="G53" s="1406"/>
      <c r="H53" s="1406"/>
      <c r="I53" s="1406"/>
      <c r="J53" s="1406"/>
      <c r="K53" s="1406"/>
      <c r="L53" s="1409"/>
      <c r="M53" s="1384"/>
      <c r="N53" s="1384"/>
      <c r="O53" s="581"/>
      <c r="P53" s="443"/>
      <c r="Q53" s="1407"/>
      <c r="R53" s="443"/>
      <c r="S53" s="1385"/>
      <c r="T53" s="1388" t="s">
        <v>413</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445</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7AA95-7448-51FF-5575-9CD202805D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394</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395</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527</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528</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480</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481</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403</v>
      </c>
      <c r="P6" s="2320"/>
      <c r="Q6" s="2320">
        <v>1</v>
      </c>
      <c r="R6" s="420"/>
      <c r="S6" s="1556">
        <f>$J6</f>
      </c>
      <c r="T6" s="349" t="s">
        <v>404</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482</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65</v>
      </c>
      <c r="AE7" s="2328"/>
      <c r="AF7" s="2170" t="s">
        <v>65</v>
      </c>
      <c r="AG7" s="814"/>
      <c r="AH7" s="814"/>
      <c r="AI7" s="814"/>
      <c r="AJ7" s="814"/>
      <c r="AK7" s="814"/>
      <c r="AL7" s="814"/>
      <c r="AM7" s="1320"/>
      <c r="AN7" s="2328"/>
      <c r="AO7" s="2170" t="s">
        <v>65</v>
      </c>
      <c r="AP7" s="2350"/>
      <c r="AQ7" s="2170" t="s">
        <v>65</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483</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484</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409</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485</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413</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65</v>
      </c>
      <c r="AP15" s="2330"/>
      <c r="AQ15" s="2331" t="s">
        <v>65</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414</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415</v>
      </c>
      <c r="P20" s="1425"/>
      <c r="Q20" s="1505"/>
      <c r="R20" s="1505"/>
      <c r="S20" s="792"/>
      <c r="T20" s="1223" t="s">
        <v>416</v>
      </c>
      <c r="W20" s="1429"/>
      <c r="X20" s="1429"/>
      <c r="Y20" s="1429"/>
      <c r="Z20" s="1429"/>
      <c r="AA20" s="1429"/>
      <c r="AD20" s="249" t="s">
        <v>417</v>
      </c>
      <c r="AF20" s="249" t="s">
        <v>418</v>
      </c>
      <c r="AG20" s="1223" t="s">
        <v>416</v>
      </c>
      <c r="AH20" s="1429"/>
      <c r="AI20" s="1429"/>
      <c r="AJ20" s="1429"/>
      <c r="AK20" s="1429"/>
      <c r="AL20" s="1429"/>
      <c r="AO20" s="249" t="s">
        <v>419</v>
      </c>
      <c r="AQ20" s="249" t="s">
        <v>418</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420</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421</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422</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423</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424</v>
      </c>
      <c r="AG34" s="389"/>
      <c r="AH34" s="1698"/>
      <c r="AI34" s="1698"/>
      <c r="AJ34" s="1698"/>
      <c r="AK34" s="1698"/>
      <c r="AL34" s="1698"/>
      <c r="AM34" s="389"/>
      <c r="AN34" s="389"/>
      <c r="AO34" s="389"/>
      <c r="AP34" s="389"/>
      <c r="AQ34" s="341" t="s">
        <v>424</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297</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298</v>
      </c>
      <c r="AY36" s="1218">
        <v>14</v>
      </c>
    </row>
    <row customHeight="1" ht="14.699999999999998">
      <c r="Q37" s="439"/>
      <c r="R37" s="439"/>
      <c r="S37" s="2336" t="s">
        <v>87</v>
      </c>
      <c r="T37" s="2272" t="s">
        <v>425</v>
      </c>
      <c r="U37" s="364"/>
      <c r="V37" s="2337" t="s">
        <v>426</v>
      </c>
      <c r="W37" s="2338"/>
      <c r="X37" s="2338"/>
      <c r="Y37" s="2338"/>
      <c r="Z37" s="2338"/>
      <c r="AA37" s="2338"/>
      <c r="AB37" s="2338"/>
      <c r="AC37" s="2338"/>
      <c r="AD37" s="2338"/>
      <c r="AE37" s="2339"/>
      <c r="AF37" s="2340" t="s">
        <v>427</v>
      </c>
      <c r="AG37" s="2337" t="s">
        <v>426</v>
      </c>
      <c r="AH37" s="2338"/>
      <c r="AI37" s="2338"/>
      <c r="AJ37" s="2338"/>
      <c r="AK37" s="2338"/>
      <c r="AL37" s="2338"/>
      <c r="AM37" s="2338"/>
      <c r="AN37" s="2338"/>
      <c r="AO37" s="2338"/>
      <c r="AP37" s="2339"/>
      <c r="AQ37" s="2340" t="s">
        <v>428</v>
      </c>
      <c r="AR37" s="2343" t="s">
        <v>429</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529</v>
      </c>
      <c r="W38" s="2428" t="s">
        <v>530</v>
      </c>
      <c r="X38" s="2428"/>
      <c r="Y38" s="2428"/>
      <c r="Z38" s="2428" t="s">
        <v>531</v>
      </c>
      <c r="AA38" s="2428"/>
      <c r="AB38" s="2428"/>
      <c r="AC38" s="2357" t="s">
        <v>433</v>
      </c>
      <c r="AD38" s="2376"/>
      <c r="AE38" s="2377"/>
      <c r="AF38" s="2341"/>
      <c r="AG38" s="2429" t="s">
        <v>529</v>
      </c>
      <c r="AH38" s="2428" t="s">
        <v>530</v>
      </c>
      <c r="AI38" s="2428"/>
      <c r="AJ38" s="2428"/>
      <c r="AK38" s="2428" t="s">
        <v>531</v>
      </c>
      <c r="AL38" s="2428"/>
      <c r="AM38" s="2428"/>
      <c r="AN38" s="2357" t="s">
        <v>433</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532</v>
      </c>
      <c r="X39" s="2428" t="s">
        <v>533</v>
      </c>
      <c r="Y39" s="2428"/>
      <c r="Z39" s="2428" t="s">
        <v>534</v>
      </c>
      <c r="AA39" s="2428" t="s">
        <v>533</v>
      </c>
      <c r="AB39" s="2428"/>
      <c r="AC39" s="2358"/>
      <c r="AD39" s="2378"/>
      <c r="AE39" s="2379"/>
      <c r="AF39" s="2341"/>
      <c r="AG39" s="2429"/>
      <c r="AH39" s="2428" t="s">
        <v>532</v>
      </c>
      <c r="AI39" s="2428" t="s">
        <v>533</v>
      </c>
      <c r="AJ39" s="2428"/>
      <c r="AK39" s="2428" t="s">
        <v>534</v>
      </c>
      <c r="AL39" s="2428" t="s">
        <v>533</v>
      </c>
      <c r="AM39" s="2428"/>
      <c r="AN39" s="2358"/>
      <c r="AO39" s="2378"/>
      <c r="AP39" s="2379"/>
      <c r="AQ39" s="2341"/>
      <c r="AR39" s="2344"/>
      <c r="AS39" s="2190"/>
      <c r="AY39" s="1218">
        <v>19</v>
      </c>
    </row>
    <row customHeight="1" ht="61.949999999999996">
      <c r="A40" s="1433"/>
      <c r="B40" s="1433" t="s">
        <v>135</v>
      </c>
      <c r="C40" s="1433" t="s">
        <v>136</v>
      </c>
      <c r="D40" s="1433" t="s">
        <v>137</v>
      </c>
      <c r="E40" s="1427" t="s">
        <v>434</v>
      </c>
      <c r="F40" s="1427" t="s">
        <v>435</v>
      </c>
      <c r="G40" s="1427" t="s">
        <v>436</v>
      </c>
      <c r="H40" s="1427"/>
      <c r="I40" s="1427" t="s">
        <v>487</v>
      </c>
      <c r="J40" s="1427" t="s">
        <v>439</v>
      </c>
      <c r="K40" s="1427" t="s">
        <v>488</v>
      </c>
      <c r="L40" s="1427" t="s">
        <v>415</v>
      </c>
      <c r="Q40" s="439"/>
      <c r="R40" s="439"/>
      <c r="S40" s="2336"/>
      <c r="T40" s="2272"/>
      <c r="U40" s="365"/>
      <c r="V40" s="2429"/>
      <c r="W40" s="2428"/>
      <c r="X40" s="2046" t="s">
        <v>535</v>
      </c>
      <c r="Y40" s="2046" t="s">
        <v>536</v>
      </c>
      <c r="Z40" s="2428"/>
      <c r="AA40" s="2046" t="s">
        <v>537</v>
      </c>
      <c r="AB40" s="2046" t="s">
        <v>538</v>
      </c>
      <c r="AC40" s="1552" t="s">
        <v>443</v>
      </c>
      <c r="AD40" s="2333" t="s">
        <v>444</v>
      </c>
      <c r="AE40" s="2334"/>
      <c r="AF40" s="2342"/>
      <c r="AG40" s="2429"/>
      <c r="AH40" s="2428"/>
      <c r="AI40" s="2046" t="s">
        <v>535</v>
      </c>
      <c r="AJ40" s="2046" t="s">
        <v>536</v>
      </c>
      <c r="AK40" s="2428"/>
      <c r="AL40" s="2046" t="s">
        <v>537</v>
      </c>
      <c r="AM40" s="2046" t="s">
        <v>538</v>
      </c>
      <c r="AN40" s="1552" t="s">
        <v>443</v>
      </c>
      <c r="AO40" s="2333" t="s">
        <v>444</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108</v>
      </c>
      <c r="T41" s="1318" t="s">
        <v>109</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253</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123</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253</v>
      </c>
      <c r="B43" s="1426" t="s">
        <v>254</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394</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395</v>
      </c>
      <c r="AU43" s="563"/>
      <c r="AV43" s="563" t="str">
        <f>IF(T43="","",T43)</f>
        <v>Территория действия тарифа</v>
      </c>
      <c r="AW43" s="563"/>
      <c r="AX43" s="563"/>
      <c r="AY43" s="1218">
        <v>23</v>
      </c>
    </row>
    <row customHeight="1" ht="24">
      <c r="A44" s="1426" t="s">
        <v>253</v>
      </c>
      <c r="B44" s="1426" t="s">
        <v>254</v>
      </c>
      <c r="C44" s="1426" t="s">
        <v>255</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527</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528</v>
      </c>
      <c r="AU44" s="563"/>
      <c r="AV44" s="563" t="str">
        <f>IF(T44="","",T44)</f>
        <v>Наименование централизованной системы горячего водоснабжения</v>
      </c>
      <c r="AW44" s="563"/>
      <c r="AX44" s="563"/>
      <c r="AY44" s="1218">
        <v>23</v>
      </c>
    </row>
    <row customHeight="1" ht="24">
      <c r="A45" s="1426" t="s">
        <v>253</v>
      </c>
      <c r="B45" s="1426" t="s">
        <v>254</v>
      </c>
      <c r="C45" s="1426" t="s">
        <v>255</v>
      </c>
      <c r="D45" s="1426" t="s">
        <v>540</v>
      </c>
      <c r="E45" s="2322"/>
      <c r="F45" s="2322"/>
      <c r="G45" s="2322"/>
      <c r="H45" s="2322"/>
      <c r="I45" s="2319" t="str">
        <f>S44&amp;".1"</f>
        <v>...1</v>
      </c>
      <c r="J45" s="1426"/>
      <c r="K45" s="1426"/>
      <c r="L45" s="1427"/>
      <c r="P45" s="2320">
        <v>1</v>
      </c>
      <c r="Q45" s="1544"/>
      <c r="R45" s="419"/>
      <c r="S45" s="1556" t="str">
        <f>$I45</f>
        <v>...1</v>
      </c>
      <c r="T45" s="348" t="s">
        <v>480</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481</v>
      </c>
      <c r="AU45" s="563"/>
      <c r="AV45" s="563" t="str">
        <f>IF(T45="","",T45)</f>
        <v>Наименование признака дифференциации</v>
      </c>
      <c r="AW45" s="563"/>
      <c r="AX45" s="563"/>
      <c r="AY45" s="1218">
        <v>23</v>
      </c>
    </row>
    <row customHeight="1" ht="24">
      <c r="A46" s="1426" t="s">
        <v>253</v>
      </c>
      <c r="B46" s="1426" t="s">
        <v>254</v>
      </c>
      <c r="C46" s="1426" t="s">
        <v>255</v>
      </c>
      <c r="D46" s="1426" t="s">
        <v>540</v>
      </c>
      <c r="E46" s="2322"/>
      <c r="F46" s="2322"/>
      <c r="G46" s="2322"/>
      <c r="H46" s="2322"/>
      <c r="I46" s="2349"/>
      <c r="J46" s="2319" t="str">
        <f>I45&amp;".1"</f>
        <v>...1.1</v>
      </c>
      <c r="K46" s="1426"/>
      <c r="L46" s="1427" t="s">
        <v>403</v>
      </c>
      <c r="P46" s="2320"/>
      <c r="Q46" s="2320">
        <v>1</v>
      </c>
      <c r="R46" s="420"/>
      <c r="S46" s="1556" t="str">
        <f>$J46</f>
        <v>...1.1</v>
      </c>
      <c r="T46" s="349" t="s">
        <v>404</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482</v>
      </c>
      <c r="AU46" s="563"/>
      <c r="AV46" s="563" t="str">
        <f>IF(T46="","",T46)</f>
        <v>Группа потребителей</v>
      </c>
      <c r="AW46" s="563"/>
      <c r="AX46" s="563"/>
      <c r="AY46" s="1218">
        <v>23</v>
      </c>
    </row>
    <row customHeight="1" ht="24">
      <c r="A47" s="1426" t="s">
        <v>253</v>
      </c>
      <c r="B47" s="1426" t="s">
        <v>254</v>
      </c>
      <c r="C47" s="1426" t="s">
        <v>255</v>
      </c>
      <c r="D47" s="1426" t="s">
        <v>540</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65</v>
      </c>
      <c r="AE47" s="2330"/>
      <c r="AF47" s="2331" t="s">
        <v>65</v>
      </c>
      <c r="AG47" s="814"/>
      <c r="AH47" s="814"/>
      <c r="AI47" s="814"/>
      <c r="AJ47" s="814"/>
      <c r="AK47" s="814"/>
      <c r="AL47" s="814"/>
      <c r="AM47" s="1320"/>
      <c r="AN47" s="2328"/>
      <c r="AO47" s="2170" t="s">
        <v>65</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253</v>
      </c>
      <c r="B48" s="1426" t="s">
        <v>254</v>
      </c>
      <c r="C48" s="1426" t="s">
        <v>255</v>
      </c>
      <c r="D48" s="1426" t="s">
        <v>540</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253</v>
      </c>
      <c r="B49" s="1426" t="s">
        <v>254</v>
      </c>
      <c r="C49" s="1426" t="s">
        <v>255</v>
      </c>
      <c r="D49" s="1426" t="s">
        <v>540</v>
      </c>
      <c r="E49" s="2322"/>
      <c r="F49" s="2322"/>
      <c r="G49" s="2322"/>
      <c r="H49" s="2322"/>
      <c r="I49" s="2349"/>
      <c r="J49" s="2319"/>
      <c r="K49" s="1426"/>
      <c r="L49" s="1427"/>
      <c r="P49" s="2320"/>
      <c r="Q49" s="2320"/>
      <c r="R49" s="419"/>
      <c r="S49" s="1341"/>
      <c r="T49" s="350" t="s">
        <v>483</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484</v>
      </c>
      <c r="AU49" s="563"/>
      <c r="AV49" s="563" t="str">
        <f>IF(T49="","",T49)</f>
        <v>Добавить значение признака дифференциации</v>
      </c>
      <c r="AW49" s="563"/>
      <c r="AX49" s="563"/>
      <c r="AY49" s="1218">
        <v>20</v>
      </c>
    </row>
    <row customHeight="1" ht="22.049999999999997">
      <c r="A50" s="1426" t="s">
        <v>253</v>
      </c>
      <c r="B50" s="1426" t="s">
        <v>254</v>
      </c>
      <c r="C50" s="1426" t="s">
        <v>255</v>
      </c>
      <c r="D50" s="1426" t="s">
        <v>540</v>
      </c>
      <c r="E50" s="2322"/>
      <c r="F50" s="2322"/>
      <c r="G50" s="2322"/>
      <c r="H50" s="2322"/>
      <c r="I50" s="2319"/>
      <c r="J50" s="1426"/>
      <c r="K50" s="1426"/>
      <c r="L50" s="1427"/>
      <c r="P50" s="2320"/>
      <c r="Q50" s="1544"/>
      <c r="R50" s="419"/>
      <c r="S50" s="1341"/>
      <c r="T50" s="428" t="s">
        <v>409</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253</v>
      </c>
      <c r="B51" s="1426" t="s">
        <v>254</v>
      </c>
      <c r="C51" s="1426" t="s">
        <v>255</v>
      </c>
      <c r="D51" s="1426" t="s">
        <v>540</v>
      </c>
      <c r="E51" s="2322"/>
      <c r="F51" s="2322"/>
      <c r="G51" s="2322"/>
      <c r="H51" s="2321"/>
      <c r="I51" s="1426"/>
      <c r="J51" s="1426"/>
      <c r="K51" s="1426"/>
      <c r="L51" s="1427"/>
      <c r="M51" s="1428"/>
      <c r="N51" s="1428"/>
      <c r="O51" s="600"/>
      <c r="P51" s="423"/>
      <c r="Q51" s="438"/>
      <c r="R51" s="418"/>
      <c r="S51" s="1341"/>
      <c r="T51" s="435" t="s">
        <v>485</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253</v>
      </c>
      <c r="B52" s="1406" t="s">
        <v>254</v>
      </c>
      <c r="C52" s="1377"/>
      <c r="D52" s="1377"/>
      <c r="E52" s="2322"/>
      <c r="F52" s="2321"/>
      <c r="G52" s="1377"/>
      <c r="H52" s="1377"/>
      <c r="I52" s="1377"/>
      <c r="J52" s="1377"/>
      <c r="K52" s="1377"/>
      <c r="L52" s="1557"/>
      <c r="M52" s="1384"/>
      <c r="N52" s="1384"/>
      <c r="P52" s="1379"/>
      <c r="Q52" s="1380"/>
      <c r="R52" s="1379"/>
      <c r="S52" s="1385"/>
      <c r="T52" s="1388" t="s">
        <v>412</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253</v>
      </c>
      <c r="B53" s="1406"/>
      <c r="C53" s="1406"/>
      <c r="D53" s="1406"/>
      <c r="E53" s="2321"/>
      <c r="F53" s="1406"/>
      <c r="G53" s="1406"/>
      <c r="H53" s="1406"/>
      <c r="I53" s="1406"/>
      <c r="J53" s="1406"/>
      <c r="K53" s="1406"/>
      <c r="L53" s="1409"/>
      <c r="M53" s="1384"/>
      <c r="N53" s="1384"/>
      <c r="O53" s="581"/>
      <c r="P53" s="443"/>
      <c r="Q53" s="1407"/>
      <c r="R53" s="443"/>
      <c r="S53" s="1385"/>
      <c r="T53" s="1388" t="s">
        <v>413</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445</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43223-3F56-5774-8C1E-9F8CABBD81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394</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395</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527</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528</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399</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400</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22</v>
      </c>
      <c r="AL8" s="2170" t="s">
        <v>65</v>
      </c>
      <c r="AM8" s="2255"/>
      <c r="AN8" s="2268">
        <v>1</v>
      </c>
      <c r="AO8" s="2420"/>
      <c r="AP8" s="2421" t="s">
        <v>65</v>
      </c>
      <c r="AQ8" s="374"/>
      <c r="AR8" s="1549">
        <v>1</v>
      </c>
      <c r="AS8" s="1555" t="s">
        <v>22</v>
      </c>
      <c r="AT8" s="814"/>
      <c r="AU8" s="1320"/>
      <c r="AV8" s="814"/>
      <c r="AW8" s="1320"/>
      <c r="AX8" s="1797"/>
      <c r="AY8" s="1532" t="s">
        <v>65</v>
      </c>
      <c r="AZ8" s="1797"/>
      <c r="BA8" s="1532" t="s">
        <v>65</v>
      </c>
      <c r="BB8" s="1411"/>
      <c r="BC8" s="2316" t="s">
        <v>498</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499</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500</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501</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502</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465</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413</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414</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415</v>
      </c>
      <c r="P24" s="1571"/>
      <c r="Q24" s="1573"/>
      <c r="R24" s="1573"/>
      <c r="AA24" s="1570" t="s">
        <v>417</v>
      </c>
      <c r="AC24" s="1570" t="s">
        <v>418</v>
      </c>
      <c r="AD24" s="1570" t="s">
        <v>466</v>
      </c>
      <c r="AH24" s="1570" t="s">
        <v>466</v>
      </c>
      <c r="AK24" s="1570" t="s">
        <v>503</v>
      </c>
      <c r="AL24" s="1570" t="s">
        <v>466</v>
      </c>
      <c r="AP24" s="1570" t="s">
        <v>466</v>
      </c>
      <c r="AY24" s="1570" t="s">
        <v>417</v>
      </c>
      <c r="BA24" s="1570" t="s">
        <v>418</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420</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421</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420</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421</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424</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424</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297</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298</v>
      </c>
      <c r="BI40" s="1218">
        <v>14</v>
      </c>
    </row>
    <row customHeight="1" ht="14.699999999999998">
      <c r="Q41" s="354"/>
      <c r="R41" s="439"/>
      <c r="S41" s="2336" t="s">
        <v>87</v>
      </c>
      <c r="T41" s="2272" t="s">
        <v>504</v>
      </c>
      <c r="U41" s="364"/>
      <c r="V41" s="2337" t="s">
        <v>426</v>
      </c>
      <c r="W41" s="2338"/>
      <c r="X41" s="2338"/>
      <c r="Y41" s="2338"/>
      <c r="Z41" s="2338"/>
      <c r="AA41" s="2338"/>
      <c r="AB41" s="2339"/>
      <c r="AC41" s="2340" t="s">
        <v>427</v>
      </c>
      <c r="AD41" s="2391" t="s">
        <v>505</v>
      </c>
      <c r="AE41" s="2354"/>
      <c r="AF41" s="2354"/>
      <c r="AG41" s="2392"/>
      <c r="AH41" s="2391" t="s">
        <v>506</v>
      </c>
      <c r="AI41" s="2354"/>
      <c r="AJ41" s="2354"/>
      <c r="AK41" s="2392"/>
      <c r="AL41" s="2391" t="s">
        <v>507</v>
      </c>
      <c r="AM41" s="2354"/>
      <c r="AN41" s="2354"/>
      <c r="AO41" s="2392"/>
      <c r="AP41" s="2391" t="s">
        <v>508</v>
      </c>
      <c r="AQ41" s="2354"/>
      <c r="AR41" s="2354"/>
      <c r="AS41" s="2392"/>
      <c r="AT41" s="2337" t="s">
        <v>426</v>
      </c>
      <c r="AU41" s="2338"/>
      <c r="AV41" s="2338"/>
      <c r="AW41" s="2338"/>
      <c r="AX41" s="2338"/>
      <c r="AY41" s="2338"/>
      <c r="AZ41" s="2339"/>
      <c r="BA41" s="2340" t="s">
        <v>427</v>
      </c>
      <c r="BB41" s="2343" t="s">
        <v>429</v>
      </c>
      <c r="BC41" s="2190"/>
      <c r="BI41" s="1218">
        <v>14</v>
      </c>
    </row>
    <row customHeight="1" ht="35.699999999999996">
      <c r="Q42" s="354"/>
      <c r="R42" s="439"/>
      <c r="S42" s="2336"/>
      <c r="T42" s="2272"/>
      <c r="U42" s="1094"/>
      <c r="V42" s="2255" t="s">
        <v>509</v>
      </c>
      <c r="W42" s="2256"/>
      <c r="X42" s="2255" t="s">
        <v>510</v>
      </c>
      <c r="Y42" s="2256"/>
      <c r="Z42" s="2357" t="s">
        <v>511</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509</v>
      </c>
      <c r="AU42" s="2256"/>
      <c r="AV42" s="2255" t="s">
        <v>510</v>
      </c>
      <c r="AW42" s="2256"/>
      <c r="AX42" s="2357" t="s">
        <v>511</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434</v>
      </c>
      <c r="F44" s="1427" t="s">
        <v>435</v>
      </c>
      <c r="G44" s="1427" t="s">
        <v>436</v>
      </c>
      <c r="H44" s="1427" t="s">
        <v>437</v>
      </c>
      <c r="I44" s="1427" t="s">
        <v>438</v>
      </c>
      <c r="J44" s="1427" t="s">
        <v>439</v>
      </c>
      <c r="K44" s="1427" t="s">
        <v>440</v>
      </c>
      <c r="L44" s="1427" t="s">
        <v>415</v>
      </c>
      <c r="Q44" s="354"/>
      <c r="R44" s="439"/>
      <c r="S44" s="2336"/>
      <c r="T44" s="2272"/>
      <c r="U44" s="365"/>
      <c r="V44" s="1542" t="s">
        <v>475</v>
      </c>
      <c r="W44" s="1542" t="s">
        <v>476</v>
      </c>
      <c r="X44" s="1542" t="s">
        <v>475</v>
      </c>
      <c r="Y44" s="1542" t="s">
        <v>476</v>
      </c>
      <c r="Z44" s="1552" t="s">
        <v>443</v>
      </c>
      <c r="AA44" s="2333" t="s">
        <v>444</v>
      </c>
      <c r="AB44" s="2334"/>
      <c r="AC44" s="2342"/>
      <c r="AD44" s="2396"/>
      <c r="AE44" s="2397"/>
      <c r="AF44" s="2397"/>
      <c r="AG44" s="2398"/>
      <c r="AH44" s="2396"/>
      <c r="AI44" s="2397"/>
      <c r="AJ44" s="2397"/>
      <c r="AK44" s="2398"/>
      <c r="AL44" s="2396"/>
      <c r="AM44" s="2397"/>
      <c r="AN44" s="2397"/>
      <c r="AO44" s="2398"/>
      <c r="AP44" s="2396"/>
      <c r="AQ44" s="2397"/>
      <c r="AR44" s="2397"/>
      <c r="AS44" s="2398"/>
      <c r="AT44" s="1542" t="s">
        <v>475</v>
      </c>
      <c r="AU44" s="1542" t="s">
        <v>476</v>
      </c>
      <c r="AV44" s="1542" t="s">
        <v>475</v>
      </c>
      <c r="AW44" s="1542" t="s">
        <v>476</v>
      </c>
      <c r="AX44" s="1552" t="s">
        <v>443</v>
      </c>
      <c r="AY44" s="2333" t="s">
        <v>444</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258</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258</v>
      </c>
      <c r="B47" s="1426" t="s">
        <v>259</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394</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395</v>
      </c>
      <c r="BE47" s="563"/>
      <c r="BF47" s="563" t="str">
        <f>IF(T47="","",T47)</f>
        <v>Территория действия тарифа</v>
      </c>
      <c r="BG47" s="563"/>
      <c r="BH47" s="563"/>
      <c r="BI47" s="1218">
        <v>21</v>
      </c>
    </row>
    <row customHeight="1" ht="35.699999999999996">
      <c r="A48" s="1426" t="s">
        <v>258</v>
      </c>
      <c r="B48" s="1426" t="s">
        <v>259</v>
      </c>
      <c r="C48" s="1426" t="s">
        <v>260</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527</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528</v>
      </c>
      <c r="BE48" s="563"/>
      <c r="BF48" s="563" t="str">
        <f>IF(T48="","",T48)</f>
        <v>Наименование централизованной системы горячего водоснабжения</v>
      </c>
      <c r="BG48" s="563"/>
      <c r="BH48" s="563"/>
      <c r="BI48" s="1218">
        <v>34</v>
      </c>
    </row>
    <row s="4026" customFormat="1" customHeight="1" ht="0">
      <c r="A49" s="1406" t="s">
        <v>258</v>
      </c>
      <c r="B49" s="1406" t="s">
        <v>259</v>
      </c>
      <c r="C49" s="1406" t="s">
        <v>260</v>
      </c>
      <c r="D49" s="1406" t="s">
        <v>541</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399</v>
      </c>
      <c r="BE49" s="563"/>
      <c r="BF49" s="563" t="str">
        <f>IF(T49="","",T49)</f>
        <v/>
      </c>
      <c r="BG49" s="563"/>
      <c r="BH49" s="563"/>
      <c r="BI49" s="574">
        <v>0</v>
      </c>
    </row>
    <row s="4026" customFormat="1" customHeight="1" ht="0">
      <c r="A50" s="1406" t="s">
        <v>258</v>
      </c>
      <c r="B50" s="1406" t="s">
        <v>259</v>
      </c>
      <c r="C50" s="1406" t="s">
        <v>260</v>
      </c>
      <c r="D50" s="1406" t="s">
        <v>541</v>
      </c>
      <c r="E50" s="2322"/>
      <c r="F50" s="2322"/>
      <c r="G50" s="2322"/>
      <c r="H50" s="2322"/>
      <c r="I50" s="2319" t="str">
        <f>S49&amp;".1"</f>
        <v>.1</v>
      </c>
      <c r="J50" s="1406"/>
      <c r="K50" s="1406"/>
      <c r="L50" s="1409" t="s">
        <v>400</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258</v>
      </c>
      <c r="B51" s="1406" t="s">
        <v>259</v>
      </c>
      <c r="C51" s="1406" t="s">
        <v>260</v>
      </c>
      <c r="D51" s="1406" t="s">
        <v>541</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258</v>
      </c>
      <c r="B52" s="1426" t="s">
        <v>259</v>
      </c>
      <c r="C52" s="1426" t="s">
        <v>260</v>
      </c>
      <c r="D52" s="1426" t="s">
        <v>541</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49">
        <v>1</v>
      </c>
      <c r="AS52" s="1555" t="s">
        <v>22</v>
      </c>
      <c r="AT52" s="814"/>
      <c r="AU52" s="1320"/>
      <c r="AV52" s="814"/>
      <c r="AW52" s="1320"/>
      <c r="AX52" s="1797"/>
      <c r="AY52" s="1532" t="s">
        <v>65</v>
      </c>
      <c r="AZ52" s="1797"/>
      <c r="BA52" s="1532" t="s">
        <v>65</v>
      </c>
      <c r="BB52" s="1411"/>
      <c r="BC52" s="2316" t="s">
        <v>498</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499</v>
      </c>
      <c r="AT53" s="1456"/>
      <c r="AU53" s="1559"/>
      <c r="AV53" s="1456"/>
      <c r="AW53" s="1559"/>
      <c r="AX53" s="1456"/>
      <c r="AY53" s="1456"/>
      <c r="AZ53" s="1456"/>
      <c r="BA53" s="1456"/>
      <c r="BB53" s="1460"/>
      <c r="BC53" s="2317"/>
      <c r="BE53" s="563"/>
      <c r="BF53" s="563"/>
      <c r="BG53" s="563"/>
      <c r="BH53" s="563"/>
      <c r="BI53" s="1218">
        <v>11</v>
      </c>
    </row>
    <row customHeight="1" ht="11.549999999999999">
      <c r="A54" s="1426" t="s">
        <v>258</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500</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258</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501</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258</v>
      </c>
      <c r="B56" s="1426" t="s">
        <v>259</v>
      </c>
      <c r="C56" s="1426" t="s">
        <v>260</v>
      </c>
      <c r="D56" s="1426" t="s">
        <v>541</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502</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258</v>
      </c>
      <c r="B57" s="1426" t="s">
        <v>259</v>
      </c>
      <c r="C57" s="1426" t="s">
        <v>260</v>
      </c>
      <c r="D57" s="1426" t="s">
        <v>541</v>
      </c>
      <c r="E57" s="2322"/>
      <c r="F57" s="2322"/>
      <c r="G57" s="2322"/>
      <c r="H57" s="2322"/>
      <c r="I57" s="2349"/>
      <c r="J57" s="2319"/>
      <c r="K57" s="1426"/>
      <c r="L57" s="1427"/>
      <c r="P57" s="2320"/>
      <c r="Q57" s="2320"/>
      <c r="R57" s="419"/>
      <c r="S57" s="1341"/>
      <c r="T57" s="350" t="s">
        <v>465</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258</v>
      </c>
      <c r="B58" s="1406" t="s">
        <v>259</v>
      </c>
      <c r="C58" s="1406" t="s">
        <v>260</v>
      </c>
      <c r="D58" s="1406" t="s">
        <v>541</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258</v>
      </c>
      <c r="B59" s="1406" t="s">
        <v>259</v>
      </c>
      <c r="C59" s="1406" t="s">
        <v>260</v>
      </c>
      <c r="D59" s="1406" t="s">
        <v>541</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258</v>
      </c>
      <c r="B60" s="1406" t="s">
        <v>259</v>
      </c>
      <c r="C60" s="1406" t="s">
        <v>260</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258</v>
      </c>
      <c r="B61" s="1406" t="s">
        <v>259</v>
      </c>
      <c r="C61" s="1377"/>
      <c r="D61" s="1377"/>
      <c r="E61" s="2322"/>
      <c r="F61" s="2321"/>
      <c r="G61" s="1377"/>
      <c r="H61" s="1377"/>
      <c r="I61" s="1377"/>
      <c r="J61" s="1377"/>
      <c r="K61" s="1377"/>
      <c r="L61" s="1557"/>
      <c r="M61" s="1384"/>
      <c r="N61" s="1384"/>
      <c r="P61" s="1379"/>
      <c r="Q61" s="1380"/>
      <c r="R61" s="1379"/>
      <c r="S61" s="1385"/>
      <c r="T61" s="1388" t="s">
        <v>412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258</v>
      </c>
      <c r="B62" s="1406"/>
      <c r="C62" s="1406"/>
      <c r="D62" s="1406"/>
      <c r="E62" s="2321"/>
      <c r="F62" s="1406"/>
      <c r="G62" s="1406"/>
      <c r="H62" s="1406"/>
      <c r="I62" s="1406"/>
      <c r="J62" s="1406"/>
      <c r="K62" s="1406"/>
      <c r="L62" s="1409"/>
      <c r="M62" s="1384"/>
      <c r="N62" s="1384"/>
      <c r="O62" s="581"/>
      <c r="P62" s="443"/>
      <c r="Q62" s="1407"/>
      <c r="R62" s="443"/>
      <c r="S62" s="1385"/>
      <c r="T62" s="1388" t="s">
        <v>413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445</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508F1-ADBE-EBC7-2918-12FA8F82ECA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542</v>
      </c>
      <c r="D2" s="1701"/>
      <c r="E2" s="609">
        <f>B2</f>
        <v>0</v>
      </c>
      <c r="F2" s="610"/>
      <c r="G2" s="1709" t="s">
        <v>543</v>
      </c>
      <c r="H2" s="1709" t="s">
        <v>543</v>
      </c>
      <c r="I2" s="1709" t="s">
        <v>543</v>
      </c>
      <c r="J2" s="352" t="s">
        <v>544</v>
      </c>
      <c r="K2" s="606"/>
      <c r="AF2" s="1694">
        <v>0</v>
      </c>
    </row>
    <row s="4026" customFormat="1" customHeight="1" ht="0.75" hidden="1">
      <c r="B3" s="2162"/>
      <c r="C3" s="1230"/>
      <c r="D3" s="611"/>
      <c r="E3" s="612"/>
      <c r="F3" s="613" t="s">
        <v>545</v>
      </c>
      <c r="G3" s="614"/>
      <c r="H3" s="614">
        <f>H4*H5+H7</f>
        <v>0</v>
      </c>
      <c r="I3" s="614">
        <f>I4*I5+I6</f>
        <v>0</v>
      </c>
      <c r="J3" s="615"/>
      <c r="AF3" s="1699">
        <v>0</v>
      </c>
    </row>
    <row customHeight="1" ht="23.25" hidden="1">
      <c r="B4" s="2162"/>
      <c r="C4" s="1230"/>
      <c r="D4" s="1701"/>
      <c r="E4" s="609" t="str">
        <f>B2&amp;".1"</f>
        <v>.1</v>
      </c>
      <c r="F4" s="616" t="s">
        <v>546</v>
      </c>
      <c r="G4" s="617"/>
      <c r="H4" s="604"/>
      <c r="I4" s="604"/>
      <c r="J4" s="352" t="s">
        <v>547</v>
      </c>
      <c r="K4" s="606"/>
      <c r="AF4" s="1694">
        <v>0</v>
      </c>
    </row>
    <row customHeight="1" ht="18.75" hidden="1">
      <c r="B5" s="2162"/>
      <c r="C5" s="1230"/>
      <c r="D5" s="1701"/>
      <c r="E5" s="609" t="str">
        <f>B2&amp;".2"</f>
        <v>.2</v>
      </c>
      <c r="F5" s="616" t="s">
        <v>548</v>
      </c>
      <c r="G5" s="1709" t="s">
        <v>549</v>
      </c>
      <c r="H5" s="604"/>
      <c r="I5" s="604"/>
      <c r="J5" s="352"/>
      <c r="K5" s="606"/>
      <c r="AF5" s="1694">
        <v>0</v>
      </c>
    </row>
    <row customHeight="1" ht="18.75" hidden="1">
      <c r="B6" s="2162"/>
      <c r="C6" s="1230"/>
      <c r="D6" s="1701"/>
      <c r="E6" s="609" t="str">
        <f>B2&amp;".3"</f>
        <v>.3</v>
      </c>
      <c r="F6" s="616" t="s">
        <v>550</v>
      </c>
      <c r="G6" s="1709" t="s">
        <v>549</v>
      </c>
      <c r="H6" s="604"/>
      <c r="I6" s="604"/>
      <c r="J6" s="352"/>
      <c r="K6" s="606"/>
      <c r="AF6" s="1694">
        <v>0</v>
      </c>
    </row>
    <row customHeight="1" ht="18.75" hidden="1">
      <c r="B7" s="2162"/>
      <c r="C7" s="1230"/>
      <c r="D7" s="1701"/>
      <c r="E7" s="609" t="str">
        <f>B2&amp;".4"</f>
        <v>.4</v>
      </c>
      <c r="F7" s="616" t="s">
        <v>551</v>
      </c>
      <c r="G7" s="1709" t="s">
        <v>543</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549</v>
      </c>
      <c r="H9" s="604"/>
      <c r="I9" s="604"/>
      <c r="J9" s="605" t="s">
        <v>552</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553</v>
      </c>
      <c r="H11" s="604"/>
      <c r="I11" s="604"/>
      <c r="J11" s="352" t="s">
        <v>554</v>
      </c>
      <c r="K11" s="606"/>
      <c r="AF11" s="1694">
        <v>0</v>
      </c>
    </row>
    <row customHeight="1" ht="11.25" hidden="1">
      <c r="AF12" s="1694">
        <v>0</v>
      </c>
    </row>
    <row customHeight="1" ht="22.5" hidden="1">
      <c r="D13" s="1701"/>
      <c r="E13" s="609"/>
      <c r="F13" s="603"/>
      <c r="G13" s="1032" t="s">
        <v>555</v>
      </c>
      <c r="H13" s="608"/>
      <c r="I13" s="608"/>
      <c r="J13" s="808" t="s">
        <v>556</v>
      </c>
      <c r="K13" s="606"/>
      <c r="AF13" s="1694">
        <v>0</v>
      </c>
    </row>
    <row customHeight="1" ht="11.25" hidden="1">
      <c r="AF14" s="1694">
        <v>0</v>
      </c>
    </row>
    <row customHeight="1" ht="22.5" hidden="1">
      <c r="D15" s="1701"/>
      <c r="E15" s="609"/>
      <c r="F15" s="603"/>
      <c r="G15" s="1709" t="s">
        <v>557</v>
      </c>
      <c r="H15" s="608"/>
      <c r="I15" s="608"/>
      <c r="J15" s="352" t="s">
        <v>558</v>
      </c>
      <c r="K15" s="606"/>
      <c r="AF15" s="1694">
        <v>0</v>
      </c>
    </row>
    <row customHeight="1" ht="11.25" hidden="1">
      <c r="AF16" s="1694">
        <v>0</v>
      </c>
    </row>
    <row customHeight="1" ht="22.5" hidden="1">
      <c r="D17" s="1701"/>
      <c r="E17" s="609"/>
      <c r="F17" s="603"/>
      <c r="G17" s="1709" t="s">
        <v>559</v>
      </c>
      <c r="H17" s="608"/>
      <c r="I17" s="608"/>
      <c r="J17" s="352" t="s">
        <v>560</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1"/>
      <c r="G21" s="2311"/>
      <c r="H21" s="2311"/>
      <c r="I21" s="2311"/>
      <c r="J21" s="619"/>
      <c r="AF21" s="1694">
        <v>24</v>
      </c>
    </row>
    <row customHeight="1" ht="25.2">
      <c r="E22" s="2312" t="str">
        <f>IF(org=0,"Не определено",org)</f>
        <v>Филиал "Уренгойская ГРЭС" АО "Интер РАО - Электрогенерация"</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116</v>
      </c>
      <c r="AF24" s="1699">
        <v>1</v>
      </c>
    </row>
    <row customHeight="1" ht="11.549999999999999">
      <c r="E25" s="774"/>
      <c r="F25" s="2430" t="s">
        <v>104</v>
      </c>
      <c r="G25" s="2431"/>
      <c r="H25" s="1715" t="str">
        <f>IF(H24="","",INDEX(DIFFERENTIATION_UNMERGE_VD,MATCH(H24,DIFFERENTIATION_ID_DIFF,0)))</f>
        <v/>
      </c>
      <c r="I25" s="1715" t="str">
        <f>IF(I24="","",INDEX(DIFFERENTIATION_UNMERGE_VD,MATCH(I24,DIFFERENTIATION_ID_DIFF,0)))</f>
        <v>Транспортировка</v>
      </c>
      <c r="J25" s="2190"/>
      <c r="AF25" s="1694">
        <v>11</v>
      </c>
    </row>
    <row customHeight="1" ht="11.549999999999999">
      <c r="E26" s="774"/>
      <c r="F26" s="2430" t="s">
        <v>561</v>
      </c>
      <c r="G26" s="2431"/>
      <c r="H26" s="1715" t="str">
        <f>IF(H24="","",INDEX(DIFFERENTIATION_UNMERGE_AREA,MATCH(H24,DIFFERENTIATION_ID_DIFF,0)))</f>
        <v/>
      </c>
      <c r="I26" s="1715" t="str">
        <f>IF(I24="","",INDEX(DIFFERENTIATION_UNMERGE_AREA,MATCH(I24,DIFFERENTIATION_ID_DIFF,0)))</f>
        <v>Территория 1</v>
      </c>
      <c r="J26" s="2190"/>
      <c r="AF26" s="1694">
        <v>11</v>
      </c>
    </row>
    <row customHeight="1" ht="11.549999999999999">
      <c r="E27" s="774"/>
      <c r="F27" s="2430" t="s">
        <v>562</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297</v>
      </c>
      <c r="F28" s="2433"/>
      <c r="G28" s="2433"/>
      <c r="H28" s="1708"/>
      <c r="I28" s="1708"/>
      <c r="J28" s="2190"/>
      <c r="AF28" s="1694">
        <v>11</v>
      </c>
    </row>
    <row customHeight="1" ht="24">
      <c r="E29" s="1709" t="s">
        <v>87</v>
      </c>
      <c r="F29" s="1716" t="s">
        <v>299</v>
      </c>
      <c r="G29" s="1716" t="s">
        <v>563</v>
      </c>
      <c r="H29" s="1716" t="s">
        <v>300</v>
      </c>
      <c r="I29" s="1716" t="s">
        <v>300</v>
      </c>
      <c r="J29" s="2190"/>
      <c r="AF29" s="1694">
        <v>23</v>
      </c>
    </row>
    <row customHeight="1" ht="19.95">
      <c r="D30" s="1701"/>
      <c r="E30" s="609">
        <f>FHD_NUM_P_1</f>
        <v>1</v>
      </c>
      <c r="F30" s="1943" t="str">
        <f>FHD_P_1</f>
        <v>Выручка от регулируемых видов деятельности в сфере водоотведения</v>
      </c>
      <c r="G30" s="1941" t="s">
        <v>549</v>
      </c>
      <c r="H30" s="620"/>
      <c r="I30" s="620"/>
      <c r="J30" s="352" t="str">
        <f>FHD_NOTE_P_1</f>
        <v>Указывается выручка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регулируемым видам деятельности в сфере водоотведения, включая:</v>
      </c>
      <c r="G31" s="1941" t="s">
        <v>549</v>
      </c>
      <c r="H31" s="621">
        <f>SUMIF($K33:$K71,$K31,H33:H71)</f>
        <v>0</v>
      </c>
      <c r="I31" s="621">
        <f>SUMIF($K33:$K71,$K31,I33:I71)</f>
        <v>0</v>
      </c>
      <c r="J31" s="352" t="str">
        <f>FHD_NOTE_P_2</f>
        <v>Указывается суммарная себестоимость производимых товаров.</v>
      </c>
      <c r="K31" s="1699" t="s">
        <v>564</v>
      </c>
      <c r="AF31" s="1694">
        <v>11</v>
      </c>
    </row>
    <row customHeight="1" ht="11.549999999999999">
      <c r="D32" s="1701"/>
      <c r="E32" s="609" t="str">
        <f>FHD_NUM_P_3</f>
        <v>2.1</v>
      </c>
      <c r="F32" s="1587" t="str">
        <f>FHD_P_3</f>
        <v>Расходы на оплату услуг по приему, транспортировке и очистке сточных вод другими организациями</v>
      </c>
      <c r="G32" s="1941" t="s">
        <v>549</v>
      </c>
      <c r="H32" s="620"/>
      <c r="I32" s="620"/>
      <c r="J32" s="352" t="str">
        <f>FHD_NOTE_P_3</f>
        <v/>
      </c>
      <c r="K32" s="1699" t="str">
        <f>IF((LEN(E32)-LEN(SUBSTITUTE(E32,".","")))/LEN(".")=1,"p","")</f>
        <v>p</v>
      </c>
      <c r="AF32" s="1694">
        <v>11</v>
      </c>
    </row>
    <row customHeight="1" ht="11.25" hidden="1">
      <c r="A33" s="2434" t="s">
        <v>565</v>
      </c>
      <c r="D33" s="1701"/>
      <c r="E33" s="609" t="str">
        <f>FHD_NUM_P_4</f>
        <v/>
      </c>
      <c r="F33" s="1587" t="str">
        <f>FHD_P_4</f>
        <v/>
      </c>
      <c r="G33" s="1941" t="s">
        <v>549</v>
      </c>
      <c r="H33" s="621">
        <f>SUMIF($F34:$F40,$F3,H34:H40)</f>
        <v>0</v>
      </c>
      <c r="I33" s="621">
        <f>SUMIF($F34:$F40,$F3,I34:I40)</f>
        <v>0</v>
      </c>
      <c r="J33" s="352" t="str">
        <f>FHD_NOTE_P_4</f>
        <v/>
      </c>
      <c r="K33" s="1699" t="str">
        <f>IF((LEN(E33)-LEN(SUBSTITUTE(E33,".","")))/LEN(".")=1,"p","")</f>
        <v/>
      </c>
      <c r="AF33" s="1694">
        <v>0</v>
      </c>
    </row>
    <row s="3617" customFormat="1" customHeight="1" ht="0.75" hidden="1">
      <c r="A34" s="2434"/>
      <c r="B34" s="2435" t="str">
        <f>E33&amp;".0"</f>
        <v>.0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hidden="1">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hidden="1">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hidden="1">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hidden="1">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hidden="1">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hidden="1">
      <c r="A40" s="2434"/>
      <c r="C40" s="1699"/>
      <c r="D40" s="1696"/>
      <c r="E40" s="633"/>
      <c r="F40" s="634" t="s">
        <v>566</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567</v>
      </c>
      <c r="D41" s="1701"/>
      <c r="E41" s="609" t="str">
        <f>FHD_NUM_P_5</f>
        <v/>
      </c>
      <c r="F41" s="1587" t="str">
        <f>FHD_P_5</f>
        <v/>
      </c>
      <c r="G41" s="1941" t="s">
        <v>549</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549</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549</v>
      </c>
      <c r="H43" s="620"/>
      <c r="I43" s="620"/>
      <c r="J43" s="352" t="str">
        <f>FHD_NOTE_P_7</f>
        <v/>
      </c>
      <c r="K43" s="1699" t="str">
        <f>IF((LEN(E43)-LEN(SUBSTITUTE(E43,".","")))/LEN(".")=1,"p","")</f>
        <v/>
      </c>
      <c r="AF43" s="1694">
        <v>0</v>
      </c>
    </row>
    <row customHeight="1" ht="11.549999999999999">
      <c r="D44" s="1701"/>
      <c r="E44" s="609" t="str">
        <f>FHD_NUM_P_8</f>
        <v>2.2</v>
      </c>
      <c r="F44" s="1587" t="str">
        <f>FHD_P_8</f>
        <v>Расходы на приобретаемую электрическую энергию (мощность), используемую в технологическом процессе</v>
      </c>
      <c r="G44" s="1941" t="s">
        <v>549</v>
      </c>
      <c r="H44" s="620"/>
      <c r="I44" s="620"/>
      <c r="J44" s="352" t="str">
        <f>FHD_NOTE_P_8</f>
        <v/>
      </c>
      <c r="K44" s="1699" t="str">
        <f>IF((LEN(E44)-LEN(SUBSTITUTE(E44,".","")))/LEN(".")=1,"p","")</f>
        <v>p</v>
      </c>
      <c r="AF44" s="1694">
        <v>11</v>
      </c>
    </row>
    <row customHeight="1" ht="11.549999999999999">
      <c r="D45" s="1701"/>
      <c r="E45" s="609" t="str">
        <f>FHD_NUM_P_9</f>
        <v>2.2.1</v>
      </c>
      <c r="F45" s="1713" t="str">
        <f>FHD_P_9</f>
        <v>Средневзвешенная стоимость 1 кВт.ч (с учетом мощности)</v>
      </c>
      <c r="G45" s="1941" t="s">
        <v>568</v>
      </c>
      <c r="H45" s="620"/>
      <c r="I45" s="620"/>
      <c r="J45" s="352" t="str">
        <f>FHD_NOTE_P_9</f>
        <v/>
      </c>
      <c r="K45" s="1699" t="str">
        <f>IF((LEN(E45)-LEN(SUBSTITUTE(E45,".","")))/LEN(".")=1,"p","")</f>
        <v/>
      </c>
      <c r="AF45" s="1694">
        <v>11</v>
      </c>
    </row>
    <row s="4466" customFormat="1" customHeight="1" ht="11.549999999999999">
      <c r="A46" s="1050"/>
      <c r="C46" s="1699"/>
      <c r="D46" s="637"/>
      <c r="E46" s="609" t="str">
        <f>FHD_NUM_P_10</f>
        <v>2.2.2</v>
      </c>
      <c r="F46" s="1713" t="str">
        <f>FHD_P_10</f>
        <v>Объём приобретения электрической энергии</v>
      </c>
      <c r="G46" s="1941" t="s">
        <v>569</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hidden="1">
      <c r="A47" s="1052" t="s">
        <v>570</v>
      </c>
      <c r="C47" s="1699"/>
      <c r="D47" s="638"/>
      <c r="E47" s="609" t="str">
        <f>FHD_NUM_P_11</f>
        <v/>
      </c>
      <c r="F47" s="1587" t="str">
        <f>FHD_P_11</f>
        <v/>
      </c>
      <c r="G47" s="1941" t="s">
        <v>549</v>
      </c>
      <c r="H47" s="620"/>
      <c r="I47" s="620"/>
      <c r="J47" s="352" t="str">
        <f>FHD_NOTE_P_11</f>
        <v/>
      </c>
      <c r="K47" s="1699" t="str">
        <f>IF((LEN(E47)-LEN(SUBSTITUTE(E47,".","")))/LEN(".")=1,"p","")</f>
        <v/>
      </c>
      <c r="L47" s="1699"/>
      <c r="M47" s="1699"/>
      <c r="R47" s="1699"/>
      <c r="U47" s="607"/>
      <c r="AA47" s="1695"/>
      <c r="AB47" s="1695"/>
      <c r="AC47" s="1695"/>
      <c r="AD47" s="1695"/>
      <c r="AE47" s="1695"/>
      <c r="AF47" s="1223">
        <v>0</v>
      </c>
    </row>
    <row s="4466" customFormat="1" customHeight="1" ht="18.75">
      <c r="A48" s="1052" t="s">
        <v>571</v>
      </c>
      <c r="C48" s="1699"/>
      <c r="D48" s="1701"/>
      <c r="E48" s="609" t="str">
        <f>FHD_NUM_P_12</f>
        <v>2.3</v>
      </c>
      <c r="F48" s="1587" t="str">
        <f>FHD_P_12</f>
        <v>Расходы на химические реагенты, используемые в технологическом процессе</v>
      </c>
      <c r="G48" s="1941" t="s">
        <v>549</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2.4</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549</v>
      </c>
      <c r="H49" s="620"/>
      <c r="I49" s="620"/>
      <c r="J49" s="352" t="str">
        <f>FHD_NOTE_P_13</f>
        <v>Указывается общая сумма расходов на оплату труда и отчислений на социальные нужды основного производственного персонала.</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2.4.1</v>
      </c>
      <c r="F50" s="1713" t="str">
        <f>FHD_P_14</f>
        <v>Расходы на оплату труда основного производственного персонала</v>
      </c>
      <c r="G50" s="1941" t="s">
        <v>549</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2.4.2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549</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2.5</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1" t="s">
        <v>549</v>
      </c>
      <c r="H52" s="620"/>
      <c r="I52" s="620"/>
      <c r="J52" s="352" t="str">
        <f>FHD_NOTE_P_16</f>
        <v>Указывается общая сумма расходов на оплату труда и отчислений на социальные нужды административно-управленческого персонала.</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2.5.1</v>
      </c>
      <c r="F53" s="1713" t="str">
        <f>FHD_P_17</f>
        <v>Расходы на оплату труда административно-управленческого персонала, в том числе:</v>
      </c>
      <c r="G53" s="1941" t="s">
        <v>549</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2.5.2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549</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2.6</v>
      </c>
      <c r="F55" s="1587" t="str">
        <f>FHD_P_19</f>
        <v>Расходы на амортизацию основных средств и нематериальных активов</v>
      </c>
      <c r="G55" s="1941" t="s">
        <v>549</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2.6.1</v>
      </c>
      <c r="F56" s="1713" t="str">
        <f>FHD_P_20</f>
        <v>Расходы на амортизацию основных средств</v>
      </c>
      <c r="G56" s="1941" t="s">
        <v>549</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2.6.2</v>
      </c>
      <c r="F57" s="1713" t="str">
        <f>FHD_P_21</f>
        <v>Расходы на амортизацию нематериальных активов</v>
      </c>
      <c r="G57" s="1941" t="s">
        <v>549</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2.7</v>
      </c>
      <c r="F58" s="1587" t="str">
        <f>FHD_P_22</f>
        <v>Расходы на аренду имущества, используемого для осуществления регулируемых видов деятельности в сфере водоотведения</v>
      </c>
      <c r="G58" s="1941" t="s">
        <v>549</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2.8</v>
      </c>
      <c r="F59" s="1587" t="str">
        <f>FHD_P_23</f>
        <v>Общепроизводственные расходы, в том числе:</v>
      </c>
      <c r="G59" s="1941" t="s">
        <v>549</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2.8.1</v>
      </c>
      <c r="F60" s="1713" t="str">
        <f>FHD_P_24</f>
        <v>Расходы на текущий ремонт</v>
      </c>
      <c r="G60" s="1941" t="s">
        <v>549</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2.8.2</v>
      </c>
      <c r="F61" s="1713" t="str">
        <f>FHD_P_25</f>
        <v>Расходы на капитальный ремонт</v>
      </c>
      <c r="G61" s="1941" t="s">
        <v>549</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2.9</v>
      </c>
      <c r="F62" s="1587" t="str">
        <f>FHD_P_26</f>
        <v>Общехозяйственные расходы, в том числе:</v>
      </c>
      <c r="G62" s="1941" t="s">
        <v>549</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2.9.1</v>
      </c>
      <c r="F63" s="1713" t="str">
        <f>FHD_P_27</f>
        <v>Расходы на текущий ремонт</v>
      </c>
      <c r="G63" s="1941" t="s">
        <v>549</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2.9.2</v>
      </c>
      <c r="F64" s="1713" t="str">
        <f>FHD_P_28</f>
        <v>Расходы на капитальный ремонт</v>
      </c>
      <c r="G64" s="1941" t="s">
        <v>549</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2.10</v>
      </c>
      <c r="F65" s="1587" t="str">
        <f>FHD_P_29</f>
        <v>Расходы на капитальный и текущий ремонт основных средств</v>
      </c>
      <c r="G65" s="1941" t="s">
        <v>549</v>
      </c>
      <c r="H65" s="620"/>
      <c r="I65" s="620"/>
      <c r="J65" s="3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2.10.1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303</v>
      </c>
      <c r="H66" s="1712" t="s">
        <v>572</v>
      </c>
      <c r="I66" s="1712" t="s">
        <v>572</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c r="A67" s="2434" t="s">
        <v>573</v>
      </c>
      <c r="C67" s="1699"/>
      <c r="D67" s="1701"/>
      <c r="E67" s="609" t="str">
        <f>FHD_NUM_P_31</f>
        <v>2.11</v>
      </c>
      <c r="F67" s="15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1" t="s">
        <v>549</v>
      </c>
      <c r="H67" s="620"/>
      <c r="I67" s="620"/>
      <c r="J67" s="3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9" t="str">
        <f>IF((LEN(E67)-LEN(SUBSTITUTE(E67,".","")))/LEN(".")=1,"p","")</f>
        <v>p</v>
      </c>
      <c r="L67" s="1699"/>
      <c r="M67" s="1699"/>
      <c r="R67" s="1699"/>
      <c r="U67" s="607"/>
      <c r="AA67" s="1695"/>
      <c r="AB67" s="1695"/>
      <c r="AC67" s="1695"/>
      <c r="AD67" s="1695"/>
      <c r="AE67" s="1695"/>
      <c r="AF67" s="1223">
        <v>22</v>
      </c>
    </row>
    <row s="4466" customFormat="1" customHeight="1" ht="47.25">
      <c r="A68" s="2434"/>
      <c r="C68" s="1699"/>
      <c r="D68" s="1701"/>
      <c r="E68" s="609" t="str">
        <f>FHD_NUM_P_32</f>
        <v>2.11.1</v>
      </c>
      <c r="F68" s="17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1" t="s">
        <v>303</v>
      </c>
      <c r="H68" s="1712" t="s">
        <v>572</v>
      </c>
      <c r="I68" s="1712" t="s">
        <v>572</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2.12</v>
      </c>
      <c r="F69" s="158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2" t="s">
        <v>549</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2.12.0</v>
      </c>
      <c r="F70" s="1054"/>
      <c r="G70" s="1076"/>
      <c r="H70" s="1055"/>
      <c r="I70" s="1055"/>
      <c r="J70" s="1056"/>
      <c r="K70" s="1699" t="str">
        <f>IF((LEN(E70)-LEN(SUBSTITUTE(E70,".","")))/LEN(".")=1,"p","")</f>
        <v/>
      </c>
      <c r="AF70" s="1699">
        <v>1</v>
      </c>
    </row>
    <row s="4466" customFormat="1" customHeight="1" ht="14.699999999999998">
      <c r="A71" s="1050"/>
      <c r="C71" s="1699"/>
      <c r="D71" s="1696"/>
      <c r="E71" s="633"/>
      <c r="F71" s="634" t="s">
        <v>574</v>
      </c>
      <c r="G71" s="635"/>
      <c r="H71" s="636"/>
      <c r="I71" s="636"/>
      <c r="J71" s="364"/>
      <c r="K71" s="1699"/>
      <c r="L71" s="1699"/>
      <c r="M71" s="1699"/>
      <c r="R71" s="1699"/>
      <c r="U71" s="607"/>
      <c r="AA71" s="1695"/>
      <c r="AB71" s="1695"/>
      <c r="AC71" s="1695"/>
      <c r="AD71" s="1695"/>
      <c r="AE71" s="1695"/>
      <c r="AF71" s="1223">
        <v>14</v>
      </c>
    </row>
    <row s="4466" customFormat="1" customHeight="1" ht="18.75" hidden="1">
      <c r="A72" s="1052" t="s">
        <v>575</v>
      </c>
      <c r="C72" s="1699"/>
      <c r="D72" s="1701"/>
      <c r="E72" s="609" t="str">
        <f>FHD_NUM_P_34</f>
        <v/>
      </c>
      <c r="F72" s="1943" t="str">
        <f>FHD_P_34</f>
        <v/>
      </c>
      <c r="G72" s="1941" t="s">
        <v>549</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3</v>
      </c>
      <c r="F73" s="1943" t="str">
        <f>FHD_P_35</f>
        <v>Чистая прибыль, полученная от регулируемого вида деятельности в сфере водоотведения, в том числе:</v>
      </c>
      <c r="G73" s="1941" t="s">
        <v>549</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3.1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549</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4</v>
      </c>
      <c r="F75" s="1943" t="str">
        <f>FHD_P_37</f>
        <v>Изменение стоимости основных фондов, в том числе:</v>
      </c>
      <c r="G75" s="1941" t="s">
        <v>549</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4.1</v>
      </c>
      <c r="F76" s="1587" t="str">
        <f>FHD_P_38</f>
        <v>Изменение стоимости основных фондов за счет их ввода в эксплуатацию (вывода из эксплуатации)</v>
      </c>
      <c r="G76" s="1941" t="s">
        <v>549</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4.1.1</v>
      </c>
      <c r="F77" s="1713" t="str">
        <f>FHD_P_39</f>
        <v>Изменение стоимости основных фондов за счет их ввода в эксплуатацию</v>
      </c>
      <c r="G77" s="2135" t="s">
        <v>549</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4.1.2</v>
      </c>
      <c r="F78" s="2139" t="str">
        <f>FHD_P_40</f>
        <v>Изменение стоимости основных фондов за счет их вывода в эксплуатацию</v>
      </c>
      <c r="G78" s="2134" t="s">
        <v>549</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4.2</v>
      </c>
      <c r="F79" s="2138" t="str">
        <f>FHD_P_41</f>
        <v>Изменение стоимости основных фондов за счет их переоценки</v>
      </c>
      <c r="G79" s="2134" t="s">
        <v>549</v>
      </c>
      <c r="H79" s="1039"/>
      <c r="I79" s="620"/>
      <c r="J79" s="352" t="str">
        <f>FHD_NOTE_P_41</f>
        <v/>
      </c>
      <c r="K79" s="606"/>
      <c r="L79" s="1699"/>
      <c r="M79" s="1699"/>
      <c r="R79" s="1699"/>
      <c r="U79" s="607"/>
      <c r="AA79" s="1695"/>
      <c r="AB79" s="1695"/>
      <c r="AC79" s="1695"/>
      <c r="AD79" s="1695"/>
      <c r="AE79" s="1695"/>
      <c r="AF79" s="1223">
        <v>19</v>
      </c>
    </row>
    <row s="4466" customFormat="1" customHeight="1" ht="19.95">
      <c r="A80" s="1052" t="s">
        <v>576</v>
      </c>
      <c r="C80" s="1699"/>
      <c r="D80" s="1701"/>
      <c r="E80" s="609" t="str">
        <f>FHD_NUM_P_42</f>
        <v>5</v>
      </c>
      <c r="F80" s="2136" t="str">
        <f>FHD_P_42</f>
        <v>Валовая прибыль (убытки) от продажи товаров и услуг по регулируемым видам деятельности в сфере водоотведения</v>
      </c>
      <c r="G80" s="2134" t="s">
        <v>549</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303</v>
      </c>
      <c r="H81" s="1118"/>
      <c r="I81" s="881"/>
      <c r="J81" s="35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577</v>
      </c>
      <c r="C82" s="798"/>
      <c r="D82" s="796"/>
      <c r="E82" s="609" t="str">
        <f>FHD_NUM_P_44</f>
        <v/>
      </c>
      <c r="F82" s="1943" t="str">
        <f>FHD_P_44</f>
        <v/>
      </c>
      <c r="G82" s="1944" t="s">
        <v>578</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578</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578</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578</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578</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578</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578</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578</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555</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579</v>
      </c>
      <c r="C91" s="798"/>
      <c r="D91" s="796"/>
      <c r="E91" s="609" t="str">
        <f>FHD_NUM_P_53</f>
        <v/>
      </c>
      <c r="F91" s="1943" t="str">
        <f>FHD_P_53</f>
        <v/>
      </c>
      <c r="G91" s="1944" t="s">
        <v>578</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578</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580</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555</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c r="A96" s="2434" t="s">
        <v>581</v>
      </c>
      <c r="D96" s="1701"/>
      <c r="E96" s="609" t="str">
        <f>FHD_NUM_P_58</f>
        <v>7</v>
      </c>
      <c r="F96" s="1943" t="str">
        <f>FHD_P_58</f>
        <v>Объём сточных вод, принятых от потребителей</v>
      </c>
      <c r="G96" s="1944" t="s">
        <v>578</v>
      </c>
      <c r="H96" s="1040"/>
      <c r="I96" s="640"/>
      <c r="J96" s="352" t="str">
        <f>FHD_NOTE_P_58</f>
        <v/>
      </c>
      <c r="K96" s="606"/>
      <c r="AF96" s="1694">
        <v>0</v>
      </c>
    </row>
    <row customHeight="1" ht="18.75">
      <c r="A97" s="2434"/>
      <c r="D97" s="1701"/>
      <c r="E97" s="609" t="str">
        <f>FHD_NUM_P_59</f>
        <v>8</v>
      </c>
      <c r="F97" s="1943" t="str">
        <f>FHD_P_59</f>
        <v>Объём сточных вод, принятых от других регулируемых организаций, осуществляющих водоотведение и (или) очистку сточных вод</v>
      </c>
      <c r="G97" s="1944" t="s">
        <v>578</v>
      </c>
      <c r="H97" s="1040"/>
      <c r="I97" s="640"/>
      <c r="J97" s="352" t="str">
        <f>FHD_NOTE_P_59</f>
        <v/>
      </c>
      <c r="K97" s="606"/>
      <c r="AF97" s="1694">
        <v>0</v>
      </c>
    </row>
    <row customHeight="1" ht="18.75">
      <c r="A98" s="2434"/>
      <c r="D98" s="1701"/>
      <c r="E98" s="609" t="str">
        <f>FHD_NUM_P_60</f>
        <v>9</v>
      </c>
      <c r="F98" s="1943" t="str">
        <f>FHD_P_60</f>
        <v>Объём сточных вод, пропущенных через очистные сооружения</v>
      </c>
      <c r="G98" s="1944" t="s">
        <v>578</v>
      </c>
      <c r="H98" s="1040"/>
      <c r="I98" s="640"/>
      <c r="J98" s="352" t="str">
        <f>FHD_NOTE_P_60</f>
        <v/>
      </c>
      <c r="K98" s="606"/>
      <c r="AF98" s="1694">
        <v>0</v>
      </c>
    </row>
    <row s="4466" customFormat="1" customHeight="1" ht="18.75" hidden="1">
      <c r="A99" s="2434" t="s">
        <v>582</v>
      </c>
      <c r="C99" s="1699"/>
      <c r="D99" s="1701"/>
      <c r="E99" s="609" t="str">
        <f>FHD_NUM_P_61</f>
        <v/>
      </c>
      <c r="F99" s="1943" t="str">
        <f>FHD_P_61</f>
        <v/>
      </c>
      <c r="G99" s="1941" t="s">
        <v>553</v>
      </c>
      <c r="H99" s="1042"/>
      <c r="I99" s="805"/>
      <c r="J99" s="352" t="str">
        <f>FHD_NOTE_P_61</f>
        <v/>
      </c>
      <c r="K99" s="606"/>
      <c r="L99" s="1699"/>
      <c r="M99" s="1699"/>
      <c r="R99" s="1699"/>
      <c r="U99" s="607"/>
      <c r="AA99" s="1695"/>
      <c r="AB99" s="1695"/>
      <c r="AC99" s="1695"/>
      <c r="AD99" s="1695"/>
      <c r="AE99" s="1695"/>
      <c r="AF99" s="1223">
        <v>0</v>
      </c>
    </row>
    <row s="4026" customFormat="1" customHeight="1" ht="0.75" hidden="1">
      <c r="A100" s="2434"/>
      <c r="D100" s="611"/>
      <c r="E100" s="1076" t="str">
        <f>E99&amp;".0"</f>
        <v>.0</v>
      </c>
      <c r="F100" s="1057"/>
      <c r="G100" s="1058"/>
      <c r="H100" s="1055"/>
      <c r="I100" s="1055"/>
      <c r="J100" s="1059"/>
      <c r="AF100" s="1699">
        <v>0</v>
      </c>
    </row>
    <row customHeight="1" ht="15" hidden="1">
      <c r="A101" s="2434"/>
      <c r="D101" s="1696"/>
      <c r="E101" s="1034"/>
      <c r="F101" s="1035" t="s">
        <v>583</v>
      </c>
      <c r="G101" s="635"/>
      <c r="H101" s="636"/>
      <c r="I101" s="636"/>
      <c r="J101" s="1067" t="s">
        <v>584</v>
      </c>
      <c r="K101" s="606"/>
      <c r="AF101" s="1694">
        <v>0</v>
      </c>
    </row>
    <row s="4466" customFormat="1" customHeight="1" ht="18.75" hidden="1">
      <c r="A102" s="2434"/>
      <c r="C102" s="1699"/>
      <c r="D102" s="1701"/>
      <c r="E102" s="609" t="str">
        <f>FHD_NUM_P_62</f>
        <v/>
      </c>
      <c r="F102" s="1943" t="str">
        <f>FHD_P_62</f>
        <v/>
      </c>
      <c r="G102" s="1940" t="s">
        <v>553</v>
      </c>
      <c r="H102" s="620"/>
      <c r="I102" s="620"/>
      <c r="J102" s="352" t="str">
        <f>FHD_NOTE_P_62</f>
        <v/>
      </c>
      <c r="K102" s="606"/>
      <c r="L102" s="1699"/>
      <c r="M102" s="1699"/>
      <c r="R102" s="1699"/>
      <c r="U102" s="607"/>
      <c r="AA102" s="1695"/>
      <c r="AB102" s="1695"/>
      <c r="AC102" s="1695"/>
      <c r="AD102" s="1695"/>
      <c r="AE102" s="1695"/>
      <c r="AF102" s="1223">
        <v>0</v>
      </c>
    </row>
    <row s="4466" customFormat="1" customHeight="1" ht="18.75" hidden="1">
      <c r="A103" s="2434"/>
      <c r="C103" s="1699"/>
      <c r="D103" s="1701"/>
      <c r="E103" s="609" t="str">
        <f>FHD_NUM_P_63</f>
        <v/>
      </c>
      <c r="F103" s="1943" t="str">
        <f>FHD_P_63</f>
        <v/>
      </c>
      <c r="G103" s="1940" t="s">
        <v>580</v>
      </c>
      <c r="H103" s="640"/>
      <c r="I103" s="640"/>
      <c r="J103" s="352" t="str">
        <f>FHD_NOTE_P_63</f>
        <v/>
      </c>
      <c r="K103" s="606"/>
      <c r="L103" s="1699"/>
      <c r="M103" s="1699"/>
      <c r="R103" s="1699"/>
      <c r="U103" s="607"/>
      <c r="AA103" s="1695"/>
      <c r="AB103" s="1695"/>
      <c r="AC103" s="1695"/>
      <c r="AD103" s="1695"/>
      <c r="AE103" s="1695"/>
      <c r="AF103" s="1223">
        <v>0</v>
      </c>
    </row>
    <row s="4466" customFormat="1" customHeight="1" ht="18.75" hidden="1">
      <c r="A104" s="2434"/>
      <c r="C104" s="1699" t="s">
        <v>585</v>
      </c>
      <c r="D104" s="1701"/>
      <c r="E104" s="609" t="str">
        <f>FHD_NUM_P_64</f>
        <v/>
      </c>
      <c r="F104" s="1943" t="str">
        <f>FHD_P_64</f>
        <v/>
      </c>
      <c r="G104" s="1940" t="s">
        <v>580</v>
      </c>
      <c r="H104" s="608"/>
      <c r="I104" s="608"/>
      <c r="J104" s="352" t="str">
        <f>FHD_NOTE_P_64</f>
        <v/>
      </c>
      <c r="K104" s="606"/>
      <c r="L104" s="1699"/>
      <c r="M104" s="1699"/>
      <c r="R104" s="1699"/>
      <c r="U104" s="607"/>
      <c r="AA104" s="1695"/>
      <c r="AB104" s="1695"/>
      <c r="AC104" s="1695"/>
      <c r="AD104" s="1695"/>
      <c r="AE104" s="1695"/>
      <c r="AF104" s="1223">
        <v>0</v>
      </c>
    </row>
    <row s="4466" customFormat="1" customHeight="1" ht="18.75" hidden="1">
      <c r="A105" s="2434"/>
      <c r="C105" s="1699"/>
      <c r="D105" s="1701"/>
      <c r="E105" s="609" t="str">
        <f>FHD_NUM_P_65</f>
        <v/>
      </c>
      <c r="F105" s="1943" t="str">
        <f>FHD_P_65</f>
        <v/>
      </c>
      <c r="G105" s="1940" t="s">
        <v>580</v>
      </c>
      <c r="H105" s="640"/>
      <c r="I105" s="640"/>
      <c r="J105" s="352" t="str">
        <f>FHD_NOTE_P_65</f>
        <v/>
      </c>
      <c r="K105" s="606"/>
      <c r="L105" s="1699"/>
      <c r="M105" s="1699"/>
      <c r="R105" s="1699"/>
      <c r="U105" s="607"/>
      <c r="AA105" s="1695"/>
      <c r="AB105" s="1695"/>
      <c r="AC105" s="1695"/>
      <c r="AD105" s="1695"/>
      <c r="AE105" s="1695"/>
      <c r="AF105" s="1223">
        <v>0</v>
      </c>
    </row>
    <row s="4466" customFormat="1" customHeight="1" ht="18.75" hidden="1">
      <c r="A106" s="2434"/>
      <c r="C106" s="1699"/>
      <c r="D106" s="1701"/>
      <c r="E106" s="609" t="str">
        <f>FHD_NUM_P_66</f>
        <v/>
      </c>
      <c r="F106" s="1587" t="str">
        <f>FHD_P_66</f>
        <v/>
      </c>
      <c r="G106" s="1940" t="s">
        <v>580</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hidden="1">
      <c r="A107" s="2434"/>
      <c r="C107" s="1699"/>
      <c r="D107" s="1701"/>
      <c r="E107" s="609" t="str">
        <f>FHD_NUM_P_67</f>
        <v/>
      </c>
      <c r="F107" s="1713" t="str">
        <f>FHD_P_67</f>
        <v/>
      </c>
      <c r="G107" s="1940" t="s">
        <v>580</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hidden="1">
      <c r="A108" s="2434"/>
      <c r="C108" s="1699"/>
      <c r="D108" s="1701"/>
      <c r="E108" s="609" t="str">
        <f>FHD_NUM_P_68</f>
        <v/>
      </c>
      <c r="F108" s="1587" t="str">
        <f>FHD_P_68</f>
        <v/>
      </c>
      <c r="G108" s="1940" t="s">
        <v>580</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hidden="1">
      <c r="A109" s="2434"/>
      <c r="C109" s="1699"/>
      <c r="D109" s="1701"/>
      <c r="E109" s="609" t="str">
        <f>FHD_NUM_P_69</f>
        <v/>
      </c>
      <c r="F109" s="1587" t="str">
        <f>FHD_P_69</f>
        <v/>
      </c>
      <c r="G109" s="1940" t="s">
        <v>580</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hidden="1">
      <c r="A110" s="2434"/>
      <c r="C110" s="1699"/>
      <c r="D110" s="1701"/>
      <c r="E110" s="609" t="str">
        <f>FHD_NUM_P_70</f>
        <v/>
      </c>
      <c r="F110" s="1943" t="str">
        <f>FHD_P_70</f>
        <v/>
      </c>
      <c r="G110" s="1940" t="s">
        <v>586</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hidden="1">
      <c r="A111" s="2434"/>
      <c r="C111" s="1699"/>
      <c r="D111" s="1701"/>
      <c r="E111" s="609" t="str">
        <f>FHD_NUM_P_71</f>
        <v/>
      </c>
      <c r="F111" s="1943" t="str">
        <f>FHD_P_71</f>
        <v/>
      </c>
      <c r="G111" s="1940" t="s">
        <v>586</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10</v>
      </c>
      <c r="F112" s="1943" t="str">
        <f>FHD_P_72</f>
        <v>Среднесписочная численность основного производственного персонала</v>
      </c>
      <c r="G112" s="1939" t="s">
        <v>587</v>
      </c>
      <c r="H112" s="640"/>
      <c r="I112" s="640"/>
      <c r="J112" s="352" t="str">
        <f>FHD_NOTE_P_72</f>
        <v/>
      </c>
      <c r="K112" s="606"/>
      <c r="AF112" s="1694">
        <v>19</v>
      </c>
    </row>
    <row customHeight="1" ht="18.75" hidden="1">
      <c r="A113" s="1052" t="s">
        <v>588</v>
      </c>
      <c r="D113" s="1701"/>
      <c r="E113" s="609" t="str">
        <f>FHD_NUM_P_73</f>
        <v/>
      </c>
      <c r="F113" s="1943" t="str">
        <f>FHD_P_73</f>
        <v/>
      </c>
      <c r="G113" s="1033" t="s">
        <v>587</v>
      </c>
      <c r="H113" s="1031"/>
      <c r="I113" s="1031"/>
      <c r="J113" s="352" t="str">
        <f>FHD_NOTE_P_73</f>
        <v/>
      </c>
      <c r="K113" s="606"/>
      <c r="AF113" s="1694">
        <v>0</v>
      </c>
    </row>
    <row customHeight="1" ht="33.75" hidden="1">
      <c r="A114" s="1052" t="s">
        <v>589</v>
      </c>
      <c r="D114" s="1701"/>
      <c r="E114" s="609" t="str">
        <f>FHD_NUM_P_74</f>
        <v/>
      </c>
      <c r="F114" s="1943" t="str">
        <f>FHD_P_74</f>
        <v/>
      </c>
      <c r="G114" s="1939" t="s">
        <v>590</v>
      </c>
      <c r="H114" s="640"/>
      <c r="I114" s="640"/>
      <c r="J114" s="352" t="str">
        <f>FHD_NOTE_P_74</f>
        <v/>
      </c>
      <c r="K114" s="606"/>
      <c r="AF114" s="1694">
        <v>0</v>
      </c>
    </row>
    <row s="4517" customFormat="1" customHeight="1" ht="18.75" hidden="1">
      <c r="A115" s="2436" t="s">
        <v>591</v>
      </c>
      <c r="B115" s="973"/>
      <c r="C115" s="798"/>
      <c r="D115" s="796"/>
      <c r="E115" s="609" t="str">
        <f>FHD_NUM_P_75</f>
        <v/>
      </c>
      <c r="F115" s="1943" t="str">
        <f>FHD_P_75</f>
        <v/>
      </c>
      <c r="G115" s="1939" t="s">
        <v>555</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555</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555</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592</v>
      </c>
      <c r="G119" s="810"/>
      <c r="H119" s="811"/>
      <c r="I119" s="811"/>
      <c r="J119" s="1066" t="s">
        <v>593</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hidden="1">
      <c r="A120" s="2434" t="s">
        <v>594</v>
      </c>
      <c r="D120" s="1701"/>
      <c r="E120" s="609" t="str">
        <f>FHD_NUM_P_78</f>
        <v/>
      </c>
      <c r="F120" s="1943" t="str">
        <f>FHD_P_78</f>
        <v/>
      </c>
      <c r="G120" s="1940" t="s">
        <v>557</v>
      </c>
      <c r="H120" s="640"/>
      <c r="I120" s="640"/>
      <c r="J120" s="352" t="str">
        <f>FHD_NOTE_P_78</f>
        <v/>
      </c>
      <c r="K120" s="606"/>
      <c r="AF120" s="1694">
        <v>0</v>
      </c>
    </row>
    <row s="4026" customFormat="1" customHeight="1" ht="0.75" hidden="1">
      <c r="A121" s="2434"/>
      <c r="D121" s="611"/>
      <c r="E121" s="1076" t="str">
        <f>E120&amp;".0"</f>
        <v>.0</v>
      </c>
      <c r="F121" s="1060"/>
      <c r="G121" s="1714"/>
      <c r="H121" s="1055"/>
      <c r="I121" s="1055"/>
      <c r="J121" s="1059"/>
      <c r="AF121" s="1699">
        <v>0</v>
      </c>
    </row>
    <row customHeight="1" ht="15" hidden="1">
      <c r="A122" s="2434"/>
      <c r="D122" s="1696"/>
      <c r="E122" s="633"/>
      <c r="F122" s="1231" t="s">
        <v>583</v>
      </c>
      <c r="G122" s="635"/>
      <c r="H122" s="636"/>
      <c r="I122" s="636"/>
      <c r="J122" s="1067" t="s">
        <v>595</v>
      </c>
      <c r="K122" s="606"/>
      <c r="AF122" s="1694">
        <v>0</v>
      </c>
    </row>
    <row customHeight="1" ht="22.5" hidden="1">
      <c r="A123" s="2434"/>
      <c r="D123" s="1701"/>
      <c r="E123" s="609" t="str">
        <f>FHD_NUM_P_79</f>
        <v/>
      </c>
      <c r="F123" s="1943" t="str">
        <f>FHD_P_79</f>
        <v/>
      </c>
      <c r="G123" s="1941" t="s">
        <v>559</v>
      </c>
      <c r="H123" s="640"/>
      <c r="I123" s="640"/>
      <c r="J123" s="352" t="str">
        <f>FHD_NOTE_P_79</f>
        <v/>
      </c>
      <c r="K123" s="606"/>
      <c r="AF123" s="1694">
        <v>0</v>
      </c>
    </row>
    <row s="4026" customFormat="1" customHeight="1" ht="0.75" hidden="1">
      <c r="A124" s="2434"/>
      <c r="D124" s="611"/>
      <c r="E124" s="1076" t="str">
        <f>E123&amp;".0"</f>
        <v>.0</v>
      </c>
      <c r="F124" s="1061"/>
      <c r="G124" s="1714"/>
      <c r="H124" s="1055"/>
      <c r="I124" s="1055"/>
      <c r="J124" s="1059"/>
      <c r="AF124" s="1699">
        <v>0</v>
      </c>
    </row>
    <row customHeight="1" ht="15" hidden="1">
      <c r="A125" s="2434"/>
      <c r="D125" s="1696"/>
      <c r="E125" s="633"/>
      <c r="F125" s="1231" t="s">
        <v>583</v>
      </c>
      <c r="G125" s="635"/>
      <c r="H125" s="636"/>
      <c r="I125" s="636"/>
      <c r="J125" s="1067" t="s">
        <v>596</v>
      </c>
      <c r="K125" s="606"/>
      <c r="AF125" s="1694">
        <v>0</v>
      </c>
    </row>
    <row customHeight="1" ht="22.5" hidden="1">
      <c r="A126" s="2434"/>
      <c r="D126" s="1701"/>
      <c r="E126" s="609" t="str">
        <f>FHD_NUM_P_80</f>
        <v/>
      </c>
      <c r="F126" s="1943" t="str">
        <f>FHD_P_80</f>
        <v/>
      </c>
      <c r="G126" s="1941" t="s">
        <v>597</v>
      </c>
      <c r="H126" s="620"/>
      <c r="I126" s="620"/>
      <c r="J126" s="352" t="str">
        <f>FHD_NOTE_P_80</f>
        <v/>
      </c>
      <c r="K126" s="606"/>
      <c r="AF126" s="1694">
        <v>0</v>
      </c>
    </row>
    <row customHeight="1" ht="18.75" hidden="1">
      <c r="A127" s="2434"/>
      <c r="D127" s="1701"/>
      <c r="E127" s="609" t="str">
        <f>FHD_NUM_P_81</f>
        <v/>
      </c>
      <c r="F127" s="1943" t="str">
        <f>FHD_P_81</f>
        <v/>
      </c>
      <c r="G127" s="1941" t="s">
        <v>598</v>
      </c>
      <c r="H127" s="620"/>
      <c r="I127" s="620"/>
      <c r="J127" s="352" t="str">
        <f>FHD_NOTE_P_81</f>
        <v/>
      </c>
      <c r="K127" s="606"/>
      <c r="AF127" s="1694">
        <v>0</v>
      </c>
    </row>
    <row customHeight="1" ht="18.75" hidden="1">
      <c r="A128" s="2434"/>
      <c r="C128" s="1699" t="s">
        <v>585</v>
      </c>
      <c r="D128" s="1701"/>
      <c r="E128" s="609" t="str">
        <f>FHD_NUM_P_82</f>
        <v/>
      </c>
      <c r="F128" s="1943" t="str">
        <f>FHD_P_82</f>
        <v/>
      </c>
      <c r="G128" s="1941" t="s">
        <v>303</v>
      </c>
      <c r="H128" s="464"/>
      <c r="I128" s="464"/>
      <c r="J128" s="352" t="str">
        <f>FHD_NOTE_P_82</f>
        <v/>
      </c>
      <c r="K128" s="606"/>
      <c r="AF128" s="1694">
        <v>0</v>
      </c>
    </row>
    <row customHeight="1" ht="18.75" hidden="1">
      <c r="A129" s="2434"/>
      <c r="C129" s="1699" t="s">
        <v>585</v>
      </c>
      <c r="D129" s="1701"/>
      <c r="E129" s="609" t="str">
        <f>FHD_NUM_P_83</f>
        <v/>
      </c>
      <c r="F129" s="1587" t="str">
        <f>FHD_P_83</f>
        <v/>
      </c>
      <c r="G129" s="1941" t="s">
        <v>303</v>
      </c>
      <c r="H129" s="464"/>
      <c r="I129" s="464"/>
      <c r="J129" s="352" t="str">
        <f>FHD_NOTE_P_83</f>
        <v/>
      </c>
      <c r="K129" s="606"/>
      <c r="AF129" s="1694">
        <v>0</v>
      </c>
    </row>
    <row customHeight="1" ht="18.75" hidden="1">
      <c r="A130" s="2434"/>
      <c r="C130" s="1699" t="s">
        <v>585</v>
      </c>
      <c r="D130" s="1701"/>
      <c r="E130" s="609" t="str">
        <f>FHD_NUM_P_84</f>
        <v/>
      </c>
      <c r="F130" s="1587" t="str">
        <f>FHD_P_84</f>
        <v/>
      </c>
      <c r="G130" s="1941" t="s">
        <v>303</v>
      </c>
      <c r="H130" s="464"/>
      <c r="I130" s="464"/>
      <c r="J130" s="352" t="str">
        <f>FHD_NOTE_P_84</f>
        <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81</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37E18-984D-5982-272C-52238A7D489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0"/>
      <c r="G5" s="2300"/>
      <c r="H5" s="2300"/>
      <c r="I5" s="2300"/>
      <c r="J5" s="2300"/>
      <c r="K5" s="2300"/>
      <c r="L5" s="676"/>
      <c r="M5" s="676"/>
      <c r="CF5" s="568">
        <v>28</v>
      </c>
    </row>
    <row s="4517" customFormat="1" customHeight="1" ht="16.8">
      <c r="A6" s="673"/>
      <c r="B6" s="822"/>
      <c r="C6" s="572"/>
      <c r="D6" s="1121"/>
      <c r="E6" s="2239" t="str">
        <f>IF(org=0,"Не определено",org)</f>
        <v>Филиал "Уренгойская ГРЭС" АО "Интер РАО - Электрогенерация"</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297</v>
      </c>
      <c r="F9" s="2165"/>
      <c r="G9" s="2165"/>
      <c r="H9" s="2165"/>
      <c r="I9" s="2165"/>
      <c r="J9" s="2165"/>
      <c r="K9" s="2165"/>
      <c r="L9" s="2165"/>
      <c r="M9" s="2165"/>
      <c r="N9" s="2165"/>
      <c r="O9" s="2165"/>
      <c r="P9" s="2165"/>
      <c r="Q9" s="2165"/>
      <c r="R9" s="2166"/>
      <c r="S9" s="2190" t="s">
        <v>298</v>
      </c>
      <c r="T9" s="397"/>
      <c r="CF9" s="568">
        <v>19</v>
      </c>
    </row>
    <row customHeight="1" ht="48.29999999999999">
      <c r="D10" s="614" t="s">
        <v>87</v>
      </c>
      <c r="E10" s="2190" t="s">
        <v>87</v>
      </c>
      <c r="F10" s="2190"/>
      <c r="G10" s="584" t="s">
        <v>299</v>
      </c>
      <c r="H10" s="2190" t="s">
        <v>87</v>
      </c>
      <c r="I10" s="2190"/>
      <c r="J10" s="584" t="s">
        <v>599</v>
      </c>
      <c r="K10" s="584" t="s">
        <v>600</v>
      </c>
      <c r="L10" s="2190" t="s">
        <v>87</v>
      </c>
      <c r="M10" s="2190"/>
      <c r="N10" s="584" t="s">
        <v>601</v>
      </c>
      <c r="O10" s="584" t="s">
        <v>602</v>
      </c>
      <c r="P10" s="584" t="s">
        <v>603</v>
      </c>
      <c r="Q10" s="584" t="s">
        <v>604</v>
      </c>
      <c r="R10" s="584" t="s">
        <v>605</v>
      </c>
      <c r="S10" s="2190"/>
      <c r="T10" s="397"/>
      <c r="CF10" s="568">
        <v>46</v>
      </c>
    </row>
    <row s="4026" customFormat="1" customHeight="1" ht="15" hidden="1">
      <c r="A11" s="1115"/>
      <c r="D11" s="1088" t="s">
        <v>108</v>
      </c>
      <c r="E11" s="1088"/>
      <c r="F11" s="1088" t="s">
        <v>109</v>
      </c>
      <c r="G11" s="1088" t="s">
        <v>89</v>
      </c>
      <c r="H11" s="1088"/>
      <c r="I11" s="1088" t="s">
        <v>90</v>
      </c>
      <c r="J11" s="1088" t="s">
        <v>110</v>
      </c>
      <c r="K11" s="1088" t="s">
        <v>91</v>
      </c>
      <c r="L11" s="1088"/>
      <c r="M11" s="1088" t="s">
        <v>92</v>
      </c>
      <c r="N11" s="1088" t="s">
        <v>111</v>
      </c>
      <c r="O11" s="1088" t="s">
        <v>148</v>
      </c>
      <c r="P11" s="1088" t="s">
        <v>149</v>
      </c>
      <c r="Q11" s="1088" t="s">
        <v>98</v>
      </c>
      <c r="R11" s="1088" t="s">
        <v>150</v>
      </c>
      <c r="S11" s="1088" t="s">
        <v>151</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373</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116</v>
      </c>
      <c r="B14" s="687"/>
      <c r="C14" s="687"/>
      <c r="D14" s="2443" t="s">
        <v>108</v>
      </c>
      <c r="E14" s="2440" t="s">
        <v>104</v>
      </c>
      <c r="F14" s="2441"/>
      <c r="G14" s="2442"/>
      <c r="H14" s="2446" t="str">
        <f>IF(A14="","",INDEX(DIFFERENTIATION_UNMERGE_VD,MATCH(A14,DIFFERENTIATION_ID_DIFF,0)))</f>
        <v>Транспортировка</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22</v>
      </c>
      <c r="AF14" s="693"/>
      <c r="AG14" s="694" t="s">
        <v>606</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561</v>
      </c>
      <c r="F15" s="2441"/>
      <c r="G15" s="2442"/>
      <c r="H15" s="2446" t="str">
        <f>IF(A14="","",INDEX(DIFFERENTIATION_UNMERGE_AREA,MATCH(A14,DIFFERENTIATION_ID_DIFF,0)))</f>
        <v>Территория 1</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562</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607</v>
      </c>
      <c r="F17" s="2439"/>
      <c r="G17" s="2439"/>
      <c r="H17" s="2439"/>
      <c r="I17" s="2439"/>
      <c r="J17" s="2439"/>
      <c r="K17" s="2439"/>
      <c r="L17" s="2439"/>
      <c r="M17" s="2439"/>
      <c r="N17" s="2439"/>
      <c r="O17" s="2439"/>
      <c r="P17" s="2439"/>
      <c r="Q17" s="621">
        <f>SUMIF(T18:T19,"i",Q18:Q19)</f>
        <v>0</v>
      </c>
      <c r="R17" s="1080"/>
      <c r="S17" s="960" t="s">
        <v>608</v>
      </c>
      <c r="T17" s="780" t="s">
        <v>609</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22</v>
      </c>
      <c r="F19" s="713" t="s">
        <v>22</v>
      </c>
      <c r="G19" s="713" t="s">
        <v>22</v>
      </c>
      <c r="H19" s="714" t="s">
        <v>22</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610</v>
      </c>
      <c r="F20" s="2439"/>
      <c r="G20" s="2439"/>
      <c r="H20" s="2439"/>
      <c r="I20" s="2439"/>
      <c r="J20" s="2439"/>
      <c r="K20" s="2439"/>
      <c r="L20" s="2439"/>
      <c r="M20" s="2439"/>
      <c r="N20" s="2439"/>
      <c r="O20" s="2439"/>
      <c r="P20" s="2439"/>
      <c r="Q20" s="621">
        <f>SUMIF(T21:T22,"i",Q21:Q22)</f>
        <v>0</v>
      </c>
      <c r="R20" s="1080"/>
      <c r="S20" s="772" t="s">
        <v>611</v>
      </c>
      <c r="T20" s="780" t="s">
        <v>609</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22</v>
      </c>
      <c r="F22" s="713" t="s">
        <v>22</v>
      </c>
      <c r="G22" s="713" t="s">
        <v>22</v>
      </c>
      <c r="H22" s="714" t="s">
        <v>22</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81</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2FFD3-BB87-D273-2FE1-C07508DEDBA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612</v>
      </c>
      <c r="C2" s="2116" t="s">
        <v>613</v>
      </c>
      <c r="D2" s="2115" t="s">
        <v>614</v>
      </c>
      <c r="E2" s="2119">
        <f>RIGHT(I2,LEN(I2)-SEARCH("#",SUBSTITUTE(I2,".","#",LEN(I2)-LEN(SUBSTITUTE(I2,".","")))))</f>
      </c>
      <c r="F2" s="2121">
        <f>J2</f>
        <v>0</v>
      </c>
      <c r="G2" s="1699"/>
      <c r="H2" s="2122"/>
      <c r="I2" s="2112"/>
      <c r="J2" s="603"/>
      <c r="K2" s="2082" t="s">
        <v>553</v>
      </c>
      <c r="L2" s="814"/>
      <c r="M2" s="814"/>
      <c r="N2" s="606"/>
      <c r="O2" s="1588" t="s">
        <v>554</v>
      </c>
      <c r="P2" s="606"/>
      <c r="Q2" s="1699"/>
      <c r="R2" s="1699"/>
      <c r="W2" s="1699"/>
      <c r="Z2" s="607"/>
      <c r="AF2" s="1695"/>
      <c r="AG2" s="1695"/>
      <c r="AH2" s="1695"/>
      <c r="AI2" s="1695"/>
      <c r="AJ2" s="1695"/>
      <c r="AK2" s="1429">
        <v>0</v>
      </c>
    </row>
    <row customHeight="1" ht="11.25" hidden="1">
      <c r="E3" s="2114" t="s">
        <v>615</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616</v>
      </c>
      <c r="J6" s="2370"/>
      <c r="K6" s="2370"/>
      <c r="L6" s="2370"/>
      <c r="M6" s="2370"/>
      <c r="O6" s="619"/>
      <c r="AK6" s="1694">
        <v>55</v>
      </c>
    </row>
    <row customHeight="1" ht="25.2">
      <c r="I7" s="2312" t="str">
        <f>IF(org=0,"Не определено",org)</f>
        <v>Филиал "Уренгойская ГРЭС" АО "Интер РАО - Электрогенерация"</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116</v>
      </c>
      <c r="AK9" s="1699">
        <v>1</v>
      </c>
    </row>
    <row customHeight="1" ht="11.549999999999999">
      <c r="E10" s="2113" t="s">
        <v>617</v>
      </c>
      <c r="I10" s="774"/>
      <c r="J10" s="2430" t="s">
        <v>104</v>
      </c>
      <c r="K10" s="2431"/>
      <c r="L10" s="2092" t="str">
        <f>IF(L9="","",INDEX(DIFFERENTIATION_UNMERGE_VD,MATCH(L9,DIFFERENTIATION_ID_DIFF,0)))</f>
        <v/>
      </c>
      <c r="M10" s="2092" t="str">
        <f>IF(M9="","",INDEX(DIFFERENTIATION_UNMERGE_VD,MATCH(M9,DIFFERENTIATION_ID_DIFF,0)))</f>
        <v>Транспортировка</v>
      </c>
      <c r="O10" s="2190" t="s">
        <v>298</v>
      </c>
      <c r="AK10" s="1694">
        <v>11</v>
      </c>
    </row>
    <row customHeight="1" ht="11.549999999999999">
      <c r="E11" s="2113" t="s">
        <v>618</v>
      </c>
      <c r="I11" s="774"/>
      <c r="J11" s="2430" t="s">
        <v>561</v>
      </c>
      <c r="K11" s="2431"/>
      <c r="L11" s="2092" t="str">
        <f>IF(L9="","",INDEX(DIFFERENTIATION_UNMERGE_AREA,MATCH(L9,DIFFERENTIATION_ID_DIFF,0)))</f>
        <v/>
      </c>
      <c r="M11" s="2092" t="str">
        <f>IF(M9="","",INDEX(DIFFERENTIATION_UNMERGE_AREA,MATCH(M9,DIFFERENTIATION_ID_DIFF,0)))</f>
        <v>Территория 1</v>
      </c>
      <c r="O11" s="2190"/>
      <c r="AK11" s="1694">
        <v>11</v>
      </c>
    </row>
    <row customHeight="1" ht="11.549999999999999">
      <c r="E12" s="2113" t="s">
        <v>619</v>
      </c>
      <c r="I12" s="1725"/>
      <c r="J12" s="2430" t="s">
        <v>562</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620</v>
      </c>
      <c r="F13" s="2113" t="s">
        <v>621</v>
      </c>
      <c r="I13" s="2432" t="s">
        <v>297</v>
      </c>
      <c r="J13" s="2433"/>
      <c r="K13" s="2433"/>
      <c r="L13" s="2090"/>
      <c r="M13" s="2130"/>
      <c r="O13" s="2190"/>
      <c r="AK13" s="1694">
        <v>11</v>
      </c>
    </row>
    <row customHeight="1" ht="24">
      <c r="I14" s="2083" t="s">
        <v>87</v>
      </c>
      <c r="J14" s="2083" t="s">
        <v>299</v>
      </c>
      <c r="K14" s="2083" t="s">
        <v>563</v>
      </c>
      <c r="L14" s="2123" t="s">
        <v>300</v>
      </c>
      <c r="M14" s="2124" t="s">
        <v>300</v>
      </c>
      <c r="O14" s="2190"/>
      <c r="AK14" s="1694">
        <v>23</v>
      </c>
    </row>
    <row customHeight="1" ht="24">
      <c r="A15" s="2117"/>
      <c r="B15" s="2116" t="s">
        <v>622</v>
      </c>
      <c r="C15" s="2116" t="s">
        <v>623</v>
      </c>
      <c r="D15" s="2115" t="s">
        <v>624</v>
      </c>
      <c r="E15" s="2119" t="s">
        <v>625</v>
      </c>
      <c r="F15" s="2119" t="s">
        <v>625</v>
      </c>
      <c r="G15" s="1699" t="s">
        <v>585</v>
      </c>
      <c r="H15" s="2084"/>
      <c r="I15" s="1693">
        <v>1</v>
      </c>
      <c r="J15" s="2085" t="s">
        <v>626</v>
      </c>
      <c r="K15" s="2083" t="s">
        <v>303</v>
      </c>
      <c r="L15" s="725"/>
      <c r="M15" s="881"/>
      <c r="N15" s="606" t="s">
        <v>627</v>
      </c>
      <c r="O15" s="1588" t="s">
        <v>628</v>
      </c>
      <c r="P15" s="606" t="s">
        <v>627</v>
      </c>
      <c r="AK15" s="1694">
        <v>23</v>
      </c>
    </row>
    <row customHeight="1" ht="35.699999999999996">
      <c r="A16" s="2117"/>
      <c r="B16" s="2116" t="s">
        <v>629</v>
      </c>
      <c r="C16" s="2116" t="s">
        <v>630</v>
      </c>
      <c r="D16" s="2115" t="s">
        <v>614</v>
      </c>
      <c r="E16" s="2119" t="s">
        <v>625</v>
      </c>
      <c r="F16" s="2119" t="s">
        <v>625</v>
      </c>
      <c r="H16" s="2084"/>
      <c r="I16" s="1692">
        <v>2</v>
      </c>
      <c r="J16" s="2126" t="s">
        <v>631</v>
      </c>
      <c r="K16" s="2125" t="s">
        <v>553</v>
      </c>
      <c r="L16" s="2131"/>
      <c r="M16" s="1739"/>
      <c r="N16" s="606" t="s">
        <v>627</v>
      </c>
      <c r="O16" s="1588" t="s">
        <v>632</v>
      </c>
      <c r="P16" s="606" t="s">
        <v>627</v>
      </c>
      <c r="AK16" s="1694">
        <v>34</v>
      </c>
    </row>
    <row s="4026" customFormat="1" customHeight="1" ht="17.25" hidden="1">
      <c r="A17" s="1230"/>
      <c r="B17" s="1230"/>
      <c r="C17" s="1230"/>
      <c r="D17" s="1230"/>
      <c r="E17" s="1230"/>
      <c r="H17" s="1387"/>
      <c r="I17" s="1076" t="s">
        <v>633</v>
      </c>
      <c r="J17" s="1054"/>
      <c r="K17" s="1076"/>
      <c r="L17" s="1055"/>
      <c r="M17" s="1055"/>
      <c r="O17" s="1448"/>
      <c r="AK17" s="1699">
        <v>1</v>
      </c>
    </row>
    <row s="4466" customFormat="1" customHeight="1" ht="24">
      <c r="A18" s="1050"/>
      <c r="B18" s="1050"/>
      <c r="C18" s="1050"/>
      <c r="D18" s="1050"/>
      <c r="E18" s="1050"/>
      <c r="G18" s="1699"/>
      <c r="H18" s="1696"/>
      <c r="I18" s="633"/>
      <c r="J18" s="634" t="s">
        <v>583</v>
      </c>
      <c r="K18" s="635"/>
      <c r="L18" s="2133"/>
      <c r="M18" s="636"/>
      <c r="N18" s="606"/>
      <c r="O18" s="1588" t="s">
        <v>584</v>
      </c>
      <c r="P18" s="606"/>
      <c r="Q18" s="1699"/>
      <c r="R18" s="1699"/>
      <c r="W18" s="1699"/>
      <c r="Z18" s="607"/>
      <c r="AF18" s="1695"/>
      <c r="AG18" s="1695"/>
      <c r="AH18" s="1695"/>
      <c r="AI18" s="1695"/>
      <c r="AJ18" s="1695"/>
      <c r="AK18" s="1429">
        <v>23</v>
      </c>
    </row>
    <row customHeight="1" ht="19.95">
      <c r="A19" s="2117"/>
      <c r="B19" s="2116" t="s">
        <v>634</v>
      </c>
      <c r="C19" s="2116" t="s">
        <v>635</v>
      </c>
      <c r="D19" s="2115" t="s">
        <v>614</v>
      </c>
      <c r="E19" s="2119" t="s">
        <v>625</v>
      </c>
      <c r="F19" s="2119" t="s">
        <v>625</v>
      </c>
      <c r="H19" s="2084"/>
      <c r="I19" s="1727">
        <v>3</v>
      </c>
      <c r="J19" s="2085" t="s">
        <v>635</v>
      </c>
      <c r="K19" s="2081" t="s">
        <v>553</v>
      </c>
      <c r="L19" s="790"/>
      <c r="M19" s="620"/>
      <c r="N19" s="606"/>
      <c r="O19" s="1588" t="s">
        <v>636</v>
      </c>
      <c r="P19" s="606"/>
      <c r="AK19" s="1694">
        <v>19</v>
      </c>
    </row>
    <row customHeight="1" ht="77.7">
      <c r="A20" s="2117"/>
      <c r="B20" s="2116" t="s">
        <v>637</v>
      </c>
      <c r="C20" s="2116" t="s">
        <v>638</v>
      </c>
      <c r="D20" s="2115" t="s">
        <v>614</v>
      </c>
      <c r="E20" s="2119" t="s">
        <v>625</v>
      </c>
      <c r="F20" s="2119" t="s">
        <v>625</v>
      </c>
      <c r="H20" s="2084"/>
      <c r="I20" s="1727">
        <v>4</v>
      </c>
      <c r="J20" s="2085" t="s">
        <v>639</v>
      </c>
      <c r="K20" s="2081" t="s">
        <v>580</v>
      </c>
      <c r="L20" s="790"/>
      <c r="M20" s="620"/>
      <c r="N20" s="606"/>
      <c r="O20" s="1588"/>
      <c r="P20" s="606"/>
      <c r="AK20" s="1694">
        <v>74</v>
      </c>
    </row>
    <row customHeight="1" ht="35.699999999999996">
      <c r="A21" s="2117"/>
      <c r="B21" s="2116" t="s">
        <v>640</v>
      </c>
      <c r="C21" s="2116" t="s">
        <v>641</v>
      </c>
      <c r="D21" s="2115" t="s">
        <v>614</v>
      </c>
      <c r="E21" s="2119" t="s">
        <v>625</v>
      </c>
      <c r="F21" s="2119" t="s">
        <v>625</v>
      </c>
      <c r="H21" s="2084"/>
      <c r="I21" s="1727">
        <v>5</v>
      </c>
      <c r="J21" s="2085" t="s">
        <v>642</v>
      </c>
      <c r="K21" s="2081" t="s">
        <v>580</v>
      </c>
      <c r="L21" s="790"/>
      <c r="M21" s="620"/>
      <c r="N21" s="606"/>
      <c r="O21" s="1588" t="s">
        <v>636</v>
      </c>
      <c r="P21" s="606"/>
      <c r="AK21" s="1694">
        <v>34</v>
      </c>
    </row>
    <row customHeight="1" ht="48.29999999999999">
      <c r="A22" s="2117"/>
      <c r="B22" s="2116" t="s">
        <v>643</v>
      </c>
      <c r="C22" s="2116" t="s">
        <v>644</v>
      </c>
      <c r="D22" s="2115" t="s">
        <v>614</v>
      </c>
      <c r="E22" s="2119" t="s">
        <v>625</v>
      </c>
      <c r="F22" s="2119" t="s">
        <v>625</v>
      </c>
      <c r="H22" s="2084"/>
      <c r="I22" s="1727">
        <v>6</v>
      </c>
      <c r="J22" s="2085" t="s">
        <v>645</v>
      </c>
      <c r="K22" s="2081" t="s">
        <v>580</v>
      </c>
      <c r="L22" s="790"/>
      <c r="M22" s="620"/>
      <c r="N22" s="606"/>
      <c r="O22" s="1588" t="s">
        <v>646</v>
      </c>
      <c r="P22" s="606"/>
      <c r="AK22" s="1694">
        <v>46</v>
      </c>
    </row>
    <row customHeight="1" ht="19.95">
      <c r="A23" s="2117"/>
      <c r="B23" s="2116" t="s">
        <v>647</v>
      </c>
      <c r="C23" s="2116" t="s">
        <v>648</v>
      </c>
      <c r="D23" s="2115" t="s">
        <v>614</v>
      </c>
      <c r="E23" s="2119" t="s">
        <v>625</v>
      </c>
      <c r="F23" s="2119" t="s">
        <v>625</v>
      </c>
      <c r="H23" s="2084"/>
      <c r="I23" s="1727" t="s">
        <v>649</v>
      </c>
      <c r="J23" s="1587" t="s">
        <v>650</v>
      </c>
      <c r="K23" s="2081" t="s">
        <v>580</v>
      </c>
      <c r="L23" s="790"/>
      <c r="M23" s="620"/>
      <c r="N23" s="606"/>
      <c r="O23" s="1588" t="s">
        <v>636</v>
      </c>
      <c r="P23" s="606"/>
      <c r="AK23" s="1694">
        <v>19</v>
      </c>
    </row>
    <row customHeight="1" ht="19.95">
      <c r="A24" s="2117"/>
      <c r="B24" s="2116" t="s">
        <v>651</v>
      </c>
      <c r="C24" s="2116" t="s">
        <v>652</v>
      </c>
      <c r="D24" s="2115" t="s">
        <v>614</v>
      </c>
      <c r="E24" s="2119" t="s">
        <v>625</v>
      </c>
      <c r="F24" s="2119" t="s">
        <v>625</v>
      </c>
      <c r="H24" s="2084"/>
      <c r="I24" s="1727" t="s">
        <v>653</v>
      </c>
      <c r="J24" s="1587" t="s">
        <v>654</v>
      </c>
      <c r="K24" s="2081" t="s">
        <v>580</v>
      </c>
      <c r="L24" s="790"/>
      <c r="M24" s="620"/>
      <c r="N24" s="606"/>
      <c r="O24" s="1588"/>
      <c r="P24" s="606"/>
      <c r="AK24" s="1694">
        <v>19</v>
      </c>
    </row>
    <row customHeight="1" ht="24">
      <c r="A25" s="2117"/>
      <c r="B25" s="2116" t="s">
        <v>655</v>
      </c>
      <c r="C25" s="2116" t="s">
        <v>656</v>
      </c>
      <c r="D25" s="2115" t="s">
        <v>614</v>
      </c>
      <c r="E25" s="2119" t="s">
        <v>625</v>
      </c>
      <c r="F25" s="2119" t="s">
        <v>625</v>
      </c>
      <c r="H25" s="2084"/>
      <c r="I25" s="1727" t="s">
        <v>657</v>
      </c>
      <c r="J25" s="1587" t="s">
        <v>658</v>
      </c>
      <c r="K25" s="2081" t="s">
        <v>580</v>
      </c>
      <c r="L25" s="790"/>
      <c r="M25" s="620"/>
      <c r="N25" s="606"/>
      <c r="O25" s="1588"/>
      <c r="P25" s="606"/>
      <c r="AK25" s="1694">
        <v>23</v>
      </c>
    </row>
    <row customHeight="1" ht="24">
      <c r="A26" s="2117"/>
      <c r="B26" s="2116" t="s">
        <v>659</v>
      </c>
      <c r="C26" s="2116" t="s">
        <v>660</v>
      </c>
      <c r="D26" s="2115" t="s">
        <v>614</v>
      </c>
      <c r="E26" s="2119" t="s">
        <v>625</v>
      </c>
      <c r="F26" s="2119" t="s">
        <v>625</v>
      </c>
      <c r="H26" s="2084"/>
      <c r="I26" s="1727">
        <v>7</v>
      </c>
      <c r="J26" s="2085" t="s">
        <v>660</v>
      </c>
      <c r="K26" s="2081" t="s">
        <v>661</v>
      </c>
      <c r="L26" s="790"/>
      <c r="M26" s="620"/>
      <c r="N26" s="606"/>
      <c r="O26" s="1588"/>
      <c r="P26" s="606"/>
      <c r="AK26" s="1694">
        <v>23</v>
      </c>
    </row>
    <row customHeight="1" ht="24">
      <c r="A27" s="2117"/>
      <c r="B27" s="2116" t="s">
        <v>662</v>
      </c>
      <c r="C27" s="2116" t="s">
        <v>663</v>
      </c>
      <c r="D27" s="2115" t="s">
        <v>614</v>
      </c>
      <c r="E27" s="2119" t="s">
        <v>625</v>
      </c>
      <c r="F27" s="2119" t="s">
        <v>625</v>
      </c>
      <c r="H27" s="2084"/>
      <c r="I27" s="1727">
        <v>8</v>
      </c>
      <c r="J27" s="2085" t="s">
        <v>663</v>
      </c>
      <c r="K27" s="2081" t="s">
        <v>586</v>
      </c>
      <c r="L27" s="790"/>
      <c r="M27" s="620"/>
      <c r="N27" s="606"/>
      <c r="O27" s="1588"/>
      <c r="P27" s="606"/>
      <c r="AK27" s="1694">
        <v>23</v>
      </c>
    </row>
    <row customHeight="1" ht="35.699999999999996">
      <c r="A28" s="2117"/>
      <c r="B28" s="2116" t="s">
        <v>664</v>
      </c>
      <c r="C28" s="2116" t="s">
        <v>665</v>
      </c>
      <c r="D28" s="2115" t="s">
        <v>614</v>
      </c>
      <c r="E28" s="2119" t="s">
        <v>625</v>
      </c>
      <c r="F28" s="2119" t="s">
        <v>625</v>
      </c>
      <c r="H28" s="2084"/>
      <c r="I28" s="1738">
        <v>9</v>
      </c>
      <c r="J28" s="2085" t="s">
        <v>666</v>
      </c>
      <c r="K28" s="2081" t="s">
        <v>557</v>
      </c>
      <c r="L28" s="790"/>
      <c r="M28" s="620"/>
      <c r="N28" s="606"/>
      <c r="O28" s="1588"/>
      <c r="P28" s="606"/>
      <c r="AK28" s="1694">
        <v>34</v>
      </c>
    </row>
    <row customHeight="1" ht="35.699999999999996">
      <c r="A29" s="2117"/>
      <c r="B29" s="2116" t="s">
        <v>667</v>
      </c>
      <c r="C29" s="2116" t="s">
        <v>668</v>
      </c>
      <c r="D29" s="2115" t="s">
        <v>614</v>
      </c>
      <c r="E29" s="2119" t="s">
        <v>625</v>
      </c>
      <c r="F29" s="2119" t="s">
        <v>625</v>
      </c>
      <c r="H29" s="2084"/>
      <c r="I29" s="1738">
        <v>10</v>
      </c>
      <c r="J29" s="2085" t="s">
        <v>669</v>
      </c>
      <c r="K29" s="2081" t="s">
        <v>557</v>
      </c>
      <c r="L29" s="790"/>
      <c r="M29" s="620"/>
      <c r="N29" s="606"/>
      <c r="O29" s="1588"/>
      <c r="P29" s="606"/>
      <c r="AK29" s="1694">
        <v>34</v>
      </c>
    </row>
    <row customHeight="1" ht="24">
      <c r="A30" s="2117"/>
      <c r="B30" s="2116" t="s">
        <v>670</v>
      </c>
      <c r="C30" s="2116" t="s">
        <v>671</v>
      </c>
      <c r="D30" s="2115" t="s">
        <v>614</v>
      </c>
      <c r="E30" s="2119" t="s">
        <v>625</v>
      </c>
      <c r="F30" s="2119" t="s">
        <v>625</v>
      </c>
      <c r="H30" s="2084"/>
      <c r="I30" s="1738">
        <v>11</v>
      </c>
      <c r="J30" s="2085" t="s">
        <v>671</v>
      </c>
      <c r="K30" s="2081" t="s">
        <v>587</v>
      </c>
      <c r="L30" s="2132"/>
      <c r="M30" s="1684"/>
      <c r="N30" s="606"/>
      <c r="O30" s="1588"/>
      <c r="P30" s="606"/>
      <c r="AK30" s="1694">
        <v>23</v>
      </c>
    </row>
    <row customHeight="1" ht="24">
      <c r="A31" s="2117"/>
      <c r="B31" s="2116" t="s">
        <v>672</v>
      </c>
      <c r="C31" s="2116" t="s">
        <v>673</v>
      </c>
      <c r="D31" s="2115" t="s">
        <v>614</v>
      </c>
      <c r="E31" s="2119" t="s">
        <v>625</v>
      </c>
      <c r="F31" s="2119" t="s">
        <v>625</v>
      </c>
      <c r="H31" s="2084"/>
      <c r="I31" s="1738">
        <v>12</v>
      </c>
      <c r="J31" s="2085" t="s">
        <v>673</v>
      </c>
      <c r="K31" s="2081" t="s">
        <v>587</v>
      </c>
      <c r="L31" s="2132"/>
      <c r="M31" s="1684"/>
      <c r="N31" s="606"/>
      <c r="O31" s="1588"/>
      <c r="P31" s="606"/>
      <c r="AK31" s="1694">
        <v>23</v>
      </c>
    </row>
    <row customHeight="1" ht="48.29999999999999">
      <c r="A32" s="2117"/>
      <c r="B32" s="2116" t="s">
        <v>674</v>
      </c>
      <c r="C32" s="2116" t="s">
        <v>675</v>
      </c>
      <c r="D32" s="2115" t="s">
        <v>614</v>
      </c>
      <c r="E32" s="2119" t="s">
        <v>625</v>
      </c>
      <c r="F32" s="2119" t="s">
        <v>625</v>
      </c>
      <c r="H32" s="2084"/>
      <c r="I32" s="1738">
        <v>13</v>
      </c>
      <c r="J32" s="2085" t="s">
        <v>676</v>
      </c>
      <c r="K32" s="2081" t="s">
        <v>597</v>
      </c>
      <c r="L32" s="790"/>
      <c r="M32" s="620"/>
      <c r="N32" s="606"/>
      <c r="O32" s="1588" t="s">
        <v>636</v>
      </c>
      <c r="P32" s="606"/>
      <c r="AK32" s="1694">
        <v>46</v>
      </c>
    </row>
    <row s="4466" customFormat="1" customHeight="1" ht="48.29999999999999">
      <c r="A33" s="2117"/>
      <c r="B33" s="2116" t="s">
        <v>677</v>
      </c>
      <c r="C33" s="2116" t="s">
        <v>678</v>
      </c>
      <c r="D33" s="2115" t="s">
        <v>614</v>
      </c>
      <c r="E33" s="2119" t="s">
        <v>625</v>
      </c>
      <c r="F33" s="2119" t="s">
        <v>625</v>
      </c>
      <c r="G33" s="1699"/>
      <c r="H33" s="2084"/>
      <c r="I33" s="1738">
        <v>14</v>
      </c>
      <c r="J33" s="2097" t="s">
        <v>679</v>
      </c>
      <c r="K33" s="2086" t="s">
        <v>680</v>
      </c>
      <c r="L33" s="790"/>
      <c r="M33" s="620"/>
      <c r="N33" s="606"/>
      <c r="O33" s="1588" t="s">
        <v>636</v>
      </c>
      <c r="P33" s="606"/>
      <c r="Q33" s="1699"/>
      <c r="R33" s="1699"/>
      <c r="W33" s="1699"/>
      <c r="Z33" s="607"/>
      <c r="AF33" s="1695"/>
      <c r="AG33" s="1695"/>
      <c r="AH33" s="1695"/>
      <c r="AI33" s="1695"/>
      <c r="AJ33" s="1695"/>
      <c r="AK33" s="1429">
        <v>46</v>
      </c>
    </row>
    <row customHeight="1" ht="108">
      <c r="A34" s="2117"/>
      <c r="B34" s="2116" t="s">
        <v>681</v>
      </c>
      <c r="C34" s="2116" t="s">
        <v>682</v>
      </c>
      <c r="D34" s="2115" t="s">
        <v>624</v>
      </c>
      <c r="E34" s="2119" t="s">
        <v>625</v>
      </c>
      <c r="F34" s="2119" t="s">
        <v>625</v>
      </c>
      <c r="G34" s="1699" t="s">
        <v>585</v>
      </c>
      <c r="H34" s="2084"/>
      <c r="I34" s="2095">
        <v>15</v>
      </c>
      <c r="J34" s="2096" t="s">
        <v>683</v>
      </c>
      <c r="K34" s="2081" t="s">
        <v>303</v>
      </c>
      <c r="L34" s="448"/>
      <c r="M34" s="1227"/>
      <c r="N34" s="606"/>
      <c r="O34" s="1588" t="s">
        <v>628</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81</v>
      </c>
      <c r="B204" s="1050" t="s">
        <v>149</v>
      </c>
      <c r="C204" s="1050" t="s">
        <v>149</v>
      </c>
      <c r="D204" s="1050" t="s">
        <v>149</v>
      </c>
      <c r="E204" s="1050" t="s">
        <v>149</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6061A-1098-49C6-77B9-F85B581E52E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684</v>
      </c>
      <c r="C2" s="2116" t="s">
        <v>685</v>
      </c>
      <c r="D2" s="2115" t="s">
        <v>624</v>
      </c>
      <c r="E2" s="2121">
        <f>I2-3</f>
        <v>-3</v>
      </c>
      <c r="F2" s="2121">
        <f>J2</f>
        <v>0</v>
      </c>
      <c r="H2" s="1793" t="s">
        <v>686</v>
      </c>
      <c r="I2" s="2087"/>
      <c r="J2" s="1745"/>
      <c r="K2" s="2081" t="s">
        <v>303</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687</v>
      </c>
      <c r="J5" s="2311"/>
      <c r="K5" s="2311"/>
      <c r="L5" s="2311"/>
      <c r="M5" s="329"/>
      <c r="W5" s="1694">
        <v>48</v>
      </c>
    </row>
    <row customHeight="1" ht="18">
      <c r="H6" s="439"/>
      <c r="I6" s="2312" t="str">
        <f>IF(org=0,"Не определено",org)</f>
        <v>Филиал "Уренгойская ГРЭС" АО "Интер РАО - Электрогенерация"</v>
      </c>
      <c r="J6" s="2312"/>
      <c r="K6" s="2312"/>
      <c r="L6" s="2312"/>
      <c r="M6" s="329"/>
      <c r="W6" s="1694">
        <v>17</v>
      </c>
    </row>
    <row customHeight="1" ht="14.699999999999998">
      <c r="H7" s="439"/>
      <c r="I7" s="520"/>
      <c r="J7" s="526"/>
      <c r="K7" s="526"/>
      <c r="L7" s="815"/>
      <c r="M7" s="256"/>
      <c r="W7" s="1694">
        <v>14</v>
      </c>
    </row>
    <row customHeight="1" ht="14.699999999999998">
      <c r="H8" s="439"/>
      <c r="I8" s="2449" t="s">
        <v>297</v>
      </c>
      <c r="J8" s="2450"/>
      <c r="K8" s="2450"/>
      <c r="L8" s="2451"/>
      <c r="M8" s="2452" t="s">
        <v>298</v>
      </c>
      <c r="W8" s="1694">
        <v>14</v>
      </c>
    </row>
    <row customHeight="1" ht="35.699999999999996">
      <c r="E9" s="2114" t="s">
        <v>615</v>
      </c>
      <c r="F9" s="2114" t="s">
        <v>621</v>
      </c>
      <c r="H9" s="439"/>
      <c r="I9" s="2088" t="s">
        <v>87</v>
      </c>
      <c r="J9" s="2089" t="s">
        <v>299</v>
      </c>
      <c r="K9" s="2127" t="s">
        <v>563</v>
      </c>
      <c r="L9" s="2128" t="s">
        <v>300</v>
      </c>
      <c r="M9" s="2452"/>
      <c r="W9" s="1694">
        <v>34</v>
      </c>
    </row>
    <row customHeight="1" ht="35.699999999999996">
      <c r="B10" s="2116" t="s">
        <v>688</v>
      </c>
      <c r="C10" s="2116" t="s">
        <v>689</v>
      </c>
      <c r="D10" s="2115" t="s">
        <v>624</v>
      </c>
      <c r="E10" s="2119" t="s">
        <v>625</v>
      </c>
      <c r="F10" s="2119" t="s">
        <v>625</v>
      </c>
      <c r="H10" s="439"/>
      <c r="I10" s="2087" t="s">
        <v>108</v>
      </c>
      <c r="J10" s="1949" t="s">
        <v>690</v>
      </c>
      <c r="K10" s="2081" t="s">
        <v>303</v>
      </c>
      <c r="L10" s="881"/>
      <c r="M10" s="360" t="s">
        <v>691</v>
      </c>
      <c r="W10" s="1694">
        <v>34</v>
      </c>
    </row>
    <row customHeight="1" ht="50.25">
      <c r="B11" s="2116" t="s">
        <v>692</v>
      </c>
      <c r="C11" s="2116" t="s">
        <v>693</v>
      </c>
      <c r="D11" s="2115" t="s">
        <v>624</v>
      </c>
      <c r="E11" s="2119" t="s">
        <v>625</v>
      </c>
      <c r="F11" s="2119" t="s">
        <v>625</v>
      </c>
      <c r="H11" s="439"/>
      <c r="I11" s="2087" t="s">
        <v>109</v>
      </c>
      <c r="J11" s="1949" t="s">
        <v>694</v>
      </c>
      <c r="K11" s="2081" t="s">
        <v>303</v>
      </c>
      <c r="L11" s="881"/>
      <c r="M11" s="360" t="s">
        <v>691</v>
      </c>
      <c r="W11" s="1694">
        <v>48</v>
      </c>
    </row>
    <row customHeight="1" ht="48.29999999999999">
      <c r="B12" s="2116" t="s">
        <v>695</v>
      </c>
      <c r="C12" s="2116" t="s">
        <v>696</v>
      </c>
      <c r="D12" s="2115" t="s">
        <v>624</v>
      </c>
      <c r="E12" s="2119" t="s">
        <v>625</v>
      </c>
      <c r="F12" s="2119" t="s">
        <v>625</v>
      </c>
      <c r="H12" s="1751"/>
      <c r="I12" s="2087" t="s">
        <v>89</v>
      </c>
      <c r="J12" s="2094" t="s">
        <v>697</v>
      </c>
      <c r="K12" s="2081" t="s">
        <v>303</v>
      </c>
      <c r="L12" s="881"/>
      <c r="M12" s="360" t="s">
        <v>698</v>
      </c>
      <c r="N12" s="1687"/>
      <c r="P12" s="1694"/>
      <c r="W12" s="1694">
        <v>46</v>
      </c>
    </row>
    <row customHeight="1" ht="14.699999999999998">
      <c r="E13" s="406"/>
      <c r="H13" s="439"/>
      <c r="I13" s="410"/>
      <c r="J13" s="714" t="s">
        <v>699</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81</v>
      </c>
      <c r="B16" s="1694">
        <v>9</v>
      </c>
      <c r="C16" s="1694">
        <v>9</v>
      </c>
      <c r="D16" s="1694">
        <v>9</v>
      </c>
      <c r="E16" s="2093" t="s">
        <v>148</v>
      </c>
      <c r="F16" s="2118" t="s">
        <v>148</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D356C-F966-E27D-DD29-849EA85A116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549</v>
      </c>
      <c r="H2" s="604"/>
      <c r="I2" s="604"/>
      <c r="J2" s="605" t="s">
        <v>700</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701</v>
      </c>
      <c r="F6" s="2370"/>
      <c r="G6" s="2370"/>
      <c r="H6" s="2370"/>
      <c r="I6" s="2370"/>
      <c r="J6" s="619"/>
      <c r="AF6" s="1694">
        <v>30</v>
      </c>
    </row>
    <row customHeight="1" ht="11.549999999999999">
      <c r="E7" s="2312" t="str">
        <f>IF(org=0,"Не определено",org)</f>
        <v>Филиал "Уренгойская ГРЭС" АО "Интер РАО - Электрогенерация"</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116</v>
      </c>
      <c r="AF9" s="1699">
        <v>4</v>
      </c>
    </row>
    <row customHeight="1" ht="11.549999999999999">
      <c r="E10" s="774"/>
      <c r="F10" s="2430" t="s">
        <v>104</v>
      </c>
      <c r="G10" s="2431"/>
      <c r="H10" s="1615" t="str">
        <f>IF(H9="","",INDEX(DIFFERENTIATION_UNMERGE_VD,MATCH(H9,DIFFERENTIATION_ID_DIFF,0)))</f>
        <v/>
      </c>
      <c r="I10" s="1615" t="str">
        <f>IF(I9="","",INDEX(DIFFERENTIATION_UNMERGE_VD,MATCH(I9,DIFFERENTIATION_ID_DIFF,0)))</f>
        <v>Транспортировка</v>
      </c>
      <c r="J10" s="2190"/>
      <c r="AF10" s="1694">
        <v>11</v>
      </c>
    </row>
    <row customHeight="1" ht="11.549999999999999">
      <c r="E11" s="774"/>
      <c r="F11" s="2430" t="s">
        <v>561</v>
      </c>
      <c r="G11" s="2431"/>
      <c r="H11" s="1615" t="str">
        <f>IF(H9="","",INDEX(DIFFERENTIATION_UNMERGE_AREA,MATCH(H9,DIFFERENTIATION_ID_DIFF,0)))</f>
        <v/>
      </c>
      <c r="I11" s="1615" t="str">
        <f>IF(I9="","",INDEX(DIFFERENTIATION_UNMERGE_AREA,MATCH(I9,DIFFERENTIATION_ID_DIFF,0)))</f>
        <v>Территория 1</v>
      </c>
      <c r="J11" s="2190"/>
      <c r="AF11" s="1694">
        <v>11</v>
      </c>
    </row>
    <row customHeight="1" ht="1.05">
      <c r="E12" s="1725"/>
      <c r="F12" s="2453" t="s">
        <v>562</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297</v>
      </c>
      <c r="F13" s="2433"/>
      <c r="G13" s="2433"/>
      <c r="H13" s="1614"/>
      <c r="I13" s="1614"/>
      <c r="J13" s="2190"/>
      <c r="AF13" s="1694">
        <v>11</v>
      </c>
    </row>
    <row customHeight="1" ht="24">
      <c r="E14" s="1702" t="s">
        <v>87</v>
      </c>
      <c r="F14" s="1697" t="s">
        <v>299</v>
      </c>
      <c r="G14" s="1697" t="s">
        <v>563</v>
      </c>
      <c r="H14" s="1697" t="s">
        <v>300</v>
      </c>
      <c r="I14" s="1697" t="s">
        <v>300</v>
      </c>
      <c r="J14" s="2190"/>
      <c r="AF14" s="1694">
        <v>23</v>
      </c>
    </row>
    <row customHeight="1" ht="19.95">
      <c r="D15" s="1701"/>
      <c r="E15" s="1693" t="s">
        <v>108</v>
      </c>
      <c r="F15" s="770" t="s">
        <v>702</v>
      </c>
      <c r="G15" s="1709" t="s">
        <v>549</v>
      </c>
      <c r="H15" s="620"/>
      <c r="I15" s="620"/>
      <c r="J15" s="352" t="s">
        <v>703</v>
      </c>
      <c r="K15" s="606" t="s">
        <v>627</v>
      </c>
      <c r="AF15" s="1694">
        <v>19</v>
      </c>
    </row>
    <row customHeight="1" ht="35.699999999999996">
      <c r="D16" s="1701"/>
      <c r="E16" s="1693" t="s">
        <v>109</v>
      </c>
      <c r="F16" s="770" t="s">
        <v>704</v>
      </c>
      <c r="G16" s="1709" t="s">
        <v>549</v>
      </c>
      <c r="H16" s="621">
        <f>SUM(H17,H20:H32)</f>
        <v>0</v>
      </c>
      <c r="I16" s="621">
        <f>SUM(I17,I20,I23,I26,I29:I32)</f>
        <v>0</v>
      </c>
      <c r="J16" s="352" t="s">
        <v>705</v>
      </c>
      <c r="K16" s="606" t="s">
        <v>627</v>
      </c>
      <c r="AF16" s="1694">
        <v>34</v>
      </c>
    </row>
    <row customHeight="1" ht="19.95">
      <c r="D17" s="1701"/>
      <c r="E17" s="1727" t="s">
        <v>706</v>
      </c>
      <c r="F17" s="1017" t="s">
        <v>707</v>
      </c>
      <c r="G17" s="1706" t="s">
        <v>549</v>
      </c>
      <c r="H17" s="620"/>
      <c r="I17" s="620"/>
      <c r="J17" s="352" t="s">
        <v>708</v>
      </c>
      <c r="K17" s="606"/>
      <c r="AF17" s="1694">
        <v>19</v>
      </c>
    </row>
    <row customHeight="1" ht="24">
      <c r="D18" s="1701"/>
      <c r="E18" s="1727" t="s">
        <v>709</v>
      </c>
      <c r="F18" s="1713" t="s">
        <v>710</v>
      </c>
      <c r="G18" s="1706" t="s">
        <v>549</v>
      </c>
      <c r="H18" s="620"/>
      <c r="I18" s="620"/>
      <c r="J18" s="352" t="s">
        <v>711</v>
      </c>
      <c r="K18" s="606"/>
      <c r="AF18" s="1694">
        <v>23</v>
      </c>
    </row>
    <row customHeight="1" ht="35.699999999999996">
      <c r="D19" s="1701"/>
      <c r="E19" s="1727" t="s">
        <v>712</v>
      </c>
      <c r="F19" s="1713" t="s">
        <v>713</v>
      </c>
      <c r="G19" s="1706" t="s">
        <v>549</v>
      </c>
      <c r="H19" s="620"/>
      <c r="I19" s="620"/>
      <c r="J19" s="352"/>
      <c r="K19" s="606"/>
      <c r="AF19" s="1694">
        <v>34</v>
      </c>
    </row>
    <row customHeight="1" ht="19.95">
      <c r="D20" s="1701"/>
      <c r="E20" s="1727" t="s">
        <v>304</v>
      </c>
      <c r="F20" s="1017" t="s">
        <v>714</v>
      </c>
      <c r="G20" s="1706" t="s">
        <v>549</v>
      </c>
      <c r="H20" s="620"/>
      <c r="I20" s="620"/>
      <c r="J20" s="352" t="s">
        <v>715</v>
      </c>
      <c r="K20" s="606"/>
      <c r="AF20" s="1694">
        <v>19</v>
      </c>
    </row>
    <row customHeight="1" ht="19.95">
      <c r="D21" s="1701"/>
      <c r="E21" s="1727" t="s">
        <v>716</v>
      </c>
      <c r="F21" s="1713" t="s">
        <v>717</v>
      </c>
      <c r="G21" s="1706" t="s">
        <v>549</v>
      </c>
      <c r="H21" s="620"/>
      <c r="I21" s="620"/>
      <c r="J21" s="352"/>
      <c r="K21" s="606"/>
      <c r="AF21" s="1694">
        <v>19</v>
      </c>
    </row>
    <row customHeight="1" ht="19.95">
      <c r="D22" s="1701"/>
      <c r="E22" s="1727" t="s">
        <v>718</v>
      </c>
      <c r="F22" s="1713" t="s">
        <v>719</v>
      </c>
      <c r="G22" s="1706" t="s">
        <v>549</v>
      </c>
      <c r="H22" s="620"/>
      <c r="I22" s="620"/>
      <c r="J22" s="352"/>
      <c r="K22" s="606"/>
      <c r="AF22" s="1694">
        <v>19</v>
      </c>
    </row>
    <row customHeight="1" ht="24">
      <c r="D23" s="1701"/>
      <c r="E23" s="1727" t="s">
        <v>307</v>
      </c>
      <c r="F23" s="1017" t="s">
        <v>720</v>
      </c>
      <c r="G23" s="1706" t="s">
        <v>549</v>
      </c>
      <c r="H23" s="620"/>
      <c r="I23" s="620"/>
      <c r="J23" s="352" t="s">
        <v>721</v>
      </c>
      <c r="K23" s="606"/>
      <c r="AF23" s="1694">
        <v>23</v>
      </c>
    </row>
    <row customHeight="1" ht="19.95">
      <c r="D24" s="1701"/>
      <c r="E24" s="1727" t="s">
        <v>722</v>
      </c>
      <c r="F24" s="1713" t="s">
        <v>723</v>
      </c>
      <c r="G24" s="1706" t="s">
        <v>549</v>
      </c>
      <c r="H24" s="620"/>
      <c r="I24" s="620"/>
      <c r="J24" s="352"/>
      <c r="K24" s="606"/>
      <c r="AF24" s="1694">
        <v>19</v>
      </c>
    </row>
    <row customHeight="1" ht="35.699999999999996">
      <c r="D25" s="1701"/>
      <c r="E25" s="1727" t="s">
        <v>724</v>
      </c>
      <c r="F25" s="1713" t="s">
        <v>725</v>
      </c>
      <c r="G25" s="1706" t="s">
        <v>549</v>
      </c>
      <c r="H25" s="620"/>
      <c r="I25" s="620"/>
      <c r="J25" s="352"/>
      <c r="K25" s="606"/>
      <c r="AF25" s="1694">
        <v>34</v>
      </c>
    </row>
    <row customHeight="1" ht="24">
      <c r="D26" s="1701"/>
      <c r="E26" s="1727" t="s">
        <v>726</v>
      </c>
      <c r="F26" s="1017" t="s">
        <v>727</v>
      </c>
      <c r="G26" s="1706" t="s">
        <v>549</v>
      </c>
      <c r="H26" s="620"/>
      <c r="I26" s="620"/>
      <c r="J26" s="352" t="s">
        <v>728</v>
      </c>
      <c r="K26" s="606"/>
      <c r="AF26" s="1694">
        <v>23</v>
      </c>
    </row>
    <row customHeight="1" ht="19.95">
      <c r="D27" s="1701"/>
      <c r="E27" s="1738" t="s">
        <v>729</v>
      </c>
      <c r="F27" s="1713" t="s">
        <v>730</v>
      </c>
      <c r="G27" s="1717" t="s">
        <v>549</v>
      </c>
      <c r="H27" s="1739"/>
      <c r="I27" s="1739"/>
      <c r="J27" s="352"/>
      <c r="K27" s="606"/>
      <c r="AF27" s="1694">
        <v>19</v>
      </c>
    </row>
    <row customHeight="1" ht="19.95">
      <c r="D28" s="1701"/>
      <c r="E28" s="1738" t="s">
        <v>731</v>
      </c>
      <c r="F28" s="1713" t="s">
        <v>732</v>
      </c>
      <c r="G28" s="1717" t="s">
        <v>549</v>
      </c>
      <c r="H28" s="1739"/>
      <c r="I28" s="1739"/>
      <c r="J28" s="352"/>
      <c r="K28" s="606"/>
      <c r="AF28" s="1694">
        <v>19</v>
      </c>
    </row>
    <row customHeight="1" ht="19.95">
      <c r="D29" s="1701"/>
      <c r="E29" s="1738" t="s">
        <v>733</v>
      </c>
      <c r="F29" s="1017" t="s">
        <v>734</v>
      </c>
      <c r="G29" s="1717" t="s">
        <v>549</v>
      </c>
      <c r="H29" s="1739"/>
      <c r="I29" s="1739"/>
      <c r="J29" s="352"/>
      <c r="K29" s="606"/>
      <c r="AF29" s="1694">
        <v>19</v>
      </c>
    </row>
    <row customHeight="1" ht="19.95">
      <c r="D30" s="1701"/>
      <c r="E30" s="1738" t="s">
        <v>735</v>
      </c>
      <c r="F30" s="1017" t="s">
        <v>736</v>
      </c>
      <c r="G30" s="1717" t="s">
        <v>549</v>
      </c>
      <c r="H30" s="1739"/>
      <c r="I30" s="1739"/>
      <c r="J30" s="352"/>
      <c r="K30" s="606"/>
      <c r="AF30" s="1694">
        <v>19</v>
      </c>
    </row>
    <row customHeight="1" ht="19.95">
      <c r="D31" s="1701"/>
      <c r="E31" s="1738" t="s">
        <v>737</v>
      </c>
      <c r="F31" s="1017" t="s">
        <v>738</v>
      </c>
      <c r="G31" s="1717" t="s">
        <v>549</v>
      </c>
      <c r="H31" s="1739"/>
      <c r="I31" s="1739"/>
      <c r="J31" s="352"/>
      <c r="K31" s="606"/>
      <c r="AF31" s="1694">
        <v>19</v>
      </c>
    </row>
    <row s="4466" customFormat="1" customHeight="1" ht="35.699999999999996">
      <c r="A32" s="1050"/>
      <c r="C32" s="1699"/>
      <c r="D32" s="1701"/>
      <c r="E32" s="1738" t="s">
        <v>739</v>
      </c>
      <c r="F32" s="1017" t="s">
        <v>740</v>
      </c>
      <c r="G32" s="1707" t="s">
        <v>549</v>
      </c>
      <c r="H32" s="642">
        <f>SUM(H33:H34)</f>
        <v>0</v>
      </c>
      <c r="I32" s="642">
        <f>SUM(I33:I34)</f>
        <v>0</v>
      </c>
      <c r="J32" s="352" t="s">
        <v>741</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574</v>
      </c>
      <c r="G34" s="635"/>
      <c r="H34" s="636"/>
      <c r="I34" s="636"/>
      <c r="J34" s="364" t="s">
        <v>742</v>
      </c>
      <c r="K34" s="606"/>
      <c r="L34" s="1699"/>
      <c r="M34" s="1699"/>
      <c r="R34" s="1699"/>
      <c r="U34" s="607"/>
      <c r="AA34" s="1695"/>
      <c r="AB34" s="1695"/>
      <c r="AC34" s="1695"/>
      <c r="AD34" s="1695"/>
      <c r="AE34" s="1695"/>
      <c r="AF34" s="1223">
        <v>19</v>
      </c>
    </row>
    <row customHeight="1" ht="60">
      <c r="D35" s="1701"/>
      <c r="E35" s="1738" t="s">
        <v>743</v>
      </c>
      <c r="F35" s="1017" t="s">
        <v>744</v>
      </c>
      <c r="G35" s="1717" t="s">
        <v>549</v>
      </c>
      <c r="H35" s="1739"/>
      <c r="I35" s="1739"/>
      <c r="J35" s="352" t="s">
        <v>745</v>
      </c>
      <c r="K35" s="606"/>
      <c r="AF35" s="1694">
        <v>57</v>
      </c>
    </row>
    <row s="4466" customFormat="1" customHeight="1" ht="24">
      <c r="A36" s="1052" t="s">
        <v>575</v>
      </c>
      <c r="C36" s="1699"/>
      <c r="D36" s="1701"/>
      <c r="E36" s="1727" t="s">
        <v>89</v>
      </c>
      <c r="F36" s="770" t="s">
        <v>746</v>
      </c>
      <c r="G36" s="1706" t="s">
        <v>549</v>
      </c>
      <c r="H36" s="620"/>
      <c r="I36" s="620"/>
      <c r="J36" s="352" t="s">
        <v>747</v>
      </c>
      <c r="K36" s="606"/>
      <c r="L36" s="1699"/>
      <c r="M36" s="1699"/>
      <c r="R36" s="1699"/>
      <c r="U36" s="607"/>
      <c r="AA36" s="1695"/>
      <c r="AB36" s="1695"/>
      <c r="AC36" s="1695"/>
      <c r="AD36" s="1695"/>
      <c r="AE36" s="1695"/>
      <c r="AF36" s="1223">
        <v>23</v>
      </c>
    </row>
    <row s="4466" customFormat="1" customHeight="1" ht="35.699999999999996">
      <c r="A37" s="1052"/>
      <c r="C37" s="1699"/>
      <c r="D37" s="1701"/>
      <c r="E37" s="1727" t="s">
        <v>321</v>
      </c>
      <c r="F37" s="1017" t="s">
        <v>748</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90</v>
      </c>
      <c r="F38" s="770" t="s">
        <v>749</v>
      </c>
      <c r="G38" s="1706" t="s">
        <v>549</v>
      </c>
      <c r="H38" s="620"/>
      <c r="I38" s="620"/>
      <c r="J38" s="352" t="s">
        <v>750</v>
      </c>
      <c r="K38" s="606"/>
      <c r="L38" s="1699"/>
      <c r="M38" s="1699"/>
      <c r="R38" s="1699"/>
      <c r="U38" s="607"/>
      <c r="AA38" s="1695"/>
      <c r="AB38" s="1695"/>
      <c r="AC38" s="1695"/>
      <c r="AD38" s="1695"/>
      <c r="AE38" s="1695"/>
      <c r="AF38" s="1223">
        <v>19</v>
      </c>
    </row>
    <row s="4466" customFormat="1" customHeight="1" ht="24">
      <c r="A39" s="1050"/>
      <c r="C39" s="1699"/>
      <c r="D39" s="638"/>
      <c r="E39" s="1727" t="s">
        <v>751</v>
      </c>
      <c r="F39" s="1017" t="s">
        <v>752</v>
      </c>
      <c r="G39" s="1717" t="s">
        <v>549</v>
      </c>
      <c r="H39" s="620"/>
      <c r="I39" s="620"/>
      <c r="J39" s="352" t="s">
        <v>753</v>
      </c>
      <c r="K39" s="606"/>
      <c r="L39" s="1699"/>
      <c r="M39" s="1699"/>
      <c r="R39" s="1699"/>
      <c r="U39" s="607"/>
      <c r="AA39" s="1695"/>
      <c r="AB39" s="1695"/>
      <c r="AC39" s="1695"/>
      <c r="AD39" s="1695"/>
      <c r="AE39" s="1695"/>
      <c r="AF39" s="1223">
        <v>23</v>
      </c>
    </row>
    <row s="4466" customFormat="1" customHeight="1" ht="24">
      <c r="A40" s="1050"/>
      <c r="C40" s="1699"/>
      <c r="D40" s="1701"/>
      <c r="E40" s="1727" t="s">
        <v>754</v>
      </c>
      <c r="F40" s="1713" t="s">
        <v>755</v>
      </c>
      <c r="G40" s="1706" t="s">
        <v>549</v>
      </c>
      <c r="H40" s="620"/>
      <c r="I40" s="620"/>
      <c r="J40" s="352" t="s">
        <v>756</v>
      </c>
      <c r="K40" s="606"/>
      <c r="L40" s="1699"/>
      <c r="M40" s="1699"/>
      <c r="R40" s="1699"/>
      <c r="U40" s="607"/>
      <c r="AA40" s="1695"/>
      <c r="AB40" s="1695"/>
      <c r="AC40" s="1695"/>
      <c r="AD40" s="1695"/>
      <c r="AE40" s="1695"/>
      <c r="AF40" s="1223">
        <v>23</v>
      </c>
    </row>
    <row s="4466" customFormat="1" customHeight="1" ht="24">
      <c r="A41" s="1050"/>
      <c r="C41" s="1699"/>
      <c r="D41" s="1701"/>
      <c r="E41" s="1727" t="s">
        <v>757</v>
      </c>
      <c r="F41" s="1713" t="s">
        <v>758</v>
      </c>
      <c r="G41" s="1706" t="s">
        <v>549</v>
      </c>
      <c r="H41" s="620"/>
      <c r="I41" s="620"/>
      <c r="J41" s="352" t="s">
        <v>759</v>
      </c>
      <c r="K41" s="606"/>
      <c r="L41" s="1699"/>
      <c r="M41" s="1699"/>
      <c r="R41" s="1699"/>
      <c r="U41" s="607"/>
      <c r="AA41" s="1695"/>
      <c r="AB41" s="1695"/>
      <c r="AC41" s="1695"/>
      <c r="AD41" s="1695"/>
      <c r="AE41" s="1695"/>
      <c r="AF41" s="1223">
        <v>23</v>
      </c>
    </row>
    <row s="4466" customFormat="1" customHeight="1" ht="24">
      <c r="A42" s="1050"/>
      <c r="C42" s="1699"/>
      <c r="D42" s="1701"/>
      <c r="E42" s="1727" t="s">
        <v>760</v>
      </c>
      <c r="F42" s="1713" t="s">
        <v>761</v>
      </c>
      <c r="G42" s="1706" t="s">
        <v>549</v>
      </c>
      <c r="H42" s="620"/>
      <c r="I42" s="620"/>
      <c r="J42" s="352" t="s">
        <v>762</v>
      </c>
      <c r="K42" s="606"/>
      <c r="L42" s="1699"/>
      <c r="M42" s="1699"/>
      <c r="R42" s="1699"/>
      <c r="U42" s="607"/>
      <c r="AA42" s="1695"/>
      <c r="AB42" s="1695"/>
      <c r="AC42" s="1695"/>
      <c r="AD42" s="1695"/>
      <c r="AE42" s="1695"/>
      <c r="AF42" s="1223">
        <v>23</v>
      </c>
    </row>
    <row s="4466" customFormat="1" customHeight="1" ht="35.699999999999996">
      <c r="A43" s="1050"/>
      <c r="C43" s="1699" t="s">
        <v>585</v>
      </c>
      <c r="D43" s="1701"/>
      <c r="E43" s="1727" t="s">
        <v>110</v>
      </c>
      <c r="F43" s="770" t="s">
        <v>626</v>
      </c>
      <c r="G43" s="1709" t="s">
        <v>763</v>
      </c>
      <c r="H43" s="464"/>
      <c r="I43" s="464"/>
      <c r="J43" s="352" t="s">
        <v>764</v>
      </c>
      <c r="K43" s="606"/>
      <c r="L43" s="1699"/>
      <c r="M43" s="1699"/>
      <c r="R43" s="1699"/>
      <c r="U43" s="607"/>
      <c r="AA43" s="1695"/>
      <c r="AB43" s="1695"/>
      <c r="AC43" s="1695"/>
      <c r="AD43" s="1695"/>
      <c r="AE43" s="1695"/>
      <c r="AF43" s="1223">
        <v>34</v>
      </c>
    </row>
    <row s="4466" customFormat="1" customHeight="1" ht="35.699999999999996">
      <c r="A44" s="1050"/>
      <c r="C44" s="1699"/>
      <c r="D44" s="1701"/>
      <c r="E44" s="1727" t="s">
        <v>91</v>
      </c>
      <c r="F44" s="770" t="s">
        <v>765</v>
      </c>
      <c r="G44" s="1706" t="s">
        <v>766</v>
      </c>
      <c r="H44" s="608"/>
      <c r="I44" s="608"/>
      <c r="J44" s="352" t="s">
        <v>767</v>
      </c>
      <c r="K44" s="606"/>
      <c r="L44" s="1699"/>
      <c r="M44" s="1699"/>
      <c r="R44" s="1699"/>
      <c r="U44" s="607"/>
      <c r="AA44" s="1695"/>
      <c r="AB44" s="1695"/>
      <c r="AC44" s="1695"/>
      <c r="AD44" s="1695"/>
      <c r="AE44" s="1695"/>
      <c r="AF44" s="1223">
        <v>34</v>
      </c>
    </row>
    <row s="4466" customFormat="1" customHeight="1" ht="24">
      <c r="A45" s="1050"/>
      <c r="C45" s="1699"/>
      <c r="D45" s="1701"/>
      <c r="E45" s="1727" t="s">
        <v>92</v>
      </c>
      <c r="F45" s="770" t="s">
        <v>768</v>
      </c>
      <c r="G45" s="1717" t="s">
        <v>769</v>
      </c>
      <c r="H45" s="608"/>
      <c r="I45" s="608"/>
      <c r="J45" s="352" t="s">
        <v>770</v>
      </c>
      <c r="K45" s="606"/>
      <c r="L45" s="1699"/>
      <c r="M45" s="1699"/>
      <c r="R45" s="1699"/>
      <c r="U45" s="607"/>
      <c r="AA45" s="1695"/>
      <c r="AB45" s="1695"/>
      <c r="AC45" s="1695"/>
      <c r="AD45" s="1695"/>
      <c r="AE45" s="1695"/>
      <c r="AF45" s="1223">
        <v>23</v>
      </c>
    </row>
    <row s="4466" customFormat="1" customHeight="1" ht="19.95">
      <c r="A46" s="1050"/>
      <c r="C46" s="1699"/>
      <c r="D46" s="1701"/>
      <c r="E46" s="1727" t="s">
        <v>111</v>
      </c>
      <c r="F46" s="770" t="s">
        <v>771</v>
      </c>
      <c r="G46" s="1706" t="s">
        <v>587</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81</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7F809-6D03-8764-05D2-C6382A56613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549</v>
      </c>
      <c r="H2" s="604"/>
      <c r="I2" s="604"/>
      <c r="J2" s="605" t="s">
        <v>552</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772</v>
      </c>
      <c r="F6" s="2311"/>
      <c r="G6" s="2311"/>
      <c r="H6" s="2311"/>
      <c r="I6" s="2311"/>
      <c r="J6" s="619"/>
      <c r="AF6" s="1694">
        <v>32</v>
      </c>
    </row>
    <row customHeight="1" ht="25.2">
      <c r="E7" s="2312" t="str">
        <f>IF(org=0,"Не определено",org)</f>
        <v>Филиал "Уренгойская ГРЭС" АО "Интер РАО - Электрогенерация"</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116</v>
      </c>
      <c r="AF9" s="1699">
        <v>1</v>
      </c>
    </row>
    <row customHeight="1" ht="11.549999999999999">
      <c r="E10" s="774"/>
      <c r="F10" s="2430" t="s">
        <v>104</v>
      </c>
      <c r="G10" s="2431"/>
      <c r="H10" s="1722" t="str">
        <f>IF(H9="","",INDEX(DIFFERENTIATION_UNMERGE_VD,MATCH(H9,DIFFERENTIATION_ID_DIFF,0)))</f>
        <v/>
      </c>
      <c r="I10" s="1722" t="str">
        <f>IF(I9="","",INDEX(DIFFERENTIATION_UNMERGE_VD,MATCH(I9,DIFFERENTIATION_ID_DIFF,0)))</f>
        <v>Транспортировка</v>
      </c>
      <c r="J10" s="2190"/>
      <c r="AF10" s="1694">
        <v>11</v>
      </c>
    </row>
    <row customHeight="1" ht="11.549999999999999">
      <c r="E11" s="774"/>
      <c r="F11" s="2430" t="s">
        <v>561</v>
      </c>
      <c r="G11" s="2431"/>
      <c r="H11" s="1722" t="str">
        <f>IF(H9="","",INDEX(DIFFERENTIATION_UNMERGE_AREA,MATCH(H9,DIFFERENTIATION_ID_DIFF,0)))</f>
        <v/>
      </c>
      <c r="I11" s="1722" t="str">
        <f>IF(I9="","",INDEX(DIFFERENTIATION_UNMERGE_AREA,MATCH(I9,DIFFERENTIATION_ID_DIFF,0)))</f>
        <v>Территория 1</v>
      </c>
      <c r="J11" s="2190"/>
      <c r="AF11" s="1694">
        <v>11</v>
      </c>
    </row>
    <row customHeight="1" ht="11.25" hidden="1">
      <c r="E12" s="1725"/>
      <c r="F12" s="2453" t="s">
        <v>562</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297</v>
      </c>
      <c r="F13" s="2433"/>
      <c r="G13" s="2433"/>
      <c r="H13" s="1719"/>
      <c r="I13" s="1719"/>
      <c r="J13" s="2190"/>
      <c r="AF13" s="1694">
        <v>11</v>
      </c>
    </row>
    <row customHeight="1" ht="24">
      <c r="E14" s="1720" t="s">
        <v>87</v>
      </c>
      <c r="F14" s="1723" t="s">
        <v>299</v>
      </c>
      <c r="G14" s="1723" t="s">
        <v>563</v>
      </c>
      <c r="H14" s="1723" t="s">
        <v>300</v>
      </c>
      <c r="I14" s="1723" t="s">
        <v>300</v>
      </c>
      <c r="J14" s="2190"/>
      <c r="AF14" s="1694">
        <v>23</v>
      </c>
    </row>
    <row customHeight="1" ht="19.95">
      <c r="D15" s="1701"/>
      <c r="E15" s="1693" t="s">
        <v>108</v>
      </c>
      <c r="F15" s="770" t="s">
        <v>773</v>
      </c>
      <c r="G15" s="1720" t="s">
        <v>549</v>
      </c>
      <c r="H15" s="620"/>
      <c r="I15" s="620"/>
      <c r="J15" s="352" t="s">
        <v>774</v>
      </c>
      <c r="K15" s="606" t="s">
        <v>627</v>
      </c>
      <c r="AF15" s="1694">
        <v>19</v>
      </c>
    </row>
    <row customHeight="1" ht="24">
      <c r="D16" s="1701"/>
      <c r="E16" s="1693" t="s">
        <v>109</v>
      </c>
      <c r="F16" s="1728" t="s">
        <v>775</v>
      </c>
      <c r="G16" s="1720" t="s">
        <v>549</v>
      </c>
      <c r="H16" s="621">
        <f>SUM(H17,H20:H27)</f>
        <v>0</v>
      </c>
      <c r="I16" s="621">
        <f>SUM(I17,I20:I27)</f>
        <v>0</v>
      </c>
      <c r="J16" s="352" t="s">
        <v>776</v>
      </c>
      <c r="K16" s="606" t="s">
        <v>627</v>
      </c>
      <c r="AF16" s="1694">
        <v>23</v>
      </c>
    </row>
    <row customHeight="1" ht="35.699999999999996">
      <c r="D17" s="1701"/>
      <c r="E17" s="1727" t="s">
        <v>706</v>
      </c>
      <c r="F17" s="1730" t="s">
        <v>777</v>
      </c>
      <c r="G17" s="1717" t="s">
        <v>549</v>
      </c>
      <c r="H17" s="620"/>
      <c r="I17" s="620"/>
      <c r="J17" s="352" t="s">
        <v>778</v>
      </c>
      <c r="K17" s="606"/>
      <c r="AF17" s="1694">
        <v>34</v>
      </c>
    </row>
    <row customHeight="1" ht="19.95">
      <c r="D18" s="1701"/>
      <c r="E18" s="1727" t="s">
        <v>709</v>
      </c>
      <c r="F18" s="1731" t="s">
        <v>779</v>
      </c>
      <c r="G18" s="1717" t="s">
        <v>549</v>
      </c>
      <c r="H18" s="620"/>
      <c r="I18" s="620"/>
      <c r="J18" s="352"/>
      <c r="K18" s="606"/>
      <c r="AF18" s="1694">
        <v>19</v>
      </c>
    </row>
    <row customHeight="1" ht="24">
      <c r="D19" s="1701"/>
      <c r="E19" s="1727" t="s">
        <v>712</v>
      </c>
      <c r="F19" s="1731" t="s">
        <v>780</v>
      </c>
      <c r="G19" s="1717" t="s">
        <v>549</v>
      </c>
      <c r="H19" s="620"/>
      <c r="I19" s="620"/>
      <c r="J19" s="352"/>
      <c r="K19" s="606"/>
      <c r="AF19" s="1694">
        <v>23</v>
      </c>
    </row>
    <row customHeight="1" ht="35.699999999999996">
      <c r="D20" s="1701"/>
      <c r="E20" s="1727" t="s">
        <v>304</v>
      </c>
      <c r="F20" s="1730" t="s">
        <v>781</v>
      </c>
      <c r="G20" s="1717" t="s">
        <v>549</v>
      </c>
      <c r="H20" s="620"/>
      <c r="I20" s="620"/>
      <c r="J20" s="352"/>
      <c r="K20" s="606"/>
      <c r="AF20" s="1694">
        <v>34</v>
      </c>
    </row>
    <row customHeight="1" ht="48.29999999999999">
      <c r="D21" s="1701"/>
      <c r="E21" s="1727" t="s">
        <v>307</v>
      </c>
      <c r="F21" s="1730" t="s">
        <v>782</v>
      </c>
      <c r="G21" s="1717" t="s">
        <v>549</v>
      </c>
      <c r="H21" s="620"/>
      <c r="I21" s="620"/>
      <c r="J21" s="352"/>
      <c r="K21" s="606"/>
      <c r="AF21" s="1694">
        <v>46</v>
      </c>
    </row>
    <row customHeight="1" ht="60">
      <c r="D22" s="1701"/>
      <c r="E22" s="1727" t="s">
        <v>726</v>
      </c>
      <c r="F22" s="1730" t="s">
        <v>783</v>
      </c>
      <c r="G22" s="1717" t="s">
        <v>549</v>
      </c>
      <c r="H22" s="620"/>
      <c r="I22" s="620"/>
      <c r="J22" s="352"/>
      <c r="K22" s="606"/>
      <c r="AF22" s="1694">
        <v>57</v>
      </c>
    </row>
    <row customHeight="1" ht="35.699999999999996">
      <c r="D23" s="1701"/>
      <c r="E23" s="1727" t="s">
        <v>733</v>
      </c>
      <c r="F23" s="1730" t="s">
        <v>784</v>
      </c>
      <c r="G23" s="1717" t="s">
        <v>549</v>
      </c>
      <c r="H23" s="620"/>
      <c r="I23" s="620"/>
      <c r="J23" s="352"/>
      <c r="K23" s="606"/>
      <c r="AF23" s="1694">
        <v>34</v>
      </c>
    </row>
    <row customHeight="1" ht="35.699999999999996">
      <c r="D24" s="1701"/>
      <c r="E24" s="1727" t="s">
        <v>735</v>
      </c>
      <c r="F24" s="1730" t="s">
        <v>785</v>
      </c>
      <c r="G24" s="1717" t="s">
        <v>549</v>
      </c>
      <c r="H24" s="620"/>
      <c r="I24" s="620"/>
      <c r="J24" s="352"/>
      <c r="K24" s="606"/>
      <c r="AF24" s="1694">
        <v>34</v>
      </c>
    </row>
    <row customHeight="1" ht="24">
      <c r="D25" s="1701"/>
      <c r="E25" s="1727" t="s">
        <v>737</v>
      </c>
      <c r="F25" s="1730" t="s">
        <v>786</v>
      </c>
      <c r="G25" s="1717" t="s">
        <v>549</v>
      </c>
      <c r="H25" s="620"/>
      <c r="I25" s="620"/>
      <c r="J25" s="352"/>
      <c r="K25" s="606"/>
      <c r="AF25" s="1694">
        <v>23</v>
      </c>
    </row>
    <row customHeight="1" ht="76.5">
      <c r="D26" s="1701"/>
      <c r="E26" s="1727" t="s">
        <v>739</v>
      </c>
      <c r="F26" s="1730" t="s">
        <v>787</v>
      </c>
      <c r="G26" s="1717" t="s">
        <v>549</v>
      </c>
      <c r="H26" s="620"/>
      <c r="I26" s="620"/>
      <c r="J26" s="352"/>
      <c r="K26" s="606"/>
      <c r="AF26" s="1694">
        <v>73</v>
      </c>
    </row>
    <row s="4466" customFormat="1" customHeight="1" ht="35.699999999999996">
      <c r="A27" s="1050"/>
      <c r="C27" s="1699"/>
      <c r="D27" s="1701"/>
      <c r="E27" s="1692" t="s">
        <v>743</v>
      </c>
      <c r="F27" s="1691" t="s">
        <v>788</v>
      </c>
      <c r="G27" s="1718" t="s">
        <v>549</v>
      </c>
      <c r="H27" s="642">
        <f>SUM(H28:H29)</f>
        <v>0</v>
      </c>
      <c r="I27" s="642">
        <f>SUM(I28:I29)</f>
        <v>0</v>
      </c>
      <c r="J27" s="352" t="s">
        <v>741</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574</v>
      </c>
      <c r="G29" s="635"/>
      <c r="H29" s="636"/>
      <c r="I29" s="636"/>
      <c r="J29" s="364" t="s">
        <v>742</v>
      </c>
      <c r="K29" s="606"/>
      <c r="L29" s="1699"/>
      <c r="M29" s="1699"/>
      <c r="R29" s="1699"/>
      <c r="U29" s="607"/>
      <c r="AA29" s="1695"/>
      <c r="AB29" s="1695"/>
      <c r="AC29" s="1695"/>
      <c r="AD29" s="1695"/>
      <c r="AE29" s="1695"/>
      <c r="AF29" s="1223">
        <v>19</v>
      </c>
    </row>
    <row s="4466" customFormat="1" customHeight="1" ht="24">
      <c r="A30" s="1050"/>
      <c r="C30" s="1699"/>
      <c r="D30" s="1701"/>
      <c r="E30" s="1727" t="s">
        <v>89</v>
      </c>
      <c r="F30" s="1724" t="s">
        <v>789</v>
      </c>
      <c r="G30" s="1717" t="s">
        <v>549</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90</v>
      </c>
      <c r="F31" s="1724" t="s">
        <v>790</v>
      </c>
      <c r="G31" s="1717" t="s">
        <v>549</v>
      </c>
      <c r="H31" s="620"/>
      <c r="I31" s="620"/>
      <c r="J31" s="352" t="s">
        <v>791</v>
      </c>
      <c r="K31" s="606"/>
      <c r="L31" s="1699"/>
      <c r="M31" s="1699"/>
      <c r="R31" s="1699"/>
      <c r="U31" s="607"/>
      <c r="AA31" s="1695"/>
      <c r="AB31" s="1695"/>
      <c r="AC31" s="1695"/>
      <c r="AD31" s="1695"/>
      <c r="AE31" s="1695"/>
      <c r="AF31" s="1223">
        <v>34</v>
      </c>
    </row>
    <row s="4466" customFormat="1" customHeight="1" ht="24">
      <c r="A32" s="1050"/>
      <c r="C32" s="1699"/>
      <c r="D32" s="1701"/>
      <c r="E32" s="1727" t="s">
        <v>751</v>
      </c>
      <c r="F32" s="753" t="s">
        <v>755</v>
      </c>
      <c r="G32" s="1717" t="s">
        <v>549</v>
      </c>
      <c r="H32" s="620"/>
      <c r="I32" s="620"/>
      <c r="J32" s="352" t="s">
        <v>792</v>
      </c>
      <c r="K32" s="606"/>
      <c r="L32" s="1699"/>
      <c r="M32" s="1699"/>
      <c r="R32" s="1699"/>
      <c r="U32" s="607"/>
      <c r="AA32" s="1695"/>
      <c r="AB32" s="1695"/>
      <c r="AC32" s="1695"/>
      <c r="AD32" s="1695"/>
      <c r="AE32" s="1695"/>
      <c r="AF32" s="1223">
        <v>23</v>
      </c>
    </row>
    <row s="4466" customFormat="1" customHeight="1" ht="24">
      <c r="A33" s="1050"/>
      <c r="C33" s="1699"/>
      <c r="D33" s="1701"/>
      <c r="E33" s="1727" t="s">
        <v>793</v>
      </c>
      <c r="F33" s="753" t="s">
        <v>794</v>
      </c>
      <c r="G33" s="1717" t="s">
        <v>549</v>
      </c>
      <c r="H33" s="620"/>
      <c r="I33" s="620"/>
      <c r="J33" s="352" t="s">
        <v>795</v>
      </c>
      <c r="K33" s="606"/>
      <c r="L33" s="1699"/>
      <c r="M33" s="1699"/>
      <c r="R33" s="1699"/>
      <c r="U33" s="607"/>
      <c r="AA33" s="1695"/>
      <c r="AB33" s="1695"/>
      <c r="AC33" s="1695"/>
      <c r="AD33" s="1695"/>
      <c r="AE33" s="1695"/>
      <c r="AF33" s="1223">
        <v>23</v>
      </c>
    </row>
    <row s="4466" customFormat="1" customHeight="1" ht="24">
      <c r="A34" s="1050"/>
      <c r="C34" s="1699"/>
      <c r="D34" s="1701"/>
      <c r="E34" s="1727" t="s">
        <v>796</v>
      </c>
      <c r="F34" s="753" t="s">
        <v>761</v>
      </c>
      <c r="G34" s="1717" t="s">
        <v>549</v>
      </c>
      <c r="H34" s="620"/>
      <c r="I34" s="620"/>
      <c r="J34" s="352" t="s">
        <v>797</v>
      </c>
      <c r="K34" s="606"/>
      <c r="L34" s="1699"/>
      <c r="M34" s="1699"/>
      <c r="R34" s="1699"/>
      <c r="U34" s="607"/>
      <c r="AA34" s="1695"/>
      <c r="AB34" s="1695"/>
      <c r="AC34" s="1695"/>
      <c r="AD34" s="1695"/>
      <c r="AE34" s="1695"/>
      <c r="AF34" s="1223">
        <v>23</v>
      </c>
    </row>
    <row s="4466" customFormat="1" customHeight="1" ht="35.699999999999996">
      <c r="A35" s="1050"/>
      <c r="C35" s="1699" t="s">
        <v>585</v>
      </c>
      <c r="D35" s="1701"/>
      <c r="E35" s="1727" t="s">
        <v>110</v>
      </c>
      <c r="F35" s="1724" t="s">
        <v>626</v>
      </c>
      <c r="G35" s="1720" t="s">
        <v>303</v>
      </c>
      <c r="H35" s="464"/>
      <c r="I35" s="464"/>
      <c r="J35" s="352" t="s">
        <v>798</v>
      </c>
      <c r="K35" s="606"/>
      <c r="L35" s="1699"/>
      <c r="M35" s="1699"/>
      <c r="R35" s="1699"/>
      <c r="U35" s="607"/>
      <c r="AA35" s="1695"/>
      <c r="AB35" s="1695"/>
      <c r="AC35" s="1695"/>
      <c r="AD35" s="1695"/>
      <c r="AE35" s="1695"/>
      <c r="AF35" s="1223">
        <v>34</v>
      </c>
    </row>
    <row s="4466" customFormat="1" customHeight="1" ht="35.699999999999996">
      <c r="A36" s="1050"/>
      <c r="C36" s="1699"/>
      <c r="D36" s="1701"/>
      <c r="E36" s="1727" t="s">
        <v>91</v>
      </c>
      <c r="F36" s="1724" t="s">
        <v>799</v>
      </c>
      <c r="G36" s="1717" t="s">
        <v>766</v>
      </c>
      <c r="H36" s="608"/>
      <c r="I36" s="608"/>
      <c r="J36" s="352" t="s">
        <v>767</v>
      </c>
      <c r="K36" s="606"/>
      <c r="L36" s="1699"/>
      <c r="M36" s="1699"/>
      <c r="R36" s="1699"/>
      <c r="U36" s="607"/>
      <c r="AA36" s="1695"/>
      <c r="AB36" s="1695"/>
      <c r="AC36" s="1695"/>
      <c r="AD36" s="1695"/>
      <c r="AE36" s="1695"/>
      <c r="AF36" s="1223">
        <v>34</v>
      </c>
    </row>
    <row s="4466" customFormat="1" customHeight="1" ht="24">
      <c r="A37" s="1050"/>
      <c r="C37" s="1699"/>
      <c r="D37" s="1701"/>
      <c r="E37" s="1727" t="s">
        <v>92</v>
      </c>
      <c r="F37" s="1724" t="s">
        <v>800</v>
      </c>
      <c r="G37" s="1717" t="s">
        <v>769</v>
      </c>
      <c r="H37" s="608"/>
      <c r="I37" s="608"/>
      <c r="J37" s="352" t="s">
        <v>770</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801</v>
      </c>
      <c r="F39" s="2348" t="s">
        <v>802</v>
      </c>
      <c r="G39" s="2348"/>
      <c r="H39" s="432"/>
      <c r="I39" s="432"/>
      <c r="J39" s="432"/>
      <c r="AF39" s="1694">
        <v>26</v>
      </c>
    </row>
    <row s="3617" customFormat="1" customHeight="1" ht="39.75">
      <c r="A40" s="1050"/>
      <c r="B40" s="1699"/>
      <c r="C40" s="1699"/>
      <c r="D40" s="414"/>
      <c r="F40" s="2348" t="s">
        <v>803</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81</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4005B-B399-E4F1-6D68-E9303D79728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2"/>
      <c r="F3" s="2303"/>
      <c r="X3" s="568">
        <v>75</v>
      </c>
    </row>
    <row s="4517" customFormat="1" customHeight="1" ht="21">
      <c r="A4" s="1014"/>
      <c r="B4" s="574"/>
      <c r="D4" s="2277" t="str">
        <f>IF(org=0,"Не определено",org)</f>
        <v>Филиал "Уренгойская ГРЭС" АО "Интер РАО - Электрогенерация"</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116</v>
      </c>
      <c r="J6" s="1085"/>
      <c r="X6" s="568">
        <v>1</v>
      </c>
    </row>
    <row customHeight="1" ht="11.549999999999999">
      <c r="D7" s="774"/>
      <c r="E7" s="2430" t="s">
        <v>104</v>
      </c>
      <c r="F7" s="2431"/>
      <c r="G7" s="2456" t="str">
        <f>IF(G6="","",INDEX(DIFFERENTIATION_UNMERGE_VD,MATCH(G6,DIFFERENTIATION_ID_DIFF,0)))</f>
        <v/>
      </c>
      <c r="H7" s="2457"/>
      <c r="I7" s="2456" t="str">
        <f>IF(I6="","",INDEX(DIFFERENTIATION_UNMERGE_VD,MATCH(I6,DIFFERENTIATION_ID_DIFF,0)))</f>
        <v>Транспортировка</v>
      </c>
      <c r="J7" s="2457"/>
      <c r="K7" s="2238"/>
      <c r="L7" s="572"/>
      <c r="X7" s="568">
        <v>11</v>
      </c>
    </row>
    <row customHeight="1" ht="11.549999999999999">
      <c r="A8" s="767"/>
      <c r="D8" s="774"/>
      <c r="E8" s="2430" t="s">
        <v>561</v>
      </c>
      <c r="F8" s="2431"/>
      <c r="G8" s="2456" t="str">
        <f>IF(G6="","",INDEX(DIFFERENTIATION_UNMERGE_AREA,MATCH(G6,DIFFERENTIATION_ID_DIFF,0)))</f>
        <v/>
      </c>
      <c r="H8" s="2457"/>
      <c r="I8" s="2456" t="str">
        <f>IF(I6="","",INDEX(DIFFERENTIATION_UNMERGE_AREA,MATCH(I6,DIFFERENTIATION_ID_DIFF,0)))</f>
        <v>Территория 1</v>
      </c>
      <c r="J8" s="2457"/>
      <c r="K8" s="2262"/>
      <c r="L8" s="572"/>
      <c r="X8" s="568">
        <v>11</v>
      </c>
    </row>
    <row customHeight="1" ht="11.549999999999999">
      <c r="A9" s="767"/>
      <c r="D9" s="774"/>
      <c r="E9" s="2430" t="s">
        <v>562</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297</v>
      </c>
      <c r="E10" s="2165"/>
      <c r="F10" s="2165"/>
      <c r="G10" s="2165"/>
      <c r="H10" s="2165"/>
      <c r="I10" s="2165"/>
      <c r="J10" s="2166"/>
      <c r="K10" s="2262"/>
      <c r="L10" s="572"/>
      <c r="X10" s="821">
        <v>11</v>
      </c>
    </row>
    <row s="4517" customFormat="1" customHeight="1" ht="24">
      <c r="A11" s="2448"/>
      <c r="B11" s="2448"/>
      <c r="C11" s="720"/>
      <c r="D11" s="766" t="s">
        <v>87</v>
      </c>
      <c r="E11" s="768" t="s">
        <v>804</v>
      </c>
      <c r="F11" s="768" t="s">
        <v>563</v>
      </c>
      <c r="G11" s="528" t="s">
        <v>300</v>
      </c>
      <c r="H11" s="528" t="s">
        <v>387</v>
      </c>
      <c r="I11" s="870" t="s">
        <v>300</v>
      </c>
      <c r="J11" s="871" t="s">
        <v>387</v>
      </c>
      <c r="K11" s="2295"/>
      <c r="L11" s="721"/>
      <c r="X11" s="572">
        <v>23</v>
      </c>
    </row>
    <row s="4026" customFormat="1" customHeight="1" ht="10.5">
      <c r="A12" s="1015"/>
      <c r="D12" s="1088" t="s">
        <v>108</v>
      </c>
      <c r="E12" s="1088" t="s">
        <v>109</v>
      </c>
      <c r="F12" s="1088" t="s">
        <v>89</v>
      </c>
      <c r="G12" s="1089" t="str">
        <f>G1&amp;".1"</f>
        <v>4.1</v>
      </c>
      <c r="H12" s="1089" t="str">
        <f>G1&amp;".2"</f>
        <v>4.2</v>
      </c>
      <c r="I12" s="1089" t="str">
        <f>I1&amp;".1"</f>
        <v>4.1</v>
      </c>
      <c r="J12" s="1089" t="str">
        <f>I1&amp;".2"</f>
        <v>4.2</v>
      </c>
      <c r="K12" s="1089"/>
      <c r="X12" s="574">
        <v>10</v>
      </c>
    </row>
    <row customHeight="1" ht="22.5" hidden="1">
      <c r="A13" s="2455" t="s">
        <v>805</v>
      </c>
      <c r="D13" s="1016" t="s">
        <v>108</v>
      </c>
      <c r="E13" s="342" t="s">
        <v>806</v>
      </c>
      <c r="F13" s="723" t="s">
        <v>807</v>
      </c>
      <c r="G13" s="620"/>
      <c r="H13" s="724"/>
      <c r="I13" s="620"/>
      <c r="J13" s="724"/>
      <c r="K13" s="352" t="s">
        <v>808</v>
      </c>
      <c r="L13" s="783"/>
      <c r="X13" s="568">
        <v>0</v>
      </c>
    </row>
    <row customHeight="1" ht="22.5" hidden="1">
      <c r="A14" s="2455"/>
      <c r="D14" s="602" t="s">
        <v>109</v>
      </c>
      <c r="E14" s="342" t="s">
        <v>809</v>
      </c>
      <c r="F14" s="723" t="s">
        <v>810</v>
      </c>
      <c r="G14" s="620"/>
      <c r="H14" s="725"/>
      <c r="I14" s="620"/>
      <c r="J14" s="725"/>
      <c r="K14" s="352" t="s">
        <v>811</v>
      </c>
      <c r="L14" s="783"/>
      <c r="X14" s="568">
        <v>0</v>
      </c>
    </row>
    <row s="4517" customFormat="1" customHeight="1" ht="78.75" hidden="1">
      <c r="A15" s="2455"/>
      <c r="B15" s="574"/>
      <c r="D15" s="1016" t="s">
        <v>89</v>
      </c>
      <c r="E15" s="770" t="s">
        <v>812</v>
      </c>
      <c r="F15" s="1013" t="s">
        <v>303</v>
      </c>
      <c r="G15" s="1013" t="s">
        <v>303</v>
      </c>
      <c r="H15" s="169"/>
      <c r="I15" s="1013" t="s">
        <v>303</v>
      </c>
      <c r="J15" s="169"/>
      <c r="K15" s="352" t="s">
        <v>813</v>
      </c>
      <c r="L15" s="783"/>
      <c r="X15" s="821">
        <v>0</v>
      </c>
    </row>
    <row s="4517" customFormat="1" customHeight="1" ht="22.5" hidden="1">
      <c r="A16" s="2455"/>
      <c r="B16" s="574"/>
      <c r="D16" s="1016" t="s">
        <v>321</v>
      </c>
      <c r="E16" s="1017" t="s">
        <v>814</v>
      </c>
      <c r="F16" s="1013" t="s">
        <v>815</v>
      </c>
      <c r="G16" s="880"/>
      <c r="H16" s="169"/>
      <c r="I16" s="880"/>
      <c r="J16" s="169"/>
      <c r="K16" s="352"/>
      <c r="L16" s="783"/>
      <c r="X16" s="821">
        <v>0</v>
      </c>
    </row>
    <row s="4517" customFormat="1" customHeight="1" ht="22.5" hidden="1">
      <c r="A17" s="2455"/>
      <c r="B17" s="574"/>
      <c r="D17" s="1016" t="s">
        <v>329</v>
      </c>
      <c r="E17" s="1017" t="s">
        <v>816</v>
      </c>
      <c r="F17" s="1013" t="s">
        <v>817</v>
      </c>
      <c r="G17" s="880"/>
      <c r="H17" s="169"/>
      <c r="I17" s="880"/>
      <c r="J17" s="169"/>
      <c r="K17" s="352"/>
      <c r="L17" s="783"/>
      <c r="X17" s="821">
        <v>0</v>
      </c>
    </row>
    <row s="4517" customFormat="1" customHeight="1" ht="33.75" hidden="1">
      <c r="A18" s="2455"/>
      <c r="B18" s="574"/>
      <c r="D18" s="1016" t="s">
        <v>331</v>
      </c>
      <c r="E18" s="1017" t="s">
        <v>818</v>
      </c>
      <c r="F18" s="1013" t="s">
        <v>568</v>
      </c>
      <c r="G18" s="743"/>
      <c r="H18" s="169"/>
      <c r="I18" s="743"/>
      <c r="J18" s="169"/>
      <c r="K18" s="352"/>
      <c r="L18" s="783"/>
      <c r="X18" s="821">
        <v>0</v>
      </c>
    </row>
    <row customHeight="1" ht="101.25" hidden="1">
      <c r="A19" s="2455"/>
      <c r="D19" s="1016" t="s">
        <v>90</v>
      </c>
      <c r="E19" s="342" t="s">
        <v>819</v>
      </c>
      <c r="F19" s="723" t="s">
        <v>543</v>
      </c>
      <c r="G19" s="726"/>
      <c r="H19" s="725"/>
      <c r="I19" s="1018"/>
      <c r="J19" s="725"/>
      <c r="K19" s="352" t="s">
        <v>820</v>
      </c>
      <c r="L19" s="783"/>
      <c r="X19" s="568">
        <v>0</v>
      </c>
    </row>
    <row s="4517" customFormat="1" customHeight="1" ht="18.75" hidden="1">
      <c r="A20" s="2455"/>
      <c r="C20" s="1019"/>
      <c r="D20" s="1016" t="s">
        <v>751</v>
      </c>
      <c r="E20" s="1017" t="s">
        <v>821</v>
      </c>
      <c r="F20" s="1013" t="s">
        <v>303</v>
      </c>
      <c r="G20" s="1013" t="s">
        <v>303</v>
      </c>
      <c r="H20" s="1012" t="s">
        <v>303</v>
      </c>
      <c r="I20" s="1013" t="s">
        <v>303</v>
      </c>
      <c r="J20" s="1012" t="s">
        <v>303</v>
      </c>
      <c r="K20" s="1011"/>
      <c r="L20" s="783"/>
      <c r="W20" s="738"/>
      <c r="X20" s="821">
        <v>0</v>
      </c>
    </row>
    <row s="4517" customFormat="1" customHeight="1" ht="33.75" hidden="1">
      <c r="A21" s="2455"/>
      <c r="C21" s="1019"/>
      <c r="D21" s="1016" t="s">
        <v>754</v>
      </c>
      <c r="E21" s="639" t="s">
        <v>822</v>
      </c>
      <c r="F21" s="1013" t="s">
        <v>823</v>
      </c>
      <c r="G21" s="743"/>
      <c r="H21" s="169"/>
      <c r="I21" s="743"/>
      <c r="J21" s="169"/>
      <c r="K21" s="1011"/>
      <c r="L21" s="783"/>
      <c r="W21" s="738"/>
      <c r="X21" s="821">
        <v>0</v>
      </c>
    </row>
    <row s="4517" customFormat="1" customHeight="1" ht="33.75" hidden="1">
      <c r="A22" s="2455"/>
      <c r="C22" s="1019"/>
      <c r="D22" s="1016" t="s">
        <v>757</v>
      </c>
      <c r="E22" s="639" t="s">
        <v>824</v>
      </c>
      <c r="F22" s="1013" t="s">
        <v>825</v>
      </c>
      <c r="G22" s="743"/>
      <c r="H22" s="169"/>
      <c r="I22" s="743"/>
      <c r="J22" s="169"/>
      <c r="K22" s="1011"/>
      <c r="L22" s="783"/>
      <c r="W22" s="738"/>
      <c r="X22" s="821">
        <v>0</v>
      </c>
    </row>
    <row s="4517" customFormat="1" customHeight="1" ht="22.5" hidden="1">
      <c r="A23" s="2455"/>
      <c r="C23" s="1019"/>
      <c r="D23" s="1016" t="s">
        <v>793</v>
      </c>
      <c r="E23" s="1017" t="s">
        <v>826</v>
      </c>
      <c r="F23" s="1013" t="s">
        <v>303</v>
      </c>
      <c r="G23" s="1013" t="s">
        <v>303</v>
      </c>
      <c r="H23" s="1012" t="s">
        <v>303</v>
      </c>
      <c r="I23" s="1013" t="s">
        <v>303</v>
      </c>
      <c r="J23" s="1012" t="s">
        <v>303</v>
      </c>
      <c r="K23" s="1011"/>
      <c r="L23" s="783"/>
      <c r="W23" s="738"/>
      <c r="X23" s="821">
        <v>0</v>
      </c>
    </row>
    <row s="4517" customFormat="1" customHeight="1" ht="22.5" hidden="1">
      <c r="A24" s="2455"/>
      <c r="C24" s="1019"/>
      <c r="D24" s="1016" t="s">
        <v>827</v>
      </c>
      <c r="E24" s="639" t="s">
        <v>828</v>
      </c>
      <c r="F24" s="1013" t="s">
        <v>829</v>
      </c>
      <c r="G24" s="743"/>
      <c r="H24" s="749"/>
      <c r="I24" s="743"/>
      <c r="J24" s="749"/>
      <c r="K24" s="1011"/>
      <c r="L24" s="783"/>
      <c r="W24" s="738"/>
      <c r="X24" s="821">
        <v>0</v>
      </c>
    </row>
    <row s="4517" customFormat="1" customHeight="1" ht="22.5" hidden="1">
      <c r="A25" s="2455"/>
      <c r="C25" s="1019"/>
      <c r="D25" s="1016" t="s">
        <v>830</v>
      </c>
      <c r="E25" s="639" t="s">
        <v>831</v>
      </c>
      <c r="F25" s="1013" t="s">
        <v>303</v>
      </c>
      <c r="G25" s="1013" t="s">
        <v>303</v>
      </c>
      <c r="H25" s="1012" t="s">
        <v>303</v>
      </c>
      <c r="I25" s="1013" t="s">
        <v>303</v>
      </c>
      <c r="J25" s="1012" t="s">
        <v>303</v>
      </c>
      <c r="K25" s="1011"/>
      <c r="L25" s="783"/>
      <c r="W25" s="738"/>
      <c r="X25" s="821">
        <v>0</v>
      </c>
    </row>
    <row s="4517" customFormat="1" customHeight="1" ht="18.75" hidden="1">
      <c r="A26" s="2455"/>
      <c r="C26" s="1019"/>
      <c r="D26" s="1016" t="s">
        <v>832</v>
      </c>
      <c r="E26" s="616" t="s">
        <v>833</v>
      </c>
      <c r="F26" s="1013" t="s">
        <v>834</v>
      </c>
      <c r="G26" s="743"/>
      <c r="H26" s="749"/>
      <c r="I26" s="743"/>
      <c r="J26" s="749"/>
      <c r="K26" s="1011"/>
      <c r="L26" s="783"/>
      <c r="W26" s="738"/>
      <c r="X26" s="821">
        <v>0</v>
      </c>
    </row>
    <row s="4517" customFormat="1" customHeight="1" ht="18.75" hidden="1">
      <c r="A27" s="2455"/>
      <c r="C27" s="1019"/>
      <c r="D27" s="1016" t="s">
        <v>835</v>
      </c>
      <c r="E27" s="616" t="s">
        <v>836</v>
      </c>
      <c r="F27" s="1013" t="s">
        <v>837</v>
      </c>
      <c r="G27" s="743"/>
      <c r="H27" s="749"/>
      <c r="I27" s="743"/>
      <c r="J27" s="749"/>
      <c r="K27" s="1011"/>
      <c r="L27" s="783"/>
      <c r="W27" s="738"/>
      <c r="X27" s="821">
        <v>0</v>
      </c>
    </row>
    <row s="4517" customFormat="1" customHeight="1" ht="18.75" hidden="1">
      <c r="A28" s="2455"/>
      <c r="C28" s="1019"/>
      <c r="D28" s="1016" t="s">
        <v>838</v>
      </c>
      <c r="E28" s="639" t="s">
        <v>839</v>
      </c>
      <c r="F28" s="1013" t="s">
        <v>303</v>
      </c>
      <c r="G28" s="1013" t="s">
        <v>303</v>
      </c>
      <c r="H28" s="1012" t="s">
        <v>303</v>
      </c>
      <c r="I28" s="1013" t="s">
        <v>303</v>
      </c>
      <c r="J28" s="1012" t="s">
        <v>303</v>
      </c>
      <c r="K28" s="1011"/>
      <c r="L28" s="783"/>
      <c r="W28" s="738"/>
      <c r="X28" s="821">
        <v>0</v>
      </c>
    </row>
    <row s="4517" customFormat="1" customHeight="1" ht="18.75" hidden="1">
      <c r="A29" s="2455"/>
      <c r="C29" s="1019"/>
      <c r="D29" s="1016" t="s">
        <v>840</v>
      </c>
      <c r="E29" s="616" t="s">
        <v>833</v>
      </c>
      <c r="F29" s="1013" t="s">
        <v>841</v>
      </c>
      <c r="G29" s="743"/>
      <c r="H29" s="749"/>
      <c r="I29" s="743"/>
      <c r="J29" s="749"/>
      <c r="K29" s="1011"/>
      <c r="L29" s="783"/>
      <c r="W29" s="738"/>
      <c r="X29" s="821">
        <v>0</v>
      </c>
    </row>
    <row s="4517" customFormat="1" customHeight="1" ht="18.75" hidden="1">
      <c r="A30" s="2455"/>
      <c r="C30" s="1019"/>
      <c r="D30" s="1016" t="s">
        <v>842</v>
      </c>
      <c r="E30" s="616" t="s">
        <v>843</v>
      </c>
      <c r="F30" s="1013" t="s">
        <v>844</v>
      </c>
      <c r="G30" s="743"/>
      <c r="H30" s="749"/>
      <c r="I30" s="743"/>
      <c r="J30" s="749"/>
      <c r="K30" s="1011"/>
      <c r="L30" s="783"/>
      <c r="W30" s="738"/>
      <c r="X30" s="821">
        <v>0</v>
      </c>
    </row>
    <row customHeight="1" ht="126.75" hidden="1">
      <c r="A31" s="2455"/>
      <c r="D31" s="1016" t="s">
        <v>110</v>
      </c>
      <c r="E31" s="342" t="s">
        <v>845</v>
      </c>
      <c r="F31" s="723" t="s">
        <v>555</v>
      </c>
      <c r="G31" s="620"/>
      <c r="H31" s="725"/>
      <c r="I31" s="620"/>
      <c r="J31" s="725"/>
      <c r="K31" s="352" t="s">
        <v>846</v>
      </c>
      <c r="L31" s="783"/>
      <c r="X31" s="568">
        <v>0</v>
      </c>
    </row>
    <row customHeight="1" ht="56.25" hidden="1">
      <c r="A32" s="2455"/>
      <c r="D32" s="1016" t="s">
        <v>91</v>
      </c>
      <c r="E32" s="342" t="s">
        <v>847</v>
      </c>
      <c r="F32" s="602" t="s">
        <v>817</v>
      </c>
      <c r="G32" s="620"/>
      <c r="H32" s="725"/>
      <c r="I32" s="620"/>
      <c r="J32" s="725"/>
      <c r="K32" s="352" t="s">
        <v>848</v>
      </c>
      <c r="L32" s="783"/>
      <c r="X32" s="568">
        <v>0</v>
      </c>
    </row>
    <row customHeight="1" ht="11.25" hidden="1">
      <c r="A33" s="2455"/>
      <c r="E33" s="727"/>
      <c r="F33" s="244"/>
      <c r="G33" s="244"/>
      <c r="H33" s="244"/>
      <c r="I33" s="244"/>
      <c r="J33" s="244"/>
      <c r="K33" s="244"/>
      <c r="X33" s="568">
        <v>0</v>
      </c>
    </row>
    <row customHeight="1" ht="12.75" hidden="1">
      <c r="A34" s="2455"/>
      <c r="D34" s="128">
        <v>1</v>
      </c>
      <c r="E34" s="398" t="s">
        <v>849</v>
      </c>
      <c r="X34" s="568">
        <v>0</v>
      </c>
    </row>
    <row customHeight="1" ht="11.25" hidden="1">
      <c r="A35" s="2455"/>
      <c r="D35" s="432"/>
      <c r="E35" s="398" t="s">
        <v>850</v>
      </c>
      <c r="X35" s="568">
        <v>0</v>
      </c>
    </row>
    <row s="4517" customFormat="1" customHeight="1" ht="11.549999999999999">
      <c r="A36" s="1096"/>
      <c r="B36" s="581"/>
      <c r="D36" s="1097"/>
      <c r="E36" s="1098"/>
      <c r="X36" s="572">
        <v>11</v>
      </c>
    </row>
    <row s="4517" customFormat="1" customHeight="1" ht="22.5" hidden="1">
      <c r="A37" s="2455" t="s">
        <v>851</v>
      </c>
      <c r="B37" s="574"/>
      <c r="D37" s="1016">
        <v>1</v>
      </c>
      <c r="E37" s="770" t="s">
        <v>852</v>
      </c>
      <c r="F37" s="723" t="s">
        <v>807</v>
      </c>
      <c r="G37" s="620"/>
      <c r="H37" s="582"/>
      <c r="I37" s="620"/>
      <c r="J37" s="582"/>
      <c r="K37" s="352" t="s">
        <v>853</v>
      </c>
      <c r="X37" s="821">
        <v>0</v>
      </c>
    </row>
    <row s="4517" customFormat="1" customHeight="1" ht="22.5" hidden="1">
      <c r="A38" s="2455"/>
      <c r="B38" s="574"/>
      <c r="D38" s="732" t="s">
        <v>109</v>
      </c>
      <c r="E38" s="1095" t="s">
        <v>854</v>
      </c>
      <c r="F38" s="1099" t="s">
        <v>543</v>
      </c>
      <c r="G38" s="1099" t="s">
        <v>543</v>
      </c>
      <c r="H38" s="1093"/>
      <c r="I38" s="1099" t="s">
        <v>543</v>
      </c>
      <c r="J38" s="1093"/>
      <c r="K38" s="1094"/>
      <c r="X38" s="821">
        <v>0</v>
      </c>
    </row>
    <row s="4517" customFormat="1" customHeight="1" ht="33.75" hidden="1">
      <c r="A39" s="2455"/>
      <c r="B39" s="574"/>
      <c r="D39" s="728" t="s">
        <v>709</v>
      </c>
      <c r="E39" s="786" t="s">
        <v>855</v>
      </c>
      <c r="F39" s="723" t="s">
        <v>856</v>
      </c>
      <c r="G39" s="731"/>
      <c r="H39" s="1086"/>
      <c r="I39" s="731"/>
      <c r="J39" s="1086"/>
      <c r="K39" s="352" t="s">
        <v>857</v>
      </c>
      <c r="X39" s="821">
        <v>0</v>
      </c>
    </row>
    <row s="4517" customFormat="1" customHeight="1" ht="33.75" hidden="1">
      <c r="A40" s="2455"/>
      <c r="B40" s="574"/>
      <c r="D40" s="728" t="s">
        <v>712</v>
      </c>
      <c r="E40" s="786" t="s">
        <v>858</v>
      </c>
      <c r="F40" s="1090" t="s">
        <v>859</v>
      </c>
      <c r="G40" s="804"/>
      <c r="H40" s="1086"/>
      <c r="I40" s="804"/>
      <c r="J40" s="1086"/>
      <c r="K40" s="352" t="s">
        <v>860</v>
      </c>
      <c r="X40" s="821">
        <v>0</v>
      </c>
    </row>
    <row s="4517" customFormat="1" customHeight="1" ht="22.5" hidden="1">
      <c r="A41" s="2455"/>
      <c r="B41" s="574"/>
      <c r="D41" s="728" t="s">
        <v>89</v>
      </c>
      <c r="E41" s="785" t="s">
        <v>861</v>
      </c>
      <c r="F41" s="723" t="s">
        <v>543</v>
      </c>
      <c r="G41" s="723" t="s">
        <v>543</v>
      </c>
      <c r="H41" s="1087"/>
      <c r="I41" s="723" t="s">
        <v>543</v>
      </c>
      <c r="J41" s="1087"/>
      <c r="K41" s="365"/>
      <c r="X41" s="821">
        <v>0</v>
      </c>
    </row>
    <row s="4517" customFormat="1" customHeight="1" ht="45" hidden="1">
      <c r="A42" s="2455"/>
      <c r="B42" s="574"/>
      <c r="D42" s="728" t="s">
        <v>321</v>
      </c>
      <c r="E42" s="786" t="s">
        <v>862</v>
      </c>
      <c r="F42" s="723" t="s">
        <v>555</v>
      </c>
      <c r="G42" s="620"/>
      <c r="H42" s="1087"/>
      <c r="I42" s="620"/>
      <c r="J42" s="1087"/>
      <c r="K42" s="365" t="s">
        <v>863</v>
      </c>
      <c r="X42" s="821">
        <v>0</v>
      </c>
    </row>
    <row s="4517" customFormat="1" customHeight="1" ht="45" hidden="1">
      <c r="A43" s="2455"/>
      <c r="B43" s="574"/>
      <c r="D43" s="728" t="s">
        <v>329</v>
      </c>
      <c r="E43" s="730" t="s">
        <v>864</v>
      </c>
      <c r="F43" s="1091" t="s">
        <v>555</v>
      </c>
      <c r="G43" s="805"/>
      <c r="H43" s="1086"/>
      <c r="I43" s="805"/>
      <c r="J43" s="1086"/>
      <c r="K43" s="365" t="s">
        <v>865</v>
      </c>
      <c r="X43" s="821">
        <v>0</v>
      </c>
    </row>
    <row s="4517" customFormat="1" customHeight="1" ht="11.25" hidden="1">
      <c r="A44" s="2455"/>
      <c r="B44" s="574"/>
      <c r="D44" s="728" t="s">
        <v>90</v>
      </c>
      <c r="E44" s="729" t="s">
        <v>866</v>
      </c>
      <c r="F44" s="723" t="s">
        <v>856</v>
      </c>
      <c r="G44" s="731"/>
      <c r="H44" s="1086"/>
      <c r="I44" s="731"/>
      <c r="J44" s="1086"/>
      <c r="K44" s="352"/>
      <c r="X44" s="821">
        <v>0</v>
      </c>
    </row>
    <row s="4517" customFormat="1" customHeight="1" ht="11.25" hidden="1">
      <c r="A45" s="2455"/>
      <c r="B45" s="574"/>
      <c r="D45" s="728" t="s">
        <v>751</v>
      </c>
      <c r="E45" s="730" t="s">
        <v>867</v>
      </c>
      <c r="F45" s="723" t="s">
        <v>856</v>
      </c>
      <c r="G45" s="731"/>
      <c r="H45" s="1086"/>
      <c r="I45" s="731"/>
      <c r="J45" s="1086"/>
      <c r="K45" s="352"/>
      <c r="X45" s="821">
        <v>0</v>
      </c>
    </row>
    <row s="4517" customFormat="1" customHeight="1" ht="11.25" hidden="1">
      <c r="A46" s="2455"/>
      <c r="B46" s="574"/>
      <c r="D46" s="728" t="s">
        <v>793</v>
      </c>
      <c r="E46" s="730" t="s">
        <v>868</v>
      </c>
      <c r="F46" s="723" t="s">
        <v>856</v>
      </c>
      <c r="G46" s="731"/>
      <c r="H46" s="1086"/>
      <c r="I46" s="731"/>
      <c r="J46" s="1086"/>
      <c r="K46" s="352"/>
      <c r="X46" s="821">
        <v>0</v>
      </c>
    </row>
    <row s="4517" customFormat="1" customHeight="1" ht="11.25" hidden="1">
      <c r="A47" s="2455"/>
      <c r="B47" s="574"/>
      <c r="D47" s="728" t="s">
        <v>796</v>
      </c>
      <c r="E47" s="730" t="s">
        <v>869</v>
      </c>
      <c r="F47" s="723" t="s">
        <v>856</v>
      </c>
      <c r="G47" s="731"/>
      <c r="H47" s="1086"/>
      <c r="I47" s="731"/>
      <c r="J47" s="1086"/>
      <c r="K47" s="352"/>
      <c r="X47" s="821">
        <v>0</v>
      </c>
    </row>
    <row s="4517" customFormat="1" customHeight="1" ht="11.25" hidden="1">
      <c r="A48" s="2455"/>
      <c r="B48" s="574"/>
      <c r="D48" s="728" t="s">
        <v>870</v>
      </c>
      <c r="E48" s="734" t="s">
        <v>871</v>
      </c>
      <c r="F48" s="723" t="s">
        <v>856</v>
      </c>
      <c r="G48" s="731"/>
      <c r="H48" s="1086"/>
      <c r="I48" s="731"/>
      <c r="J48" s="1086"/>
      <c r="K48" s="352"/>
      <c r="X48" s="821">
        <v>0</v>
      </c>
    </row>
    <row s="4517" customFormat="1" customHeight="1" ht="11.25" hidden="1">
      <c r="A49" s="2455"/>
      <c r="B49" s="574"/>
      <c r="D49" s="728" t="s">
        <v>872</v>
      </c>
      <c r="E49" s="734" t="s">
        <v>873</v>
      </c>
      <c r="F49" s="723" t="s">
        <v>856</v>
      </c>
      <c r="G49" s="731"/>
      <c r="H49" s="1086"/>
      <c r="I49" s="731"/>
      <c r="J49" s="1086"/>
      <c r="K49" s="352"/>
      <c r="X49" s="821">
        <v>0</v>
      </c>
    </row>
    <row s="4517" customFormat="1" customHeight="1" ht="11.25" hidden="1">
      <c r="A50" s="2455"/>
      <c r="B50" s="574"/>
      <c r="D50" s="728" t="s">
        <v>874</v>
      </c>
      <c r="E50" s="730" t="s">
        <v>875</v>
      </c>
      <c r="F50" s="723" t="s">
        <v>856</v>
      </c>
      <c r="G50" s="731"/>
      <c r="H50" s="1086"/>
      <c r="I50" s="731"/>
      <c r="J50" s="1086"/>
      <c r="K50" s="352"/>
      <c r="X50" s="821">
        <v>0</v>
      </c>
    </row>
    <row s="4517" customFormat="1" customHeight="1" ht="11.25" hidden="1">
      <c r="A51" s="2455"/>
      <c r="B51" s="574"/>
      <c r="D51" s="728" t="s">
        <v>876</v>
      </c>
      <c r="E51" s="730" t="s">
        <v>877</v>
      </c>
      <c r="F51" s="723" t="s">
        <v>856</v>
      </c>
      <c r="G51" s="731"/>
      <c r="H51" s="1086"/>
      <c r="I51" s="731"/>
      <c r="J51" s="1086"/>
      <c r="K51" s="352"/>
      <c r="X51" s="821">
        <v>0</v>
      </c>
    </row>
    <row s="4517" customFormat="1" customHeight="1" ht="45" hidden="1">
      <c r="A52" s="2455"/>
      <c r="B52" s="574"/>
      <c r="D52" s="728" t="s">
        <v>110</v>
      </c>
      <c r="E52" s="729" t="s">
        <v>878</v>
      </c>
      <c r="F52" s="723" t="s">
        <v>856</v>
      </c>
      <c r="G52" s="731"/>
      <c r="H52" s="1086"/>
      <c r="I52" s="731"/>
      <c r="J52" s="1086"/>
      <c r="K52" s="352"/>
      <c r="X52" s="821">
        <v>0</v>
      </c>
    </row>
    <row s="4517" customFormat="1" customHeight="1" ht="11.25" hidden="1">
      <c r="A53" s="2455"/>
      <c r="B53" s="574"/>
      <c r="D53" s="728" t="s">
        <v>310</v>
      </c>
      <c r="E53" s="730" t="s">
        <v>867</v>
      </c>
      <c r="F53" s="723" t="s">
        <v>856</v>
      </c>
      <c r="G53" s="731"/>
      <c r="H53" s="1086"/>
      <c r="I53" s="731"/>
      <c r="J53" s="1086"/>
      <c r="K53" s="352"/>
      <c r="X53" s="821">
        <v>0</v>
      </c>
    </row>
    <row s="4517" customFormat="1" customHeight="1" ht="11.25" hidden="1">
      <c r="A54" s="2455"/>
      <c r="B54" s="574"/>
      <c r="D54" s="728" t="s">
        <v>879</v>
      </c>
      <c r="E54" s="730" t="s">
        <v>868</v>
      </c>
      <c r="F54" s="723" t="s">
        <v>856</v>
      </c>
      <c r="G54" s="731"/>
      <c r="H54" s="1086"/>
      <c r="I54" s="731"/>
      <c r="J54" s="1086"/>
      <c r="K54" s="352"/>
      <c r="X54" s="821">
        <v>0</v>
      </c>
    </row>
    <row s="4517" customFormat="1" customHeight="1" ht="11.25" hidden="1">
      <c r="A55" s="2455"/>
      <c r="B55" s="574"/>
      <c r="D55" s="728" t="s">
        <v>880</v>
      </c>
      <c r="E55" s="730" t="s">
        <v>869</v>
      </c>
      <c r="F55" s="723" t="s">
        <v>856</v>
      </c>
      <c r="G55" s="731"/>
      <c r="H55" s="1086"/>
      <c r="I55" s="731"/>
      <c r="J55" s="1086"/>
      <c r="K55" s="352"/>
      <c r="X55" s="821">
        <v>0</v>
      </c>
    </row>
    <row s="4517" customFormat="1" customHeight="1" ht="11.25" hidden="1">
      <c r="A56" s="2455"/>
      <c r="B56" s="574"/>
      <c r="D56" s="728" t="s">
        <v>881</v>
      </c>
      <c r="E56" s="734" t="s">
        <v>871</v>
      </c>
      <c r="F56" s="723" t="s">
        <v>856</v>
      </c>
      <c r="G56" s="731"/>
      <c r="H56" s="1086"/>
      <c r="I56" s="731"/>
      <c r="J56" s="1086"/>
      <c r="K56" s="352"/>
      <c r="X56" s="821">
        <v>0</v>
      </c>
    </row>
    <row s="4517" customFormat="1" customHeight="1" ht="11.25" hidden="1">
      <c r="A57" s="2455"/>
      <c r="B57" s="574"/>
      <c r="D57" s="728" t="s">
        <v>882</v>
      </c>
      <c r="E57" s="734" t="s">
        <v>873</v>
      </c>
      <c r="F57" s="723" t="s">
        <v>856</v>
      </c>
      <c r="G57" s="731"/>
      <c r="H57" s="1086"/>
      <c r="I57" s="731"/>
      <c r="J57" s="1086"/>
      <c r="K57" s="352"/>
      <c r="X57" s="821">
        <v>0</v>
      </c>
    </row>
    <row s="4517" customFormat="1" customHeight="1" ht="11.25" hidden="1">
      <c r="A58" s="2455"/>
      <c r="B58" s="574"/>
      <c r="D58" s="728" t="s">
        <v>883</v>
      </c>
      <c r="E58" s="730" t="s">
        <v>875</v>
      </c>
      <c r="F58" s="723" t="s">
        <v>856</v>
      </c>
      <c r="G58" s="731"/>
      <c r="H58" s="1086"/>
      <c r="I58" s="731"/>
      <c r="J58" s="1086"/>
      <c r="K58" s="352"/>
      <c r="X58" s="821">
        <v>0</v>
      </c>
    </row>
    <row s="4517" customFormat="1" customHeight="1" ht="11.25" hidden="1">
      <c r="A59" s="2455"/>
      <c r="B59" s="574"/>
      <c r="D59" s="728" t="s">
        <v>884</v>
      </c>
      <c r="E59" s="730" t="s">
        <v>877</v>
      </c>
      <c r="F59" s="723" t="s">
        <v>856</v>
      </c>
      <c r="G59" s="731"/>
      <c r="H59" s="1086"/>
      <c r="I59" s="731"/>
      <c r="J59" s="1086"/>
      <c r="K59" s="352"/>
      <c r="X59" s="821">
        <v>0</v>
      </c>
    </row>
    <row s="4517" customFormat="1" customHeight="1" ht="33.75" hidden="1">
      <c r="A60" s="2455"/>
      <c r="B60" s="574"/>
      <c r="D60" s="728" t="s">
        <v>91</v>
      </c>
      <c r="E60" s="729" t="s">
        <v>885</v>
      </c>
      <c r="F60" s="784" t="s">
        <v>555</v>
      </c>
      <c r="G60" s="805"/>
      <c r="H60" s="1086"/>
      <c r="I60" s="805"/>
      <c r="J60" s="1086"/>
      <c r="K60" s="365" t="s">
        <v>886</v>
      </c>
      <c r="X60" s="821">
        <v>0</v>
      </c>
    </row>
    <row s="4517" customFormat="1" customHeight="1" ht="33.75" hidden="1">
      <c r="A61" s="2455"/>
      <c r="B61" s="574"/>
      <c r="D61" s="728" t="s">
        <v>92</v>
      </c>
      <c r="E61" s="729" t="s">
        <v>887</v>
      </c>
      <c r="F61" s="789" t="s">
        <v>817</v>
      </c>
      <c r="G61" s="731"/>
      <c r="H61" s="1086"/>
      <c r="I61" s="731"/>
      <c r="J61" s="1086"/>
      <c r="K61" s="352"/>
      <c r="X61" s="821">
        <v>0</v>
      </c>
    </row>
    <row s="4517" customFormat="1" customHeight="1" ht="22.5" hidden="1">
      <c r="A62" s="2455"/>
      <c r="B62" s="574" t="s">
        <v>585</v>
      </c>
      <c r="D62" s="728" t="s">
        <v>111</v>
      </c>
      <c r="E62" s="729" t="s">
        <v>888</v>
      </c>
      <c r="F62" s="789" t="s">
        <v>303</v>
      </c>
      <c r="G62" s="445"/>
      <c r="H62" s="1086"/>
      <c r="I62" s="445"/>
      <c r="J62" s="1086"/>
      <c r="K62" s="352" t="s">
        <v>628</v>
      </c>
      <c r="X62" s="821">
        <v>0</v>
      </c>
    </row>
    <row s="4517" customFormat="1" customHeight="1" ht="45" hidden="1">
      <c r="A63" s="2455"/>
      <c r="B63" s="574" t="s">
        <v>585</v>
      </c>
      <c r="D63" s="728" t="s">
        <v>889</v>
      </c>
      <c r="E63" s="730" t="s">
        <v>890</v>
      </c>
      <c r="F63" s="784" t="s">
        <v>303</v>
      </c>
      <c r="G63" s="445"/>
      <c r="H63" s="1086"/>
      <c r="I63" s="445"/>
      <c r="J63" s="1086"/>
      <c r="K63" s="352" t="s">
        <v>628</v>
      </c>
      <c r="X63" s="821">
        <v>0</v>
      </c>
    </row>
    <row s="4517" customFormat="1" customHeight="1" ht="11.549999999999999">
      <c r="A64" s="1096"/>
      <c r="B64" s="581"/>
      <c r="D64" s="1097"/>
      <c r="E64" s="1098"/>
      <c r="X64" s="572">
        <v>11</v>
      </c>
    </row>
    <row s="4517" customFormat="1" customHeight="1" ht="22.5" hidden="1">
      <c r="A65" s="2455" t="s">
        <v>891</v>
      </c>
      <c r="B65" s="574"/>
      <c r="D65" s="728">
        <v>1</v>
      </c>
      <c r="E65" s="807" t="s">
        <v>892</v>
      </c>
      <c r="F65" s="803" t="s">
        <v>807</v>
      </c>
      <c r="G65" s="804"/>
      <c r="H65" s="1092"/>
      <c r="I65" s="804"/>
      <c r="J65" s="1092"/>
      <c r="K65" s="364" t="s">
        <v>893</v>
      </c>
      <c r="X65" s="821">
        <v>0</v>
      </c>
    </row>
    <row s="4517" customFormat="1" customHeight="1" ht="56.25" hidden="1">
      <c r="A66" s="2455"/>
      <c r="B66" s="574"/>
      <c r="D66" s="806" t="s">
        <v>109</v>
      </c>
      <c r="E66" s="770" t="s">
        <v>894</v>
      </c>
      <c r="F66" s="723" t="s">
        <v>543</v>
      </c>
      <c r="G66" s="723" t="s">
        <v>543</v>
      </c>
      <c r="H66" s="582"/>
      <c r="I66" s="723" t="s">
        <v>543</v>
      </c>
      <c r="J66" s="582"/>
      <c r="K66" s="352"/>
      <c r="X66" s="821">
        <v>0</v>
      </c>
    </row>
    <row s="4517" customFormat="1" customHeight="1" ht="33.75" hidden="1">
      <c r="A67" s="2455"/>
      <c r="B67" s="574"/>
      <c r="D67" s="806" t="s">
        <v>706</v>
      </c>
      <c r="E67" s="1017" t="s">
        <v>895</v>
      </c>
      <c r="F67" s="723" t="s">
        <v>859</v>
      </c>
      <c r="G67" s="790"/>
      <c r="H67" s="582"/>
      <c r="I67" s="790"/>
      <c r="J67" s="582"/>
      <c r="K67" s="352"/>
      <c r="X67" s="821">
        <v>0</v>
      </c>
    </row>
    <row s="4517" customFormat="1" customHeight="1" ht="22.5" hidden="1">
      <c r="A68" s="2455"/>
      <c r="B68" s="574"/>
      <c r="D68" s="806" t="s">
        <v>304</v>
      </c>
      <c r="E68" s="1017" t="s">
        <v>896</v>
      </c>
      <c r="F68" s="723" t="s">
        <v>859</v>
      </c>
      <c r="G68" s="790"/>
      <c r="H68" s="582"/>
      <c r="I68" s="790"/>
      <c r="J68" s="582"/>
      <c r="K68" s="352"/>
      <c r="X68" s="821">
        <v>0</v>
      </c>
    </row>
    <row s="4517" customFormat="1" customHeight="1" ht="22.5" hidden="1">
      <c r="A69" s="2455"/>
      <c r="B69" s="574"/>
      <c r="D69" s="806" t="s">
        <v>307</v>
      </c>
      <c r="E69" s="1017" t="s">
        <v>897</v>
      </c>
      <c r="F69" s="784" t="s">
        <v>555</v>
      </c>
      <c r="G69" s="805"/>
      <c r="H69" s="582"/>
      <c r="I69" s="805"/>
      <c r="J69" s="582"/>
      <c r="K69" s="352"/>
      <c r="X69" s="821">
        <v>0</v>
      </c>
    </row>
    <row s="4517" customFormat="1" customHeight="1" ht="22.5" hidden="1">
      <c r="A70" s="2455"/>
      <c r="B70" s="574"/>
      <c r="D70" s="806" t="s">
        <v>726</v>
      </c>
      <c r="E70" s="1017" t="s">
        <v>898</v>
      </c>
      <c r="F70" s="784" t="s">
        <v>555</v>
      </c>
      <c r="G70" s="805"/>
      <c r="H70" s="582"/>
      <c r="I70" s="805"/>
      <c r="J70" s="582"/>
      <c r="K70" s="352"/>
      <c r="X70" s="821">
        <v>0</v>
      </c>
    </row>
    <row s="4517" customFormat="1" customHeight="1" ht="22.5" hidden="1">
      <c r="A71" s="2455"/>
      <c r="B71" s="574"/>
      <c r="D71" s="728" t="s">
        <v>89</v>
      </c>
      <c r="E71" s="729" t="s">
        <v>899</v>
      </c>
      <c r="F71" s="723" t="s">
        <v>859</v>
      </c>
      <c r="G71" s="620"/>
      <c r="H71" s="1093"/>
      <c r="I71" s="620"/>
      <c r="J71" s="1093"/>
      <c r="K71" s="365"/>
      <c r="X71" s="821">
        <v>0</v>
      </c>
    </row>
    <row s="4517" customFormat="1" customHeight="1" ht="56.25" hidden="1">
      <c r="A72" s="2455"/>
      <c r="B72" s="574"/>
      <c r="D72" s="728" t="s">
        <v>90</v>
      </c>
      <c r="E72" s="729" t="s">
        <v>900</v>
      </c>
      <c r="F72" s="784" t="s">
        <v>555</v>
      </c>
      <c r="G72" s="805"/>
      <c r="H72" s="1086"/>
      <c r="I72" s="805"/>
      <c r="J72" s="1086"/>
      <c r="K72" s="365"/>
      <c r="X72" s="821">
        <v>0</v>
      </c>
    </row>
    <row s="4517" customFormat="1" customHeight="1" ht="33.75" hidden="1">
      <c r="A73" s="2455"/>
      <c r="B73" s="574"/>
      <c r="D73" s="728" t="s">
        <v>110</v>
      </c>
      <c r="E73" s="729" t="s">
        <v>901</v>
      </c>
      <c r="F73" s="789" t="s">
        <v>817</v>
      </c>
      <c r="G73" s="731"/>
      <c r="H73" s="1086"/>
      <c r="I73" s="731"/>
      <c r="J73" s="1086"/>
      <c r="K73" s="352"/>
      <c r="X73" s="821">
        <v>0</v>
      </c>
    </row>
    <row s="4517" customFormat="1" customHeight="1" ht="22.5" hidden="1">
      <c r="A74" s="2455"/>
      <c r="B74" s="574" t="s">
        <v>585</v>
      </c>
      <c r="D74" s="728" t="s">
        <v>91</v>
      </c>
      <c r="E74" s="729" t="s">
        <v>902</v>
      </c>
      <c r="F74" s="789" t="s">
        <v>303</v>
      </c>
      <c r="G74" s="445"/>
      <c r="H74" s="1086"/>
      <c r="I74" s="445"/>
      <c r="J74" s="1086"/>
      <c r="K74" s="352" t="s">
        <v>628</v>
      </c>
      <c r="X74" s="821">
        <v>0</v>
      </c>
    </row>
    <row s="4517" customFormat="1" customHeight="1" ht="45" hidden="1">
      <c r="A75" s="2455"/>
      <c r="B75" s="574" t="s">
        <v>585</v>
      </c>
      <c r="D75" s="728" t="s">
        <v>649</v>
      </c>
      <c r="E75" s="730" t="s">
        <v>903</v>
      </c>
      <c r="F75" s="784" t="s">
        <v>303</v>
      </c>
      <c r="G75" s="445"/>
      <c r="H75" s="1086"/>
      <c r="I75" s="445"/>
      <c r="J75" s="1086"/>
      <c r="K75" s="352" t="s">
        <v>628</v>
      </c>
      <c r="X75" s="821">
        <v>0</v>
      </c>
    </row>
    <row s="4517" customFormat="1" customHeight="1" ht="11.549999999999999">
      <c r="A76" s="1096"/>
      <c r="B76" s="581"/>
      <c r="D76" s="1097"/>
      <c r="E76" s="1098"/>
      <c r="X76" s="572">
        <v>11</v>
      </c>
    </row>
    <row s="4517" customFormat="1" customHeight="1" ht="11.25">
      <c r="A77" s="2455" t="s">
        <v>904</v>
      </c>
      <c r="B77" s="574"/>
      <c r="D77" s="728">
        <v>1</v>
      </c>
      <c r="E77" s="729" t="s">
        <v>905</v>
      </c>
      <c r="F77" s="784" t="s">
        <v>807</v>
      </c>
      <c r="G77" s="787"/>
      <c r="H77" s="1086"/>
      <c r="I77" s="787"/>
      <c r="J77" s="1086"/>
      <c r="K77" s="352" t="s">
        <v>906</v>
      </c>
      <c r="X77" s="821">
        <v>0</v>
      </c>
    </row>
    <row s="4517" customFormat="1" customHeight="1" ht="11.25">
      <c r="A78" s="2455"/>
      <c r="B78" s="574"/>
      <c r="D78" s="728" t="s">
        <v>109</v>
      </c>
      <c r="E78" s="729" t="s">
        <v>907</v>
      </c>
      <c r="F78" s="784" t="s">
        <v>807</v>
      </c>
      <c r="G78" s="787"/>
      <c r="H78" s="1086"/>
      <c r="I78" s="787"/>
      <c r="J78" s="1086"/>
      <c r="K78" s="352" t="s">
        <v>908</v>
      </c>
      <c r="X78" s="821">
        <v>0</v>
      </c>
    </row>
    <row s="4517" customFormat="1" customHeight="1" ht="22.5">
      <c r="A79" s="2455"/>
      <c r="B79" s="574"/>
      <c r="D79" s="728" t="s">
        <v>89</v>
      </c>
      <c r="E79" s="785" t="s">
        <v>909</v>
      </c>
      <c r="F79" s="723" t="s">
        <v>856</v>
      </c>
      <c r="G79" s="787"/>
      <c r="H79" s="1086"/>
      <c r="I79" s="787"/>
      <c r="J79" s="1086"/>
      <c r="K79" s="352" t="s">
        <v>910</v>
      </c>
      <c r="X79" s="821">
        <v>0</v>
      </c>
    </row>
    <row s="4517" customFormat="1" customHeight="1" ht="11.25">
      <c r="A80" s="2455"/>
      <c r="B80" s="574"/>
      <c r="D80" s="728" t="s">
        <v>321</v>
      </c>
      <c r="E80" s="786" t="s">
        <v>911</v>
      </c>
      <c r="F80" s="723" t="s">
        <v>856</v>
      </c>
      <c r="G80" s="787"/>
      <c r="H80" s="1086"/>
      <c r="I80" s="787"/>
      <c r="J80" s="1086"/>
      <c r="K80" s="352"/>
      <c r="X80" s="821">
        <v>0</v>
      </c>
    </row>
    <row s="4517" customFormat="1" customHeight="1" ht="11.25">
      <c r="A81" s="2455"/>
      <c r="B81" s="574"/>
      <c r="D81" s="728" t="s">
        <v>329</v>
      </c>
      <c r="E81" s="786" t="s">
        <v>912</v>
      </c>
      <c r="F81" s="723" t="s">
        <v>856</v>
      </c>
      <c r="G81" s="787"/>
      <c r="H81" s="1086"/>
      <c r="I81" s="787"/>
      <c r="J81" s="1086"/>
      <c r="K81" s="352"/>
      <c r="X81" s="821">
        <v>0</v>
      </c>
    </row>
    <row s="4517" customFormat="1" customHeight="1" ht="11.25">
      <c r="A82" s="2455"/>
      <c r="B82" s="574"/>
      <c r="D82" s="728" t="s">
        <v>331</v>
      </c>
      <c r="E82" s="786" t="s">
        <v>913</v>
      </c>
      <c r="F82" s="723" t="s">
        <v>856</v>
      </c>
      <c r="G82" s="787"/>
      <c r="H82" s="1086"/>
      <c r="I82" s="787"/>
      <c r="J82" s="1086"/>
      <c r="K82" s="352"/>
      <c r="X82" s="821">
        <v>0</v>
      </c>
    </row>
    <row s="4517" customFormat="1" customHeight="1" ht="11.25">
      <c r="A83" s="2455"/>
      <c r="B83" s="574"/>
      <c r="D83" s="728" t="s">
        <v>333</v>
      </c>
      <c r="E83" s="786" t="s">
        <v>914</v>
      </c>
      <c r="F83" s="723" t="s">
        <v>856</v>
      </c>
      <c r="G83" s="787"/>
      <c r="H83" s="1086"/>
      <c r="I83" s="787"/>
      <c r="J83" s="1086"/>
      <c r="K83" s="352"/>
      <c r="X83" s="821">
        <v>0</v>
      </c>
    </row>
    <row s="4517" customFormat="1" customHeight="1" ht="11.25">
      <c r="A84" s="2455"/>
      <c r="B84" s="574"/>
      <c r="D84" s="728" t="s">
        <v>915</v>
      </c>
      <c r="E84" s="786" t="s">
        <v>916</v>
      </c>
      <c r="F84" s="723" t="s">
        <v>856</v>
      </c>
      <c r="G84" s="787"/>
      <c r="H84" s="1086"/>
      <c r="I84" s="787"/>
      <c r="J84" s="1086"/>
      <c r="K84" s="352"/>
      <c r="X84" s="821">
        <v>0</v>
      </c>
    </row>
    <row s="4517" customFormat="1" customHeight="1" ht="11.25">
      <c r="A85" s="2455"/>
      <c r="B85" s="574"/>
      <c r="D85" s="728" t="s">
        <v>917</v>
      </c>
      <c r="E85" s="786" t="s">
        <v>918</v>
      </c>
      <c r="F85" s="723" t="s">
        <v>856</v>
      </c>
      <c r="G85" s="787"/>
      <c r="H85" s="1086"/>
      <c r="I85" s="787"/>
      <c r="J85" s="1086"/>
      <c r="K85" s="352"/>
      <c r="X85" s="821">
        <v>0</v>
      </c>
    </row>
    <row s="4517" customFormat="1" customHeight="1" ht="11.25">
      <c r="A86" s="2455"/>
      <c r="B86" s="574"/>
      <c r="D86" s="728" t="s">
        <v>919</v>
      </c>
      <c r="E86" s="786" t="s">
        <v>920</v>
      </c>
      <c r="F86" s="723" t="s">
        <v>856</v>
      </c>
      <c r="G86" s="787"/>
      <c r="H86" s="1086"/>
      <c r="I86" s="787"/>
      <c r="J86" s="1086"/>
      <c r="K86" s="352"/>
      <c r="X86" s="821">
        <v>0</v>
      </c>
    </row>
    <row s="4517" customFormat="1" customHeight="1" ht="45">
      <c r="A87" s="2455"/>
      <c r="B87" s="574"/>
      <c r="D87" s="728" t="s">
        <v>90</v>
      </c>
      <c r="E87" s="729" t="s">
        <v>921</v>
      </c>
      <c r="F87" s="723" t="s">
        <v>856</v>
      </c>
      <c r="G87" s="787"/>
      <c r="H87" s="1086"/>
      <c r="I87" s="787"/>
      <c r="J87" s="1086"/>
      <c r="K87" s="352" t="s">
        <v>922</v>
      </c>
      <c r="X87" s="821">
        <v>0</v>
      </c>
    </row>
    <row s="4517" customFormat="1" customHeight="1" ht="11.25">
      <c r="A88" s="2455"/>
      <c r="B88" s="574"/>
      <c r="D88" s="728" t="s">
        <v>751</v>
      </c>
      <c r="E88" s="786" t="s">
        <v>911</v>
      </c>
      <c r="F88" s="723" t="s">
        <v>856</v>
      </c>
      <c r="G88" s="787"/>
      <c r="H88" s="1086"/>
      <c r="I88" s="787"/>
      <c r="J88" s="1086"/>
      <c r="K88" s="352"/>
      <c r="X88" s="821">
        <v>0</v>
      </c>
    </row>
    <row s="4517" customFormat="1" customHeight="1" ht="11.25">
      <c r="A89" s="2455"/>
      <c r="B89" s="574"/>
      <c r="D89" s="728" t="s">
        <v>793</v>
      </c>
      <c r="E89" s="786" t="s">
        <v>912</v>
      </c>
      <c r="F89" s="723" t="s">
        <v>856</v>
      </c>
      <c r="G89" s="787"/>
      <c r="H89" s="1086"/>
      <c r="I89" s="787"/>
      <c r="J89" s="1086"/>
      <c r="K89" s="352"/>
      <c r="X89" s="821">
        <v>0</v>
      </c>
    </row>
    <row s="4517" customFormat="1" customHeight="1" ht="11.25">
      <c r="A90" s="2455"/>
      <c r="B90" s="574"/>
      <c r="D90" s="728" t="s">
        <v>796</v>
      </c>
      <c r="E90" s="786" t="s">
        <v>913</v>
      </c>
      <c r="F90" s="723" t="s">
        <v>856</v>
      </c>
      <c r="G90" s="787"/>
      <c r="H90" s="1086"/>
      <c r="I90" s="787"/>
      <c r="J90" s="1086"/>
      <c r="K90" s="352"/>
      <c r="X90" s="821">
        <v>0</v>
      </c>
    </row>
    <row s="4517" customFormat="1" customHeight="1" ht="11.25">
      <c r="A91" s="2455"/>
      <c r="B91" s="574"/>
      <c r="D91" s="728" t="s">
        <v>874</v>
      </c>
      <c r="E91" s="786" t="s">
        <v>914</v>
      </c>
      <c r="F91" s="723" t="s">
        <v>856</v>
      </c>
      <c r="G91" s="787"/>
      <c r="H91" s="1086"/>
      <c r="I91" s="787"/>
      <c r="J91" s="1086"/>
      <c r="K91" s="352"/>
      <c r="X91" s="821">
        <v>0</v>
      </c>
    </row>
    <row s="4517" customFormat="1" customHeight="1" ht="11.25">
      <c r="A92" s="2455"/>
      <c r="B92" s="574"/>
      <c r="D92" s="728" t="s">
        <v>876</v>
      </c>
      <c r="E92" s="786" t="s">
        <v>916</v>
      </c>
      <c r="F92" s="723" t="s">
        <v>856</v>
      </c>
      <c r="G92" s="787"/>
      <c r="H92" s="1086"/>
      <c r="I92" s="787"/>
      <c r="J92" s="1086"/>
      <c r="K92" s="352"/>
      <c r="X92" s="821">
        <v>0</v>
      </c>
    </row>
    <row s="4517" customFormat="1" customHeight="1" ht="11.25">
      <c r="A93" s="2455"/>
      <c r="B93" s="574"/>
      <c r="D93" s="728" t="s">
        <v>923</v>
      </c>
      <c r="E93" s="786" t="s">
        <v>918</v>
      </c>
      <c r="F93" s="723" t="s">
        <v>856</v>
      </c>
      <c r="G93" s="787"/>
      <c r="H93" s="1086"/>
      <c r="I93" s="787"/>
      <c r="J93" s="1086"/>
      <c r="K93" s="352"/>
      <c r="X93" s="821">
        <v>0</v>
      </c>
    </row>
    <row s="4517" customFormat="1" customHeight="1" ht="11.25">
      <c r="A94" s="2455"/>
      <c r="B94" s="574"/>
      <c r="D94" s="728" t="s">
        <v>924</v>
      </c>
      <c r="E94" s="786" t="s">
        <v>920</v>
      </c>
      <c r="F94" s="723" t="s">
        <v>856</v>
      </c>
      <c r="G94" s="787"/>
      <c r="H94" s="1086"/>
      <c r="I94" s="787"/>
      <c r="J94" s="1086"/>
      <c r="K94" s="352"/>
      <c r="X94" s="821">
        <v>0</v>
      </c>
    </row>
    <row s="4517" customFormat="1" customHeight="1" ht="24.75">
      <c r="A95" s="2455"/>
      <c r="B95" s="574"/>
      <c r="D95" s="728" t="s">
        <v>110</v>
      </c>
      <c r="E95" s="729" t="s">
        <v>925</v>
      </c>
      <c r="F95" s="788" t="s">
        <v>555</v>
      </c>
      <c r="G95" s="790"/>
      <c r="H95" s="1086"/>
      <c r="I95" s="790"/>
      <c r="J95" s="1086"/>
      <c r="K95" s="352" t="s">
        <v>926</v>
      </c>
      <c r="X95" s="821">
        <v>0</v>
      </c>
    </row>
    <row s="4517" customFormat="1" customHeight="1" ht="33.75">
      <c r="A96" s="2455"/>
      <c r="B96" s="574"/>
      <c r="D96" s="728" t="s">
        <v>91</v>
      </c>
      <c r="E96" s="729" t="s">
        <v>927</v>
      </c>
      <c r="F96" s="789" t="s">
        <v>817</v>
      </c>
      <c r="G96" s="791"/>
      <c r="H96" s="1086"/>
      <c r="I96" s="791"/>
      <c r="J96" s="1086"/>
      <c r="K96" s="352"/>
      <c r="X96" s="821">
        <v>0</v>
      </c>
    </row>
    <row s="4517" customFormat="1" customHeight="1" ht="22.5">
      <c r="A97" s="2455"/>
      <c r="B97" s="574" t="s">
        <v>585</v>
      </c>
      <c r="D97" s="728" t="s">
        <v>92</v>
      </c>
      <c r="E97" s="729" t="s">
        <v>928</v>
      </c>
      <c r="F97" s="789" t="s">
        <v>303</v>
      </c>
      <c r="G97" s="448"/>
      <c r="H97" s="1086"/>
      <c r="I97" s="448"/>
      <c r="J97" s="1086"/>
      <c r="K97" s="352" t="s">
        <v>628</v>
      </c>
      <c r="X97" s="821">
        <v>0</v>
      </c>
    </row>
    <row s="4517" customFormat="1" customHeight="1" ht="45">
      <c r="A98" s="2455"/>
      <c r="B98" s="574" t="s">
        <v>585</v>
      </c>
      <c r="D98" s="728" t="s">
        <v>929</v>
      </c>
      <c r="E98" s="730" t="s">
        <v>930</v>
      </c>
      <c r="F98" s="784" t="s">
        <v>303</v>
      </c>
      <c r="G98" s="448"/>
      <c r="H98" s="1086"/>
      <c r="I98" s="448"/>
      <c r="J98" s="1086"/>
      <c r="K98" s="352" t="s">
        <v>628</v>
      </c>
      <c r="X98" s="821">
        <v>0</v>
      </c>
    </row>
    <row s="4517" customFormat="1" customHeight="1" ht="95.25">
      <c r="A99" s="2455"/>
      <c r="B99" s="574" t="s">
        <v>585</v>
      </c>
      <c r="D99" s="728" t="s">
        <v>111</v>
      </c>
      <c r="E99" s="729" t="s">
        <v>931</v>
      </c>
      <c r="F99" s="784" t="s">
        <v>303</v>
      </c>
      <c r="G99" s="448"/>
      <c r="H99" s="1086"/>
      <c r="I99" s="448"/>
      <c r="J99" s="1086"/>
      <c r="K99" s="352" t="s">
        <v>628</v>
      </c>
      <c r="X99" s="821">
        <v>0</v>
      </c>
    </row>
    <row s="4517" customFormat="1" customHeight="1" ht="22.5">
      <c r="A100" s="2455"/>
      <c r="B100" s="574" t="s">
        <v>585</v>
      </c>
      <c r="D100" s="728" t="s">
        <v>148</v>
      </c>
      <c r="E100" s="729" t="s">
        <v>932</v>
      </c>
      <c r="F100" s="784" t="s">
        <v>303</v>
      </c>
      <c r="G100" s="448"/>
      <c r="H100" s="1086"/>
      <c r="I100" s="448"/>
      <c r="J100" s="1086"/>
      <c r="K100" s="352" t="s">
        <v>628</v>
      </c>
      <c r="X100" s="821">
        <v>0</v>
      </c>
    </row>
    <row s="4517" customFormat="1" customHeight="1" ht="11.549999999999999">
      <c r="A101" s="1096"/>
      <c r="B101" s="581"/>
      <c r="D101" s="1097"/>
      <c r="E101" s="1098"/>
      <c r="X101" s="572">
        <v>11</v>
      </c>
    </row>
    <row customHeight="1" ht="22.5" hidden="1">
      <c r="A102" s="599" t="s">
        <v>81</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E1D37-3D94-D40D-B47F-10121ABA5862}" mc:Ignorable="x14ac xr xr2 xr3">
  <sheetPr>
    <tabColor rgb="FFCCCCFF"/>
  </sheetPr>
  <dimension ref="A1:AM17"/>
  <sheetViews>
    <sheetView showGridLines="0" zoomScale="90" workbookViewId="0">
      <pane xSplit="4" ySplit="12" topLeftCell="H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3"/>
      <c r="F4" s="2183"/>
      <c r="G4" s="2183"/>
      <c r="H4" s="2183"/>
      <c r="I4" s="2184"/>
      <c r="J4" s="647"/>
      <c r="K4" s="647"/>
      <c r="L4" s="647"/>
      <c r="M4" s="647"/>
      <c r="AM4" s="646">
        <v>34</v>
      </c>
    </row>
    <row s="3049" customFormat="1" customHeight="1" ht="14.699999999999998">
      <c r="A5" s="648"/>
      <c r="B5" s="648"/>
      <c r="C5" s="648"/>
      <c r="D5" s="2185" t="str">
        <f>IF(org=0,"Не определено",org)</f>
        <v>Филиал "Уренгойская ГРЭС" АО "Интер РАО - Электрогенерация"</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104</v>
      </c>
      <c r="E9" s="2190"/>
      <c r="F9" s="2191" t="s">
        <v>105</v>
      </c>
      <c r="G9" s="2192"/>
      <c r="H9" s="2192"/>
      <c r="I9" s="2192"/>
      <c r="J9" s="2195" t="s">
        <v>106</v>
      </c>
      <c r="K9" s="2195"/>
      <c r="L9" s="2195"/>
      <c r="M9" s="2195"/>
      <c r="AM9" s="646">
        <v>18</v>
      </c>
    </row>
    <row customHeight="1" ht="24">
      <c r="A10" s="2189"/>
      <c r="B10" s="655"/>
      <c r="C10" s="588"/>
      <c r="D10" s="586" t="s">
        <v>87</v>
      </c>
      <c r="E10" s="586" t="s">
        <v>88</v>
      </c>
      <c r="F10" s="586" t="s">
        <v>107</v>
      </c>
      <c r="G10" s="2196" t="s">
        <v>87</v>
      </c>
      <c r="H10" s="2197"/>
      <c r="I10" s="586" t="s">
        <v>88</v>
      </c>
      <c r="J10" s="586" t="s">
        <v>107</v>
      </c>
      <c r="K10" s="2196" t="s">
        <v>87</v>
      </c>
      <c r="L10" s="2197"/>
      <c r="M10" s="586" t="s">
        <v>88</v>
      </c>
      <c r="N10" s="1690"/>
      <c r="AM10" s="646">
        <v>23</v>
      </c>
    </row>
    <row s="5060" customFormat="1" customHeight="1" ht="11.25" hidden="1">
      <c r="A11" s="656"/>
      <c r="B11" s="656"/>
      <c r="C11" s="656"/>
      <c r="D11" s="657" t="s">
        <v>108</v>
      </c>
      <c r="E11" s="657" t="s">
        <v>109</v>
      </c>
      <c r="F11" s="657" t="s">
        <v>89</v>
      </c>
      <c r="G11" s="2178" t="s">
        <v>90</v>
      </c>
      <c r="H11" s="2179"/>
      <c r="I11" s="657" t="s">
        <v>110</v>
      </c>
      <c r="J11" s="657" t="s">
        <v>91</v>
      </c>
      <c r="K11" s="2180" t="s">
        <v>92</v>
      </c>
      <c r="L11" s="2181"/>
      <c r="M11" s="657" t="s">
        <v>111</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112</v>
      </c>
      <c r="P12" s="1476" t="s">
        <v>113</v>
      </c>
      <c r="Q12" s="1476" t="s">
        <v>114</v>
      </c>
      <c r="R12" s="1476" t="s">
        <v>115</v>
      </c>
      <c r="AM12" s="646">
        <v>1</v>
      </c>
    </row>
    <row s="5060" customFormat="1" customHeight="1" ht="15.75">
      <c r="A13" s="356"/>
      <c r="B13" s="356"/>
      <c r="C13" s="589"/>
      <c r="D13" s="2171" t="s">
        <v>108</v>
      </c>
      <c r="E13" s="2172" t="str">
        <f>INDEX(VD_NAME_LIST,MATCH("4189713",VD_ID_LIST,0))</f>
        <v>Транспортировка</v>
      </c>
      <c r="F13" s="2175" t="s">
        <v>65</v>
      </c>
      <c r="G13" s="2176"/>
      <c r="H13" s="2177">
        <v>1</v>
      </c>
      <c r="I13" s="2168" t="str">
        <f>IF(U13="","",INDEX(TERRITORY_MR_LIST,MATCH(U13,TERRITORY_LIST_ID,0)))</f>
        <v>Территория 1</v>
      </c>
      <c r="J13" s="2170" t="s">
        <v>19</v>
      </c>
      <c r="K13" s="665"/>
      <c r="L13" s="590" t="s">
        <v>108</v>
      </c>
      <c r="M13" s="666" t="s">
        <v>22</v>
      </c>
      <c r="N13" s="875"/>
      <c r="O13" s="1479" t="s">
        <v>116</v>
      </c>
      <c r="P13" s="1476" t="str">
        <f>$E$13</f>
        <v>Транспортировка</v>
      </c>
      <c r="Q13" s="1476" t="str">
        <f>IF($F$13="нет","без дифференциации",$I$13)</f>
        <v>Территория 1</v>
      </c>
      <c r="R13" s="1476" t="str">
        <f>IF($J$13="нет","без дифференциации",M13)</f>
        <v>без дифференциации</v>
      </c>
      <c r="S13" s="1479"/>
      <c r="T13" s="1479"/>
      <c r="U13" s="1329" t="s">
        <v>97</v>
      </c>
      <c r="V13" s="1329" t="s">
        <v>117</v>
      </c>
      <c r="W13" s="1329"/>
      <c r="X13" s="1329"/>
      <c r="Y13" s="667" t="s">
        <v>118</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119</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120</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121</v>
      </c>
      <c r="F16" s="240"/>
      <c r="G16" s="240"/>
      <c r="H16" s="240"/>
      <c r="I16" s="240"/>
      <c r="J16" s="240"/>
      <c r="K16" s="240" t="s">
        <v>22</v>
      </c>
      <c r="L16" s="240"/>
      <c r="M16" s="671"/>
      <c r="N16" s="1690"/>
      <c r="AM16" s="646">
        <v>15</v>
      </c>
    </row>
    <row customHeight="1" ht="11.25" hidden="1">
      <c r="A17" s="646" t="s">
        <v>81</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D955F-5DE9-0D75-D62A-9DE81E5AF05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686</v>
      </c>
      <c r="D3" s="752" t="str">
        <f>B3&amp;".1"</f>
        <v>.1</v>
      </c>
      <c r="E3" s="753" t="s">
        <v>933</v>
      </c>
      <c r="F3" s="754" t="s">
        <v>303</v>
      </c>
      <c r="G3" s="749"/>
      <c r="H3" s="464"/>
      <c r="I3" s="749"/>
      <c r="J3" s="464"/>
      <c r="K3" s="352" t="s">
        <v>934</v>
      </c>
      <c r="V3" s="568">
        <v>0</v>
      </c>
    </row>
    <row customHeight="1" ht="15" hidden="1">
      <c r="A4" s="568"/>
      <c r="B4" s="2460"/>
      <c r="C4" s="2461"/>
      <c r="D4" s="752" t="str">
        <f>B3&amp;".2"</f>
        <v>.2</v>
      </c>
      <c r="E4" s="753" t="s">
        <v>935</v>
      </c>
      <c r="F4" s="754" t="s">
        <v>303</v>
      </c>
      <c r="G4" s="1801" t="s">
        <v>22</v>
      </c>
      <c r="H4" s="464"/>
      <c r="I4" s="1801" t="s">
        <v>22</v>
      </c>
      <c r="J4" s="464"/>
      <c r="K4" s="352" t="s">
        <v>936</v>
      </c>
      <c r="V4" s="568">
        <v>0</v>
      </c>
    </row>
    <row s="4466" customFormat="1" customHeight="1" ht="15" hidden="1">
      <c r="C5" s="735"/>
      <c r="U5" s="483"/>
      <c r="V5" s="480">
        <v>0</v>
      </c>
    </row>
    <row customHeight="1" ht="22.5" hidden="1">
      <c r="A6" s="568"/>
      <c r="B6" s="2460"/>
      <c r="C6" s="2461" t="s">
        <v>686</v>
      </c>
      <c r="D6" s="752" t="str">
        <f>B6&amp;".1"</f>
        <v>.1</v>
      </c>
      <c r="E6" s="753" t="s">
        <v>937</v>
      </c>
      <c r="F6" s="754" t="s">
        <v>303</v>
      </c>
      <c r="G6" s="749"/>
      <c r="H6" s="464"/>
      <c r="I6" s="749"/>
      <c r="J6" s="464"/>
      <c r="K6" s="352" t="s">
        <v>938</v>
      </c>
      <c r="V6" s="568">
        <v>0</v>
      </c>
    </row>
    <row customHeight="1" ht="15" hidden="1">
      <c r="A7" s="568"/>
      <c r="B7" s="2460"/>
      <c r="C7" s="2461"/>
      <c r="D7" s="752" t="str">
        <f>B6&amp;".2"</f>
        <v>.2</v>
      </c>
      <c r="E7" s="753" t="s">
        <v>935</v>
      </c>
      <c r="F7" s="754" t="s">
        <v>303</v>
      </c>
      <c r="G7" s="1801" t="s">
        <v>22</v>
      </c>
      <c r="H7" s="464"/>
      <c r="I7" s="1801" t="s">
        <v>22</v>
      </c>
      <c r="J7" s="464"/>
      <c r="K7" s="352" t="s">
        <v>936</v>
      </c>
      <c r="V7" s="568">
        <v>0</v>
      </c>
    </row>
    <row s="4466" customFormat="1" customHeight="1" ht="15" hidden="1">
      <c r="C8" s="735"/>
      <c r="U8" s="483"/>
      <c r="V8" s="480">
        <v>0</v>
      </c>
    </row>
    <row customHeight="1" ht="22.5" hidden="1">
      <c r="A9" s="568"/>
      <c r="B9" s="2460"/>
      <c r="C9" s="2461" t="s">
        <v>686</v>
      </c>
      <c r="D9" s="752" t="str">
        <f>B9&amp;".1"</f>
        <v>.1</v>
      </c>
      <c r="E9" s="753" t="s">
        <v>939</v>
      </c>
      <c r="F9" s="754" t="s">
        <v>303</v>
      </c>
      <c r="G9" s="760" t="s">
        <v>22</v>
      </c>
      <c r="H9" s="464" t="s">
        <v>22</v>
      </c>
      <c r="I9" s="760" t="s">
        <v>22</v>
      </c>
      <c r="J9" s="464" t="s">
        <v>22</v>
      </c>
      <c r="K9" s="352"/>
      <c r="V9" s="568">
        <v>0</v>
      </c>
    </row>
    <row customHeight="1" ht="15" hidden="1">
      <c r="A10" s="568"/>
      <c r="B10" s="2460"/>
      <c r="C10" s="2461"/>
      <c r="D10" s="752" t="str">
        <f>B9&amp;".2"</f>
        <v>.2</v>
      </c>
      <c r="E10" s="753" t="s">
        <v>940</v>
      </c>
      <c r="F10" s="754" t="s">
        <v>303</v>
      </c>
      <c r="G10" s="1795" t="s">
        <v>22</v>
      </c>
      <c r="H10" s="464" t="s">
        <v>22</v>
      </c>
      <c r="I10" s="1795" t="s">
        <v>22</v>
      </c>
      <c r="J10" s="464" t="s">
        <v>22</v>
      </c>
      <c r="K10" s="352" t="s">
        <v>941</v>
      </c>
      <c r="V10" s="568">
        <v>0</v>
      </c>
    </row>
    <row customHeight="1" ht="15" hidden="1">
      <c r="A11" s="568"/>
      <c r="B11" s="2460"/>
      <c r="C11" s="2461"/>
      <c r="D11" s="752" t="str">
        <f>B9&amp;".3"</f>
        <v>.3</v>
      </c>
      <c r="E11" s="753" t="s">
        <v>942</v>
      </c>
      <c r="F11" s="754" t="s">
        <v>303</v>
      </c>
      <c r="G11" s="1795" t="s">
        <v>22</v>
      </c>
      <c r="H11" s="464" t="s">
        <v>22</v>
      </c>
      <c r="I11" s="1795" t="s">
        <v>22</v>
      </c>
      <c r="J11" s="464" t="s">
        <v>22</v>
      </c>
      <c r="K11" s="352" t="s">
        <v>943</v>
      </c>
      <c r="V11" s="568">
        <v>0</v>
      </c>
    </row>
    <row s="4466" customFormat="1" customHeight="1" ht="15" hidden="1">
      <c r="C12" s="735"/>
      <c r="U12" s="483"/>
      <c r="V12" s="480">
        <v>0</v>
      </c>
    </row>
    <row customHeight="1" ht="33.75" hidden="1">
      <c r="A13" s="568"/>
      <c r="B13" s="2460"/>
      <c r="C13" s="2461" t="s">
        <v>686</v>
      </c>
      <c r="D13" s="752" t="str">
        <f>B13&amp;".1"</f>
        <v>.1</v>
      </c>
      <c r="E13" s="753" t="s">
        <v>944</v>
      </c>
      <c r="F13" s="754" t="s">
        <v>303</v>
      </c>
      <c r="G13" s="760" t="s">
        <v>22</v>
      </c>
      <c r="H13" s="464" t="s">
        <v>22</v>
      </c>
      <c r="I13" s="760" t="s">
        <v>22</v>
      </c>
      <c r="J13" s="464" t="s">
        <v>22</v>
      </c>
      <c r="K13" s="352" t="s">
        <v>945</v>
      </c>
      <c r="V13" s="568">
        <v>0</v>
      </c>
    </row>
    <row customHeight="1" ht="15" hidden="1">
      <c r="B14" s="2460"/>
      <c r="C14" s="2461"/>
      <c r="D14" s="752" t="str">
        <f>B13&amp;".2"</f>
        <v>.2</v>
      </c>
      <c r="E14" s="753" t="s">
        <v>946</v>
      </c>
      <c r="F14" s="754" t="s">
        <v>303</v>
      </c>
      <c r="G14" s="1795" t="s">
        <v>22</v>
      </c>
      <c r="H14" s="464" t="s">
        <v>22</v>
      </c>
      <c r="I14" s="1795" t="s">
        <v>22</v>
      </c>
      <c r="J14" s="464" t="s">
        <v>22</v>
      </c>
      <c r="K14" s="352" t="s">
        <v>947</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0"/>
      <c r="F22" s="2300"/>
      <c r="G22" s="2300"/>
      <c r="H22" s="2300"/>
      <c r="I22" s="2300"/>
      <c r="J22" s="739"/>
      <c r="K22" s="600"/>
      <c r="V22" s="568">
        <v>22</v>
      </c>
    </row>
    <row customHeight="1" ht="15.75">
      <c r="C23" s="239"/>
      <c r="D23" s="2239" t="str">
        <f>IF(org=0,"Не определено",org)</f>
        <v>Филиал "Уренгойская ГРЭС" АО "Интер РАО - Электрогенерация"</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116</v>
      </c>
      <c r="J25" s="815"/>
      <c r="K25" s="480"/>
      <c r="U25" s="738"/>
      <c r="V25" s="821">
        <v>1</v>
      </c>
    </row>
    <row customHeight="1" ht="15.75">
      <c r="C26" s="239"/>
      <c r="D26" s="774"/>
      <c r="E26" s="2430" t="s">
        <v>104</v>
      </c>
      <c r="F26" s="2431"/>
      <c r="G26" s="2458" t="str">
        <f>IF(G25="","",INDEX(DIFFERENTIATION_UNMERGE_VD,MATCH(G25,DIFFERENTIATION_ID_DIFF,0)))</f>
        <v/>
      </c>
      <c r="H26" s="2459"/>
      <c r="I26" s="2458" t="str">
        <f>IF(I25="","",INDEX(DIFFERENTIATION_UNMERGE_VD,MATCH(I25,DIFFERENTIATION_ID_DIFF,0)))</f>
        <v>Транспортировка</v>
      </c>
      <c r="J26" s="2459"/>
      <c r="K26" s="2238" t="s">
        <v>298</v>
      </c>
      <c r="V26" s="568">
        <v>15</v>
      </c>
    </row>
    <row s="4517" customFormat="1" customHeight="1" ht="15.75">
      <c r="A27" s="822"/>
      <c r="C27" s="239"/>
      <c r="D27" s="774"/>
      <c r="E27" s="2430" t="s">
        <v>561</v>
      </c>
      <c r="F27" s="2431"/>
      <c r="G27" s="2458" t="str">
        <f>IF(G25="","",INDEX(DIFFERENTIATION_UNMERGE_AREA,MATCH(G25,DIFFERENTIATION_ID_DIFF,0)))</f>
        <v/>
      </c>
      <c r="H27" s="2459"/>
      <c r="I27" s="2458" t="str">
        <f>IF(I25="","",INDEX(DIFFERENTIATION_UNMERGE_AREA,MATCH(I25,DIFFERENTIATION_ID_DIFF,0)))</f>
        <v>Территория 1</v>
      </c>
      <c r="J27" s="2459"/>
      <c r="K27" s="2258"/>
      <c r="U27" s="738"/>
      <c r="V27" s="821">
        <v>15</v>
      </c>
    </row>
    <row s="4517" customFormat="1" customHeight="1" ht="15.75">
      <c r="A28" s="822"/>
      <c r="C28" s="239"/>
      <c r="D28" s="774"/>
      <c r="E28" s="2430" t="s">
        <v>562</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297</v>
      </c>
      <c r="E29" s="2433"/>
      <c r="F29" s="2433"/>
      <c r="G29" s="950"/>
      <c r="H29" s="950"/>
      <c r="I29" s="950"/>
      <c r="J29" s="951"/>
      <c r="K29" s="2258"/>
      <c r="U29" s="738"/>
      <c r="V29" s="821">
        <v>15</v>
      </c>
    </row>
    <row customHeight="1" ht="35.699999999999996">
      <c r="C30" s="239"/>
      <c r="D30" s="824" t="s">
        <v>87</v>
      </c>
      <c r="E30" s="823" t="s">
        <v>299</v>
      </c>
      <c r="F30" s="823" t="s">
        <v>563</v>
      </c>
      <c r="G30" s="871" t="s">
        <v>300</v>
      </c>
      <c r="H30" s="870" t="s">
        <v>387</v>
      </c>
      <c r="I30" s="747" t="s">
        <v>300</v>
      </c>
      <c r="J30" s="528" t="s">
        <v>387</v>
      </c>
      <c r="K30" s="2264"/>
      <c r="V30" s="568">
        <v>34</v>
      </c>
    </row>
    <row customHeight="1" ht="15" hidden="1">
      <c r="C31" s="239"/>
      <c r="D31" s="656"/>
      <c r="E31" s="656"/>
      <c r="F31" s="656"/>
      <c r="G31" s="722"/>
      <c r="H31" s="722"/>
      <c r="I31" s="722"/>
      <c r="J31" s="722"/>
      <c r="K31" s="352"/>
      <c r="V31" s="568">
        <v>0</v>
      </c>
    </row>
    <row customHeight="1" ht="24">
      <c r="A32" s="568"/>
      <c r="B32" s="568" t="s">
        <v>948</v>
      </c>
      <c r="C32" s="589"/>
      <c r="D32" s="755">
        <v>1</v>
      </c>
      <c r="E32" s="756" t="s">
        <v>949</v>
      </c>
      <c r="F32" s="754" t="s">
        <v>303</v>
      </c>
      <c r="G32" s="876" t="s">
        <v>303</v>
      </c>
      <c r="H32" s="876" t="s">
        <v>303</v>
      </c>
      <c r="I32" s="754" t="s">
        <v>303</v>
      </c>
      <c r="J32" s="754" t="s">
        <v>303</v>
      </c>
      <c r="K32" s="352"/>
      <c r="V32" s="568">
        <v>23</v>
      </c>
    </row>
    <row customHeight="1" ht="11.549999999999999">
      <c r="A33" s="568"/>
      <c r="C33" s="568"/>
      <c r="D33" s="410"/>
      <c r="E33" s="643" t="s">
        <v>583</v>
      </c>
      <c r="F33" s="635"/>
      <c r="G33" s="635"/>
      <c r="H33" s="635"/>
      <c r="I33" s="635"/>
      <c r="J33" s="635"/>
      <c r="K33" s="636"/>
      <c r="U33" s="568"/>
      <c r="V33" s="568">
        <v>11</v>
      </c>
    </row>
    <row customHeight="1" ht="24">
      <c r="A34" s="568"/>
      <c r="B34" s="644" t="s">
        <v>633</v>
      </c>
      <c r="C34" s="589"/>
      <c r="D34" s="755">
        <v>2</v>
      </c>
      <c r="E34" s="756" t="s">
        <v>950</v>
      </c>
      <c r="F34" s="883" t="s">
        <v>303</v>
      </c>
      <c r="G34" s="883" t="s">
        <v>303</v>
      </c>
      <c r="H34" s="883" t="s">
        <v>303</v>
      </c>
      <c r="I34" s="754"/>
      <c r="J34" s="754"/>
      <c r="K34" s="352"/>
      <c r="V34" s="568">
        <v>23</v>
      </c>
    </row>
    <row customHeight="1" ht="11.549999999999999">
      <c r="A35" s="568"/>
      <c r="C35" s="568"/>
      <c r="D35" s="410"/>
      <c r="E35" s="643" t="s">
        <v>951</v>
      </c>
      <c r="F35" s="635"/>
      <c r="G35" s="757"/>
      <c r="H35" s="635"/>
      <c r="I35" s="757"/>
      <c r="J35" s="635"/>
      <c r="K35" s="636"/>
      <c r="U35" s="568"/>
      <c r="V35" s="568">
        <v>11</v>
      </c>
    </row>
    <row customHeight="1" ht="71.25">
      <c r="A36" s="568"/>
      <c r="B36" s="568" t="s">
        <v>952</v>
      </c>
      <c r="C36" s="589"/>
      <c r="D36" s="755">
        <v>3</v>
      </c>
      <c r="E36" s="756" t="s">
        <v>953</v>
      </c>
      <c r="F36" s="758" t="s">
        <v>303</v>
      </c>
      <c r="G36" s="877" t="s">
        <v>954</v>
      </c>
      <c r="H36" s="876" t="s">
        <v>303</v>
      </c>
      <c r="I36" s="587" t="s">
        <v>954</v>
      </c>
      <c r="J36" s="754" t="s">
        <v>303</v>
      </c>
      <c r="K36" s="352" t="s">
        <v>955</v>
      </c>
      <c r="V36" s="568">
        <v>68</v>
      </c>
    </row>
    <row customHeight="1" ht="11.549999999999999">
      <c r="A37" s="568"/>
      <c r="C37" s="568"/>
      <c r="D37" s="410"/>
      <c r="E37" s="643" t="s">
        <v>956</v>
      </c>
      <c r="F37" s="635"/>
      <c r="G37" s="757"/>
      <c r="H37" s="757"/>
      <c r="I37" s="757"/>
      <c r="J37" s="757"/>
      <c r="K37" s="636"/>
      <c r="U37" s="568"/>
      <c r="V37" s="568">
        <v>11</v>
      </c>
    </row>
    <row customHeight="1" ht="71.25">
      <c r="A38" s="568"/>
      <c r="B38" s="568" t="s">
        <v>957</v>
      </c>
      <c r="C38" s="589"/>
      <c r="D38" s="755">
        <v>4</v>
      </c>
      <c r="E38" s="756" t="s">
        <v>958</v>
      </c>
      <c r="F38" s="758" t="s">
        <v>303</v>
      </c>
      <c r="G38" s="877" t="s">
        <v>954</v>
      </c>
      <c r="H38" s="878" t="s">
        <v>303</v>
      </c>
      <c r="I38" s="587" t="s">
        <v>954</v>
      </c>
      <c r="J38" s="584" t="s">
        <v>303</v>
      </c>
      <c r="K38" s="742" t="s">
        <v>959</v>
      </c>
      <c r="V38" s="568">
        <v>68</v>
      </c>
    </row>
    <row customHeight="1" ht="11.549999999999999">
      <c r="A39" s="568"/>
      <c r="C39" s="568"/>
      <c r="D39" s="410"/>
      <c r="E39" s="643" t="s">
        <v>960</v>
      </c>
      <c r="F39" s="635"/>
      <c r="G39" s="635"/>
      <c r="H39" s="759"/>
      <c r="I39" s="635"/>
      <c r="J39" s="759"/>
      <c r="K39" s="636"/>
      <c r="U39" s="568"/>
      <c r="V39" s="568">
        <v>11</v>
      </c>
    </row>
    <row customHeight="1" ht="22.5" hidden="1">
      <c r="A40" s="512" t="s">
        <v>81</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CC9F3-1459-9CEE-955A-73F79F4DBEC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961</v>
      </c>
      <c r="H3" s="1219"/>
      <c r="AE3" s="822">
        <v>0</v>
      </c>
    </row>
    <row customHeight="1" ht="3">
      <c r="AE4" s="821">
        <v>3</v>
      </c>
    </row>
    <row customHeight="1" ht="27.299999999999997">
      <c r="F5" s="2311" t="str">
        <f>IP_NAME_FORM</f>
        <v>Форма 7. Информация об инвестиционных программах организации водоотведения и отчетах об их исполнении</v>
      </c>
      <c r="G5" s="2311"/>
      <c r="H5" s="2311"/>
      <c r="I5" s="2311"/>
      <c r="J5" s="2311"/>
      <c r="K5" s="2311"/>
      <c r="M5" s="645"/>
      <c r="AB5" s="969"/>
      <c r="AE5" s="821">
        <v>26</v>
      </c>
    </row>
    <row s="4517" customFormat="1" customHeight="1" ht="16.8">
      <c r="A6" s="1229"/>
      <c r="B6" s="1229"/>
      <c r="C6" s="1229"/>
      <c r="D6" s="1223"/>
      <c r="E6" s="1698"/>
      <c r="F6" s="2312" t="str">
        <f>IF(org=0,"Не определено",org)</f>
        <v>Филиал "Уренгойская ГРЭС" АО "Интер РАО - Электрогенерация"</v>
      </c>
      <c r="G6" s="2312"/>
      <c r="H6" s="2312"/>
      <c r="I6" s="2312"/>
      <c r="J6" s="2312"/>
      <c r="K6" s="2312"/>
      <c r="M6" s="645"/>
      <c r="AB6" s="1211"/>
      <c r="AE6" s="1694">
        <v>16</v>
      </c>
    </row>
    <row customHeight="1" ht="10.5">
      <c r="AE7" s="821">
        <v>10</v>
      </c>
    </row>
    <row customHeight="1" ht="10.5">
      <c r="A8" s="1114"/>
      <c r="B8" s="1114"/>
      <c r="C8" s="1114"/>
      <c r="F8" s="2164" t="s">
        <v>297</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87</v>
      </c>
      <c r="G9" s="2190" t="s">
        <v>961</v>
      </c>
      <c r="H9" s="2238" t="s">
        <v>962</v>
      </c>
      <c r="I9" s="2190" t="s">
        <v>963</v>
      </c>
      <c r="J9" s="2190" t="s">
        <v>964</v>
      </c>
      <c r="K9" s="2190" t="s">
        <v>965</v>
      </c>
      <c r="L9" s="2190" t="s">
        <v>966</v>
      </c>
      <c r="M9" s="2190" t="s">
        <v>967</v>
      </c>
      <c r="N9" s="2272" t="s">
        <v>968</v>
      </c>
      <c r="O9" s="2272"/>
      <c r="P9" s="2272"/>
      <c r="Q9" s="2462" t="s">
        <v>969</v>
      </c>
      <c r="R9" s="2463"/>
      <c r="S9" s="2463"/>
      <c r="T9" s="2464"/>
      <c r="U9" s="2462" t="s">
        <v>970</v>
      </c>
      <c r="V9" s="2463"/>
      <c r="W9" s="2463"/>
      <c r="X9" s="2464"/>
      <c r="Y9" s="2164" t="s">
        <v>971</v>
      </c>
      <c r="Z9" s="2165"/>
      <c r="AA9" s="2165"/>
      <c r="AB9" s="2166"/>
      <c r="AE9" s="821">
        <v>41</v>
      </c>
    </row>
    <row customHeight="1" ht="43.050000000000004">
      <c r="A10" s="968"/>
      <c r="B10" s="968"/>
      <c r="C10" s="968"/>
      <c r="F10" s="2238"/>
      <c r="G10" s="2238"/>
      <c r="H10" s="2295"/>
      <c r="I10" s="2238"/>
      <c r="J10" s="2238"/>
      <c r="K10" s="2238"/>
      <c r="L10" s="2238"/>
      <c r="M10" s="2238"/>
      <c r="N10" s="966" t="s">
        <v>972</v>
      </c>
      <c r="O10" s="966" t="s">
        <v>973</v>
      </c>
      <c r="P10" s="967" t="s">
        <v>974</v>
      </c>
      <c r="Q10" s="978" t="s">
        <v>88</v>
      </c>
      <c r="R10" s="978" t="s">
        <v>975</v>
      </c>
      <c r="S10" s="978" t="s">
        <v>976</v>
      </c>
      <c r="T10" s="979" t="s">
        <v>977</v>
      </c>
      <c r="U10" s="978" t="s">
        <v>88</v>
      </c>
      <c r="V10" s="978" t="s">
        <v>978</v>
      </c>
      <c r="W10" s="978" t="s">
        <v>976</v>
      </c>
      <c r="X10" s="979" t="s">
        <v>977</v>
      </c>
      <c r="Y10" s="364" t="s">
        <v>979</v>
      </c>
      <c r="Z10" s="2164" t="s">
        <v>87</v>
      </c>
      <c r="AA10" s="2166"/>
      <c r="AB10" s="1112" t="s">
        <v>980</v>
      </c>
      <c r="AE10" s="821">
        <v>41</v>
      </c>
    </row>
    <row s="4026" customFormat="1" customHeight="1" ht="5.25" hidden="1">
      <c r="A11" s="1115"/>
      <c r="B11" s="1115"/>
      <c r="C11" s="1115"/>
      <c r="E11" s="1113"/>
      <c r="F11" s="2469" t="s">
        <v>373</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981</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982</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81</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BC9A7-C69A-D409-A177-6967C46460D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7. Информация об инвестиционных программах организации водоотведения и отчетах об их исполнении</v>
      </c>
      <c r="G5" s="2311"/>
      <c r="H5" s="2311"/>
      <c r="I5" s="2311"/>
      <c r="J5" s="2311"/>
      <c r="K5" s="2311"/>
      <c r="L5" s="1198"/>
      <c r="M5" s="1198"/>
      <c r="AG5" s="969"/>
      <c r="AH5" s="1211"/>
      <c r="BG5" s="821">
        <v>26</v>
      </c>
    </row>
    <row customHeight="1" ht="10.5">
      <c r="F6" s="2239" t="str">
        <f>IF(org=0,"Не определено",org)</f>
        <v>Филиал "Уренгойская ГРЭС" АО "Интер РАО - Электрогенерация"</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297</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983</v>
      </c>
      <c r="G9" s="2472" t="s">
        <v>984</v>
      </c>
      <c r="H9" s="2473"/>
      <c r="I9" s="2190" t="s">
        <v>985</v>
      </c>
      <c r="J9" s="2190"/>
      <c r="K9" s="2190" t="s">
        <v>986</v>
      </c>
      <c r="L9" s="2190"/>
      <c r="M9" s="2190"/>
      <c r="N9" s="2190"/>
      <c r="O9" s="2190"/>
      <c r="P9" s="2190"/>
      <c r="Q9" s="2190"/>
      <c r="R9" s="2190"/>
      <c r="S9" s="2190"/>
      <c r="T9" s="2190"/>
      <c r="U9" s="2190"/>
      <c r="V9" s="2190"/>
      <c r="W9" s="2190"/>
      <c r="X9" s="2190"/>
      <c r="Y9" s="2190"/>
      <c r="Z9" s="2255" t="s">
        <v>987</v>
      </c>
      <c r="AA9" s="2256"/>
      <c r="AB9" s="2190" t="s">
        <v>988</v>
      </c>
      <c r="AC9" s="2190"/>
      <c r="AD9" s="2190"/>
      <c r="AE9" s="2190"/>
      <c r="AF9" s="2238" t="s">
        <v>989</v>
      </c>
      <c r="AG9" s="2190" t="s">
        <v>990</v>
      </c>
      <c r="AH9" s="2190"/>
      <c r="AI9" s="2238" t="s">
        <v>991</v>
      </c>
      <c r="AJ9" s="2190" t="s">
        <v>992</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993</v>
      </c>
      <c r="L10" s="2164" t="s">
        <v>994</v>
      </c>
      <c r="M10" s="2166"/>
      <c r="N10" s="2190" t="s">
        <v>995</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996</v>
      </c>
      <c r="M11" s="2238" t="s">
        <v>997</v>
      </c>
      <c r="N11" s="2190" t="s">
        <v>998</v>
      </c>
      <c r="O11" s="2190"/>
      <c r="P11" s="2481" t="s">
        <v>979</v>
      </c>
      <c r="Q11" s="2481" t="s">
        <v>999</v>
      </c>
      <c r="R11" s="2481" t="s">
        <v>1000</v>
      </c>
      <c r="S11" s="2481" t="s">
        <v>1001</v>
      </c>
      <c r="T11" s="2481"/>
      <c r="U11" s="2481"/>
      <c r="V11" s="2481"/>
      <c r="W11" s="2481"/>
      <c r="X11" s="2481"/>
      <c r="Y11" s="2481"/>
      <c r="Z11" s="2257"/>
      <c r="AA11" s="2258"/>
      <c r="AB11" s="2190" t="s">
        <v>1002</v>
      </c>
      <c r="AC11" s="2190"/>
      <c r="AD11" s="2164" t="s">
        <v>1003</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88</v>
      </c>
      <c r="J12" s="1216" t="s">
        <v>1004</v>
      </c>
      <c r="K12" s="2190"/>
      <c r="L12" s="2295"/>
      <c r="M12" s="2295"/>
      <c r="N12" s="2190"/>
      <c r="O12" s="2190"/>
      <c r="P12" s="2481"/>
      <c r="Q12" s="2481"/>
      <c r="R12" s="2481"/>
      <c r="S12" s="1197" t="s">
        <v>85</v>
      </c>
      <c r="T12" s="1197" t="s">
        <v>86</v>
      </c>
      <c r="U12" s="1197" t="s">
        <v>84</v>
      </c>
      <c r="V12" s="1197" t="s">
        <v>1005</v>
      </c>
      <c r="W12" s="1197" t="s">
        <v>84</v>
      </c>
      <c r="X12" s="1197" t="s">
        <v>1006</v>
      </c>
      <c r="Y12" s="1197" t="s">
        <v>1007</v>
      </c>
      <c r="Z12" s="2263"/>
      <c r="AA12" s="2264"/>
      <c r="AB12" s="1204" t="s">
        <v>1008</v>
      </c>
      <c r="AC12" s="1204" t="s">
        <v>1009</v>
      </c>
      <c r="AD12" s="1204" t="s">
        <v>1008</v>
      </c>
      <c r="AE12" s="1204" t="s">
        <v>1009</v>
      </c>
      <c r="AF12" s="2295"/>
      <c r="AG12" s="1217" t="s">
        <v>1010</v>
      </c>
      <c r="AH12" s="1217" t="s">
        <v>1011</v>
      </c>
      <c r="AI12" s="2295"/>
      <c r="AJ12" s="1217" t="s">
        <v>1010</v>
      </c>
      <c r="AK12" s="1217" t="s">
        <v>1011</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1012</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81</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3671A-3CEB-A3BA-BCCC-FF7C10E745F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1"/>
      <c r="H5" s="2311"/>
      <c r="I5" s="2311"/>
      <c r="J5" s="2311"/>
      <c r="W5" s="1218">
        <v>26</v>
      </c>
    </row>
    <row customHeight="1" ht="10.5">
      <c r="F6" s="2239" t="str">
        <f>IF(org=0,"Не определено",org)</f>
        <v>Филиал "Уренгойская ГРЭС" АО "Интер РАО - Электрогенерация"</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297</v>
      </c>
      <c r="G9" s="2483"/>
      <c r="H9" s="2483"/>
      <c r="I9" s="2483"/>
      <c r="J9" s="2483"/>
      <c r="K9" s="1303"/>
      <c r="L9" s="1220"/>
      <c r="M9" s="1220"/>
      <c r="N9" s="1220"/>
      <c r="O9" s="1220"/>
      <c r="P9" s="1220"/>
      <c r="Q9" s="1220"/>
      <c r="R9" s="1220"/>
      <c r="S9" s="1220"/>
      <c r="T9" s="1220"/>
      <c r="U9" s="1220"/>
      <c r="V9" s="1220"/>
      <c r="W9" s="1218">
        <v>10</v>
      </c>
    </row>
    <row customHeight="1" ht="25.2">
      <c r="E10" s="1220"/>
      <c r="F10" s="2486" t="s">
        <v>87</v>
      </c>
      <c r="G10" s="2491" t="s">
        <v>1013</v>
      </c>
      <c r="H10" s="2489" t="s">
        <v>1014</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1015</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1016</v>
      </c>
      <c r="G14" s="2484" t="s">
        <v>1017</v>
      </c>
      <c r="H14" s="2484"/>
      <c r="I14" s="2484"/>
      <c r="J14" s="2484"/>
      <c r="K14" s="1297"/>
      <c r="W14" s="1218">
        <v>11</v>
      </c>
    </row>
    <row customHeight="1" ht="11.549999999999999">
      <c r="F15" s="1293">
        <v>1</v>
      </c>
      <c r="G15" s="753" t="s">
        <v>1018</v>
      </c>
      <c r="H15" s="1299">
        <f>SUM(I15:J15)</f>
        <v>0</v>
      </c>
      <c r="I15" s="1299">
        <f>SUM(I16:I27)</f>
        <v>0</v>
      </c>
      <c r="J15" s="1288"/>
      <c r="K15" s="1297"/>
      <c r="W15" s="1218">
        <v>11</v>
      </c>
    </row>
    <row customHeight="1" ht="24">
      <c r="F16" s="1293" t="s">
        <v>1019</v>
      </c>
      <c r="G16" s="1300" t="s">
        <v>1020</v>
      </c>
      <c r="H16" s="1299">
        <f>SUM(I16:J16)</f>
        <v>0</v>
      </c>
      <c r="I16" s="1298"/>
      <c r="J16" s="1288"/>
      <c r="K16" s="1297"/>
      <c r="W16" s="1218">
        <v>23</v>
      </c>
    </row>
    <row customHeight="1" ht="24">
      <c r="F17" s="1293" t="s">
        <v>1021</v>
      </c>
      <c r="G17" s="1300" t="s">
        <v>1022</v>
      </c>
      <c r="H17" s="1299">
        <f>SUM(I17:J17)</f>
        <v>0</v>
      </c>
      <c r="I17" s="1298"/>
      <c r="J17" s="1288"/>
      <c r="K17" s="1297"/>
      <c r="W17" s="1218">
        <v>23</v>
      </c>
    </row>
    <row customHeight="1" ht="35.699999999999996">
      <c r="F18" s="1293" t="s">
        <v>1023</v>
      </c>
      <c r="G18" s="1300" t="s">
        <v>1024</v>
      </c>
      <c r="H18" s="1299">
        <f>SUM(I18:J18)</f>
        <v>0</v>
      </c>
      <c r="I18" s="1298"/>
      <c r="J18" s="1288"/>
      <c r="K18" s="1297"/>
      <c r="W18" s="1218">
        <v>34</v>
      </c>
    </row>
    <row customHeight="1" ht="35.699999999999996">
      <c r="F19" s="1293" t="s">
        <v>1025</v>
      </c>
      <c r="G19" s="1300" t="s">
        <v>1026</v>
      </c>
      <c r="H19" s="1299">
        <f>SUM(I19:J19)</f>
        <v>0</v>
      </c>
      <c r="I19" s="1298"/>
      <c r="J19" s="1288"/>
      <c r="K19" s="1297"/>
      <c r="W19" s="1218">
        <v>34</v>
      </c>
    </row>
    <row customHeight="1" ht="48.29999999999999">
      <c r="F20" s="1293" t="s">
        <v>1027</v>
      </c>
      <c r="G20" s="1300" t="s">
        <v>1028</v>
      </c>
      <c r="H20" s="1299">
        <f>SUM(I20:J20)</f>
        <v>0</v>
      </c>
      <c r="I20" s="1298"/>
      <c r="J20" s="1288"/>
      <c r="K20" s="1297"/>
      <c r="W20" s="1218">
        <v>46</v>
      </c>
    </row>
    <row customHeight="1" ht="35.699999999999996">
      <c r="F21" s="1293" t="s">
        <v>1029</v>
      </c>
      <c r="G21" s="1300" t="s">
        <v>1030</v>
      </c>
      <c r="H21" s="1299">
        <f>SUM(I21:J21)</f>
        <v>0</v>
      </c>
      <c r="I21" s="1298"/>
      <c r="J21" s="1288"/>
      <c r="K21" s="1297"/>
      <c r="W21" s="1218">
        <v>34</v>
      </c>
    </row>
    <row customHeight="1" ht="35.699999999999996">
      <c r="F22" s="1293" t="s">
        <v>1031</v>
      </c>
      <c r="G22" s="1300" t="s">
        <v>1032</v>
      </c>
      <c r="H22" s="1299">
        <f>SUM(I22:J22)</f>
        <v>0</v>
      </c>
      <c r="I22" s="1298"/>
      <c r="J22" s="1288"/>
      <c r="K22" s="1297"/>
      <c r="W22" s="1218">
        <v>34</v>
      </c>
    </row>
    <row customHeight="1" ht="24">
      <c r="F23" s="1293" t="s">
        <v>1033</v>
      </c>
      <c r="G23" s="1300" t="s">
        <v>1034</v>
      </c>
      <c r="H23" s="1299">
        <f>SUM(I23:J23)</f>
        <v>0</v>
      </c>
      <c r="I23" s="1298"/>
      <c r="J23" s="1288"/>
      <c r="K23" s="1297"/>
      <c r="W23" s="1218">
        <v>23</v>
      </c>
    </row>
    <row customHeight="1" ht="24">
      <c r="F24" s="1293" t="s">
        <v>1035</v>
      </c>
      <c r="G24" s="1300" t="s">
        <v>1036</v>
      </c>
      <c r="H24" s="1299">
        <f>SUM(I24:J24)</f>
        <v>0</v>
      </c>
      <c r="I24" s="1298"/>
      <c r="J24" s="1288"/>
      <c r="K24" s="1297"/>
      <c r="W24" s="1218">
        <v>23</v>
      </c>
    </row>
    <row customHeight="1" ht="35.699999999999996">
      <c r="F25" s="1293" t="s">
        <v>1037</v>
      </c>
      <c r="G25" s="1300" t="s">
        <v>1038</v>
      </c>
      <c r="H25" s="1299">
        <f>SUM(I25:J25)</f>
        <v>0</v>
      </c>
      <c r="I25" s="1298"/>
      <c r="J25" s="1288"/>
      <c r="K25" s="1297"/>
      <c r="W25" s="1218">
        <v>34</v>
      </c>
    </row>
    <row customHeight="1" ht="35.699999999999996">
      <c r="F26" s="1293" t="s">
        <v>1039</v>
      </c>
      <c r="G26" s="1300" t="s">
        <v>1040</v>
      </c>
      <c r="H26" s="1299">
        <f>SUM(I26:J26)</f>
        <v>0</v>
      </c>
      <c r="I26" s="1298"/>
      <c r="J26" s="1288"/>
      <c r="K26" s="1297"/>
      <c r="W26" s="1218">
        <v>34</v>
      </c>
    </row>
    <row customHeight="1" ht="11.549999999999999">
      <c r="F27" s="1293" t="s">
        <v>1041</v>
      </c>
      <c r="G27" s="1300" t="s">
        <v>1042</v>
      </c>
      <c r="H27" s="1299">
        <f>SUM(I27:J27)</f>
        <v>0</v>
      </c>
      <c r="I27" s="1298"/>
      <c r="J27" s="1288"/>
      <c r="K27" s="1297"/>
      <c r="W27" s="1218">
        <v>11</v>
      </c>
    </row>
    <row customHeight="1" ht="11.549999999999999">
      <c r="F28" s="1293">
        <v>2</v>
      </c>
      <c r="G28" s="753" t="s">
        <v>1043</v>
      </c>
      <c r="H28" s="1299">
        <f>SUM(I28:J28)</f>
        <v>0</v>
      </c>
      <c r="I28" s="1299">
        <f>SUM(I29:I31)</f>
        <v>0</v>
      </c>
      <c r="J28" s="1288"/>
      <c r="K28" s="1297"/>
      <c r="W28" s="1218">
        <v>11</v>
      </c>
    </row>
    <row customHeight="1" ht="11.549999999999999">
      <c r="F29" s="1293" t="s">
        <v>706</v>
      </c>
      <c r="G29" s="1300" t="s">
        <v>1044</v>
      </c>
      <c r="H29" s="1299">
        <f>SUM(I29:J29)</f>
        <v>0</v>
      </c>
      <c r="I29" s="1298"/>
      <c r="J29" s="1288"/>
      <c r="K29" s="1297"/>
      <c r="W29" s="1218">
        <v>11</v>
      </c>
    </row>
    <row customHeight="1" ht="11.549999999999999">
      <c r="F30" s="1293" t="s">
        <v>304</v>
      </c>
      <c r="G30" s="1300" t="s">
        <v>1045</v>
      </c>
      <c r="H30" s="1299">
        <f>SUM(I30:J30)</f>
        <v>0</v>
      </c>
      <c r="I30" s="1298"/>
      <c r="J30" s="1288"/>
      <c r="K30" s="1297"/>
      <c r="W30" s="1218">
        <v>11</v>
      </c>
    </row>
    <row customHeight="1" ht="11.549999999999999">
      <c r="F31" s="1293" t="s">
        <v>307</v>
      </c>
      <c r="G31" s="1300" t="s">
        <v>1046</v>
      </c>
      <c r="H31" s="1299">
        <f>SUM(I31:J31)</f>
        <v>0</v>
      </c>
      <c r="I31" s="1298"/>
      <c r="J31" s="1288"/>
      <c r="K31" s="1297"/>
      <c r="W31" s="1218">
        <v>11</v>
      </c>
    </row>
    <row customHeight="1" ht="11.549999999999999">
      <c r="F32" s="1293">
        <v>3</v>
      </c>
      <c r="G32" s="753" t="s">
        <v>1047</v>
      </c>
      <c r="H32" s="1299">
        <f>SUM(I32:J32)</f>
        <v>0</v>
      </c>
      <c r="I32" s="1299">
        <f>SUM(I33:I34)</f>
        <v>0</v>
      </c>
      <c r="J32" s="1288"/>
      <c r="K32" s="1297"/>
      <c r="W32" s="1218">
        <v>11</v>
      </c>
    </row>
    <row customHeight="1" ht="48.29999999999999">
      <c r="F33" s="1293" t="s">
        <v>321</v>
      </c>
      <c r="G33" s="1300" t="s">
        <v>1048</v>
      </c>
      <c r="H33" s="1299">
        <f>SUM(I33:J33)</f>
        <v>0</v>
      </c>
      <c r="I33" s="1298"/>
      <c r="J33" s="1288"/>
      <c r="K33" s="1297"/>
      <c r="W33" s="1218">
        <v>46</v>
      </c>
    </row>
    <row customHeight="1" ht="11.549999999999999">
      <c r="F34" s="1293" t="s">
        <v>329</v>
      </c>
      <c r="G34" s="1300" t="s">
        <v>1049</v>
      </c>
      <c r="H34" s="1299">
        <f>SUM(I34:J34)</f>
        <v>0</v>
      </c>
      <c r="I34" s="1298"/>
      <c r="J34" s="1288"/>
      <c r="K34" s="1297"/>
      <c r="W34" s="1218">
        <v>11</v>
      </c>
    </row>
    <row customHeight="1" ht="11.549999999999999">
      <c r="F35" s="1293">
        <v>4</v>
      </c>
      <c r="G35" s="753" t="s">
        <v>1050</v>
      </c>
      <c r="H35" s="1299">
        <f>SUM(I35:J35)</f>
        <v>0</v>
      </c>
      <c r="I35" s="1298"/>
      <c r="J35" s="1288"/>
      <c r="K35" s="1297"/>
      <c r="W35" s="1218">
        <v>11</v>
      </c>
    </row>
    <row customHeight="1" ht="11.549999999999999">
      <c r="F36" s="1293"/>
      <c r="G36" s="756" t="s">
        <v>1051</v>
      </c>
      <c r="H36" s="1299">
        <f>SUM(I36:J36)</f>
        <v>0</v>
      </c>
      <c r="I36" s="1299">
        <f>SUM(I15,I28,I32,I35)</f>
        <v>0</v>
      </c>
      <c r="J36" s="1288"/>
      <c r="K36" s="1297"/>
      <c r="W36" s="1218">
        <v>11</v>
      </c>
    </row>
    <row customHeight="1" ht="29.25">
      <c r="F37" s="1294" t="s">
        <v>1052</v>
      </c>
      <c r="G37" s="2485" t="s">
        <v>1053</v>
      </c>
      <c r="H37" s="2485"/>
      <c r="I37" s="2485"/>
      <c r="J37" s="2485"/>
      <c r="K37" s="1297"/>
      <c r="W37" s="1218">
        <v>28</v>
      </c>
    </row>
    <row customHeight="1" ht="24">
      <c r="F38" s="1293" t="s">
        <v>108</v>
      </c>
      <c r="G38" s="753" t="s">
        <v>1054</v>
      </c>
      <c r="H38" s="1299">
        <f>SUM(I38:J38)</f>
        <v>0</v>
      </c>
      <c r="I38" s="1299">
        <f>SUM(I39,I44,I47)</f>
        <v>0</v>
      </c>
      <c r="J38" s="1288"/>
      <c r="K38" s="1297"/>
      <c r="W38" s="1218">
        <v>23</v>
      </c>
    </row>
    <row customHeight="1" ht="11.549999999999999">
      <c r="F39" s="1293" t="s">
        <v>1019</v>
      </c>
      <c r="G39" s="1300" t="s">
        <v>1018</v>
      </c>
      <c r="H39" s="1299">
        <f>SUM(I39:J39)</f>
        <v>0</v>
      </c>
      <c r="I39" s="1299">
        <f>SUM(I40:I43)</f>
        <v>0</v>
      </c>
      <c r="J39" s="1288"/>
      <c r="K39" s="1297"/>
      <c r="W39" s="1218">
        <v>11</v>
      </c>
    </row>
    <row customHeight="1" ht="24">
      <c r="F40" s="1293" t="s">
        <v>1055</v>
      </c>
      <c r="G40" s="1301" t="s">
        <v>1056</v>
      </c>
      <c r="H40" s="1299">
        <f>SUM(I40:J40)</f>
        <v>0</v>
      </c>
      <c r="I40" s="1298"/>
      <c r="J40" s="1288"/>
      <c r="K40" s="1297"/>
      <c r="W40" s="1218">
        <v>23</v>
      </c>
    </row>
    <row customHeight="1" ht="11.549999999999999">
      <c r="F41" s="1293" t="s">
        <v>1057</v>
      </c>
      <c r="G41" s="1301" t="s">
        <v>1058</v>
      </c>
      <c r="H41" s="1299">
        <f>SUM(I41:J41)</f>
        <v>0</v>
      </c>
      <c r="I41" s="1298"/>
      <c r="J41" s="1288"/>
      <c r="K41" s="1297"/>
      <c r="W41" s="1218">
        <v>11</v>
      </c>
    </row>
    <row customHeight="1" ht="11.549999999999999">
      <c r="F42" s="1293" t="s">
        <v>1059</v>
      </c>
      <c r="G42" s="1301" t="s">
        <v>1060</v>
      </c>
      <c r="H42" s="1299">
        <f>SUM(I42:J42)</f>
        <v>0</v>
      </c>
      <c r="I42" s="1298"/>
      <c r="J42" s="1288"/>
      <c r="K42" s="1297"/>
      <c r="W42" s="1218">
        <v>11</v>
      </c>
    </row>
    <row customHeight="1" ht="35.699999999999996">
      <c r="F43" s="1293" t="s">
        <v>1061</v>
      </c>
      <c r="G43" s="1301" t="s">
        <v>1062</v>
      </c>
      <c r="H43" s="1299">
        <f>SUM(I43:J43)</f>
        <v>0</v>
      </c>
      <c r="I43" s="1298"/>
      <c r="J43" s="1288"/>
      <c r="K43" s="1297"/>
      <c r="W43" s="1218">
        <v>34</v>
      </c>
    </row>
    <row customHeight="1" ht="11.549999999999999">
      <c r="F44" s="1293" t="s">
        <v>1021</v>
      </c>
      <c r="G44" s="1300" t="s">
        <v>1047</v>
      </c>
      <c r="H44" s="1299">
        <f>SUM(I44:J44)</f>
        <v>0</v>
      </c>
      <c r="I44" s="1299">
        <f>SUM(I45:I46)</f>
        <v>0</v>
      </c>
      <c r="J44" s="1288"/>
      <c r="K44" s="1297"/>
      <c r="W44" s="1218">
        <v>11</v>
      </c>
    </row>
    <row customHeight="1" ht="48.29999999999999">
      <c r="F45" s="1293" t="s">
        <v>1063</v>
      </c>
      <c r="G45" s="1301" t="s">
        <v>1048</v>
      </c>
      <c r="H45" s="1299">
        <f>SUM(I45:J45)</f>
        <v>0</v>
      </c>
      <c r="I45" s="1298"/>
      <c r="J45" s="1288"/>
      <c r="K45" s="1297"/>
      <c r="W45" s="1218">
        <v>46</v>
      </c>
    </row>
    <row customHeight="1" ht="11.549999999999999">
      <c r="F46" s="1293" t="s">
        <v>1064</v>
      </c>
      <c r="G46" s="1301" t="s">
        <v>1049</v>
      </c>
      <c r="H46" s="1299">
        <f>SUM(I46:J46)</f>
        <v>0</v>
      </c>
      <c r="I46" s="1298"/>
      <c r="J46" s="1288"/>
      <c r="K46" s="1297"/>
      <c r="W46" s="1218">
        <v>11</v>
      </c>
    </row>
    <row customHeight="1" ht="11.549999999999999">
      <c r="F47" s="1293" t="s">
        <v>1023</v>
      </c>
      <c r="G47" s="1300" t="s">
        <v>1065</v>
      </c>
      <c r="H47" s="1299">
        <f>SUM(I47:J47)</f>
        <v>0</v>
      </c>
      <c r="I47" s="1298"/>
      <c r="J47" s="1288"/>
      <c r="K47" s="1297"/>
      <c r="W47" s="1218">
        <v>11</v>
      </c>
    </row>
    <row customHeight="1" ht="24">
      <c r="F48" s="1293" t="s">
        <v>109</v>
      </c>
      <c r="G48" s="753" t="s">
        <v>1066</v>
      </c>
      <c r="H48" s="1299">
        <f>SUM(I48:J48)</f>
        <v>0</v>
      </c>
      <c r="I48" s="1299">
        <f>SUM(I49,I54,I57)</f>
        <v>0</v>
      </c>
      <c r="J48" s="1288"/>
      <c r="K48" s="1297"/>
      <c r="W48" s="1218">
        <v>23</v>
      </c>
    </row>
    <row customHeight="1" ht="11.549999999999999">
      <c r="F49" s="1293" t="s">
        <v>706</v>
      </c>
      <c r="G49" s="1300" t="s">
        <v>1018</v>
      </c>
      <c r="H49" s="1299">
        <f>SUM(I49:J49)</f>
        <v>0</v>
      </c>
      <c r="I49" s="1299">
        <f>SUM(I50:I53)</f>
        <v>0</v>
      </c>
      <c r="J49" s="1288"/>
      <c r="K49" s="1297"/>
      <c r="W49" s="1218">
        <v>11</v>
      </c>
    </row>
    <row customHeight="1" ht="24">
      <c r="F50" s="1293" t="s">
        <v>709</v>
      </c>
      <c r="G50" s="1301" t="s">
        <v>1056</v>
      </c>
      <c r="H50" s="1299">
        <f>SUM(I50:J50)</f>
        <v>0</v>
      </c>
      <c r="I50" s="1298"/>
      <c r="J50" s="1288"/>
      <c r="K50" s="1297"/>
      <c r="W50" s="1218">
        <v>23</v>
      </c>
    </row>
    <row customHeight="1" ht="11.549999999999999">
      <c r="F51" s="1293" t="s">
        <v>712</v>
      </c>
      <c r="G51" s="1301" t="s">
        <v>1058</v>
      </c>
      <c r="H51" s="1299">
        <f>SUM(I51:J51)</f>
        <v>0</v>
      </c>
      <c r="I51" s="1298"/>
      <c r="J51" s="1288"/>
      <c r="K51" s="1297"/>
      <c r="W51" s="1218">
        <v>11</v>
      </c>
    </row>
    <row customHeight="1" ht="11.549999999999999">
      <c r="F52" s="1293" t="s">
        <v>1067</v>
      </c>
      <c r="G52" s="1301" t="s">
        <v>1060</v>
      </c>
      <c r="H52" s="1299">
        <f>SUM(I52:J52)</f>
        <v>0</v>
      </c>
      <c r="I52" s="1298"/>
      <c r="J52" s="1288"/>
      <c r="K52" s="1297"/>
      <c r="W52" s="1218">
        <v>11</v>
      </c>
    </row>
    <row customHeight="1" ht="35.699999999999996">
      <c r="F53" s="1293" t="s">
        <v>1068</v>
      </c>
      <c r="G53" s="1301" t="s">
        <v>1062</v>
      </c>
      <c r="H53" s="1299">
        <f>SUM(I53:J53)</f>
        <v>0</v>
      </c>
      <c r="I53" s="1298"/>
      <c r="J53" s="1288"/>
      <c r="K53" s="1297"/>
      <c r="W53" s="1218">
        <v>34</v>
      </c>
    </row>
    <row customHeight="1" ht="11.549999999999999">
      <c r="F54" s="1293" t="s">
        <v>304</v>
      </c>
      <c r="G54" s="1300" t="s">
        <v>1047</v>
      </c>
      <c r="H54" s="1299">
        <f>SUM(I54:J54)</f>
        <v>0</v>
      </c>
      <c r="I54" s="1299">
        <f>SUM(I55:I56)</f>
        <v>0</v>
      </c>
      <c r="J54" s="1288"/>
      <c r="K54" s="1297"/>
      <c r="W54" s="1218">
        <v>11</v>
      </c>
    </row>
    <row customHeight="1" ht="48.29999999999999">
      <c r="F55" s="1293" t="s">
        <v>716</v>
      </c>
      <c r="G55" s="1301" t="s">
        <v>1048</v>
      </c>
      <c r="H55" s="1299">
        <f>SUM(I55:J55)</f>
        <v>0</v>
      </c>
      <c r="I55" s="1298"/>
      <c r="J55" s="1288"/>
      <c r="K55" s="1297"/>
      <c r="W55" s="1218">
        <v>46</v>
      </c>
    </row>
    <row customHeight="1" ht="11.549999999999999">
      <c r="F56" s="1293" t="s">
        <v>718</v>
      </c>
      <c r="G56" s="1301" t="s">
        <v>1049</v>
      </c>
      <c r="H56" s="1299">
        <f>SUM(I56:J56)</f>
        <v>0</v>
      </c>
      <c r="I56" s="1298"/>
      <c r="J56" s="1288"/>
      <c r="K56" s="1297"/>
      <c r="W56" s="1218">
        <v>11</v>
      </c>
    </row>
    <row customHeight="1" ht="11.549999999999999">
      <c r="F57" s="1293" t="s">
        <v>307</v>
      </c>
      <c r="G57" s="1300" t="s">
        <v>1065</v>
      </c>
      <c r="H57" s="1299">
        <f>SUM(I57:J57)</f>
        <v>0</v>
      </c>
      <c r="I57" s="1298"/>
      <c r="J57" s="1288"/>
      <c r="K57" s="1297"/>
      <c r="W57" s="1218">
        <v>11</v>
      </c>
    </row>
    <row customHeight="1" ht="11.549999999999999">
      <c r="F58" s="1293"/>
      <c r="G58" s="1302" t="s">
        <v>1051</v>
      </c>
      <c r="H58" s="1299">
        <f>SUM(I58:J58)</f>
        <v>0</v>
      </c>
      <c r="I58" s="1299">
        <f>SUM(I38,I48)</f>
        <v>0</v>
      </c>
      <c r="J58" s="1288"/>
      <c r="K58" s="1297"/>
      <c r="W58" s="1218">
        <v>11</v>
      </c>
    </row>
    <row customHeight="1" ht="10.5" hidden="1">
      <c r="A59" s="1229" t="s">
        <v>81</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2CAD9-1F3C-9422-B076-44F94E26981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hidden="1" customWidth="1"/>
    <col min="29" max="71" style="4425" width="0.8515625" hidden="1"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customWidth="1"/>
    <col min="115" max="128" style="4425" width="0.7109375" customWidth="1"/>
    <col min="129"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Филиал "Уренгойская ГРЭС" АО "Интер РАО - Электрогенерация"</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1069</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1070</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297</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87</v>
      </c>
      <c r="G11" s="2268" t="s">
        <v>1071</v>
      </c>
      <c r="H11" s="2500" t="s">
        <v>1072</v>
      </c>
      <c r="I11" s="2500" t="s">
        <v>1073</v>
      </c>
      <c r="J11" s="2501"/>
      <c r="K11" s="2501"/>
      <c r="L11" s="2501"/>
      <c r="M11" s="2501"/>
      <c r="N11" s="2501"/>
      <c r="O11" s="2272" t="s">
        <v>1074</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1074</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1074</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1075</v>
      </c>
      <c r="P12" s="2272"/>
      <c r="Q12" s="2272"/>
      <c r="R12" s="2272"/>
      <c r="S12" s="2272" t="s">
        <v>1076</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1077</v>
      </c>
      <c r="BU12" s="2450"/>
      <c r="BV12" s="2450"/>
      <c r="BW12" s="2496"/>
      <c r="BX12" s="2449" t="s">
        <v>1078</v>
      </c>
      <c r="BY12" s="2450"/>
      <c r="BZ12" s="2450"/>
      <c r="CA12" s="2496"/>
      <c r="CB12" s="2449" t="s">
        <v>1079</v>
      </c>
      <c r="CC12" s="2496"/>
      <c r="CD12" s="2449" t="s">
        <v>1080</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1081</v>
      </c>
      <c r="CZ12" s="2450"/>
      <c r="DA12" s="2450"/>
      <c r="DB12" s="2450"/>
      <c r="DC12" s="2450"/>
      <c r="DD12" s="2496"/>
      <c r="DE12" s="2449" t="s">
        <v>1082</v>
      </c>
      <c r="DF12" s="2496"/>
      <c r="DG12" s="2449" t="s">
        <v>1080</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1083</v>
      </c>
      <c r="P13" s="2272"/>
      <c r="Q13" s="2272"/>
      <c r="R13" s="2272"/>
      <c r="S13" s="2399" t="s">
        <v>1084</v>
      </c>
      <c r="T13" s="2451"/>
      <c r="U13" s="2190" t="s">
        <v>1085</v>
      </c>
      <c r="V13" s="2190"/>
      <c r="W13" s="2190"/>
      <c r="X13" s="2190"/>
      <c r="Y13" s="2190" t="s">
        <v>1086</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1087</v>
      </c>
      <c r="BU13" s="2451"/>
      <c r="BV13" s="2399" t="s">
        <v>1088</v>
      </c>
      <c r="BW13" s="2451"/>
      <c r="BX13" s="2399" t="s">
        <v>1089</v>
      </c>
      <c r="BY13" s="2451"/>
      <c r="BZ13" s="2399" t="s">
        <v>1090</v>
      </c>
      <c r="CA13" s="2451"/>
      <c r="CB13" s="2399" t="s">
        <v>1091</v>
      </c>
      <c r="CC13" s="2451"/>
      <c r="CD13" s="2399" t="s">
        <v>1092</v>
      </c>
      <c r="CE13" s="2451"/>
      <c r="CF13" s="2399" t="s">
        <v>1093</v>
      </c>
      <c r="CG13" s="2451"/>
      <c r="CH13" s="2449" t="s">
        <v>1094</v>
      </c>
      <c r="CI13" s="2450"/>
      <c r="CJ13" s="2450"/>
      <c r="CK13" s="2496"/>
      <c r="CL13" s="2499"/>
      <c r="CM13" s="2497"/>
      <c r="CN13" s="2497"/>
      <c r="CO13" s="2497"/>
      <c r="CP13" s="2497"/>
      <c r="CQ13" s="2497"/>
      <c r="CR13" s="2497"/>
      <c r="CS13" s="2497"/>
      <c r="CT13" s="2497"/>
      <c r="CU13" s="2497"/>
      <c r="CV13" s="2497"/>
      <c r="CW13" s="2497"/>
      <c r="CX13" s="2516"/>
      <c r="CY13" s="2399" t="s">
        <v>1095</v>
      </c>
      <c r="CZ13" s="2451"/>
      <c r="DA13" s="2399" t="s">
        <v>1096</v>
      </c>
      <c r="DB13" s="2451"/>
      <c r="DC13" s="2399" t="s">
        <v>1097</v>
      </c>
      <c r="DD13" s="2451"/>
      <c r="DE13" s="2399" t="s">
        <v>1098</v>
      </c>
      <c r="DF13" s="2451"/>
      <c r="DG13" s="2449" t="s">
        <v>1099</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1100</v>
      </c>
      <c r="P14" s="2451"/>
      <c r="Q14" s="2399" t="s">
        <v>1101</v>
      </c>
      <c r="R14" s="2451"/>
      <c r="S14" s="2400"/>
      <c r="T14" s="2276"/>
      <c r="U14" s="2399" t="s">
        <v>833</v>
      </c>
      <c r="V14" s="2451"/>
      <c r="W14" s="2399" t="s">
        <v>836</v>
      </c>
      <c r="X14" s="2451"/>
      <c r="Y14" s="2399" t="s">
        <v>833</v>
      </c>
      <c r="Z14" s="2451"/>
      <c r="AA14" s="2399" t="s">
        <v>843</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1102</v>
      </c>
      <c r="CI14" s="2451"/>
      <c r="CJ14" s="2399" t="s">
        <v>1103</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1104</v>
      </c>
      <c r="DH14" s="2451"/>
      <c r="DI14" s="2399" t="s">
        <v>1105</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823</v>
      </c>
      <c r="P16" s="2496"/>
      <c r="Q16" s="2449" t="s">
        <v>825</v>
      </c>
      <c r="R16" s="2496"/>
      <c r="S16" s="2449" t="s">
        <v>829</v>
      </c>
      <c r="T16" s="2496"/>
      <c r="U16" s="2449" t="s">
        <v>834</v>
      </c>
      <c r="V16" s="2496"/>
      <c r="W16" s="2449" t="s">
        <v>837</v>
      </c>
      <c r="X16" s="2496"/>
      <c r="Y16" s="2449" t="s">
        <v>841</v>
      </c>
      <c r="Z16" s="2496"/>
      <c r="AA16" s="2449" t="s">
        <v>844</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555</v>
      </c>
      <c r="BU16" s="2496"/>
      <c r="BV16" s="2449" t="s">
        <v>555</v>
      </c>
      <c r="BW16" s="2496"/>
      <c r="BX16" s="2449" t="s">
        <v>555</v>
      </c>
      <c r="BY16" s="2496"/>
      <c r="BZ16" s="2449" t="s">
        <v>555</v>
      </c>
      <c r="CA16" s="2496"/>
      <c r="CB16" s="2449" t="s">
        <v>1106</v>
      </c>
      <c r="CC16" s="2496"/>
      <c r="CD16" s="2449" t="s">
        <v>555</v>
      </c>
      <c r="CE16" s="2496"/>
      <c r="CF16" s="2449" t="s">
        <v>1107</v>
      </c>
      <c r="CG16" s="2496"/>
      <c r="CH16" s="2449" t="s">
        <v>1108</v>
      </c>
      <c r="CI16" s="2496"/>
      <c r="CJ16" s="2449" t="s">
        <v>1108</v>
      </c>
      <c r="CK16" s="2496"/>
      <c r="CL16" s="2499"/>
      <c r="CM16" s="2497"/>
      <c r="CN16" s="2497"/>
      <c r="CO16" s="2497"/>
      <c r="CP16" s="2497"/>
      <c r="CQ16" s="2497"/>
      <c r="CR16" s="2497"/>
      <c r="CS16" s="2497"/>
      <c r="CT16" s="2497"/>
      <c r="CU16" s="2497"/>
      <c r="CV16" s="2497"/>
      <c r="CW16" s="2497"/>
      <c r="CX16" s="2516"/>
      <c r="CY16" s="2399" t="s">
        <v>555</v>
      </c>
      <c r="CZ16" s="2451"/>
      <c r="DA16" s="2399" t="s">
        <v>555</v>
      </c>
      <c r="DB16" s="2451"/>
      <c r="DC16" s="2399" t="s">
        <v>555</v>
      </c>
      <c r="DD16" s="2451"/>
      <c r="DE16" s="2449" t="s">
        <v>1106</v>
      </c>
      <c r="DF16" s="2496"/>
      <c r="DG16" s="2449" t="s">
        <v>1109</v>
      </c>
      <c r="DH16" s="2496"/>
      <c r="DI16" s="2449" t="s">
        <v>1109</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1110</v>
      </c>
      <c r="P17" s="1254" t="s">
        <v>1111</v>
      </c>
      <c r="Q17" s="1254" t="s">
        <v>1110</v>
      </c>
      <c r="R17" s="1254" t="s">
        <v>1111</v>
      </c>
      <c r="S17" s="1254" t="s">
        <v>1110</v>
      </c>
      <c r="T17" s="1254" t="s">
        <v>1111</v>
      </c>
      <c r="U17" s="1254" t="s">
        <v>1110</v>
      </c>
      <c r="V17" s="1254" t="s">
        <v>1111</v>
      </c>
      <c r="W17" s="1254" t="s">
        <v>1110</v>
      </c>
      <c r="X17" s="1254" t="s">
        <v>1111</v>
      </c>
      <c r="Y17" s="1254" t="s">
        <v>1110</v>
      </c>
      <c r="Z17" s="1254" t="s">
        <v>1111</v>
      </c>
      <c r="AA17" s="1254" t="s">
        <v>1110</v>
      </c>
      <c r="AB17" s="1254" t="s">
        <v>1111</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1110</v>
      </c>
      <c r="BU17" s="1254" t="s">
        <v>1111</v>
      </c>
      <c r="BV17" s="1254" t="s">
        <v>1110</v>
      </c>
      <c r="BW17" s="1254" t="s">
        <v>1111</v>
      </c>
      <c r="BX17" s="1254" t="s">
        <v>1110</v>
      </c>
      <c r="BY17" s="1254" t="s">
        <v>1111</v>
      </c>
      <c r="BZ17" s="1254" t="s">
        <v>1110</v>
      </c>
      <c r="CA17" s="1254" t="s">
        <v>1111</v>
      </c>
      <c r="CB17" s="1254" t="s">
        <v>1110</v>
      </c>
      <c r="CC17" s="1254" t="s">
        <v>1111</v>
      </c>
      <c r="CD17" s="1254" t="s">
        <v>1110</v>
      </c>
      <c r="CE17" s="1254" t="s">
        <v>1111</v>
      </c>
      <c r="CF17" s="1254" t="s">
        <v>1110</v>
      </c>
      <c r="CG17" s="1254" t="s">
        <v>1111</v>
      </c>
      <c r="CH17" s="1254" t="s">
        <v>1110</v>
      </c>
      <c r="CI17" s="1254" t="s">
        <v>1111</v>
      </c>
      <c r="CJ17" s="1254" t="s">
        <v>1110</v>
      </c>
      <c r="CK17" s="1254" t="s">
        <v>1111</v>
      </c>
      <c r="CL17" s="2499"/>
      <c r="CM17" s="2497"/>
      <c r="CN17" s="2497"/>
      <c r="CO17" s="2497"/>
      <c r="CP17" s="2497"/>
      <c r="CQ17" s="2497"/>
      <c r="CR17" s="2497"/>
      <c r="CS17" s="2497"/>
      <c r="CT17" s="2497"/>
      <c r="CU17" s="2497"/>
      <c r="CV17" s="2497"/>
      <c r="CW17" s="2497"/>
      <c r="CX17" s="2516"/>
      <c r="CY17" s="1254" t="s">
        <v>1110</v>
      </c>
      <c r="CZ17" s="1254" t="s">
        <v>1111</v>
      </c>
      <c r="DA17" s="1254" t="s">
        <v>1110</v>
      </c>
      <c r="DB17" s="1254" t="s">
        <v>1111</v>
      </c>
      <c r="DC17" s="1254" t="s">
        <v>1110</v>
      </c>
      <c r="DD17" s="1254" t="s">
        <v>1111</v>
      </c>
      <c r="DE17" s="1254" t="s">
        <v>1110</v>
      </c>
      <c r="DF17" s="1254" t="s">
        <v>1111</v>
      </c>
      <c r="DG17" s="1254" t="s">
        <v>1110</v>
      </c>
      <c r="DH17" s="1254" t="s">
        <v>1111</v>
      </c>
      <c r="DI17" s="1254" t="s">
        <v>1110</v>
      </c>
      <c r="DJ17" s="1254" t="s">
        <v>1111</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373</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81</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5915B-84D8-6475-5B77-AA8FD428A1E5}" mc:Ignorable="x14ac xr xr2 xr3">
  <sheetPr>
    <tabColor theme="2" tint="-0.1"/>
  </sheetPr>
  <dimension ref="A1:S23"/>
  <sheetViews>
    <sheetView showGridLines="0" zoomScale="90" workbookViewId="0">
      <pane xSplit="7" ySplit="14" topLeftCell="H18"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686</v>
      </c>
      <c r="D2" s="602"/>
      <c r="E2" s="726"/>
      <c r="F2" s="1824" t="str">
        <f>IF(TEMPLATE_SPHERE="HEAT","Гкал/час","тыс. куб. м/сутки")</f>
        <v>тыс. куб. м/сутки</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0"/>
      <c r="F5" s="2300"/>
      <c r="G5" s="2300"/>
      <c r="H5" s="2300"/>
      <c r="I5" s="600"/>
      <c r="S5" s="568">
        <v>38</v>
      </c>
    </row>
    <row customHeight="1" ht="15.75">
      <c r="C6" s="239"/>
      <c r="D6" s="2239" t="str">
        <f>IF(org=0,"Не определено",org)</f>
        <v>Филиал "Уренгойская ГРЭС" АО "Интер РАО - Электрогенерация"</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116</v>
      </c>
      <c r="S8" s="568">
        <v>1</v>
      </c>
    </row>
    <row customHeight="1" ht="15.75">
      <c r="C9" s="239"/>
      <c r="D9" s="774"/>
      <c r="E9" s="2430" t="s">
        <v>104</v>
      </c>
      <c r="F9" s="2431"/>
      <c r="G9" s="879" t="str">
        <f>IF(G8="","",INDEX(DIFFERENTIATION_UNMERGE_VD,MATCH(G8,DIFFERENTIATION_ID_DIFF,0)))</f>
        <v/>
      </c>
      <c r="H9" s="879" t="str">
        <f>IF(H8="","",INDEX(DIFFERENTIATION_UNMERGE_VD,MATCH(H8,DIFFERENTIATION_ID_DIFF,0)))</f>
        <v>Транспортировка</v>
      </c>
      <c r="I9" s="2190" t="s">
        <v>298</v>
      </c>
      <c r="S9" s="568">
        <v>15</v>
      </c>
    </row>
    <row s="4517" customFormat="1" customHeight="1" ht="15.75">
      <c r="A10" s="822"/>
      <c r="C10" s="239"/>
      <c r="D10" s="774"/>
      <c r="E10" s="2430" t="s">
        <v>561</v>
      </c>
      <c r="F10" s="2431"/>
      <c r="G10" s="879" t="str">
        <f>IF(G8="","",INDEX(DIFFERENTIATION_UNMERGE_AREA,MATCH(G8,DIFFERENTIATION_ID_DIFF,0)))</f>
        <v/>
      </c>
      <c r="H10" s="879" t="str">
        <f>IF(H8="","",INDEX(DIFFERENTIATION_UNMERGE_AREA,MATCH(H8,DIFFERENTIATION_ID_DIFF,0)))</f>
        <v>Территория 1</v>
      </c>
      <c r="I10" s="2190"/>
      <c r="R10" s="738"/>
      <c r="S10" s="821">
        <v>15</v>
      </c>
    </row>
    <row s="4517" customFormat="1" customHeight="1" ht="15.75">
      <c r="A11" s="822"/>
      <c r="C11" s="239"/>
      <c r="D11" s="774"/>
      <c r="E11" s="2430" t="s">
        <v>562</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297</v>
      </c>
      <c r="E12" s="2433"/>
      <c r="F12" s="2433"/>
      <c r="G12" s="950"/>
      <c r="H12" s="950"/>
      <c r="I12" s="2190"/>
      <c r="R12" s="738"/>
      <c r="S12" s="821">
        <v>15</v>
      </c>
    </row>
    <row customHeight="1" ht="35.699999999999996">
      <c r="C13" s="239"/>
      <c r="D13" s="824" t="s">
        <v>87</v>
      </c>
      <c r="E13" s="823" t="s">
        <v>299</v>
      </c>
      <c r="F13" s="823" t="s">
        <v>563</v>
      </c>
      <c r="G13" s="871" t="s">
        <v>300</v>
      </c>
      <c r="H13" s="817" t="s">
        <v>300</v>
      </c>
      <c r="I13" s="2190"/>
      <c r="S13" s="568">
        <v>34</v>
      </c>
    </row>
    <row customHeight="1" ht="15" hidden="1">
      <c r="C14" s="239"/>
      <c r="D14" s="656" t="s">
        <v>108</v>
      </c>
      <c r="E14" s="656" t="s">
        <v>109</v>
      </c>
      <c r="F14" s="656" t="s">
        <v>89</v>
      </c>
      <c r="G14" s="722" t="str">
        <f>G1&amp;".1"</f>
        <v>.1</v>
      </c>
      <c r="H14" s="722" t="str">
        <f>H1&amp;".1"</f>
        <v>4.1</v>
      </c>
      <c r="I14" s="352"/>
      <c r="S14" s="568">
        <v>0</v>
      </c>
    </row>
    <row customHeight="1" ht="15.75">
      <c r="A15" s="568"/>
      <c r="C15" s="589"/>
      <c r="D15" s="584">
        <v>1</v>
      </c>
      <c r="E15" s="1993" t="str">
        <f>TP_P_A</f>
        <v>Количество поданных заявлений </v>
      </c>
      <c r="F15" s="584" t="s">
        <v>1112</v>
      </c>
      <c r="G15" s="748"/>
      <c r="H15" s="748">
        <v>0</v>
      </c>
      <c r="I15" s="27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8">
        <v>15</v>
      </c>
    </row>
    <row customHeight="1" ht="15.75">
      <c r="A16" s="568"/>
      <c r="C16" s="589"/>
      <c r="D16" s="584">
        <v>2</v>
      </c>
      <c r="E16" s="1993" t="str">
        <f>TP_P_B</f>
        <v>Количество исполненных заявлений </v>
      </c>
      <c r="F16" s="584" t="s">
        <v>1112</v>
      </c>
      <c r="G16" s="748"/>
      <c r="H16" s="748">
        <v>0</v>
      </c>
      <c r="I16" s="27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8">
        <v>15</v>
      </c>
    </row>
    <row customHeight="1" ht="77.7">
      <c r="A17" s="568"/>
      <c r="C17" s="589"/>
      <c r="D17" s="584">
        <v>3</v>
      </c>
      <c r="E17" s="19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4" t="s">
        <v>1112</v>
      </c>
      <c r="G17" s="748"/>
      <c r="H17" s="748">
        <v>0</v>
      </c>
      <c r="I17" s="27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централизованной системе водоотведения</v>
      </c>
      <c r="F18" s="584" t="s">
        <v>303</v>
      </c>
      <c r="G18" s="749"/>
      <c r="H18" s="749" t="s">
        <v>19</v>
      </c>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4" t="str">
        <f>IF(TEMPLATE_SPHERE="HEAT","Гкал/час","тыс. куб. м/сутки")</f>
        <v>тыс. куб. м/сутки</v>
      </c>
      <c r="G19" s="750">
        <f>SUM(G20:G22)</f>
        <v>0</v>
      </c>
      <c r="H19" s="750">
        <f>SUM(H20:H22)</f>
        <v>0</v>
      </c>
      <c r="I19" s="27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8">
        <v>57</v>
      </c>
    </row>
    <row customHeight="1" ht="15" hidden="1">
      <c r="D20" s="572" t="s">
        <v>1113</v>
      </c>
      <c r="E20" s="751"/>
      <c r="F20" s="572"/>
      <c r="G20" s="572"/>
      <c r="H20" s="572"/>
      <c r="I20" s="1826"/>
      <c r="S20" s="568">
        <v>0</v>
      </c>
    </row>
    <row customHeight="1" ht="29.25">
      <c r="C21" s="514"/>
      <c r="D21" s="602" t="s">
        <v>310</v>
      </c>
      <c r="E21" s="733" t="s">
        <v>1114</v>
      </c>
      <c r="F21" s="1824" t="str">
        <f>IF(TEMPLATE_SPHERE="HEAT","Гкал/час","тыс. куб. м/сутки")</f>
        <v>тыс. куб. м/сутки</v>
      </c>
      <c r="G21" s="743"/>
      <c r="H21" s="743">
        <v>0</v>
      </c>
      <c r="I21" s="223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8">
        <v>28</v>
      </c>
    </row>
    <row customHeight="1" ht="15.75">
      <c r="A22" s="568"/>
      <c r="C22" s="568"/>
      <c r="D22" s="410"/>
      <c r="E22" s="643" t="s">
        <v>1115</v>
      </c>
      <c r="F22" s="635"/>
      <c r="G22" s="635"/>
      <c r="H22" s="635"/>
      <c r="I22" s="2234"/>
      <c r="R22" s="568"/>
      <c r="S22" s="568">
        <v>15</v>
      </c>
    </row>
    <row customHeight="1" ht="22.5" hidden="1">
      <c r="A23" s="512" t="s">
        <v>81</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D36FD-94D5-244C-E5D4-2EAB8186BBC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8"/>
      <c r="F5" s="2518"/>
      <c r="G5" s="2519"/>
      <c r="Q5" s="146">
        <v>28</v>
      </c>
    </row>
    <row s="4517" customFormat="1" customHeight="1" ht="18.75">
      <c r="A6" s="945"/>
      <c r="B6" s="480"/>
      <c r="C6" s="439"/>
      <c r="D6" s="2520" t="str">
        <f>IF(org=0,"Не определено",org)</f>
        <v>Филиал "Уренгойская ГРЭС" АО "Интер РАО - Электрогенерация"</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297</v>
      </c>
      <c r="E9" s="2272"/>
      <c r="F9" s="2272"/>
      <c r="G9" s="2452" t="s">
        <v>298</v>
      </c>
      <c r="Q9" s="146">
        <v>14</v>
      </c>
    </row>
    <row customHeight="1" ht="24">
      <c r="C10" s="159"/>
      <c r="D10" s="168" t="s">
        <v>87</v>
      </c>
      <c r="E10" s="171" t="s">
        <v>299</v>
      </c>
      <c r="F10" s="171" t="s">
        <v>387</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1" t="s">
        <v>303</v>
      </c>
      <c r="G12" s="214"/>
      <c r="Q12" s="146">
        <v>62</v>
      </c>
    </row>
    <row customHeight="1" ht="24">
      <c r="A13" s="255"/>
      <c r="C13" s="159"/>
      <c r="D13" s="210" t="s">
        <v>1019</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303</v>
      </c>
      <c r="G13" s="214"/>
      <c r="Q13" s="146">
        <v>23</v>
      </c>
    </row>
    <row customHeight="1" ht="14.699999999999998">
      <c r="A14" s="255"/>
      <c r="C14" s="159"/>
      <c r="D14" s="210" t="s">
        <v>1055</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1116</v>
      </c>
      <c r="F15" s="264"/>
      <c r="G15" s="2234"/>
      <c r="Q15" s="146">
        <v>15</v>
      </c>
    </row>
    <row customHeight="1" ht="14.699999999999998">
      <c r="A16" s="255"/>
      <c r="C16" s="159"/>
      <c r="D16" s="210" t="s">
        <v>1021</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1" t="s">
        <v>303</v>
      </c>
      <c r="G16" s="400"/>
      <c r="Q16" s="146">
        <v>14</v>
      </c>
    </row>
    <row customHeight="1" ht="14.699999999999998">
      <c r="A17" s="255"/>
      <c r="C17" s="159"/>
      <c r="D17" s="210" t="s">
        <v>1063</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6">
        <v>14</v>
      </c>
    </row>
    <row s="4517" customFormat="1" customHeight="1" ht="22.049999999999997">
      <c r="A18" s="406"/>
      <c r="B18" s="209"/>
      <c r="C18" s="370"/>
      <c r="D18" s="410"/>
      <c r="E18" s="412" t="s">
        <v>1117</v>
      </c>
      <c r="F18" s="401"/>
      <c r="G18" s="2234"/>
      <c r="I18" s="413"/>
      <c r="J18" s="413"/>
      <c r="Q18" s="405">
        <v>21</v>
      </c>
    </row>
    <row s="4517" customFormat="1" customHeight="1" ht="256.5" hidden="1">
      <c r="A19" s="406"/>
      <c r="B19" s="480"/>
      <c r="C19" s="439"/>
      <c r="D19" s="947" t="s">
        <v>1023</v>
      </c>
      <c r="E19" s="946" t="s">
        <v>1118</v>
      </c>
      <c r="F19" s="448"/>
      <c r="G19" s="400" t="s">
        <v>1119</v>
      </c>
      <c r="I19" s="563"/>
      <c r="J19" s="563"/>
      <c r="Q19" s="821">
        <v>0</v>
      </c>
    </row>
    <row s="4517" customFormat="1" customHeight="1" ht="14.699999999999998">
      <c r="A20" s="406"/>
      <c r="B20" s="209"/>
      <c r="C20" s="370"/>
      <c r="D20" s="948">
        <v>2</v>
      </c>
      <c r="E20" s="393" t="s">
        <v>1120</v>
      </c>
      <c r="F20" s="261" t="s">
        <v>303</v>
      </c>
      <c r="G20" s="400"/>
      <c r="I20" s="413"/>
      <c r="J20" s="413"/>
      <c r="Q20" s="405">
        <v>14</v>
      </c>
    </row>
    <row s="4517" customFormat="1" customHeight="1" ht="18.75" hidden="1">
      <c r="A21" s="406"/>
      <c r="B21" s="209"/>
      <c r="C21" s="370"/>
      <c r="D21" s="396" t="s">
        <v>633</v>
      </c>
      <c r="E21" s="395"/>
      <c r="F21" s="394"/>
      <c r="G21" s="404"/>
      <c r="H21" s="397"/>
      <c r="I21" s="413"/>
      <c r="J21" s="413"/>
      <c r="Q21" s="405">
        <v>0</v>
      </c>
    </row>
    <row customHeight="1" ht="15.75">
      <c r="A22" s="255"/>
      <c r="C22" s="159"/>
      <c r="D22" s="172"/>
      <c r="E22" s="266" t="s">
        <v>319</v>
      </c>
      <c r="F22" s="401"/>
      <c r="G22" s="402"/>
      <c r="Q22" s="146">
        <v>15</v>
      </c>
    </row>
    <row s="4517" customFormat="1" customHeight="1" ht="22.5" hidden="1">
      <c r="A23" s="406"/>
      <c r="B23" s="1223"/>
      <c r="C23" s="439"/>
      <c r="D23" s="1736" t="s">
        <v>109</v>
      </c>
      <c r="E23" s="260" t="s">
        <v>1121</v>
      </c>
      <c r="F23" s="1733" t="s">
        <v>303</v>
      </c>
      <c r="G23" s="408"/>
      <c r="I23" s="1687"/>
      <c r="J23" s="1687"/>
      <c r="Q23" s="1694">
        <v>0</v>
      </c>
    </row>
    <row s="4517" customFormat="1" customHeight="1" ht="14.25" hidden="1">
      <c r="A24" s="406"/>
      <c r="B24" s="1223"/>
      <c r="C24" s="439"/>
      <c r="D24" s="1736" t="s">
        <v>706</v>
      </c>
      <c r="E24" s="1735" t="s">
        <v>1122</v>
      </c>
      <c r="F24" s="1733" t="s">
        <v>303</v>
      </c>
      <c r="G24" s="400"/>
      <c r="I24" s="1687"/>
      <c r="J24" s="1687"/>
      <c r="Q24" s="1694">
        <v>0</v>
      </c>
    </row>
    <row s="4517" customFormat="1" customHeight="1" ht="14.25" hidden="1">
      <c r="A25" s="406"/>
      <c r="B25" s="1223"/>
      <c r="C25" s="439"/>
      <c r="D25" s="1736" t="s">
        <v>709</v>
      </c>
      <c r="E25" s="258"/>
      <c r="F25" s="448"/>
      <c r="G25" s="2232" t="s">
        <v>1123</v>
      </c>
      <c r="I25" s="1687"/>
      <c r="J25" s="1687"/>
      <c r="Q25" s="1694">
        <v>0</v>
      </c>
    </row>
    <row s="4517" customFormat="1" customHeight="1" ht="22.5" hidden="1">
      <c r="A26" s="406"/>
      <c r="B26" s="1223"/>
      <c r="C26" s="439"/>
      <c r="D26" s="410"/>
      <c r="E26" s="412" t="s">
        <v>1124</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81</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9485C-6174-F4E2-7673-A609808E069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686</v>
      </c>
      <c r="D2" s="1736"/>
      <c r="E2" s="262"/>
      <c r="F2" s="1733"/>
      <c r="G2" s="1733" t="s">
        <v>303</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686</v>
      </c>
      <c r="D4" s="1736"/>
      <c r="E4" s="268" t="s">
        <v>1125</v>
      </c>
      <c r="F4" s="1733"/>
      <c r="G4" s="320"/>
      <c r="H4" s="1733" t="s">
        <v>303</v>
      </c>
      <c r="K4" s="1687"/>
      <c r="L4" s="1687"/>
      <c r="M4" s="1694">
        <v>0</v>
      </c>
    </row>
    <row s="4517" customFormat="1" customHeight="1" ht="14.25" hidden="1">
      <c r="A5" s="1425"/>
      <c r="B5" s="1223"/>
      <c r="C5" s="407"/>
      <c r="K5" s="1687"/>
      <c r="L5" s="1687"/>
      <c r="M5" s="1694">
        <v>0</v>
      </c>
    </row>
    <row s="4517" customFormat="1" customHeight="1" ht="18.75" hidden="1">
      <c r="A6" s="1746"/>
      <c r="B6" s="1223"/>
      <c r="C6" s="1793" t="s">
        <v>686</v>
      </c>
      <c r="D6" s="1736"/>
      <c r="E6" s="269" t="s">
        <v>1126</v>
      </c>
      <c r="F6" s="1733"/>
      <c r="G6" s="320"/>
      <c r="H6" s="1733" t="s">
        <v>303</v>
      </c>
      <c r="K6" s="1687"/>
      <c r="L6" s="1687"/>
      <c r="M6" s="1694">
        <v>0</v>
      </c>
    </row>
    <row s="4517" customFormat="1" customHeight="1" ht="14.25" hidden="1">
      <c r="A7" s="1425"/>
      <c r="B7" s="1223"/>
      <c r="C7" s="407"/>
      <c r="K7" s="1687"/>
      <c r="L7" s="1687"/>
      <c r="M7" s="1694">
        <v>0</v>
      </c>
    </row>
    <row s="4517" customFormat="1" customHeight="1" ht="18.75" hidden="1">
      <c r="A8" s="1746"/>
      <c r="B8" s="1223"/>
      <c r="C8" s="1793" t="s">
        <v>686</v>
      </c>
      <c r="D8" s="1736"/>
      <c r="E8" s="269" t="s">
        <v>1127</v>
      </c>
      <c r="F8" s="1733"/>
      <c r="G8" s="320"/>
      <c r="H8" s="1733" t="s">
        <v>303</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686</v>
      </c>
      <c r="D10" s="1736"/>
      <c r="E10" s="269" t="s">
        <v>1128</v>
      </c>
      <c r="F10" s="1733"/>
      <c r="G10" s="1737"/>
      <c r="H10" s="1733" t="s">
        <v>303</v>
      </c>
      <c r="K10" s="1687"/>
      <c r="L10" s="1687" t="s">
        <v>1129</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8"/>
      <c r="F14" s="2518"/>
      <c r="G14" s="2518"/>
      <c r="H14" s="2519"/>
      <c r="J14" s="1694"/>
      <c r="M14" s="146">
        <v>28</v>
      </c>
    </row>
    <row s="4517" customFormat="1" customHeight="1" ht="14.699999999999998">
      <c r="A15" s="1425"/>
      <c r="B15" s="1223"/>
      <c r="C15" s="439"/>
      <c r="D15" s="2520" t="str">
        <f>IF(org=0,"Не определено",org)</f>
        <v>Филиал "Уренгойская ГРЭС" АО "Интер РАО - Электрогенерация"</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297</v>
      </c>
      <c r="E18" s="2272"/>
      <c r="F18" s="2272"/>
      <c r="G18" s="2272"/>
      <c r="H18" s="2272"/>
      <c r="I18" s="2452" t="s">
        <v>298</v>
      </c>
      <c r="M18" s="146">
        <v>21</v>
      </c>
    </row>
    <row customHeight="1" ht="22.049999999999997">
      <c r="C19" s="159"/>
      <c r="D19" s="168" t="s">
        <v>87</v>
      </c>
      <c r="E19" s="171" t="s">
        <v>299</v>
      </c>
      <c r="F19" s="171"/>
      <c r="G19" s="171" t="s">
        <v>300</v>
      </c>
      <c r="H19" s="171" t="s">
        <v>387</v>
      </c>
      <c r="I19" s="2452"/>
      <c r="M19" s="146">
        <v>21</v>
      </c>
    </row>
    <row customHeight="1" ht="12" hidden="1">
      <c r="C20" s="159"/>
      <c r="D20" s="150"/>
      <c r="E20" s="150"/>
      <c r="F20" s="150"/>
      <c r="G20" s="150"/>
      <c r="H20" s="150"/>
      <c r="I20" s="150"/>
      <c r="M20" s="146">
        <v>0</v>
      </c>
    </row>
    <row customHeight="1" ht="14.699999999999998">
      <c r="A21" s="1746"/>
      <c r="C21" s="159"/>
      <c r="D21" s="210">
        <v>1</v>
      </c>
      <c r="E21" s="2524" t="s">
        <v>1130</v>
      </c>
      <c r="F21" s="2524"/>
      <c r="G21" s="2524"/>
      <c r="H21" s="2524"/>
      <c r="I21" s="271"/>
      <c r="M21" s="146">
        <v>14</v>
      </c>
    </row>
    <row customHeight="1" ht="21">
      <c r="A22" s="1746"/>
      <c r="C22" s="159"/>
      <c r="D22" s="210" t="s">
        <v>1019</v>
      </c>
      <c r="E22" s="257" t="s">
        <v>1131</v>
      </c>
      <c r="F22" s="261"/>
      <c r="G22" s="1800"/>
      <c r="H22" s="261" t="s">
        <v>303</v>
      </c>
      <c r="I22" s="214" t="s">
        <v>1132</v>
      </c>
      <c r="M22" s="146">
        <v>20</v>
      </c>
    </row>
    <row customHeight="1" ht="60">
      <c r="A23" s="1746"/>
      <c r="C23" s="159"/>
      <c r="D23" s="210" t="s">
        <v>1021</v>
      </c>
      <c r="E23" s="257" t="s">
        <v>1133</v>
      </c>
      <c r="F23" s="261"/>
      <c r="G23" s="320"/>
      <c r="H23" s="276"/>
      <c r="I23" s="321" t="s">
        <v>1134</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1"/>
      <c r="G24" s="261" t="s">
        <v>303</v>
      </c>
      <c r="H24" s="276"/>
      <c r="I24" s="322" t="s">
        <v>628</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3"/>
      <c r="G25" s="2523"/>
      <c r="H25" s="2523"/>
      <c r="I25" s="319"/>
      <c r="M25" s="146">
        <v>46</v>
      </c>
    </row>
    <row customHeight="1" ht="14.699999999999998">
      <c r="A26" s="1746"/>
      <c r="C26" s="159"/>
      <c r="D26" s="210" t="s">
        <v>321</v>
      </c>
      <c r="E26" s="262"/>
      <c r="F26" s="261"/>
      <c r="G26" s="261" t="s">
        <v>303</v>
      </c>
      <c r="H26" s="276"/>
      <c r="I26" s="2232" t="s">
        <v>1135</v>
      </c>
      <c r="M26" s="146">
        <v>14</v>
      </c>
    </row>
    <row customHeight="1" ht="15.75">
      <c r="A27" s="1746" t="s">
        <v>108</v>
      </c>
      <c r="C27" s="159"/>
      <c r="D27" s="172"/>
      <c r="E27" s="266" t="s">
        <v>319</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3"/>
      <c r="G28" s="2523"/>
      <c r="H28" s="2523"/>
      <c r="I28" s="319"/>
      <c r="M28" s="146">
        <v>38</v>
      </c>
    </row>
    <row customHeight="1" ht="21">
      <c r="A29" s="1746"/>
      <c r="C29" s="159"/>
      <c r="D29" s="210" t="s">
        <v>751</v>
      </c>
      <c r="E29" s="268" t="s">
        <v>1125</v>
      </c>
      <c r="F29" s="261"/>
      <c r="G29" s="320"/>
      <c r="H29" s="261" t="s">
        <v>303</v>
      </c>
      <c r="I29" s="2232" t="s">
        <v>1136</v>
      </c>
      <c r="M29" s="146">
        <v>20</v>
      </c>
    </row>
    <row customHeight="1" ht="15.75">
      <c r="A30" s="1746" t="s">
        <v>109</v>
      </c>
      <c r="C30" s="159"/>
      <c r="D30" s="172"/>
      <c r="E30" s="266" t="s">
        <v>319</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3"/>
      <c r="G31" s="2523"/>
      <c r="H31" s="2523"/>
      <c r="I31" s="319"/>
      <c r="M31" s="146">
        <v>30</v>
      </c>
    </row>
    <row customHeight="1" ht="27.299999999999997">
      <c r="A32" s="1746"/>
      <c r="C32" s="159"/>
      <c r="D32" s="210" t="s">
        <v>310</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6"/>
      <c r="G32" s="2466"/>
      <c r="H32" s="2466"/>
      <c r="I32" s="319"/>
      <c r="M32" s="146">
        <v>26</v>
      </c>
    </row>
    <row customHeight="1" ht="14.699999999999998">
      <c r="A33" s="1746"/>
      <c r="C33" s="159"/>
      <c r="D33" s="210" t="s">
        <v>1137</v>
      </c>
      <c r="E33" s="269" t="s">
        <v>1126</v>
      </c>
      <c r="F33" s="261"/>
      <c r="G33" s="320"/>
      <c r="H33" s="261" t="s">
        <v>303</v>
      </c>
      <c r="I33" s="2232" t="s">
        <v>1138</v>
      </c>
      <c r="M33" s="146">
        <v>14</v>
      </c>
    </row>
    <row customHeight="1" ht="15.75">
      <c r="A34" s="1746" t="s">
        <v>89</v>
      </c>
      <c r="C34" s="159"/>
      <c r="D34" s="172"/>
      <c r="E34" s="267" t="s">
        <v>319</v>
      </c>
      <c r="F34" s="263"/>
      <c r="G34" s="263"/>
      <c r="H34" s="264"/>
      <c r="I34" s="2234"/>
      <c r="M34" s="146">
        <v>15</v>
      </c>
    </row>
    <row customHeight="1" ht="25.2">
      <c r="A35" s="1746"/>
      <c r="C35" s="159"/>
      <c r="D35" s="210" t="s">
        <v>879</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6"/>
      <c r="G35" s="2466"/>
      <c r="H35" s="2466"/>
      <c r="I35" s="319"/>
      <c r="M35" s="146">
        <v>24</v>
      </c>
    </row>
    <row customHeight="1" ht="14.699999999999998">
      <c r="A36" s="1746"/>
      <c r="C36" s="159"/>
      <c r="D36" s="210" t="s">
        <v>1139</v>
      </c>
      <c r="E36" s="269" t="s">
        <v>1127</v>
      </c>
      <c r="F36" s="261"/>
      <c r="G36" s="320"/>
      <c r="H36" s="261" t="s">
        <v>303</v>
      </c>
      <c r="I36" s="2206" t="s">
        <v>1140</v>
      </c>
      <c r="M36" s="146">
        <v>14</v>
      </c>
    </row>
    <row customHeight="1" ht="15.75">
      <c r="A37" s="1746" t="s">
        <v>90</v>
      </c>
      <c r="C37" s="159"/>
      <c r="D37" s="172"/>
      <c r="E37" s="267" t="s">
        <v>319</v>
      </c>
      <c r="F37" s="263"/>
      <c r="G37" s="263"/>
      <c r="H37" s="264"/>
      <c r="I37" s="2206"/>
      <c r="M37" s="146">
        <v>15</v>
      </c>
    </row>
    <row customHeight="1" ht="27.299999999999997">
      <c r="A38" s="1746"/>
      <c r="C38" s="159"/>
      <c r="D38" s="210" t="s">
        <v>880</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6"/>
      <c r="G38" s="2466"/>
      <c r="H38" s="2466"/>
      <c r="I38" s="319"/>
      <c r="M38" s="146">
        <v>26</v>
      </c>
    </row>
    <row customHeight="1" ht="14.699999999999998">
      <c r="A39" s="1746"/>
      <c r="C39" s="159"/>
      <c r="D39" s="210" t="s">
        <v>881</v>
      </c>
      <c r="E39" s="269" t="s">
        <v>1128</v>
      </c>
      <c r="F39" s="261"/>
      <c r="G39" s="270"/>
      <c r="H39" s="261" t="s">
        <v>303</v>
      </c>
      <c r="I39" s="2232" t="s">
        <v>1141</v>
      </c>
      <c r="L39" s="218" t="s">
        <v>1129</v>
      </c>
      <c r="M39" s="146">
        <v>14</v>
      </c>
    </row>
    <row customHeight="1" ht="15.75">
      <c r="A40" s="1746" t="s">
        <v>110</v>
      </c>
      <c r="C40" s="159"/>
      <c r="D40" s="172"/>
      <c r="E40" s="267" t="s">
        <v>319</v>
      </c>
      <c r="F40" s="263"/>
      <c r="G40" s="263"/>
      <c r="H40" s="264"/>
      <c r="I40" s="2234"/>
      <c r="M40" s="146">
        <v>15</v>
      </c>
    </row>
    <row s="4979" customFormat="1" customHeight="1" ht="3">
      <c r="A41" s="1746"/>
      <c r="K41" s="259"/>
      <c r="L41" s="259"/>
      <c r="M41" s="203">
        <v>3</v>
      </c>
    </row>
    <row customHeight="1" ht="26.25">
      <c r="D42" s="1744" t="s">
        <v>801</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8"/>
      <c r="G42" s="2348"/>
      <c r="H42" s="2348"/>
      <c r="I42" s="2348"/>
      <c r="M42" s="146">
        <v>25</v>
      </c>
    </row>
    <row customHeight="1" ht="22.5" hidden="1">
      <c r="A43" s="1425" t="s">
        <v>81</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E2CCD-CDC7-1CE6-34D2-743CF58987C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46.7109375" customWidth="1"/>
    <col min="7" max="7" style="4517" width="35.0039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154</v>
      </c>
      <c r="B2" s="1843" t="s">
        <v>155</v>
      </c>
      <c r="C2" s="432"/>
      <c r="D2" s="407"/>
      <c r="E2" s="1094"/>
      <c r="F2" s="1094"/>
      <c r="G2" s="2490" t="str">
        <f>INDEX(PT_DIFFERENTIATION_NTAR,MATCH(B2,PT_DIFFERENTIATION_NTAR_ID,0))</f>
        <v/>
      </c>
      <c r="H2" s="1927"/>
      <c r="I2" s="1802"/>
      <c r="J2" s="1836"/>
      <c r="K2" s="1928"/>
      <c r="L2" s="1927" t="s">
        <v>303</v>
      </c>
      <c r="M2" s="1938"/>
      <c r="N2" s="397"/>
      <c r="O2" s="1687"/>
      <c r="P2" s="1687"/>
      <c r="AH2" s="1694">
        <v>0</v>
      </c>
    </row>
    <row s="4517" customFormat="1" customHeight="1" ht="18.75" hidden="1">
      <c r="A3" s="1843"/>
      <c r="B3" s="1843"/>
      <c r="C3" s="432" t="s">
        <v>1142</v>
      </c>
      <c r="D3" s="407"/>
      <c r="E3" s="1094"/>
      <c r="F3" s="1094"/>
      <c r="G3" s="2490"/>
      <c r="H3" s="1563"/>
      <c r="I3" s="714" t="s">
        <v>1143</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154</v>
      </c>
      <c r="B5" s="1843" t="s">
        <v>155</v>
      </c>
      <c r="C5" s="432"/>
      <c r="D5" s="407"/>
      <c r="E5" s="1094"/>
      <c r="F5" s="1094"/>
      <c r="G5" s="2490" t="str">
        <f>INDEX(PT_DIFFERENTIATION_NTAR,MATCH(B5,PT_DIFFERENTIATION_NTAR_ID,0))</f>
        <v/>
      </c>
      <c r="H5" s="1927"/>
      <c r="I5" s="1802"/>
      <c r="J5" s="1836"/>
      <c r="K5" s="1841"/>
      <c r="L5" s="1927" t="s">
        <v>303</v>
      </c>
      <c r="M5" s="1938"/>
      <c r="N5" s="397"/>
      <c r="O5" s="1687"/>
      <c r="P5" s="1687"/>
      <c r="AH5" s="1694">
        <v>0</v>
      </c>
    </row>
    <row s="4517" customFormat="1" customHeight="1" ht="18.75" hidden="1">
      <c r="A6" s="1843"/>
      <c r="B6" s="1843"/>
      <c r="C6" s="432" t="s">
        <v>1144</v>
      </c>
      <c r="D6" s="407"/>
      <c r="E6" s="1094"/>
      <c r="F6" s="1094"/>
      <c r="G6" s="2490"/>
      <c r="H6" s="1563"/>
      <c r="I6" s="714" t="s">
        <v>1143</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303</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303</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297</v>
      </c>
      <c r="F19" s="2272"/>
      <c r="G19" s="2272"/>
      <c r="H19" s="2272"/>
      <c r="I19" s="2272"/>
      <c r="J19" s="2272"/>
      <c r="K19" s="2272"/>
      <c r="L19" s="2272"/>
      <c r="M19" s="2452" t="s">
        <v>298</v>
      </c>
      <c r="AH19" s="437">
        <v>21</v>
      </c>
    </row>
    <row customHeight="1" ht="22.049999999999997">
      <c r="D20" s="439"/>
      <c r="E20" s="2340" t="s">
        <v>87</v>
      </c>
      <c r="F20" s="2287" t="s">
        <v>122</v>
      </c>
      <c r="G20" s="2287" t="s">
        <v>123</v>
      </c>
      <c r="H20" s="2449" t="s">
        <v>1145</v>
      </c>
      <c r="I20" s="2450"/>
      <c r="J20" s="2496"/>
      <c r="K20" s="2287" t="s">
        <v>300</v>
      </c>
      <c r="L20" s="2287" t="s">
        <v>387</v>
      </c>
      <c r="M20" s="2452"/>
      <c r="AH20" s="437">
        <v>21</v>
      </c>
    </row>
    <row customHeight="1" ht="22.049999999999997">
      <c r="D21" s="439"/>
      <c r="E21" s="2342"/>
      <c r="F21" s="2288"/>
      <c r="G21" s="2288"/>
      <c r="H21" s="2281" t="s">
        <v>1146</v>
      </c>
      <c r="I21" s="2283"/>
      <c r="J21" s="171" t="s">
        <v>1147</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108</v>
      </c>
      <c r="F23" s="2531" t="str">
        <f>"Предлагаемый метод регулирования"&amp;IF(TEMPLATE_SPHERE="HEAT"," в сфере "&amp;TEMPLATE_SPHERE_RUS,"")</f>
        <v>Предлагаемый метод регулирования</v>
      </c>
      <c r="G23" s="2532"/>
      <c r="H23" s="2524"/>
      <c r="I23" s="2524"/>
      <c r="J23" s="2524"/>
      <c r="K23" s="2532" t="s">
        <v>303</v>
      </c>
      <c r="L23" s="2524"/>
      <c r="M23" s="1832"/>
      <c r="N23" s="397"/>
      <c r="AH23" s="437">
        <v>19</v>
      </c>
    </row>
    <row customHeight="1" ht="60.75" hidden="1">
      <c r="A24" s="1843" t="s">
        <v>154</v>
      </c>
      <c r="B24" s="1843" t="s">
        <v>155</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303</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1142</v>
      </c>
      <c r="D25" s="2529"/>
      <c r="E25" s="2267"/>
      <c r="F25" s="2533"/>
      <c r="G25" s="2490"/>
      <c r="H25" s="1563"/>
      <c r="I25" s="714" t="s">
        <v>1143</v>
      </c>
      <c r="J25" s="634"/>
      <c r="K25" s="1563"/>
      <c r="L25" s="277"/>
      <c r="M25" s="2233"/>
      <c r="N25" s="397"/>
      <c r="O25" s="1687"/>
      <c r="P25" s="1687"/>
      <c r="AH25" s="1694">
        <v>0</v>
      </c>
    </row>
    <row customHeight="1" ht="0.75" hidden="1">
      <c r="A26" s="1843"/>
      <c r="B26" s="1843"/>
      <c r="C26" s="432" t="s">
        <v>1148</v>
      </c>
      <c r="D26" s="2529"/>
      <c r="E26" s="2267"/>
      <c r="F26" s="2446"/>
      <c r="G26" s="463"/>
      <c r="H26" s="1563"/>
      <c r="I26" s="458"/>
      <c r="J26" s="412"/>
      <c r="K26" s="1563"/>
      <c r="L26" s="264"/>
      <c r="M26" s="2233"/>
      <c r="N26" s="397"/>
      <c r="AH26" s="437">
        <v>0</v>
      </c>
    </row>
    <row s="4517" customFormat="1" customHeight="1" ht="45" hidden="1">
      <c r="A27" s="1843" t="s">
        <v>159</v>
      </c>
      <c r="B27" s="1843" t="s">
        <v>160</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303</v>
      </c>
      <c r="M27" s="2233"/>
      <c r="N27" s="397"/>
      <c r="O27" s="1687"/>
      <c r="P27" s="1687"/>
      <c r="AH27" s="1694">
        <v>0</v>
      </c>
    </row>
    <row s="4517" customFormat="1" customHeight="1" ht="18.75" hidden="1">
      <c r="A28" s="1843"/>
      <c r="B28" s="1843"/>
      <c r="C28" s="432" t="s">
        <v>1142</v>
      </c>
      <c r="D28" s="2525"/>
      <c r="E28" s="2526"/>
      <c r="F28" s="2527"/>
      <c r="G28" s="2490"/>
      <c r="H28" s="1563"/>
      <c r="I28" s="714" t="s">
        <v>1143</v>
      </c>
      <c r="J28" s="634"/>
      <c r="K28" s="1563"/>
      <c r="L28" s="277"/>
      <c r="M28" s="2233"/>
      <c r="N28" s="397"/>
      <c r="O28" s="1687"/>
      <c r="P28" s="1687"/>
      <c r="AH28" s="1694">
        <v>0</v>
      </c>
    </row>
    <row s="4517" customFormat="1" customHeight="1" ht="0.75" hidden="1">
      <c r="A29" s="1843"/>
      <c r="B29" s="1843"/>
      <c r="C29" s="432" t="s">
        <v>1148</v>
      </c>
      <c r="D29" s="2525"/>
      <c r="E29" s="2267"/>
      <c r="F29" s="2446"/>
      <c r="G29" s="463"/>
      <c r="H29" s="1563"/>
      <c r="I29" s="714"/>
      <c r="J29" s="634"/>
      <c r="K29" s="1563"/>
      <c r="L29" s="277"/>
      <c r="M29" s="2233"/>
      <c r="N29" s="397"/>
      <c r="O29" s="1687"/>
      <c r="P29" s="1687"/>
      <c r="AH29" s="1694">
        <v>0</v>
      </c>
    </row>
    <row s="4517" customFormat="1" customHeight="1" ht="45" hidden="1">
      <c r="A30" s="1843" t="s">
        <v>166</v>
      </c>
      <c r="B30" s="1843" t="s">
        <v>167</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303</v>
      </c>
      <c r="M30" s="2233"/>
      <c r="N30" s="397"/>
      <c r="O30" s="1687"/>
      <c r="P30" s="1687"/>
      <c r="AH30" s="1694">
        <v>0</v>
      </c>
    </row>
    <row s="4517" customFormat="1" customHeight="1" ht="18.75" hidden="1">
      <c r="A31" s="1843"/>
      <c r="B31" s="1843"/>
      <c r="C31" s="432" t="s">
        <v>1142</v>
      </c>
      <c r="D31" s="2525"/>
      <c r="E31" s="2267"/>
      <c r="F31" s="2446"/>
      <c r="G31" s="2490"/>
      <c r="H31" s="1563"/>
      <c r="I31" s="714" t="s">
        <v>1143</v>
      </c>
      <c r="J31" s="634"/>
      <c r="K31" s="1563"/>
      <c r="L31" s="277"/>
      <c r="M31" s="2233"/>
      <c r="N31" s="397"/>
      <c r="O31" s="1687"/>
      <c r="P31" s="1687"/>
      <c r="AH31" s="1694">
        <v>0</v>
      </c>
    </row>
    <row s="4517" customFormat="1" customHeight="1" ht="0.75" hidden="1">
      <c r="A32" s="1843"/>
      <c r="B32" s="1843"/>
      <c r="C32" s="432" t="s">
        <v>1148</v>
      </c>
      <c r="D32" s="2525"/>
      <c r="E32" s="2267"/>
      <c r="F32" s="2446"/>
      <c r="G32" s="463"/>
      <c r="H32" s="1563"/>
      <c r="I32" s="714"/>
      <c r="J32" s="634"/>
      <c r="K32" s="1563"/>
      <c r="L32" s="277"/>
      <c r="M32" s="2233"/>
      <c r="N32" s="397"/>
      <c r="O32" s="1687"/>
      <c r="P32" s="1687"/>
      <c r="AH32" s="1694">
        <v>0</v>
      </c>
    </row>
    <row s="4517" customFormat="1" customHeight="1" ht="45" hidden="1">
      <c r="A33" s="1843" t="s">
        <v>172</v>
      </c>
      <c r="B33" s="1843" t="s">
        <v>173</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303</v>
      </c>
      <c r="M33" s="2233"/>
      <c r="N33" s="397"/>
      <c r="O33" s="1687"/>
      <c r="P33" s="1687"/>
      <c r="AH33" s="1694">
        <v>0</v>
      </c>
    </row>
    <row s="4517" customFormat="1" customHeight="1" ht="18.75" hidden="1">
      <c r="A34" s="1843"/>
      <c r="B34" s="1843"/>
      <c r="C34" s="432" t="s">
        <v>1142</v>
      </c>
      <c r="D34" s="2525"/>
      <c r="E34" s="2267"/>
      <c r="F34" s="2446"/>
      <c r="G34" s="2490"/>
      <c r="H34" s="1563"/>
      <c r="I34" s="714" t="s">
        <v>1143</v>
      </c>
      <c r="J34" s="634"/>
      <c r="K34" s="1563"/>
      <c r="L34" s="277"/>
      <c r="M34" s="2233"/>
      <c r="N34" s="397"/>
      <c r="O34" s="1687"/>
      <c r="P34" s="1687"/>
      <c r="AH34" s="1694">
        <v>0</v>
      </c>
    </row>
    <row s="4517" customFormat="1" customHeight="1" ht="0.75" hidden="1">
      <c r="A35" s="1843"/>
      <c r="B35" s="1843"/>
      <c r="C35" s="432" t="s">
        <v>1148</v>
      </c>
      <c r="D35" s="2525"/>
      <c r="E35" s="2267"/>
      <c r="F35" s="2446"/>
      <c r="G35" s="463"/>
      <c r="H35" s="1563"/>
      <c r="I35" s="714"/>
      <c r="J35" s="634"/>
      <c r="K35" s="1563"/>
      <c r="L35" s="277"/>
      <c r="M35" s="2233"/>
      <c r="N35" s="397"/>
      <c r="O35" s="1687"/>
      <c r="P35" s="1687"/>
      <c r="AH35" s="1694">
        <v>0</v>
      </c>
    </row>
    <row s="4517" customFormat="1" customHeight="1" ht="18.75" hidden="1">
      <c r="A36" s="1843" t="s">
        <v>178</v>
      </c>
      <c r="B36" s="1843" t="s">
        <v>179</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303</v>
      </c>
      <c r="M36" s="2233"/>
      <c r="N36" s="397"/>
      <c r="O36" s="1687"/>
      <c r="P36" s="1687"/>
      <c r="AH36" s="1694">
        <v>0</v>
      </c>
    </row>
    <row s="4517" customFormat="1" customHeight="1" ht="18.75" hidden="1">
      <c r="A37" s="1843"/>
      <c r="B37" s="1843"/>
      <c r="C37" s="432" t="s">
        <v>1142</v>
      </c>
      <c r="D37" s="2525"/>
      <c r="E37" s="2267"/>
      <c r="F37" s="2446"/>
      <c r="G37" s="2490"/>
      <c r="H37" s="1563"/>
      <c r="I37" s="714" t="s">
        <v>1143</v>
      </c>
      <c r="J37" s="634"/>
      <c r="K37" s="1563"/>
      <c r="L37" s="277"/>
      <c r="M37" s="2233"/>
      <c r="N37" s="397"/>
      <c r="O37" s="1687"/>
      <c r="P37" s="1687"/>
      <c r="AH37" s="1694">
        <v>0</v>
      </c>
    </row>
    <row s="4517" customFormat="1" customHeight="1" ht="0.75" hidden="1">
      <c r="A38" s="1843"/>
      <c r="B38" s="1843"/>
      <c r="C38" s="432" t="s">
        <v>1148</v>
      </c>
      <c r="D38" s="2525"/>
      <c r="E38" s="2267"/>
      <c r="F38" s="2446"/>
      <c r="G38" s="463"/>
      <c r="H38" s="1563"/>
      <c r="I38" s="714"/>
      <c r="J38" s="634"/>
      <c r="K38" s="1563"/>
      <c r="L38" s="277"/>
      <c r="M38" s="2233"/>
      <c r="N38" s="397"/>
      <c r="O38" s="1687"/>
      <c r="P38" s="1687"/>
      <c r="AH38" s="1694">
        <v>0</v>
      </c>
    </row>
    <row s="4517" customFormat="1" customHeight="1" ht="18.75" hidden="1">
      <c r="A39" s="1843" t="s">
        <v>184</v>
      </c>
      <c r="B39" s="1843" t="s">
        <v>185</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303</v>
      </c>
      <c r="M39" s="2233"/>
      <c r="N39" s="397"/>
      <c r="O39" s="1687"/>
      <c r="P39" s="1687"/>
      <c r="AH39" s="1694">
        <v>0</v>
      </c>
    </row>
    <row s="4517" customFormat="1" customHeight="1" ht="18.75" hidden="1">
      <c r="A40" s="1843"/>
      <c r="B40" s="1843"/>
      <c r="C40" s="432" t="s">
        <v>1142</v>
      </c>
      <c r="D40" s="2525"/>
      <c r="E40" s="2267"/>
      <c r="F40" s="2446"/>
      <c r="G40" s="2490"/>
      <c r="H40" s="1563"/>
      <c r="I40" s="714" t="s">
        <v>1143</v>
      </c>
      <c r="J40" s="634"/>
      <c r="K40" s="1563"/>
      <c r="L40" s="277"/>
      <c r="M40" s="2233"/>
      <c r="N40" s="397"/>
      <c r="O40" s="1687"/>
      <c r="P40" s="1687"/>
      <c r="AH40" s="1694">
        <v>0</v>
      </c>
    </row>
    <row s="4517" customFormat="1" customHeight="1" ht="0.75" hidden="1">
      <c r="A41" s="1843"/>
      <c r="B41" s="1843"/>
      <c r="C41" s="432" t="s">
        <v>1148</v>
      </c>
      <c r="D41" s="2525"/>
      <c r="E41" s="2267"/>
      <c r="F41" s="2446"/>
      <c r="G41" s="463"/>
      <c r="H41" s="1563"/>
      <c r="I41" s="714"/>
      <c r="J41" s="634"/>
      <c r="K41" s="1563"/>
      <c r="L41" s="277"/>
      <c r="M41" s="2233"/>
      <c r="N41" s="397"/>
      <c r="O41" s="1687"/>
      <c r="P41" s="1687"/>
      <c r="AH41" s="1694">
        <v>0</v>
      </c>
    </row>
    <row s="4517" customFormat="1" customHeight="1" ht="18.75" hidden="1">
      <c r="A42" s="1843" t="s">
        <v>190</v>
      </c>
      <c r="B42" s="1843" t="s">
        <v>191</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303</v>
      </c>
      <c r="M42" s="2233"/>
      <c r="N42" s="397"/>
      <c r="O42" s="1687"/>
      <c r="P42" s="1687"/>
      <c r="AH42" s="1694">
        <v>0</v>
      </c>
    </row>
    <row s="4517" customFormat="1" customHeight="1" ht="18.75" hidden="1">
      <c r="A43" s="1843"/>
      <c r="B43" s="1843"/>
      <c r="C43" s="432" t="s">
        <v>1142</v>
      </c>
      <c r="D43" s="2525"/>
      <c r="E43" s="2267"/>
      <c r="F43" s="2446"/>
      <c r="G43" s="2490"/>
      <c r="H43" s="1563"/>
      <c r="I43" s="714" t="s">
        <v>1143</v>
      </c>
      <c r="J43" s="634"/>
      <c r="K43" s="1563"/>
      <c r="L43" s="277"/>
      <c r="M43" s="2233"/>
      <c r="N43" s="397"/>
      <c r="O43" s="1687"/>
      <c r="P43" s="1687"/>
      <c r="AH43" s="1694">
        <v>0</v>
      </c>
    </row>
    <row s="4517" customFormat="1" customHeight="1" ht="0.75" hidden="1">
      <c r="A44" s="1843"/>
      <c r="B44" s="1843"/>
      <c r="C44" s="432" t="s">
        <v>1148</v>
      </c>
      <c r="D44" s="2525"/>
      <c r="E44" s="2267"/>
      <c r="F44" s="2446"/>
      <c r="G44" s="463"/>
      <c r="H44" s="1563"/>
      <c r="I44" s="714"/>
      <c r="J44" s="634"/>
      <c r="K44" s="1563"/>
      <c r="L44" s="277"/>
      <c r="M44" s="2233"/>
      <c r="N44" s="397"/>
      <c r="O44" s="1687"/>
      <c r="P44" s="1687"/>
      <c r="AH44" s="1694">
        <v>0</v>
      </c>
    </row>
    <row s="4517" customFormat="1" customHeight="1" ht="18.75" hidden="1">
      <c r="A45" s="1843" t="s">
        <v>196</v>
      </c>
      <c r="B45" s="1843" t="s">
        <v>197</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303</v>
      </c>
      <c r="M45" s="2233"/>
      <c r="N45" s="397"/>
      <c r="O45" s="1687"/>
      <c r="P45" s="1687"/>
      <c r="AH45" s="1694">
        <v>0</v>
      </c>
    </row>
    <row s="4517" customFormat="1" customHeight="1" ht="18.75" hidden="1">
      <c r="A46" s="1843"/>
      <c r="B46" s="1843"/>
      <c r="C46" s="432" t="s">
        <v>1142</v>
      </c>
      <c r="D46" s="2525"/>
      <c r="E46" s="2267"/>
      <c r="F46" s="2446"/>
      <c r="G46" s="2490"/>
      <c r="H46" s="1563"/>
      <c r="I46" s="714" t="s">
        <v>1143</v>
      </c>
      <c r="J46" s="634"/>
      <c r="K46" s="1563"/>
      <c r="L46" s="277"/>
      <c r="M46" s="2233"/>
      <c r="N46" s="397"/>
      <c r="O46" s="1687"/>
      <c r="P46" s="1687"/>
      <c r="AH46" s="1694">
        <v>0</v>
      </c>
    </row>
    <row s="4517" customFormat="1" customHeight="1" ht="0.75" hidden="1">
      <c r="A47" s="1843"/>
      <c r="B47" s="1843"/>
      <c r="C47" s="432" t="s">
        <v>1148</v>
      </c>
      <c r="D47" s="2525"/>
      <c r="E47" s="2267"/>
      <c r="F47" s="2446"/>
      <c r="G47" s="463"/>
      <c r="H47" s="1563"/>
      <c r="I47" s="714"/>
      <c r="J47" s="634"/>
      <c r="K47" s="1563"/>
      <c r="L47" s="277"/>
      <c r="M47" s="2233"/>
      <c r="N47" s="397"/>
      <c r="O47" s="1687"/>
      <c r="P47" s="1687"/>
      <c r="AH47" s="1694">
        <v>0</v>
      </c>
    </row>
    <row s="4517" customFormat="1" customHeight="1" ht="18.75" hidden="1">
      <c r="A48" s="1843" t="s">
        <v>202</v>
      </c>
      <c r="B48" s="1843" t="s">
        <v>203</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303</v>
      </c>
      <c r="M48" s="2233"/>
      <c r="N48" s="397"/>
      <c r="O48" s="1687"/>
      <c r="P48" s="1687"/>
      <c r="AH48" s="1694">
        <v>0</v>
      </c>
    </row>
    <row s="4517" customFormat="1" customHeight="1" ht="18.75" hidden="1">
      <c r="A49" s="1843"/>
      <c r="B49" s="1843"/>
      <c r="C49" s="432" t="s">
        <v>1142</v>
      </c>
      <c r="D49" s="2525"/>
      <c r="E49" s="2267"/>
      <c r="F49" s="2446"/>
      <c r="G49" s="2490"/>
      <c r="H49" s="1563"/>
      <c r="I49" s="714" t="s">
        <v>1143</v>
      </c>
      <c r="J49" s="634"/>
      <c r="K49" s="1563"/>
      <c r="L49" s="277"/>
      <c r="M49" s="2233"/>
      <c r="N49" s="397"/>
      <c r="O49" s="1687"/>
      <c r="P49" s="1687"/>
      <c r="AH49" s="1694">
        <v>0</v>
      </c>
    </row>
    <row s="4517" customFormat="1" customHeight="1" ht="0.75" hidden="1">
      <c r="A50" s="1843"/>
      <c r="B50" s="1843"/>
      <c r="C50" s="432" t="s">
        <v>1148</v>
      </c>
      <c r="D50" s="2525"/>
      <c r="E50" s="2267"/>
      <c r="F50" s="2446"/>
      <c r="G50" s="463"/>
      <c r="H50" s="1563"/>
      <c r="I50" s="714"/>
      <c r="J50" s="634"/>
      <c r="K50" s="1563"/>
      <c r="L50" s="277"/>
      <c r="M50" s="2233"/>
      <c r="N50" s="397"/>
      <c r="O50" s="1687"/>
      <c r="P50" s="1687"/>
      <c r="AH50" s="1694">
        <v>0</v>
      </c>
    </row>
    <row s="4517" customFormat="1" customHeight="1" ht="18.75" hidden="1">
      <c r="A51" s="1843" t="s">
        <v>222</v>
      </c>
      <c r="B51" s="1843" t="s">
        <v>223</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303</v>
      </c>
      <c r="M51" s="2233"/>
      <c r="N51" s="397"/>
      <c r="O51" s="1687"/>
      <c r="P51" s="1687"/>
      <c r="AH51" s="1694">
        <v>0</v>
      </c>
    </row>
    <row s="4517" customFormat="1" customHeight="1" ht="18.75" hidden="1">
      <c r="A52" s="1843"/>
      <c r="B52" s="1843"/>
      <c r="C52" s="432" t="s">
        <v>1142</v>
      </c>
      <c r="D52" s="2525"/>
      <c r="E52" s="2267"/>
      <c r="F52" s="2446"/>
      <c r="G52" s="2490"/>
      <c r="H52" s="1563"/>
      <c r="I52" s="714" t="s">
        <v>1143</v>
      </c>
      <c r="J52" s="634"/>
      <c r="K52" s="1563"/>
      <c r="L52" s="277"/>
      <c r="M52" s="2233"/>
      <c r="N52" s="397"/>
      <c r="O52" s="1687"/>
      <c r="P52" s="1687"/>
      <c r="AH52" s="1694">
        <v>0</v>
      </c>
    </row>
    <row s="4517" customFormat="1" customHeight="1" ht="0.75" hidden="1">
      <c r="A53" s="1843"/>
      <c r="B53" s="1843"/>
      <c r="C53" s="432" t="s">
        <v>1148</v>
      </c>
      <c r="D53" s="2525"/>
      <c r="E53" s="2267"/>
      <c r="F53" s="2446"/>
      <c r="G53" s="463"/>
      <c r="H53" s="1563"/>
      <c r="I53" s="714"/>
      <c r="J53" s="634"/>
      <c r="K53" s="1563"/>
      <c r="L53" s="277"/>
      <c r="M53" s="2233"/>
      <c r="N53" s="397"/>
      <c r="O53" s="1687"/>
      <c r="P53" s="1687"/>
      <c r="AH53" s="1694">
        <v>0</v>
      </c>
    </row>
    <row s="4517" customFormat="1" customHeight="1" ht="18.75" hidden="1">
      <c r="A54" s="1843" t="s">
        <v>227</v>
      </c>
      <c r="B54" s="1843" t="s">
        <v>228</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303</v>
      </c>
      <c r="M54" s="2233"/>
      <c r="N54" s="397"/>
      <c r="O54" s="1687"/>
      <c r="P54" s="1687"/>
      <c r="AH54" s="1694">
        <v>0</v>
      </c>
    </row>
    <row s="4517" customFormat="1" customHeight="1" ht="18.75" hidden="1">
      <c r="A55" s="1843"/>
      <c r="B55" s="1843"/>
      <c r="C55" s="432" t="s">
        <v>1142</v>
      </c>
      <c r="D55" s="2525"/>
      <c r="E55" s="2267"/>
      <c r="F55" s="2446"/>
      <c r="G55" s="2490"/>
      <c r="H55" s="1563"/>
      <c r="I55" s="714" t="s">
        <v>1143</v>
      </c>
      <c r="J55" s="634"/>
      <c r="K55" s="1563"/>
      <c r="L55" s="277"/>
      <c r="M55" s="2233"/>
      <c r="N55" s="397"/>
      <c r="O55" s="1687"/>
      <c r="P55" s="1687"/>
      <c r="AH55" s="1694">
        <v>0</v>
      </c>
    </row>
    <row s="4517" customFormat="1" customHeight="1" ht="0.75" hidden="1">
      <c r="A56" s="1843"/>
      <c r="B56" s="1843"/>
      <c r="C56" s="432" t="s">
        <v>1148</v>
      </c>
      <c r="D56" s="2525"/>
      <c r="E56" s="2267"/>
      <c r="F56" s="2446"/>
      <c r="G56" s="463"/>
      <c r="H56" s="1563"/>
      <c r="I56" s="714"/>
      <c r="J56" s="634"/>
      <c r="K56" s="1563"/>
      <c r="L56" s="277"/>
      <c r="M56" s="2233"/>
      <c r="N56" s="397"/>
      <c r="O56" s="1687"/>
      <c r="P56" s="1687"/>
      <c r="AH56" s="1694">
        <v>0</v>
      </c>
    </row>
    <row s="4517" customFormat="1" customHeight="1" ht="18.75" hidden="1">
      <c r="A57" s="1843" t="s">
        <v>232</v>
      </c>
      <c r="B57" s="1843" t="s">
        <v>233</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303</v>
      </c>
      <c r="M57" s="2233"/>
      <c r="N57" s="397"/>
      <c r="O57" s="1687"/>
      <c r="P57" s="1687"/>
      <c r="AH57" s="1694">
        <v>0</v>
      </c>
    </row>
    <row s="4517" customFormat="1" customHeight="1" ht="18.75" hidden="1">
      <c r="A58" s="1843"/>
      <c r="B58" s="1843"/>
      <c r="C58" s="432" t="s">
        <v>1142</v>
      </c>
      <c r="D58" s="2525"/>
      <c r="E58" s="2267"/>
      <c r="F58" s="2446"/>
      <c r="G58" s="2490"/>
      <c r="H58" s="1563"/>
      <c r="I58" s="714" t="s">
        <v>1143</v>
      </c>
      <c r="J58" s="634"/>
      <c r="K58" s="1563"/>
      <c r="L58" s="277"/>
      <c r="M58" s="2233"/>
      <c r="N58" s="397"/>
      <c r="O58" s="1687"/>
      <c r="P58" s="1687"/>
      <c r="AH58" s="1694">
        <v>0</v>
      </c>
    </row>
    <row s="4517" customFormat="1" customHeight="1" ht="0.75" hidden="1">
      <c r="A59" s="1843"/>
      <c r="B59" s="1843"/>
      <c r="C59" s="432" t="s">
        <v>1148</v>
      </c>
      <c r="D59" s="2525"/>
      <c r="E59" s="2267"/>
      <c r="F59" s="2446"/>
      <c r="G59" s="463"/>
      <c r="H59" s="1563"/>
      <c r="I59" s="714"/>
      <c r="J59" s="634"/>
      <c r="K59" s="1563"/>
      <c r="L59" s="277"/>
      <c r="M59" s="2233"/>
      <c r="N59" s="397"/>
      <c r="O59" s="1687"/>
      <c r="P59" s="1687"/>
      <c r="AH59" s="1694">
        <v>0</v>
      </c>
    </row>
    <row s="4517" customFormat="1" customHeight="1" ht="18.75" hidden="1">
      <c r="A60" s="1843" t="s">
        <v>237</v>
      </c>
      <c r="B60" s="1843" t="s">
        <v>238</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303</v>
      </c>
      <c r="M60" s="2233"/>
      <c r="N60" s="397"/>
      <c r="O60" s="1687"/>
      <c r="P60" s="1687"/>
      <c r="AH60" s="1694">
        <v>0</v>
      </c>
    </row>
    <row s="4517" customFormat="1" customHeight="1" ht="18.75" hidden="1">
      <c r="A61" s="1843"/>
      <c r="B61" s="1843"/>
      <c r="C61" s="432" t="s">
        <v>1142</v>
      </c>
      <c r="D61" s="2525"/>
      <c r="E61" s="2267"/>
      <c r="F61" s="2446"/>
      <c r="G61" s="2490"/>
      <c r="H61" s="1563"/>
      <c r="I61" s="714" t="s">
        <v>1143</v>
      </c>
      <c r="J61" s="634"/>
      <c r="K61" s="1563"/>
      <c r="L61" s="277"/>
      <c r="M61" s="2233"/>
      <c r="N61" s="397"/>
      <c r="O61" s="1687"/>
      <c r="P61" s="1687"/>
      <c r="AH61" s="1694">
        <v>0</v>
      </c>
    </row>
    <row s="4517" customFormat="1" customHeight="1" ht="0.75" hidden="1">
      <c r="A62" s="1843"/>
      <c r="B62" s="1843"/>
      <c r="C62" s="432" t="s">
        <v>1148</v>
      </c>
      <c r="D62" s="2525"/>
      <c r="E62" s="2267"/>
      <c r="F62" s="2446"/>
      <c r="G62" s="463"/>
      <c r="H62" s="1563"/>
      <c r="I62" s="714"/>
      <c r="J62" s="634"/>
      <c r="K62" s="1563"/>
      <c r="L62" s="277"/>
      <c r="M62" s="2233"/>
      <c r="N62" s="397"/>
      <c r="O62" s="1687"/>
      <c r="P62" s="1687"/>
      <c r="AH62" s="1694">
        <v>0</v>
      </c>
    </row>
    <row s="4517" customFormat="1" customHeight="1" ht="18.75" hidden="1">
      <c r="A63" s="1843" t="s">
        <v>242</v>
      </c>
      <c r="B63" s="1843" t="s">
        <v>243</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303</v>
      </c>
      <c r="M63" s="2233"/>
      <c r="N63" s="397"/>
      <c r="O63" s="1687"/>
      <c r="P63" s="1687"/>
      <c r="AH63" s="1694">
        <v>0</v>
      </c>
    </row>
    <row s="4517" customFormat="1" customHeight="1" ht="18.75" hidden="1">
      <c r="A64" s="1843"/>
      <c r="B64" s="1843"/>
      <c r="C64" s="432" t="s">
        <v>1142</v>
      </c>
      <c r="D64" s="2525"/>
      <c r="E64" s="2267"/>
      <c r="F64" s="2446"/>
      <c r="G64" s="2490"/>
      <c r="H64" s="1563"/>
      <c r="I64" s="714" t="s">
        <v>1143</v>
      </c>
      <c r="J64" s="634"/>
      <c r="K64" s="1563"/>
      <c r="L64" s="277"/>
      <c r="M64" s="2233"/>
      <c r="N64" s="397"/>
      <c r="O64" s="1687"/>
      <c r="P64" s="1687"/>
      <c r="AH64" s="1694">
        <v>0</v>
      </c>
    </row>
    <row s="4517" customFormat="1" customHeight="1" ht="0.75" hidden="1">
      <c r="A65" s="1843"/>
      <c r="B65" s="1843"/>
      <c r="C65" s="432" t="s">
        <v>1148</v>
      </c>
      <c r="D65" s="2525"/>
      <c r="E65" s="2267"/>
      <c r="F65" s="2446"/>
      <c r="G65" s="463"/>
      <c r="H65" s="1563"/>
      <c r="I65" s="714"/>
      <c r="J65" s="634"/>
      <c r="K65" s="1563"/>
      <c r="L65" s="277"/>
      <c r="M65" s="2233"/>
      <c r="N65" s="397"/>
      <c r="O65" s="1687"/>
      <c r="P65" s="1687"/>
      <c r="AH65" s="1694">
        <v>0</v>
      </c>
    </row>
    <row s="4517" customFormat="1" customHeight="1" ht="18.75" hidden="1">
      <c r="A66" s="1843" t="s">
        <v>247</v>
      </c>
      <c r="B66" s="1843" t="s">
        <v>248</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303</v>
      </c>
      <c r="M66" s="2233"/>
      <c r="N66" s="397"/>
      <c r="O66" s="1687"/>
      <c r="P66" s="1687"/>
      <c r="AH66" s="1694">
        <v>0</v>
      </c>
    </row>
    <row s="4517" customFormat="1" customHeight="1" ht="18.75" hidden="1">
      <c r="A67" s="1843"/>
      <c r="B67" s="1843"/>
      <c r="C67" s="432" t="s">
        <v>1142</v>
      </c>
      <c r="D67" s="2525"/>
      <c r="E67" s="2267"/>
      <c r="F67" s="2446"/>
      <c r="G67" s="2490"/>
      <c r="H67" s="1563"/>
      <c r="I67" s="714" t="s">
        <v>1143</v>
      </c>
      <c r="J67" s="634"/>
      <c r="K67" s="1563"/>
      <c r="L67" s="277"/>
      <c r="M67" s="2233"/>
      <c r="N67" s="397"/>
      <c r="O67" s="1687"/>
      <c r="P67" s="1687"/>
      <c r="AH67" s="1694">
        <v>0</v>
      </c>
    </row>
    <row s="4517" customFormat="1" customHeight="1" ht="0.75" hidden="1">
      <c r="A68" s="1843"/>
      <c r="B68" s="1843"/>
      <c r="C68" s="432" t="s">
        <v>1148</v>
      </c>
      <c r="D68" s="2525"/>
      <c r="E68" s="2267"/>
      <c r="F68" s="2446"/>
      <c r="G68" s="463"/>
      <c r="H68" s="1563"/>
      <c r="I68" s="714"/>
      <c r="J68" s="634"/>
      <c r="K68" s="1563"/>
      <c r="L68" s="277"/>
      <c r="M68" s="2233"/>
      <c r="N68" s="397"/>
      <c r="O68" s="1687"/>
      <c r="P68" s="1687"/>
      <c r="AH68" s="1694">
        <v>0</v>
      </c>
    </row>
    <row s="4517" customFormat="1" customHeight="1" ht="18.75" hidden="1">
      <c r="A69" s="1843" t="s">
        <v>252</v>
      </c>
      <c r="B69" s="1843" t="s">
        <v>253</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303</v>
      </c>
      <c r="M69" s="2233"/>
      <c r="N69" s="397"/>
      <c r="O69" s="1687"/>
      <c r="P69" s="1687"/>
      <c r="AH69" s="1694">
        <v>0</v>
      </c>
    </row>
    <row s="4517" customFormat="1" customHeight="1" ht="18.75" hidden="1">
      <c r="A70" s="1843"/>
      <c r="B70" s="1843"/>
      <c r="C70" s="432" t="s">
        <v>1142</v>
      </c>
      <c r="D70" s="2525"/>
      <c r="E70" s="2267"/>
      <c r="F70" s="2446"/>
      <c r="G70" s="2490"/>
      <c r="H70" s="1563"/>
      <c r="I70" s="714" t="s">
        <v>1143</v>
      </c>
      <c r="J70" s="634"/>
      <c r="K70" s="1563"/>
      <c r="L70" s="277"/>
      <c r="M70" s="2233"/>
      <c r="N70" s="397"/>
      <c r="O70" s="1687"/>
      <c r="P70" s="1687"/>
      <c r="AH70" s="1694">
        <v>0</v>
      </c>
    </row>
    <row s="4517" customFormat="1" customHeight="1" ht="0.75" hidden="1">
      <c r="A71" s="1843"/>
      <c r="B71" s="1843"/>
      <c r="C71" s="432" t="s">
        <v>1148</v>
      </c>
      <c r="D71" s="2525"/>
      <c r="E71" s="2267"/>
      <c r="F71" s="2446"/>
      <c r="G71" s="463"/>
      <c r="H71" s="1563"/>
      <c r="I71" s="714"/>
      <c r="J71" s="634"/>
      <c r="K71" s="1563"/>
      <c r="L71" s="277"/>
      <c r="M71" s="2233"/>
      <c r="N71" s="397"/>
      <c r="O71" s="1687"/>
      <c r="P71" s="1687"/>
      <c r="AH71" s="1694">
        <v>0</v>
      </c>
    </row>
    <row s="4517" customFormat="1" customHeight="1" ht="18.75" hidden="1">
      <c r="A72" s="1843" t="s">
        <v>257</v>
      </c>
      <c r="B72" s="1843" t="s">
        <v>258</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303</v>
      </c>
      <c r="M72" s="2233"/>
      <c r="N72" s="397"/>
      <c r="O72" s="1687"/>
      <c r="P72" s="1687"/>
      <c r="AH72" s="1694">
        <v>0</v>
      </c>
    </row>
    <row s="4517" customFormat="1" customHeight="1" ht="18.75" hidden="1">
      <c r="A73" s="1843"/>
      <c r="B73" s="1843"/>
      <c r="C73" s="432" t="s">
        <v>1142</v>
      </c>
      <c r="D73" s="2525"/>
      <c r="E73" s="2267"/>
      <c r="F73" s="2446"/>
      <c r="G73" s="2490"/>
      <c r="H73" s="1563"/>
      <c r="I73" s="714" t="s">
        <v>1143</v>
      </c>
      <c r="J73" s="634"/>
      <c r="K73" s="1563"/>
      <c r="L73" s="277"/>
      <c r="M73" s="2233"/>
      <c r="N73" s="397"/>
      <c r="O73" s="1687"/>
      <c r="P73" s="1687"/>
      <c r="AH73" s="1694">
        <v>0</v>
      </c>
    </row>
    <row s="4517" customFormat="1" customHeight="1" ht="0.75" hidden="1">
      <c r="A74" s="1843"/>
      <c r="B74" s="1843"/>
      <c r="C74" s="432" t="s">
        <v>1148</v>
      </c>
      <c r="D74" s="2525"/>
      <c r="E74" s="2267"/>
      <c r="F74" s="2446"/>
      <c r="G74" s="463"/>
      <c r="H74" s="1563"/>
      <c r="I74" s="714"/>
      <c r="J74" s="634"/>
      <c r="K74" s="1563"/>
      <c r="L74" s="277"/>
      <c r="M74" s="2233"/>
      <c r="N74" s="397"/>
      <c r="O74" s="1687"/>
      <c r="P74" s="1687"/>
      <c r="AH74" s="1694">
        <v>0</v>
      </c>
    </row>
    <row s="4517" customFormat="1" customHeight="1" ht="18.75" hidden="1">
      <c r="A75" s="1843" t="s">
        <v>262</v>
      </c>
      <c r="B75" s="1843" t="s">
        <v>263</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303</v>
      </c>
      <c r="M75" s="2233"/>
      <c r="N75" s="397"/>
      <c r="O75" s="1687"/>
      <c r="P75" s="1687"/>
      <c r="AH75" s="1694">
        <v>0</v>
      </c>
    </row>
    <row s="4517" customFormat="1" customHeight="1" ht="18.75" hidden="1">
      <c r="A76" s="1843"/>
      <c r="B76" s="1843"/>
      <c r="C76" s="432" t="s">
        <v>1142</v>
      </c>
      <c r="D76" s="2525"/>
      <c r="E76" s="2267"/>
      <c r="F76" s="2446"/>
      <c r="G76" s="2490"/>
      <c r="H76" s="1563"/>
      <c r="I76" s="714" t="s">
        <v>1143</v>
      </c>
      <c r="J76" s="634"/>
      <c r="K76" s="1563"/>
      <c r="L76" s="277"/>
      <c r="M76" s="2233"/>
      <c r="N76" s="397"/>
      <c r="O76" s="1687"/>
      <c r="P76" s="1687"/>
      <c r="AH76" s="1694">
        <v>0</v>
      </c>
    </row>
    <row s="4517" customFormat="1" customHeight="1" ht="0.75" hidden="1">
      <c r="A77" s="1843"/>
      <c r="B77" s="1843"/>
      <c r="C77" s="432" t="s">
        <v>1148</v>
      </c>
      <c r="D77" s="2525"/>
      <c r="E77" s="2267"/>
      <c r="F77" s="2446"/>
      <c r="G77" s="463"/>
      <c r="H77" s="1563"/>
      <c r="I77" s="714"/>
      <c r="J77" s="634"/>
      <c r="K77" s="1563"/>
      <c r="L77" s="277"/>
      <c r="M77" s="2233"/>
      <c r="N77" s="397"/>
      <c r="O77" s="1687"/>
      <c r="P77" s="1687"/>
      <c r="AH77" s="1694">
        <v>0</v>
      </c>
    </row>
    <row s="4517" customFormat="1" customHeight="1" ht="18.75" hidden="1">
      <c r="A78" s="1843" t="s">
        <v>267</v>
      </c>
      <c r="B78" s="1843" t="s">
        <v>268</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303</v>
      </c>
      <c r="M78" s="2233"/>
      <c r="N78" s="397"/>
      <c r="O78" s="1687"/>
      <c r="P78" s="1687"/>
      <c r="AH78" s="1694">
        <v>0</v>
      </c>
    </row>
    <row s="4517" customFormat="1" customHeight="1" ht="18.75" hidden="1">
      <c r="A79" s="1843"/>
      <c r="B79" s="1843"/>
      <c r="C79" s="432" t="s">
        <v>1142</v>
      </c>
      <c r="D79" s="2525"/>
      <c r="E79" s="2267"/>
      <c r="F79" s="2446"/>
      <c r="G79" s="2490"/>
      <c r="H79" s="1563"/>
      <c r="I79" s="714" t="s">
        <v>1143</v>
      </c>
      <c r="J79" s="634"/>
      <c r="K79" s="1563"/>
      <c r="L79" s="277"/>
      <c r="M79" s="2233"/>
      <c r="N79" s="397"/>
      <c r="O79" s="1687"/>
      <c r="P79" s="1687"/>
      <c r="AH79" s="1694">
        <v>0</v>
      </c>
    </row>
    <row s="4517" customFormat="1" customHeight="1" ht="0.75" hidden="1">
      <c r="A80" s="1843"/>
      <c r="B80" s="1843"/>
      <c r="C80" s="432" t="s">
        <v>1148</v>
      </c>
      <c r="D80" s="2525"/>
      <c r="E80" s="2267"/>
      <c r="F80" s="2446"/>
      <c r="G80" s="463"/>
      <c r="H80" s="1563"/>
      <c r="I80" s="714"/>
      <c r="J80" s="634"/>
      <c r="K80" s="1563"/>
      <c r="L80" s="277"/>
      <c r="M80" s="2233"/>
      <c r="N80" s="397"/>
      <c r="O80" s="1687"/>
      <c r="P80" s="1687"/>
      <c r="AH80" s="1694">
        <v>0</v>
      </c>
    </row>
    <row s="4517" customFormat="1" customHeight="1" ht="18.75" hidden="1">
      <c r="A81" s="1843" t="s">
        <v>272</v>
      </c>
      <c r="B81" s="1843" t="s">
        <v>273</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303</v>
      </c>
      <c r="M81" s="2233"/>
      <c r="N81" s="397"/>
      <c r="O81" s="1687"/>
      <c r="P81" s="1687"/>
      <c r="AH81" s="1694">
        <v>0</v>
      </c>
    </row>
    <row s="4517" customFormat="1" customHeight="1" ht="18.75" hidden="1">
      <c r="A82" s="1843"/>
      <c r="B82" s="1843"/>
      <c r="C82" s="432" t="s">
        <v>1142</v>
      </c>
      <c r="D82" s="2525"/>
      <c r="E82" s="2267"/>
      <c r="F82" s="2446"/>
      <c r="G82" s="2490"/>
      <c r="H82" s="1563"/>
      <c r="I82" s="714" t="s">
        <v>1143</v>
      </c>
      <c r="J82" s="634"/>
      <c r="K82" s="1563"/>
      <c r="L82" s="277"/>
      <c r="M82" s="2233"/>
      <c r="N82" s="397"/>
      <c r="O82" s="1687"/>
      <c r="P82" s="1687"/>
      <c r="AH82" s="1694">
        <v>0</v>
      </c>
    </row>
    <row s="4517" customFormat="1" customHeight="1" ht="1.05">
      <c r="A83" s="1843"/>
      <c r="B83" s="1843"/>
      <c r="C83" s="432" t="s">
        <v>1148</v>
      </c>
      <c r="D83" s="2525"/>
      <c r="E83" s="2267"/>
      <c r="F83" s="2446"/>
      <c r="G83" s="463"/>
      <c r="H83" s="1563"/>
      <c r="I83" s="714"/>
      <c r="J83" s="634"/>
      <c r="K83" s="1563"/>
      <c r="L83" s="277"/>
      <c r="M83" s="2233"/>
      <c r="N83" s="397"/>
      <c r="O83" s="1687"/>
      <c r="P83" s="1687"/>
      <c r="AH83" s="1694">
        <v>1</v>
      </c>
    </row>
    <row customHeight="1" ht="19.95">
      <c r="A84" s="1843"/>
      <c r="B84" s="1843"/>
      <c r="D84" s="439"/>
      <c r="E84" s="210" t="s">
        <v>109</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3"/>
      <c r="H84" s="2523"/>
      <c r="I84" s="2523"/>
      <c r="J84" s="2523"/>
      <c r="K84" s="2523"/>
      <c r="L84" s="2523"/>
      <c r="M84" s="360"/>
      <c r="N84" s="397"/>
      <c r="AH84" s="437">
        <v>19</v>
      </c>
    </row>
    <row customHeight="1" ht="35.699999999999996">
      <c r="A85" s="1843"/>
      <c r="B85" s="1843"/>
      <c r="D85" s="439"/>
      <c r="E85" s="462"/>
      <c r="F85" s="261" t="s">
        <v>303</v>
      </c>
      <c r="G85" s="261" t="s">
        <v>303</v>
      </c>
      <c r="H85" s="2281" t="s">
        <v>303</v>
      </c>
      <c r="I85" s="2283"/>
      <c r="J85" s="261" t="s">
        <v>303</v>
      </c>
      <c r="K85" s="261" t="s">
        <v>303</v>
      </c>
      <c r="L85" s="464"/>
      <c r="M85" s="408" t="s">
        <v>1149</v>
      </c>
      <c r="N85" s="397"/>
      <c r="AH85" s="437">
        <v>34</v>
      </c>
    </row>
    <row customHeight="1" ht="19.95">
      <c r="A86" s="1843"/>
      <c r="B86" s="1843"/>
      <c r="D86" s="439"/>
      <c r="E86" s="210" t="s">
        <v>89</v>
      </c>
      <c r="F86" s="2523" t="s">
        <v>1150</v>
      </c>
      <c r="G86" s="2523"/>
      <c r="H86" s="2523"/>
      <c r="I86" s="2523"/>
      <c r="J86" s="2523"/>
      <c r="K86" s="2523"/>
      <c r="L86" s="2523"/>
      <c r="M86" s="360"/>
      <c r="N86" s="397"/>
      <c r="AH86" s="437">
        <v>19</v>
      </c>
    </row>
    <row s="4517" customFormat="1" customHeight="1" ht="60.75" hidden="1">
      <c r="A87" s="1843" t="s">
        <v>154</v>
      </c>
      <c r="B87" s="1843" t="s">
        <v>155</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303</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7" customFormat="1" customHeight="1" ht="18.75" hidden="1">
      <c r="A88" s="1843"/>
      <c r="B88" s="1843"/>
      <c r="C88" s="432" t="s">
        <v>1144</v>
      </c>
      <c r="D88" s="2525"/>
      <c r="E88" s="2267"/>
      <c r="F88" s="2446"/>
      <c r="G88" s="2490"/>
      <c r="H88" s="1563"/>
      <c r="I88" s="714" t="s">
        <v>1143</v>
      </c>
      <c r="J88" s="634"/>
      <c r="K88" s="1563"/>
      <c r="L88" s="277"/>
      <c r="M88" s="2233"/>
      <c r="N88" s="397"/>
      <c r="O88" s="1687"/>
      <c r="P88" s="1687"/>
      <c r="AH88" s="1694">
        <v>0</v>
      </c>
    </row>
    <row s="4517" customFormat="1" customHeight="1" ht="0.75" hidden="1">
      <c r="A89" s="1843"/>
      <c r="B89" s="1843"/>
      <c r="C89" s="432" t="s">
        <v>1151</v>
      </c>
      <c r="D89" s="2525"/>
      <c r="E89" s="2267"/>
      <c r="F89" s="2446"/>
      <c r="G89" s="463"/>
      <c r="H89" s="1563"/>
      <c r="I89" s="714"/>
      <c r="J89" s="634"/>
      <c r="K89" s="1563"/>
      <c r="L89" s="277"/>
      <c r="M89" s="2233"/>
      <c r="N89" s="397"/>
      <c r="O89" s="1687"/>
      <c r="P89" s="1687"/>
      <c r="AH89" s="1694">
        <v>0</v>
      </c>
    </row>
    <row s="4517" customFormat="1" customHeight="1" ht="45" hidden="1">
      <c r="A90" s="1843" t="s">
        <v>159</v>
      </c>
      <c r="B90" s="1843" t="s">
        <v>160</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303</v>
      </c>
      <c r="M90" s="2234"/>
      <c r="N90" s="397"/>
      <c r="O90" s="1687"/>
      <c r="P90" s="1687"/>
      <c r="AH90" s="1694">
        <v>0</v>
      </c>
    </row>
    <row s="4517" customFormat="1" customHeight="1" ht="18.75" hidden="1">
      <c r="A91" s="1843"/>
      <c r="B91" s="1843"/>
      <c r="C91" s="432" t="s">
        <v>1144</v>
      </c>
      <c r="D91" s="2525"/>
      <c r="E91" s="2267"/>
      <c r="F91" s="2446"/>
      <c r="G91" s="2490"/>
      <c r="H91" s="1563"/>
      <c r="I91" s="714" t="s">
        <v>1143</v>
      </c>
      <c r="J91" s="634"/>
      <c r="K91" s="1563"/>
      <c r="L91" s="277"/>
      <c r="M91" s="1924"/>
      <c r="N91" s="397"/>
      <c r="O91" s="1687"/>
      <c r="P91" s="1687"/>
      <c r="AH91" s="1694">
        <v>0</v>
      </c>
    </row>
    <row s="4517" customFormat="1" customHeight="1" ht="0.75" hidden="1">
      <c r="A92" s="1843"/>
      <c r="B92" s="1843"/>
      <c r="C92" s="432" t="s">
        <v>1151</v>
      </c>
      <c r="D92" s="2525"/>
      <c r="E92" s="2267"/>
      <c r="F92" s="2446"/>
      <c r="G92" s="463"/>
      <c r="H92" s="1563"/>
      <c r="I92" s="714"/>
      <c r="J92" s="634"/>
      <c r="K92" s="1563"/>
      <c r="L92" s="277"/>
      <c r="M92" s="404"/>
      <c r="N92" s="397"/>
      <c r="O92" s="1687"/>
      <c r="P92" s="1687"/>
      <c r="AH92" s="1694">
        <v>0</v>
      </c>
    </row>
    <row s="4517" customFormat="1" customHeight="1" ht="45" hidden="1">
      <c r="A93" s="1843" t="s">
        <v>166</v>
      </c>
      <c r="B93" s="1843" t="s">
        <v>167</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303</v>
      </c>
      <c r="M93" s="404"/>
      <c r="N93" s="397"/>
      <c r="O93" s="1687"/>
      <c r="P93" s="1687"/>
      <c r="AH93" s="1694">
        <v>0</v>
      </c>
    </row>
    <row s="4517" customFormat="1" customHeight="1" ht="18.75" hidden="1">
      <c r="A94" s="1843"/>
      <c r="B94" s="1843"/>
      <c r="C94" s="432" t="s">
        <v>1144</v>
      </c>
      <c r="D94" s="2525"/>
      <c r="E94" s="2267"/>
      <c r="F94" s="2446"/>
      <c r="G94" s="2490"/>
      <c r="H94" s="1563"/>
      <c r="I94" s="714" t="s">
        <v>1143</v>
      </c>
      <c r="J94" s="634"/>
      <c r="K94" s="1563"/>
      <c r="L94" s="277"/>
      <c r="M94" s="404"/>
      <c r="N94" s="397"/>
      <c r="O94" s="1687"/>
      <c r="P94" s="1687"/>
      <c r="AH94" s="1694">
        <v>0</v>
      </c>
    </row>
    <row s="4517" customFormat="1" customHeight="1" ht="0.75" hidden="1">
      <c r="A95" s="1843"/>
      <c r="B95" s="1843"/>
      <c r="C95" s="432" t="s">
        <v>1151</v>
      </c>
      <c r="D95" s="2525"/>
      <c r="E95" s="2267"/>
      <c r="F95" s="2446"/>
      <c r="G95" s="463"/>
      <c r="H95" s="1563"/>
      <c r="I95" s="714"/>
      <c r="J95" s="634"/>
      <c r="K95" s="1563"/>
      <c r="L95" s="277"/>
      <c r="M95" s="404"/>
      <c r="N95" s="397"/>
      <c r="O95" s="1687"/>
      <c r="P95" s="1687"/>
      <c r="AH95" s="1694">
        <v>0</v>
      </c>
    </row>
    <row s="4517" customFormat="1" customHeight="1" ht="45" hidden="1">
      <c r="A96" s="1843" t="s">
        <v>172</v>
      </c>
      <c r="B96" s="1843" t="s">
        <v>173</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303</v>
      </c>
      <c r="M96" s="404"/>
      <c r="N96" s="397"/>
      <c r="O96" s="1687"/>
      <c r="P96" s="1687"/>
      <c r="AH96" s="1694">
        <v>0</v>
      </c>
    </row>
    <row s="4517" customFormat="1" customHeight="1" ht="18.75" hidden="1">
      <c r="A97" s="1843"/>
      <c r="B97" s="1843"/>
      <c r="C97" s="432" t="s">
        <v>1144</v>
      </c>
      <c r="D97" s="2525"/>
      <c r="E97" s="2267"/>
      <c r="F97" s="2446"/>
      <c r="G97" s="2490"/>
      <c r="H97" s="1563"/>
      <c r="I97" s="714" t="s">
        <v>1143</v>
      </c>
      <c r="J97" s="634"/>
      <c r="K97" s="1563"/>
      <c r="L97" s="277"/>
      <c r="M97" s="404"/>
      <c r="N97" s="397"/>
      <c r="O97" s="1687"/>
      <c r="P97" s="1687"/>
      <c r="AH97" s="1694">
        <v>0</v>
      </c>
    </row>
    <row s="4517" customFormat="1" customHeight="1" ht="0.75" hidden="1">
      <c r="A98" s="1843"/>
      <c r="B98" s="1843"/>
      <c r="C98" s="432" t="s">
        <v>1151</v>
      </c>
      <c r="D98" s="2525"/>
      <c r="E98" s="2267"/>
      <c r="F98" s="2446"/>
      <c r="G98" s="463"/>
      <c r="H98" s="1563"/>
      <c r="I98" s="714"/>
      <c r="J98" s="634"/>
      <c r="K98" s="1563"/>
      <c r="L98" s="277"/>
      <c r="M98" s="404"/>
      <c r="N98" s="397"/>
      <c r="O98" s="1687"/>
      <c r="P98" s="1687"/>
      <c r="AH98" s="1694">
        <v>0</v>
      </c>
    </row>
    <row s="4517" customFormat="1" customHeight="1" ht="18.75" hidden="1">
      <c r="A99" s="1843" t="s">
        <v>178</v>
      </c>
      <c r="B99" s="1843" t="s">
        <v>179</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303</v>
      </c>
      <c r="M99" s="404"/>
      <c r="N99" s="397"/>
      <c r="O99" s="1687"/>
      <c r="P99" s="1687"/>
      <c r="AH99" s="1694">
        <v>0</v>
      </c>
    </row>
    <row s="4517" customFormat="1" customHeight="1" ht="18.75" hidden="1">
      <c r="A100" s="1843"/>
      <c r="B100" s="1843"/>
      <c r="C100" s="432" t="s">
        <v>1144</v>
      </c>
      <c r="D100" s="2525"/>
      <c r="E100" s="2267"/>
      <c r="F100" s="2446"/>
      <c r="G100" s="2490"/>
      <c r="H100" s="1563"/>
      <c r="I100" s="714" t="s">
        <v>1143</v>
      </c>
      <c r="J100" s="634"/>
      <c r="K100" s="1563"/>
      <c r="L100" s="277"/>
      <c r="M100" s="404"/>
      <c r="N100" s="397"/>
      <c r="O100" s="1687"/>
      <c r="P100" s="1687"/>
      <c r="AH100" s="1694">
        <v>0</v>
      </c>
    </row>
    <row s="4517" customFormat="1" customHeight="1" ht="0.75" hidden="1">
      <c r="A101" s="1843"/>
      <c r="B101" s="1843"/>
      <c r="C101" s="432" t="s">
        <v>1151</v>
      </c>
      <c r="D101" s="2525"/>
      <c r="E101" s="2267"/>
      <c r="F101" s="2446"/>
      <c r="G101" s="463"/>
      <c r="H101" s="1563"/>
      <c r="I101" s="714"/>
      <c r="J101" s="634"/>
      <c r="K101" s="1563"/>
      <c r="L101" s="277"/>
      <c r="M101" s="404"/>
      <c r="N101" s="397"/>
      <c r="O101" s="1687"/>
      <c r="P101" s="1687"/>
      <c r="AH101" s="1694">
        <v>0</v>
      </c>
    </row>
    <row s="4517" customFormat="1" customHeight="1" ht="18.75" hidden="1">
      <c r="A102" s="1843" t="s">
        <v>184</v>
      </c>
      <c r="B102" s="1843" t="s">
        <v>185</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303</v>
      </c>
      <c r="M102" s="404"/>
      <c r="N102" s="397"/>
      <c r="O102" s="1687"/>
      <c r="P102" s="1687"/>
      <c r="AH102" s="1694">
        <v>0</v>
      </c>
    </row>
    <row s="4517" customFormat="1" customHeight="1" ht="18.75" hidden="1">
      <c r="A103" s="1843"/>
      <c r="B103" s="1843"/>
      <c r="C103" s="432" t="s">
        <v>1144</v>
      </c>
      <c r="D103" s="2525"/>
      <c r="E103" s="2267"/>
      <c r="F103" s="2446"/>
      <c r="G103" s="2490"/>
      <c r="H103" s="1563"/>
      <c r="I103" s="714" t="s">
        <v>1143</v>
      </c>
      <c r="J103" s="634"/>
      <c r="K103" s="1563"/>
      <c r="L103" s="277"/>
      <c r="M103" s="404"/>
      <c r="N103" s="397"/>
      <c r="O103" s="1687"/>
      <c r="P103" s="1687"/>
      <c r="AH103" s="1694">
        <v>0</v>
      </c>
    </row>
    <row s="4517" customFormat="1" customHeight="1" ht="0.75" hidden="1">
      <c r="A104" s="1843"/>
      <c r="B104" s="1843"/>
      <c r="C104" s="432" t="s">
        <v>1151</v>
      </c>
      <c r="D104" s="2525"/>
      <c r="E104" s="2267"/>
      <c r="F104" s="2446"/>
      <c r="G104" s="463"/>
      <c r="H104" s="1563"/>
      <c r="I104" s="714"/>
      <c r="J104" s="634"/>
      <c r="K104" s="1563"/>
      <c r="L104" s="277"/>
      <c r="M104" s="404"/>
      <c r="N104" s="397"/>
      <c r="O104" s="1687"/>
      <c r="P104" s="1687"/>
      <c r="AH104" s="1694">
        <v>0</v>
      </c>
    </row>
    <row s="4517" customFormat="1" customHeight="1" ht="18.75" hidden="1">
      <c r="A105" s="1843" t="s">
        <v>190</v>
      </c>
      <c r="B105" s="1843" t="s">
        <v>191</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303</v>
      </c>
      <c r="M105" s="404"/>
      <c r="N105" s="397"/>
      <c r="O105" s="1687"/>
      <c r="P105" s="1687"/>
      <c r="AH105" s="1694">
        <v>0</v>
      </c>
    </row>
    <row s="4517" customFormat="1" customHeight="1" ht="18.75" hidden="1">
      <c r="A106" s="1843"/>
      <c r="B106" s="1843"/>
      <c r="C106" s="432" t="s">
        <v>1144</v>
      </c>
      <c r="D106" s="2525"/>
      <c r="E106" s="2267"/>
      <c r="F106" s="2446"/>
      <c r="G106" s="2490"/>
      <c r="H106" s="1563"/>
      <c r="I106" s="714" t="s">
        <v>1143</v>
      </c>
      <c r="J106" s="634"/>
      <c r="K106" s="1563"/>
      <c r="L106" s="277"/>
      <c r="M106" s="404"/>
      <c r="N106" s="397"/>
      <c r="O106" s="1687"/>
      <c r="P106" s="1687"/>
      <c r="AH106" s="1694">
        <v>0</v>
      </c>
    </row>
    <row s="4517" customFormat="1" customHeight="1" ht="0.75" hidden="1">
      <c r="A107" s="1843"/>
      <c r="B107" s="1843"/>
      <c r="C107" s="432" t="s">
        <v>1151</v>
      </c>
      <c r="D107" s="2525"/>
      <c r="E107" s="2267"/>
      <c r="F107" s="2446"/>
      <c r="G107" s="463"/>
      <c r="H107" s="1563"/>
      <c r="I107" s="714"/>
      <c r="J107" s="634"/>
      <c r="K107" s="1563"/>
      <c r="L107" s="277"/>
      <c r="M107" s="404"/>
      <c r="N107" s="397"/>
      <c r="O107" s="1687"/>
      <c r="P107" s="1687"/>
      <c r="AH107" s="1694">
        <v>0</v>
      </c>
    </row>
    <row s="4517" customFormat="1" customHeight="1" ht="18.75" hidden="1">
      <c r="A108" s="1843" t="s">
        <v>196</v>
      </c>
      <c r="B108" s="1843" t="s">
        <v>197</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303</v>
      </c>
      <c r="M108" s="404"/>
      <c r="N108" s="397"/>
      <c r="O108" s="1687"/>
      <c r="P108" s="1687"/>
      <c r="AH108" s="1694">
        <v>0</v>
      </c>
    </row>
    <row s="4517" customFormat="1" customHeight="1" ht="18.75" hidden="1">
      <c r="A109" s="1843"/>
      <c r="B109" s="1843"/>
      <c r="C109" s="432" t="s">
        <v>1144</v>
      </c>
      <c r="D109" s="2525"/>
      <c r="E109" s="2267"/>
      <c r="F109" s="2446"/>
      <c r="G109" s="2490"/>
      <c r="H109" s="1563"/>
      <c r="I109" s="714" t="s">
        <v>1143</v>
      </c>
      <c r="J109" s="634"/>
      <c r="K109" s="1563"/>
      <c r="L109" s="277"/>
      <c r="M109" s="404"/>
      <c r="N109" s="397"/>
      <c r="O109" s="1687"/>
      <c r="P109" s="1687"/>
      <c r="AH109" s="1694">
        <v>0</v>
      </c>
    </row>
    <row s="4517" customFormat="1" customHeight="1" ht="0.75" hidden="1">
      <c r="A110" s="1843"/>
      <c r="B110" s="1843"/>
      <c r="C110" s="432" t="s">
        <v>1151</v>
      </c>
      <c r="D110" s="2525"/>
      <c r="E110" s="2267"/>
      <c r="F110" s="2446"/>
      <c r="G110" s="463"/>
      <c r="H110" s="1563"/>
      <c r="I110" s="714"/>
      <c r="J110" s="634"/>
      <c r="K110" s="1563"/>
      <c r="L110" s="277"/>
      <c r="M110" s="404"/>
      <c r="N110" s="397"/>
      <c r="O110" s="1687"/>
      <c r="P110" s="1687"/>
      <c r="AH110" s="1694">
        <v>0</v>
      </c>
    </row>
    <row s="4517" customFormat="1" customHeight="1" ht="18.75" hidden="1">
      <c r="A111" s="1843" t="s">
        <v>202</v>
      </c>
      <c r="B111" s="1843" t="s">
        <v>203</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303</v>
      </c>
      <c r="M111" s="404"/>
      <c r="N111" s="397"/>
      <c r="O111" s="1687"/>
      <c r="P111" s="1687"/>
      <c r="AH111" s="1694">
        <v>0</v>
      </c>
    </row>
    <row s="4517" customFormat="1" customHeight="1" ht="18.75" hidden="1">
      <c r="A112" s="1843"/>
      <c r="B112" s="1843"/>
      <c r="C112" s="432" t="s">
        <v>1144</v>
      </c>
      <c r="D112" s="2525"/>
      <c r="E112" s="2267"/>
      <c r="F112" s="2446"/>
      <c r="G112" s="2490"/>
      <c r="H112" s="1563"/>
      <c r="I112" s="714" t="s">
        <v>1143</v>
      </c>
      <c r="J112" s="634"/>
      <c r="K112" s="1563"/>
      <c r="L112" s="277"/>
      <c r="M112" s="404"/>
      <c r="N112" s="397"/>
      <c r="O112" s="1687"/>
      <c r="P112" s="1687"/>
      <c r="AH112" s="1694">
        <v>0</v>
      </c>
    </row>
    <row s="4517" customFormat="1" customHeight="1" ht="0.75" hidden="1">
      <c r="A113" s="1843"/>
      <c r="B113" s="1843"/>
      <c r="C113" s="432" t="s">
        <v>1151</v>
      </c>
      <c r="D113" s="2525"/>
      <c r="E113" s="2267"/>
      <c r="F113" s="2446"/>
      <c r="G113" s="463"/>
      <c r="H113" s="1563"/>
      <c r="I113" s="714"/>
      <c r="J113" s="634"/>
      <c r="K113" s="1563"/>
      <c r="L113" s="277"/>
      <c r="M113" s="404"/>
      <c r="N113" s="397"/>
      <c r="O113" s="1687"/>
      <c r="P113" s="1687"/>
      <c r="AH113" s="1694">
        <v>0</v>
      </c>
    </row>
    <row s="4517" customFormat="1" customHeight="1" ht="18.75" hidden="1">
      <c r="A114" s="1843" t="s">
        <v>222</v>
      </c>
      <c r="B114" s="1843" t="s">
        <v>223</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303</v>
      </c>
      <c r="M114" s="404"/>
      <c r="N114" s="397"/>
      <c r="O114" s="1687"/>
      <c r="P114" s="1687"/>
      <c r="AH114" s="1694">
        <v>0</v>
      </c>
    </row>
    <row s="4517" customFormat="1" customHeight="1" ht="18.75" hidden="1">
      <c r="A115" s="1843"/>
      <c r="B115" s="1843"/>
      <c r="C115" s="432" t="s">
        <v>1144</v>
      </c>
      <c r="D115" s="2525"/>
      <c r="E115" s="2267"/>
      <c r="F115" s="2446"/>
      <c r="G115" s="2490"/>
      <c r="H115" s="1563"/>
      <c r="I115" s="714" t="s">
        <v>1143</v>
      </c>
      <c r="J115" s="634"/>
      <c r="K115" s="1563"/>
      <c r="L115" s="277"/>
      <c r="M115" s="404"/>
      <c r="N115" s="397"/>
      <c r="O115" s="1687"/>
      <c r="P115" s="1687"/>
      <c r="AH115" s="1694">
        <v>0</v>
      </c>
    </row>
    <row s="4517" customFormat="1" customHeight="1" ht="0.75" hidden="1">
      <c r="A116" s="1843"/>
      <c r="B116" s="1843"/>
      <c r="C116" s="432" t="s">
        <v>1151</v>
      </c>
      <c r="D116" s="2525"/>
      <c r="E116" s="2267"/>
      <c r="F116" s="2446"/>
      <c r="G116" s="463"/>
      <c r="H116" s="1563"/>
      <c r="I116" s="714"/>
      <c r="J116" s="634"/>
      <c r="K116" s="1563"/>
      <c r="L116" s="277"/>
      <c r="M116" s="404"/>
      <c r="N116" s="397"/>
      <c r="O116" s="1687"/>
      <c r="P116" s="1687"/>
      <c r="AH116" s="1694">
        <v>0</v>
      </c>
    </row>
    <row s="4517" customFormat="1" customHeight="1" ht="18.75" hidden="1">
      <c r="A117" s="1843" t="s">
        <v>227</v>
      </c>
      <c r="B117" s="1843" t="s">
        <v>228</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303</v>
      </c>
      <c r="M117" s="404"/>
      <c r="N117" s="397"/>
      <c r="O117" s="1687"/>
      <c r="P117" s="1687"/>
      <c r="AH117" s="1694">
        <v>0</v>
      </c>
    </row>
    <row s="4517" customFormat="1" customHeight="1" ht="18.75" hidden="1">
      <c r="A118" s="1843"/>
      <c r="B118" s="1843"/>
      <c r="C118" s="432" t="s">
        <v>1144</v>
      </c>
      <c r="D118" s="2525"/>
      <c r="E118" s="2267"/>
      <c r="F118" s="2446"/>
      <c r="G118" s="2490"/>
      <c r="H118" s="1563"/>
      <c r="I118" s="714" t="s">
        <v>1143</v>
      </c>
      <c r="J118" s="634"/>
      <c r="K118" s="1563"/>
      <c r="L118" s="277"/>
      <c r="M118" s="404"/>
      <c r="N118" s="397"/>
      <c r="O118" s="1687"/>
      <c r="P118" s="1687"/>
      <c r="AH118" s="1694">
        <v>0</v>
      </c>
    </row>
    <row s="4517" customFormat="1" customHeight="1" ht="0.75" hidden="1">
      <c r="A119" s="1843"/>
      <c r="B119" s="1843"/>
      <c r="C119" s="432" t="s">
        <v>1151</v>
      </c>
      <c r="D119" s="2525"/>
      <c r="E119" s="2267"/>
      <c r="F119" s="2446"/>
      <c r="G119" s="463"/>
      <c r="H119" s="1563"/>
      <c r="I119" s="714"/>
      <c r="J119" s="634"/>
      <c r="K119" s="1563"/>
      <c r="L119" s="277"/>
      <c r="M119" s="404"/>
      <c r="N119" s="397"/>
      <c r="O119" s="1687"/>
      <c r="P119" s="1687"/>
      <c r="AH119" s="1694">
        <v>0</v>
      </c>
    </row>
    <row s="4517" customFormat="1" customHeight="1" ht="18.75" hidden="1">
      <c r="A120" s="1843" t="s">
        <v>232</v>
      </c>
      <c r="B120" s="1843" t="s">
        <v>233</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303</v>
      </c>
      <c r="M120" s="404"/>
      <c r="N120" s="397"/>
      <c r="O120" s="1687"/>
      <c r="P120" s="1687"/>
      <c r="AH120" s="1694">
        <v>0</v>
      </c>
    </row>
    <row s="4517" customFormat="1" customHeight="1" ht="18.75" hidden="1">
      <c r="A121" s="1843"/>
      <c r="B121" s="1843"/>
      <c r="C121" s="432" t="s">
        <v>1144</v>
      </c>
      <c r="D121" s="2525"/>
      <c r="E121" s="2267"/>
      <c r="F121" s="2446"/>
      <c r="G121" s="2490"/>
      <c r="H121" s="1563"/>
      <c r="I121" s="714" t="s">
        <v>1143</v>
      </c>
      <c r="J121" s="634"/>
      <c r="K121" s="1563"/>
      <c r="L121" s="277"/>
      <c r="M121" s="404"/>
      <c r="N121" s="397"/>
      <c r="O121" s="1687"/>
      <c r="P121" s="1687"/>
      <c r="AH121" s="1694">
        <v>0</v>
      </c>
    </row>
    <row s="4517" customFormat="1" customHeight="1" ht="0.75" hidden="1">
      <c r="A122" s="1843"/>
      <c r="B122" s="1843"/>
      <c r="C122" s="432" t="s">
        <v>1151</v>
      </c>
      <c r="D122" s="2525"/>
      <c r="E122" s="2267"/>
      <c r="F122" s="2446"/>
      <c r="G122" s="463"/>
      <c r="H122" s="1563"/>
      <c r="I122" s="714"/>
      <c r="J122" s="634"/>
      <c r="K122" s="1563"/>
      <c r="L122" s="277"/>
      <c r="M122" s="404"/>
      <c r="N122" s="397"/>
      <c r="O122" s="1687"/>
      <c r="P122" s="1687"/>
      <c r="AH122" s="1694">
        <v>0</v>
      </c>
    </row>
    <row s="4517" customFormat="1" customHeight="1" ht="18.75" hidden="1">
      <c r="A123" s="1843" t="s">
        <v>237</v>
      </c>
      <c r="B123" s="1843" t="s">
        <v>238</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303</v>
      </c>
      <c r="M123" s="404"/>
      <c r="N123" s="397"/>
      <c r="O123" s="1687"/>
      <c r="P123" s="1687"/>
      <c r="AH123" s="1694">
        <v>0</v>
      </c>
    </row>
    <row s="4517" customFormat="1" customHeight="1" ht="18.75" hidden="1">
      <c r="A124" s="1843"/>
      <c r="B124" s="1843"/>
      <c r="C124" s="432" t="s">
        <v>1144</v>
      </c>
      <c r="D124" s="2525"/>
      <c r="E124" s="2267"/>
      <c r="F124" s="2446"/>
      <c r="G124" s="2490"/>
      <c r="H124" s="1563"/>
      <c r="I124" s="714" t="s">
        <v>1143</v>
      </c>
      <c r="J124" s="634"/>
      <c r="K124" s="1563"/>
      <c r="L124" s="277"/>
      <c r="M124" s="404"/>
      <c r="N124" s="397"/>
      <c r="O124" s="1687"/>
      <c r="P124" s="1687"/>
      <c r="AH124" s="1694">
        <v>0</v>
      </c>
    </row>
    <row s="4517" customFormat="1" customHeight="1" ht="0.75" hidden="1">
      <c r="A125" s="1843"/>
      <c r="B125" s="1843"/>
      <c r="C125" s="432" t="s">
        <v>1151</v>
      </c>
      <c r="D125" s="2525"/>
      <c r="E125" s="2267"/>
      <c r="F125" s="2446"/>
      <c r="G125" s="463"/>
      <c r="H125" s="1563"/>
      <c r="I125" s="714"/>
      <c r="J125" s="634"/>
      <c r="K125" s="1563"/>
      <c r="L125" s="277"/>
      <c r="M125" s="404"/>
      <c r="N125" s="397"/>
      <c r="O125" s="1687"/>
      <c r="P125" s="1687"/>
      <c r="AH125" s="1694">
        <v>0</v>
      </c>
    </row>
    <row s="4517" customFormat="1" customHeight="1" ht="18.75" hidden="1">
      <c r="A126" s="1843" t="s">
        <v>242</v>
      </c>
      <c r="B126" s="1843" t="s">
        <v>243</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303</v>
      </c>
      <c r="M126" s="404"/>
      <c r="N126" s="397"/>
      <c r="O126" s="1687"/>
      <c r="P126" s="1687"/>
      <c r="AH126" s="1694">
        <v>0</v>
      </c>
    </row>
    <row s="4517" customFormat="1" customHeight="1" ht="18.75" hidden="1">
      <c r="A127" s="1843"/>
      <c r="B127" s="1843"/>
      <c r="C127" s="432" t="s">
        <v>1144</v>
      </c>
      <c r="D127" s="2525"/>
      <c r="E127" s="2267"/>
      <c r="F127" s="2446"/>
      <c r="G127" s="2490"/>
      <c r="H127" s="1563"/>
      <c r="I127" s="714" t="s">
        <v>1143</v>
      </c>
      <c r="J127" s="634"/>
      <c r="K127" s="1563"/>
      <c r="L127" s="277"/>
      <c r="M127" s="404"/>
      <c r="N127" s="397"/>
      <c r="O127" s="1687"/>
      <c r="P127" s="1687"/>
      <c r="AH127" s="1694">
        <v>0</v>
      </c>
    </row>
    <row s="4517" customFormat="1" customHeight="1" ht="0.75" hidden="1">
      <c r="A128" s="1843"/>
      <c r="B128" s="1843"/>
      <c r="C128" s="432" t="s">
        <v>1151</v>
      </c>
      <c r="D128" s="2525"/>
      <c r="E128" s="2267"/>
      <c r="F128" s="2446"/>
      <c r="G128" s="463"/>
      <c r="H128" s="1563"/>
      <c r="I128" s="714"/>
      <c r="J128" s="634"/>
      <c r="K128" s="1563"/>
      <c r="L128" s="277"/>
      <c r="M128" s="404"/>
      <c r="N128" s="397"/>
      <c r="O128" s="1687"/>
      <c r="P128" s="1687"/>
      <c r="AH128" s="1694">
        <v>0</v>
      </c>
    </row>
    <row s="4517" customFormat="1" customHeight="1" ht="18.75" hidden="1">
      <c r="A129" s="1843" t="s">
        <v>247</v>
      </c>
      <c r="B129" s="1843" t="s">
        <v>248</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303</v>
      </c>
      <c r="M129" s="404"/>
      <c r="N129" s="397"/>
      <c r="O129" s="1687"/>
      <c r="P129" s="1687"/>
      <c r="AH129" s="1694">
        <v>0</v>
      </c>
    </row>
    <row s="4517" customFormat="1" customHeight="1" ht="18.75" hidden="1">
      <c r="A130" s="1843"/>
      <c r="B130" s="1843"/>
      <c r="C130" s="432" t="s">
        <v>1144</v>
      </c>
      <c r="D130" s="2525"/>
      <c r="E130" s="2267"/>
      <c r="F130" s="2446"/>
      <c r="G130" s="2490"/>
      <c r="H130" s="1563"/>
      <c r="I130" s="714" t="s">
        <v>1143</v>
      </c>
      <c r="J130" s="634"/>
      <c r="K130" s="1563"/>
      <c r="L130" s="277"/>
      <c r="M130" s="404"/>
      <c r="N130" s="397"/>
      <c r="O130" s="1687"/>
      <c r="P130" s="1687"/>
      <c r="AH130" s="1694">
        <v>0</v>
      </c>
    </row>
    <row s="4517" customFormat="1" customHeight="1" ht="0.75" hidden="1">
      <c r="A131" s="1843"/>
      <c r="B131" s="1843"/>
      <c r="C131" s="432" t="s">
        <v>1151</v>
      </c>
      <c r="D131" s="2525"/>
      <c r="E131" s="2267"/>
      <c r="F131" s="2446"/>
      <c r="G131" s="463"/>
      <c r="H131" s="1563"/>
      <c r="I131" s="714"/>
      <c r="J131" s="634"/>
      <c r="K131" s="1563"/>
      <c r="L131" s="277"/>
      <c r="M131" s="404"/>
      <c r="N131" s="397"/>
      <c r="O131" s="1687"/>
      <c r="P131" s="1687"/>
      <c r="AH131" s="1694">
        <v>0</v>
      </c>
    </row>
    <row s="4517" customFormat="1" customHeight="1" ht="18.75" hidden="1">
      <c r="A132" s="1843" t="s">
        <v>252</v>
      </c>
      <c r="B132" s="1843" t="s">
        <v>253</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303</v>
      </c>
      <c r="M132" s="404"/>
      <c r="N132" s="397"/>
      <c r="O132" s="1687"/>
      <c r="P132" s="1687"/>
      <c r="AH132" s="1694">
        <v>0</v>
      </c>
    </row>
    <row s="4517" customFormat="1" customHeight="1" ht="18.75" hidden="1">
      <c r="A133" s="1843"/>
      <c r="B133" s="1843"/>
      <c r="C133" s="432" t="s">
        <v>1144</v>
      </c>
      <c r="D133" s="2525"/>
      <c r="E133" s="2267"/>
      <c r="F133" s="2446"/>
      <c r="G133" s="2490"/>
      <c r="H133" s="1563"/>
      <c r="I133" s="714" t="s">
        <v>1143</v>
      </c>
      <c r="J133" s="634"/>
      <c r="K133" s="1563"/>
      <c r="L133" s="277"/>
      <c r="M133" s="404"/>
      <c r="N133" s="397"/>
      <c r="O133" s="1687"/>
      <c r="P133" s="1687"/>
      <c r="AH133" s="1694">
        <v>0</v>
      </c>
    </row>
    <row s="4517" customFormat="1" customHeight="1" ht="0.75" hidden="1">
      <c r="A134" s="1843"/>
      <c r="B134" s="1843"/>
      <c r="C134" s="432" t="s">
        <v>1151</v>
      </c>
      <c r="D134" s="2525"/>
      <c r="E134" s="2267"/>
      <c r="F134" s="2446"/>
      <c r="G134" s="463"/>
      <c r="H134" s="1563"/>
      <c r="I134" s="714"/>
      <c r="J134" s="634"/>
      <c r="K134" s="1563"/>
      <c r="L134" s="277"/>
      <c r="M134" s="404"/>
      <c r="N134" s="397"/>
      <c r="O134" s="1687"/>
      <c r="P134" s="1687"/>
      <c r="AH134" s="1694">
        <v>0</v>
      </c>
    </row>
    <row s="4517" customFormat="1" customHeight="1" ht="18.75" hidden="1">
      <c r="A135" s="1843" t="s">
        <v>257</v>
      </c>
      <c r="B135" s="1843" t="s">
        <v>258</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303</v>
      </c>
      <c r="M135" s="404"/>
      <c r="N135" s="397"/>
      <c r="O135" s="1687"/>
      <c r="P135" s="1687"/>
      <c r="AH135" s="1694">
        <v>0</v>
      </c>
    </row>
    <row s="4517" customFormat="1" customHeight="1" ht="18.75" hidden="1">
      <c r="A136" s="1843"/>
      <c r="B136" s="1843"/>
      <c r="C136" s="432" t="s">
        <v>1144</v>
      </c>
      <c r="D136" s="2525"/>
      <c r="E136" s="2267"/>
      <c r="F136" s="2446"/>
      <c r="G136" s="2490"/>
      <c r="H136" s="1563"/>
      <c r="I136" s="714" t="s">
        <v>1143</v>
      </c>
      <c r="J136" s="634"/>
      <c r="K136" s="1563"/>
      <c r="L136" s="277"/>
      <c r="M136" s="404"/>
      <c r="N136" s="397"/>
      <c r="O136" s="1687"/>
      <c r="P136" s="1687"/>
      <c r="AH136" s="1694">
        <v>0</v>
      </c>
    </row>
    <row s="4517" customFormat="1" customHeight="1" ht="0.75" hidden="1">
      <c r="A137" s="1843"/>
      <c r="B137" s="1843"/>
      <c r="C137" s="432" t="s">
        <v>1151</v>
      </c>
      <c r="D137" s="2525"/>
      <c r="E137" s="2267"/>
      <c r="F137" s="2446"/>
      <c r="G137" s="463"/>
      <c r="H137" s="1563"/>
      <c r="I137" s="714"/>
      <c r="J137" s="634"/>
      <c r="K137" s="1563"/>
      <c r="L137" s="277"/>
      <c r="M137" s="404"/>
      <c r="N137" s="397"/>
      <c r="O137" s="1687"/>
      <c r="P137" s="1687"/>
      <c r="AH137" s="1694">
        <v>0</v>
      </c>
    </row>
    <row s="4517" customFormat="1" customHeight="1" ht="18.75" hidden="1">
      <c r="A138" s="1843" t="s">
        <v>262</v>
      </c>
      <c r="B138" s="1843" t="s">
        <v>263</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303</v>
      </c>
      <c r="M138" s="404"/>
      <c r="N138" s="397"/>
      <c r="O138" s="1687"/>
      <c r="P138" s="1687"/>
      <c r="AH138" s="1694">
        <v>0</v>
      </c>
    </row>
    <row s="4517" customFormat="1" customHeight="1" ht="18.75" hidden="1">
      <c r="A139" s="1843"/>
      <c r="B139" s="1843"/>
      <c r="C139" s="432" t="s">
        <v>1144</v>
      </c>
      <c r="D139" s="2525"/>
      <c r="E139" s="2267"/>
      <c r="F139" s="2446"/>
      <c r="G139" s="2490"/>
      <c r="H139" s="1563"/>
      <c r="I139" s="714" t="s">
        <v>1143</v>
      </c>
      <c r="J139" s="634"/>
      <c r="K139" s="1563"/>
      <c r="L139" s="277"/>
      <c r="M139" s="404"/>
      <c r="N139" s="397"/>
      <c r="O139" s="1687"/>
      <c r="P139" s="1687"/>
      <c r="AH139" s="1694">
        <v>0</v>
      </c>
    </row>
    <row s="4517" customFormat="1" customHeight="1" ht="0.75" hidden="1">
      <c r="A140" s="1843"/>
      <c r="B140" s="1843"/>
      <c r="C140" s="432" t="s">
        <v>1151</v>
      </c>
      <c r="D140" s="2525"/>
      <c r="E140" s="2267"/>
      <c r="F140" s="2446"/>
      <c r="G140" s="463"/>
      <c r="H140" s="1563"/>
      <c r="I140" s="714"/>
      <c r="J140" s="634"/>
      <c r="K140" s="1563"/>
      <c r="L140" s="277"/>
      <c r="M140" s="404"/>
      <c r="N140" s="397"/>
      <c r="O140" s="1687"/>
      <c r="P140" s="1687"/>
      <c r="AH140" s="1694">
        <v>0</v>
      </c>
    </row>
    <row s="4517" customFormat="1" customHeight="1" ht="18.75" hidden="1">
      <c r="A141" s="1843" t="s">
        <v>267</v>
      </c>
      <c r="B141" s="1843" t="s">
        <v>268</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303</v>
      </c>
      <c r="M141" s="404"/>
      <c r="N141" s="397"/>
      <c r="O141" s="1687"/>
      <c r="P141" s="1687"/>
      <c r="AH141" s="1694">
        <v>0</v>
      </c>
    </row>
    <row s="4517" customFormat="1" customHeight="1" ht="18.75" hidden="1">
      <c r="A142" s="1843"/>
      <c r="B142" s="1843"/>
      <c r="C142" s="432" t="s">
        <v>1144</v>
      </c>
      <c r="D142" s="2525"/>
      <c r="E142" s="2267"/>
      <c r="F142" s="2446"/>
      <c r="G142" s="2490"/>
      <c r="H142" s="1563"/>
      <c r="I142" s="714" t="s">
        <v>1143</v>
      </c>
      <c r="J142" s="634"/>
      <c r="K142" s="1563"/>
      <c r="L142" s="277"/>
      <c r="M142" s="404"/>
      <c r="N142" s="397"/>
      <c r="O142" s="1687"/>
      <c r="P142" s="1687"/>
      <c r="AH142" s="1694">
        <v>0</v>
      </c>
    </row>
    <row s="4517" customFormat="1" customHeight="1" ht="0.75" hidden="1">
      <c r="A143" s="1843"/>
      <c r="B143" s="1843"/>
      <c r="C143" s="432" t="s">
        <v>1151</v>
      </c>
      <c r="D143" s="2525"/>
      <c r="E143" s="2267"/>
      <c r="F143" s="2446"/>
      <c r="G143" s="463"/>
      <c r="H143" s="1563"/>
      <c r="I143" s="714"/>
      <c r="J143" s="634"/>
      <c r="K143" s="1563"/>
      <c r="L143" s="277"/>
      <c r="M143" s="404"/>
      <c r="N143" s="397"/>
      <c r="O143" s="1687"/>
      <c r="P143" s="1687"/>
      <c r="AH143" s="1694">
        <v>0</v>
      </c>
    </row>
    <row s="4517" customFormat="1" customHeight="1" ht="18.75" hidden="1">
      <c r="A144" s="1843" t="s">
        <v>272</v>
      </c>
      <c r="B144" s="1843" t="s">
        <v>273</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303</v>
      </c>
      <c r="M144" s="404"/>
      <c r="N144" s="397"/>
      <c r="O144" s="1687"/>
      <c r="P144" s="1687"/>
      <c r="AH144" s="1694">
        <v>0</v>
      </c>
    </row>
    <row s="4517" customFormat="1" customHeight="1" ht="18.75" hidden="1">
      <c r="A145" s="1843"/>
      <c r="B145" s="1843"/>
      <c r="C145" s="432" t="s">
        <v>1144</v>
      </c>
      <c r="D145" s="2525"/>
      <c r="E145" s="2267"/>
      <c r="F145" s="2446"/>
      <c r="G145" s="2490"/>
      <c r="H145" s="1563"/>
      <c r="I145" s="714" t="s">
        <v>1143</v>
      </c>
      <c r="J145" s="634"/>
      <c r="K145" s="1563"/>
      <c r="L145" s="277"/>
      <c r="M145" s="404"/>
      <c r="N145" s="397"/>
      <c r="O145" s="1687"/>
      <c r="P145" s="1687"/>
      <c r="AH145" s="1694">
        <v>0</v>
      </c>
    </row>
    <row s="4517" customFormat="1" customHeight="1" ht="1.05">
      <c r="A146" s="1843"/>
      <c r="B146" s="1843"/>
      <c r="C146" s="432" t="s">
        <v>1151</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90</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3"/>
      <c r="H147" s="2523"/>
      <c r="I147" s="2523"/>
      <c r="J147" s="2523"/>
      <c r="K147" s="2523"/>
      <c r="L147" s="2523"/>
      <c r="M147" s="360"/>
      <c r="N147" s="397"/>
      <c r="AH147" s="437">
        <v>19</v>
      </c>
    </row>
    <row s="4517" customFormat="1" customHeight="1" ht="60.75" hidden="1">
      <c r="A148" s="1843" t="s">
        <v>154</v>
      </c>
      <c r="B148" s="1843" t="s">
        <v>155</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303</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7"/>
      <c r="O148" s="1687"/>
      <c r="P148" s="1687"/>
      <c r="AH148" s="1694">
        <v>0</v>
      </c>
    </row>
    <row s="4517" customFormat="1" customHeight="1" ht="18.75" hidden="1">
      <c r="A149" s="1843"/>
      <c r="B149" s="1843"/>
      <c r="C149" s="432" t="s">
        <v>1144</v>
      </c>
      <c r="D149" s="2525"/>
      <c r="E149" s="2267"/>
      <c r="F149" s="2446"/>
      <c r="G149" s="2490"/>
      <c r="H149" s="1563"/>
      <c r="I149" s="714" t="s">
        <v>1143</v>
      </c>
      <c r="J149" s="634"/>
      <c r="K149" s="1563"/>
      <c r="L149" s="277"/>
      <c r="M149" s="2233"/>
      <c r="N149" s="397"/>
      <c r="O149" s="1687"/>
      <c r="P149" s="1687"/>
      <c r="AH149" s="1694">
        <v>0</v>
      </c>
    </row>
    <row s="4517" customFormat="1" customHeight="1" ht="0.75" hidden="1">
      <c r="A150" s="1843"/>
      <c r="B150" s="1843"/>
      <c r="C150" s="432" t="s">
        <v>1151</v>
      </c>
      <c r="D150" s="2525"/>
      <c r="E150" s="2267"/>
      <c r="F150" s="2446"/>
      <c r="G150" s="463"/>
      <c r="H150" s="1563"/>
      <c r="I150" s="714"/>
      <c r="J150" s="634"/>
      <c r="K150" s="1563"/>
      <c r="L150" s="277"/>
      <c r="M150" s="2233"/>
      <c r="N150" s="397"/>
      <c r="O150" s="1687"/>
      <c r="P150" s="1687"/>
      <c r="AH150" s="1694">
        <v>0</v>
      </c>
    </row>
    <row s="4517" customFormat="1" customHeight="1" ht="45" hidden="1">
      <c r="A151" s="1843" t="s">
        <v>159</v>
      </c>
      <c r="B151" s="1843" t="s">
        <v>160</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303</v>
      </c>
      <c r="M151" s="2234"/>
      <c r="N151" s="397"/>
      <c r="O151" s="1687"/>
      <c r="P151" s="1687"/>
      <c r="AH151" s="1694">
        <v>0</v>
      </c>
    </row>
    <row s="4517" customFormat="1" customHeight="1" ht="18.75" hidden="1">
      <c r="A152" s="1843"/>
      <c r="B152" s="1843"/>
      <c r="C152" s="432" t="s">
        <v>1144</v>
      </c>
      <c r="D152" s="2525"/>
      <c r="E152" s="2267"/>
      <c r="F152" s="2446"/>
      <c r="G152" s="2490"/>
      <c r="H152" s="1563"/>
      <c r="I152" s="714" t="s">
        <v>1143</v>
      </c>
      <c r="J152" s="634"/>
      <c r="K152" s="1563"/>
      <c r="L152" s="277"/>
      <c r="M152" s="1924"/>
      <c r="N152" s="397"/>
      <c r="O152" s="1687"/>
      <c r="P152" s="1687"/>
      <c r="AH152" s="1694">
        <v>0</v>
      </c>
    </row>
    <row s="4517" customFormat="1" customHeight="1" ht="0.75" hidden="1">
      <c r="A153" s="1843"/>
      <c r="B153" s="1843"/>
      <c r="C153" s="432" t="s">
        <v>1151</v>
      </c>
      <c r="D153" s="2525"/>
      <c r="E153" s="2267"/>
      <c r="F153" s="2446"/>
      <c r="G153" s="463"/>
      <c r="H153" s="1563"/>
      <c r="I153" s="714"/>
      <c r="J153" s="634"/>
      <c r="K153" s="1563"/>
      <c r="L153" s="277"/>
      <c r="M153" s="404"/>
      <c r="N153" s="397"/>
      <c r="O153" s="1687"/>
      <c r="P153" s="1687"/>
      <c r="AH153" s="1694">
        <v>0</v>
      </c>
    </row>
    <row s="4517" customFormat="1" customHeight="1" ht="45" hidden="1">
      <c r="A154" s="1843" t="s">
        <v>166</v>
      </c>
      <c r="B154" s="1843" t="s">
        <v>167</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303</v>
      </c>
      <c r="M154" s="404"/>
      <c r="N154" s="397"/>
      <c r="O154" s="1687"/>
      <c r="P154" s="1687"/>
      <c r="AH154" s="1694">
        <v>0</v>
      </c>
    </row>
    <row s="4517" customFormat="1" customHeight="1" ht="18.75" hidden="1">
      <c r="A155" s="1843"/>
      <c r="B155" s="1843"/>
      <c r="C155" s="432" t="s">
        <v>1144</v>
      </c>
      <c r="D155" s="2525"/>
      <c r="E155" s="2267"/>
      <c r="F155" s="2446"/>
      <c r="G155" s="2490"/>
      <c r="H155" s="1563"/>
      <c r="I155" s="714" t="s">
        <v>1143</v>
      </c>
      <c r="J155" s="634"/>
      <c r="K155" s="1563"/>
      <c r="L155" s="277"/>
      <c r="M155" s="404"/>
      <c r="N155" s="397"/>
      <c r="O155" s="1687"/>
      <c r="P155" s="1687"/>
      <c r="AH155" s="1694">
        <v>0</v>
      </c>
    </row>
    <row s="4517" customFormat="1" customHeight="1" ht="0.75" hidden="1">
      <c r="A156" s="1843"/>
      <c r="B156" s="1843"/>
      <c r="C156" s="432" t="s">
        <v>1151</v>
      </c>
      <c r="D156" s="2525"/>
      <c r="E156" s="2267"/>
      <c r="F156" s="2446"/>
      <c r="G156" s="463"/>
      <c r="H156" s="1563"/>
      <c r="I156" s="714"/>
      <c r="J156" s="634"/>
      <c r="K156" s="1563"/>
      <c r="L156" s="277"/>
      <c r="M156" s="404"/>
      <c r="N156" s="397"/>
      <c r="O156" s="1687"/>
      <c r="P156" s="1687"/>
      <c r="AH156" s="1694">
        <v>0</v>
      </c>
    </row>
    <row s="4517" customFormat="1" customHeight="1" ht="45" hidden="1">
      <c r="A157" s="1843" t="s">
        <v>172</v>
      </c>
      <c r="B157" s="1843" t="s">
        <v>173</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303</v>
      </c>
      <c r="M157" s="404"/>
      <c r="N157" s="397"/>
      <c r="O157" s="1687"/>
      <c r="P157" s="1687"/>
      <c r="AH157" s="1694">
        <v>0</v>
      </c>
    </row>
    <row s="4517" customFormat="1" customHeight="1" ht="18.75" hidden="1">
      <c r="A158" s="1843"/>
      <c r="B158" s="1843"/>
      <c r="C158" s="432" t="s">
        <v>1144</v>
      </c>
      <c r="D158" s="2525"/>
      <c r="E158" s="2267"/>
      <c r="F158" s="2446"/>
      <c r="G158" s="2490"/>
      <c r="H158" s="1563"/>
      <c r="I158" s="714" t="s">
        <v>1143</v>
      </c>
      <c r="J158" s="634"/>
      <c r="K158" s="1563"/>
      <c r="L158" s="277"/>
      <c r="M158" s="404"/>
      <c r="N158" s="397"/>
      <c r="O158" s="1687"/>
      <c r="P158" s="1687"/>
      <c r="AH158" s="1694">
        <v>0</v>
      </c>
    </row>
    <row s="4517" customFormat="1" customHeight="1" ht="0.75" hidden="1">
      <c r="A159" s="1843"/>
      <c r="B159" s="1843"/>
      <c r="C159" s="432" t="s">
        <v>1151</v>
      </c>
      <c r="D159" s="2525"/>
      <c r="E159" s="2267"/>
      <c r="F159" s="2446"/>
      <c r="G159" s="463"/>
      <c r="H159" s="1563"/>
      <c r="I159" s="714"/>
      <c r="J159" s="634"/>
      <c r="K159" s="1563"/>
      <c r="L159" s="277"/>
      <c r="M159" s="404"/>
      <c r="N159" s="397"/>
      <c r="O159" s="1687"/>
      <c r="P159" s="1687"/>
      <c r="AH159" s="1694">
        <v>0</v>
      </c>
    </row>
    <row s="4517" customFormat="1" customHeight="1" ht="18.75" hidden="1">
      <c r="A160" s="1843" t="s">
        <v>178</v>
      </c>
      <c r="B160" s="1843" t="s">
        <v>179</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303</v>
      </c>
      <c r="M160" s="404"/>
      <c r="N160" s="397"/>
      <c r="O160" s="1687"/>
      <c r="P160" s="1687"/>
      <c r="AH160" s="1694">
        <v>0</v>
      </c>
    </row>
    <row s="4517" customFormat="1" customHeight="1" ht="18.75" hidden="1">
      <c r="A161" s="1843"/>
      <c r="B161" s="1843"/>
      <c r="C161" s="432" t="s">
        <v>1144</v>
      </c>
      <c r="D161" s="2525"/>
      <c r="E161" s="2267"/>
      <c r="F161" s="2446"/>
      <c r="G161" s="2490"/>
      <c r="H161" s="1563"/>
      <c r="I161" s="714" t="s">
        <v>1143</v>
      </c>
      <c r="J161" s="634"/>
      <c r="K161" s="1563"/>
      <c r="L161" s="277"/>
      <c r="M161" s="404"/>
      <c r="N161" s="397"/>
      <c r="O161" s="1687"/>
      <c r="P161" s="1687"/>
      <c r="AH161" s="1694">
        <v>0</v>
      </c>
    </row>
    <row s="4517" customFormat="1" customHeight="1" ht="0.75" hidden="1">
      <c r="A162" s="1843"/>
      <c r="B162" s="1843"/>
      <c r="C162" s="432" t="s">
        <v>1151</v>
      </c>
      <c r="D162" s="2525"/>
      <c r="E162" s="2267"/>
      <c r="F162" s="2446"/>
      <c r="G162" s="463"/>
      <c r="H162" s="1563"/>
      <c r="I162" s="714"/>
      <c r="J162" s="634"/>
      <c r="K162" s="1563"/>
      <c r="L162" s="277"/>
      <c r="M162" s="404"/>
      <c r="N162" s="397"/>
      <c r="O162" s="1687"/>
      <c r="P162" s="1687"/>
      <c r="AH162" s="1694">
        <v>0</v>
      </c>
    </row>
    <row s="4517" customFormat="1" customHeight="1" ht="18.75" hidden="1">
      <c r="A163" s="1843" t="s">
        <v>184</v>
      </c>
      <c r="B163" s="1843" t="s">
        <v>185</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303</v>
      </c>
      <c r="M163" s="404"/>
      <c r="N163" s="397"/>
      <c r="O163" s="1687"/>
      <c r="P163" s="1687"/>
      <c r="AH163" s="1694">
        <v>0</v>
      </c>
    </row>
    <row s="4517" customFormat="1" customHeight="1" ht="18.75" hidden="1">
      <c r="A164" s="1843"/>
      <c r="B164" s="1843"/>
      <c r="C164" s="432" t="s">
        <v>1144</v>
      </c>
      <c r="D164" s="2525"/>
      <c r="E164" s="2267"/>
      <c r="F164" s="2446"/>
      <c r="G164" s="2490"/>
      <c r="H164" s="1563"/>
      <c r="I164" s="714" t="s">
        <v>1143</v>
      </c>
      <c r="J164" s="634"/>
      <c r="K164" s="1563"/>
      <c r="L164" s="277"/>
      <c r="M164" s="404"/>
      <c r="N164" s="397"/>
      <c r="O164" s="1687"/>
      <c r="P164" s="1687"/>
      <c r="AH164" s="1694">
        <v>0</v>
      </c>
    </row>
    <row s="4517" customFormat="1" customHeight="1" ht="0.75" hidden="1">
      <c r="A165" s="1843"/>
      <c r="B165" s="1843"/>
      <c r="C165" s="432" t="s">
        <v>1151</v>
      </c>
      <c r="D165" s="2525"/>
      <c r="E165" s="2267"/>
      <c r="F165" s="2446"/>
      <c r="G165" s="463"/>
      <c r="H165" s="1563"/>
      <c r="I165" s="714"/>
      <c r="J165" s="634"/>
      <c r="K165" s="1563"/>
      <c r="L165" s="277"/>
      <c r="M165" s="404"/>
      <c r="N165" s="397"/>
      <c r="O165" s="1687"/>
      <c r="P165" s="1687"/>
      <c r="AH165" s="1694">
        <v>0</v>
      </c>
    </row>
    <row s="4517" customFormat="1" customHeight="1" ht="18.75" hidden="1">
      <c r="A166" s="1843" t="s">
        <v>190</v>
      </c>
      <c r="B166" s="1843" t="s">
        <v>191</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303</v>
      </c>
      <c r="M166" s="404"/>
      <c r="N166" s="397"/>
      <c r="O166" s="1687"/>
      <c r="P166" s="1687"/>
      <c r="AH166" s="1694">
        <v>0</v>
      </c>
    </row>
    <row s="4517" customFormat="1" customHeight="1" ht="18.75" hidden="1">
      <c r="A167" s="1843"/>
      <c r="B167" s="1843"/>
      <c r="C167" s="432" t="s">
        <v>1144</v>
      </c>
      <c r="D167" s="2525"/>
      <c r="E167" s="2267"/>
      <c r="F167" s="2446"/>
      <c r="G167" s="2490"/>
      <c r="H167" s="1563"/>
      <c r="I167" s="714" t="s">
        <v>1143</v>
      </c>
      <c r="J167" s="634"/>
      <c r="K167" s="1563"/>
      <c r="L167" s="277"/>
      <c r="M167" s="404"/>
      <c r="N167" s="397"/>
      <c r="O167" s="1687"/>
      <c r="P167" s="1687"/>
      <c r="AH167" s="1694">
        <v>0</v>
      </c>
    </row>
    <row s="4517" customFormat="1" customHeight="1" ht="0.75" hidden="1">
      <c r="A168" s="1843"/>
      <c r="B168" s="1843"/>
      <c r="C168" s="432" t="s">
        <v>1151</v>
      </c>
      <c r="D168" s="2525"/>
      <c r="E168" s="2267"/>
      <c r="F168" s="2446"/>
      <c r="G168" s="463"/>
      <c r="H168" s="1563"/>
      <c r="I168" s="714"/>
      <c r="J168" s="634"/>
      <c r="K168" s="1563"/>
      <c r="L168" s="277"/>
      <c r="M168" s="404"/>
      <c r="N168" s="397"/>
      <c r="O168" s="1687"/>
      <c r="P168" s="1687"/>
      <c r="AH168" s="1694">
        <v>0</v>
      </c>
    </row>
    <row s="4517" customFormat="1" customHeight="1" ht="18.75" hidden="1">
      <c r="A169" s="1843" t="s">
        <v>196</v>
      </c>
      <c r="B169" s="1843" t="s">
        <v>197</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303</v>
      </c>
      <c r="M169" s="404"/>
      <c r="N169" s="397"/>
      <c r="O169" s="1687"/>
      <c r="P169" s="1687"/>
      <c r="AH169" s="1694">
        <v>0</v>
      </c>
    </row>
    <row s="4517" customFormat="1" customHeight="1" ht="18.75" hidden="1">
      <c r="A170" s="1843"/>
      <c r="B170" s="1843"/>
      <c r="C170" s="432" t="s">
        <v>1144</v>
      </c>
      <c r="D170" s="2525"/>
      <c r="E170" s="2267"/>
      <c r="F170" s="2446"/>
      <c r="G170" s="2490"/>
      <c r="H170" s="1563"/>
      <c r="I170" s="714" t="s">
        <v>1143</v>
      </c>
      <c r="J170" s="634"/>
      <c r="K170" s="1563"/>
      <c r="L170" s="277"/>
      <c r="M170" s="404"/>
      <c r="N170" s="397"/>
      <c r="O170" s="1687"/>
      <c r="P170" s="1687"/>
      <c r="AH170" s="1694">
        <v>0</v>
      </c>
    </row>
    <row s="4517" customFormat="1" customHeight="1" ht="0.75" hidden="1">
      <c r="A171" s="1843"/>
      <c r="B171" s="1843"/>
      <c r="C171" s="432" t="s">
        <v>1151</v>
      </c>
      <c r="D171" s="2525"/>
      <c r="E171" s="2267"/>
      <c r="F171" s="2446"/>
      <c r="G171" s="463"/>
      <c r="H171" s="1563"/>
      <c r="I171" s="714"/>
      <c r="J171" s="634"/>
      <c r="K171" s="1563"/>
      <c r="L171" s="277"/>
      <c r="M171" s="404"/>
      <c r="N171" s="397"/>
      <c r="O171" s="1687"/>
      <c r="P171" s="1687"/>
      <c r="AH171" s="1694">
        <v>0</v>
      </c>
    </row>
    <row s="4517" customFormat="1" customHeight="1" ht="18.75" hidden="1">
      <c r="A172" s="1843" t="s">
        <v>202</v>
      </c>
      <c r="B172" s="1843" t="s">
        <v>203</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303</v>
      </c>
      <c r="M172" s="404"/>
      <c r="N172" s="397"/>
      <c r="O172" s="1687"/>
      <c r="P172" s="1687"/>
      <c r="AH172" s="1694">
        <v>0</v>
      </c>
    </row>
    <row s="4517" customFormat="1" customHeight="1" ht="18.75" hidden="1">
      <c r="A173" s="1843"/>
      <c r="B173" s="1843"/>
      <c r="C173" s="432" t="s">
        <v>1144</v>
      </c>
      <c r="D173" s="2525"/>
      <c r="E173" s="2267"/>
      <c r="F173" s="2446"/>
      <c r="G173" s="2490"/>
      <c r="H173" s="1563"/>
      <c r="I173" s="714" t="s">
        <v>1143</v>
      </c>
      <c r="J173" s="634"/>
      <c r="K173" s="1563"/>
      <c r="L173" s="277"/>
      <c r="M173" s="404"/>
      <c r="N173" s="397"/>
      <c r="O173" s="1687"/>
      <c r="P173" s="1687"/>
      <c r="AH173" s="1694">
        <v>0</v>
      </c>
    </row>
    <row s="4517" customFormat="1" customHeight="1" ht="0.75" hidden="1">
      <c r="A174" s="1843"/>
      <c r="B174" s="1843"/>
      <c r="C174" s="432" t="s">
        <v>1151</v>
      </c>
      <c r="D174" s="2525"/>
      <c r="E174" s="2267"/>
      <c r="F174" s="2446"/>
      <c r="G174" s="463"/>
      <c r="H174" s="1563"/>
      <c r="I174" s="714"/>
      <c r="J174" s="634"/>
      <c r="K174" s="1563"/>
      <c r="L174" s="277"/>
      <c r="M174" s="404"/>
      <c r="N174" s="397"/>
      <c r="O174" s="1687"/>
      <c r="P174" s="1687"/>
      <c r="AH174" s="1694">
        <v>0</v>
      </c>
    </row>
    <row s="4517" customFormat="1" customHeight="1" ht="18.75" hidden="1">
      <c r="A175" s="1843" t="s">
        <v>222</v>
      </c>
      <c r="B175" s="1843" t="s">
        <v>223</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303</v>
      </c>
      <c r="M175" s="404"/>
      <c r="N175" s="397"/>
      <c r="O175" s="1687"/>
      <c r="P175" s="1687"/>
      <c r="AH175" s="1694">
        <v>0</v>
      </c>
    </row>
    <row s="4517" customFormat="1" customHeight="1" ht="18.75" hidden="1">
      <c r="A176" s="1843"/>
      <c r="B176" s="1843"/>
      <c r="C176" s="432" t="s">
        <v>1144</v>
      </c>
      <c r="D176" s="2525"/>
      <c r="E176" s="2267"/>
      <c r="F176" s="2446"/>
      <c r="G176" s="2490"/>
      <c r="H176" s="1563"/>
      <c r="I176" s="714" t="s">
        <v>1143</v>
      </c>
      <c r="J176" s="634"/>
      <c r="K176" s="1563"/>
      <c r="L176" s="277"/>
      <c r="M176" s="404"/>
      <c r="N176" s="397"/>
      <c r="O176" s="1687"/>
      <c r="P176" s="1687"/>
      <c r="AH176" s="1694">
        <v>0</v>
      </c>
    </row>
    <row s="4517" customFormat="1" customHeight="1" ht="0.75" hidden="1">
      <c r="A177" s="1843"/>
      <c r="B177" s="1843"/>
      <c r="C177" s="432" t="s">
        <v>1151</v>
      </c>
      <c r="D177" s="2525"/>
      <c r="E177" s="2267"/>
      <c r="F177" s="2446"/>
      <c r="G177" s="463"/>
      <c r="H177" s="1563"/>
      <c r="I177" s="714"/>
      <c r="J177" s="634"/>
      <c r="K177" s="1563"/>
      <c r="L177" s="277"/>
      <c r="M177" s="404"/>
      <c r="N177" s="397"/>
      <c r="O177" s="1687"/>
      <c r="P177" s="1687"/>
      <c r="AH177" s="1694">
        <v>0</v>
      </c>
    </row>
    <row s="4517" customFormat="1" customHeight="1" ht="18.75" hidden="1">
      <c r="A178" s="1843" t="s">
        <v>227</v>
      </c>
      <c r="B178" s="1843" t="s">
        <v>228</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303</v>
      </c>
      <c r="M178" s="404"/>
      <c r="N178" s="397"/>
      <c r="O178" s="1687"/>
      <c r="P178" s="1687"/>
      <c r="AH178" s="1694">
        <v>0</v>
      </c>
    </row>
    <row s="4517" customFormat="1" customHeight="1" ht="18.75" hidden="1">
      <c r="A179" s="1843"/>
      <c r="B179" s="1843"/>
      <c r="C179" s="432" t="s">
        <v>1144</v>
      </c>
      <c r="D179" s="2525"/>
      <c r="E179" s="2267"/>
      <c r="F179" s="2446"/>
      <c r="G179" s="2490"/>
      <c r="H179" s="1563"/>
      <c r="I179" s="714" t="s">
        <v>1143</v>
      </c>
      <c r="J179" s="634"/>
      <c r="K179" s="1563"/>
      <c r="L179" s="277"/>
      <c r="M179" s="404"/>
      <c r="N179" s="397"/>
      <c r="O179" s="1687"/>
      <c r="P179" s="1687"/>
      <c r="AH179" s="1694">
        <v>0</v>
      </c>
    </row>
    <row s="4517" customFormat="1" customHeight="1" ht="0.75" hidden="1">
      <c r="A180" s="1843"/>
      <c r="B180" s="1843"/>
      <c r="C180" s="432" t="s">
        <v>1151</v>
      </c>
      <c r="D180" s="2525"/>
      <c r="E180" s="2267"/>
      <c r="F180" s="2446"/>
      <c r="G180" s="463"/>
      <c r="H180" s="1563"/>
      <c r="I180" s="714"/>
      <c r="J180" s="634"/>
      <c r="K180" s="1563"/>
      <c r="L180" s="277"/>
      <c r="M180" s="404"/>
      <c r="N180" s="397"/>
      <c r="O180" s="1687"/>
      <c r="P180" s="1687"/>
      <c r="AH180" s="1694">
        <v>0</v>
      </c>
    </row>
    <row s="4517" customFormat="1" customHeight="1" ht="18.75" hidden="1">
      <c r="A181" s="1843" t="s">
        <v>232</v>
      </c>
      <c r="B181" s="1843" t="s">
        <v>233</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303</v>
      </c>
      <c r="M181" s="404"/>
      <c r="N181" s="397"/>
      <c r="O181" s="1687"/>
      <c r="P181" s="1687"/>
      <c r="AH181" s="1694">
        <v>0</v>
      </c>
    </row>
    <row s="4517" customFormat="1" customHeight="1" ht="18.75" hidden="1">
      <c r="A182" s="1843"/>
      <c r="B182" s="1843"/>
      <c r="C182" s="432" t="s">
        <v>1144</v>
      </c>
      <c r="D182" s="2525"/>
      <c r="E182" s="2267"/>
      <c r="F182" s="2446"/>
      <c r="G182" s="2490"/>
      <c r="H182" s="1563"/>
      <c r="I182" s="714" t="s">
        <v>1143</v>
      </c>
      <c r="J182" s="634"/>
      <c r="K182" s="1563"/>
      <c r="L182" s="277"/>
      <c r="M182" s="404"/>
      <c r="N182" s="397"/>
      <c r="O182" s="1687"/>
      <c r="P182" s="1687"/>
      <c r="AH182" s="1694">
        <v>0</v>
      </c>
    </row>
    <row s="4517" customFormat="1" customHeight="1" ht="0.75" hidden="1">
      <c r="A183" s="1843"/>
      <c r="B183" s="1843"/>
      <c r="C183" s="432" t="s">
        <v>1151</v>
      </c>
      <c r="D183" s="2525"/>
      <c r="E183" s="2267"/>
      <c r="F183" s="2446"/>
      <c r="G183" s="463"/>
      <c r="H183" s="1563"/>
      <c r="I183" s="714"/>
      <c r="J183" s="634"/>
      <c r="K183" s="1563"/>
      <c r="L183" s="277"/>
      <c r="M183" s="404"/>
      <c r="N183" s="397"/>
      <c r="O183" s="1687"/>
      <c r="P183" s="1687"/>
      <c r="AH183" s="1694">
        <v>0</v>
      </c>
    </row>
    <row s="4517" customFormat="1" customHeight="1" ht="18.75" hidden="1">
      <c r="A184" s="1843" t="s">
        <v>237</v>
      </c>
      <c r="B184" s="1843" t="s">
        <v>238</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303</v>
      </c>
      <c r="M184" s="404"/>
      <c r="N184" s="397"/>
      <c r="O184" s="1687"/>
      <c r="P184" s="1687"/>
      <c r="AH184" s="1694">
        <v>0</v>
      </c>
    </row>
    <row s="4517" customFormat="1" customHeight="1" ht="18.75" hidden="1">
      <c r="A185" s="1843"/>
      <c r="B185" s="1843"/>
      <c r="C185" s="432" t="s">
        <v>1144</v>
      </c>
      <c r="D185" s="2525"/>
      <c r="E185" s="2267"/>
      <c r="F185" s="2446"/>
      <c r="G185" s="2490"/>
      <c r="H185" s="1563"/>
      <c r="I185" s="714" t="s">
        <v>1143</v>
      </c>
      <c r="J185" s="634"/>
      <c r="K185" s="1563"/>
      <c r="L185" s="277"/>
      <c r="M185" s="404"/>
      <c r="N185" s="397"/>
      <c r="O185" s="1687"/>
      <c r="P185" s="1687"/>
      <c r="AH185" s="1694">
        <v>0</v>
      </c>
    </row>
    <row s="4517" customFormat="1" customHeight="1" ht="0.75" hidden="1">
      <c r="A186" s="1843"/>
      <c r="B186" s="1843"/>
      <c r="C186" s="432" t="s">
        <v>1151</v>
      </c>
      <c r="D186" s="2525"/>
      <c r="E186" s="2267"/>
      <c r="F186" s="2446"/>
      <c r="G186" s="463"/>
      <c r="H186" s="1563"/>
      <c r="I186" s="714"/>
      <c r="J186" s="634"/>
      <c r="K186" s="1563"/>
      <c r="L186" s="277"/>
      <c r="M186" s="404"/>
      <c r="N186" s="397"/>
      <c r="O186" s="1687"/>
      <c r="P186" s="1687"/>
      <c r="AH186" s="1694">
        <v>0</v>
      </c>
    </row>
    <row s="4517" customFormat="1" customHeight="1" ht="18.75" hidden="1">
      <c r="A187" s="1843" t="s">
        <v>242</v>
      </c>
      <c r="B187" s="1843" t="s">
        <v>243</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303</v>
      </c>
      <c r="M187" s="404"/>
      <c r="N187" s="397"/>
      <c r="O187" s="1687"/>
      <c r="P187" s="1687"/>
      <c r="AH187" s="1694">
        <v>0</v>
      </c>
    </row>
    <row s="4517" customFormat="1" customHeight="1" ht="18.75" hidden="1">
      <c r="A188" s="1843"/>
      <c r="B188" s="1843"/>
      <c r="C188" s="432" t="s">
        <v>1144</v>
      </c>
      <c r="D188" s="2525"/>
      <c r="E188" s="2267"/>
      <c r="F188" s="2446"/>
      <c r="G188" s="2490"/>
      <c r="H188" s="1563"/>
      <c r="I188" s="714" t="s">
        <v>1143</v>
      </c>
      <c r="J188" s="634"/>
      <c r="K188" s="1563"/>
      <c r="L188" s="277"/>
      <c r="M188" s="404"/>
      <c r="N188" s="397"/>
      <c r="O188" s="1687"/>
      <c r="P188" s="1687"/>
      <c r="AH188" s="1694">
        <v>0</v>
      </c>
    </row>
    <row s="4517" customFormat="1" customHeight="1" ht="0.75" hidden="1">
      <c r="A189" s="1843"/>
      <c r="B189" s="1843"/>
      <c r="C189" s="432" t="s">
        <v>1151</v>
      </c>
      <c r="D189" s="2525"/>
      <c r="E189" s="2267"/>
      <c r="F189" s="2446"/>
      <c r="G189" s="463"/>
      <c r="H189" s="1563"/>
      <c r="I189" s="714"/>
      <c r="J189" s="634"/>
      <c r="K189" s="1563"/>
      <c r="L189" s="277"/>
      <c r="M189" s="404"/>
      <c r="N189" s="397"/>
      <c r="O189" s="1687"/>
      <c r="P189" s="1687"/>
      <c r="AH189" s="1694">
        <v>0</v>
      </c>
    </row>
    <row s="4517" customFormat="1" customHeight="1" ht="18.75" hidden="1">
      <c r="A190" s="1843" t="s">
        <v>247</v>
      </c>
      <c r="B190" s="1843" t="s">
        <v>248</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303</v>
      </c>
      <c r="M190" s="404"/>
      <c r="N190" s="397"/>
      <c r="O190" s="1687"/>
      <c r="P190" s="1687"/>
      <c r="AH190" s="1694">
        <v>0</v>
      </c>
    </row>
    <row s="4517" customFormat="1" customHeight="1" ht="18.75" hidden="1">
      <c r="A191" s="1843"/>
      <c r="B191" s="1843"/>
      <c r="C191" s="432" t="s">
        <v>1144</v>
      </c>
      <c r="D191" s="2525"/>
      <c r="E191" s="2267"/>
      <c r="F191" s="2446"/>
      <c r="G191" s="2490"/>
      <c r="H191" s="1563"/>
      <c r="I191" s="714" t="s">
        <v>1143</v>
      </c>
      <c r="J191" s="634"/>
      <c r="K191" s="1563"/>
      <c r="L191" s="277"/>
      <c r="M191" s="404"/>
      <c r="N191" s="397"/>
      <c r="O191" s="1687"/>
      <c r="P191" s="1687"/>
      <c r="AH191" s="1694">
        <v>0</v>
      </c>
    </row>
    <row s="4517" customFormat="1" customHeight="1" ht="0.75" hidden="1">
      <c r="A192" s="1843"/>
      <c r="B192" s="1843"/>
      <c r="C192" s="432" t="s">
        <v>1151</v>
      </c>
      <c r="D192" s="2525"/>
      <c r="E192" s="2267"/>
      <c r="F192" s="2446"/>
      <c r="G192" s="463"/>
      <c r="H192" s="1563"/>
      <c r="I192" s="714"/>
      <c r="J192" s="634"/>
      <c r="K192" s="1563"/>
      <c r="L192" s="277"/>
      <c r="M192" s="404"/>
      <c r="N192" s="397"/>
      <c r="O192" s="1687"/>
      <c r="P192" s="1687"/>
      <c r="AH192" s="1694">
        <v>0</v>
      </c>
    </row>
    <row s="4517" customFormat="1" customHeight="1" ht="18.75" hidden="1">
      <c r="A193" s="1843" t="s">
        <v>252</v>
      </c>
      <c r="B193" s="1843" t="s">
        <v>253</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303</v>
      </c>
      <c r="M193" s="404"/>
      <c r="N193" s="397"/>
      <c r="O193" s="1687"/>
      <c r="P193" s="1687"/>
      <c r="AH193" s="1694">
        <v>0</v>
      </c>
    </row>
    <row s="4517" customFormat="1" customHeight="1" ht="18.75" hidden="1">
      <c r="A194" s="1843"/>
      <c r="B194" s="1843"/>
      <c r="C194" s="432" t="s">
        <v>1144</v>
      </c>
      <c r="D194" s="2525"/>
      <c r="E194" s="2267"/>
      <c r="F194" s="2446"/>
      <c r="G194" s="2490"/>
      <c r="H194" s="1563"/>
      <c r="I194" s="714" t="s">
        <v>1143</v>
      </c>
      <c r="J194" s="634"/>
      <c r="K194" s="1563"/>
      <c r="L194" s="277"/>
      <c r="M194" s="404"/>
      <c r="N194" s="397"/>
      <c r="O194" s="1687"/>
      <c r="P194" s="1687"/>
      <c r="AH194" s="1694">
        <v>0</v>
      </c>
    </row>
    <row s="4517" customFormat="1" customHeight="1" ht="0.75" hidden="1">
      <c r="A195" s="1843"/>
      <c r="B195" s="1843"/>
      <c r="C195" s="432" t="s">
        <v>1151</v>
      </c>
      <c r="D195" s="2525"/>
      <c r="E195" s="2267"/>
      <c r="F195" s="2446"/>
      <c r="G195" s="463"/>
      <c r="H195" s="1563"/>
      <c r="I195" s="714"/>
      <c r="J195" s="634"/>
      <c r="K195" s="1563"/>
      <c r="L195" s="277"/>
      <c r="M195" s="404"/>
      <c r="N195" s="397"/>
      <c r="O195" s="1687"/>
      <c r="P195" s="1687"/>
      <c r="AH195" s="1694">
        <v>0</v>
      </c>
    </row>
    <row s="4517" customFormat="1" customHeight="1" ht="18.75" hidden="1">
      <c r="A196" s="1843" t="s">
        <v>257</v>
      </c>
      <c r="B196" s="1843" t="s">
        <v>258</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303</v>
      </c>
      <c r="M196" s="404"/>
      <c r="N196" s="397"/>
      <c r="O196" s="1687"/>
      <c r="P196" s="1687"/>
      <c r="AH196" s="1694">
        <v>0</v>
      </c>
    </row>
    <row s="4517" customFormat="1" customHeight="1" ht="18.75" hidden="1">
      <c r="A197" s="1843"/>
      <c r="B197" s="1843"/>
      <c r="C197" s="432" t="s">
        <v>1144</v>
      </c>
      <c r="D197" s="2525"/>
      <c r="E197" s="2267"/>
      <c r="F197" s="2446"/>
      <c r="G197" s="2490"/>
      <c r="H197" s="1563"/>
      <c r="I197" s="714" t="s">
        <v>1143</v>
      </c>
      <c r="J197" s="634"/>
      <c r="K197" s="1563"/>
      <c r="L197" s="277"/>
      <c r="M197" s="404"/>
      <c r="N197" s="397"/>
      <c r="O197" s="1687"/>
      <c r="P197" s="1687"/>
      <c r="AH197" s="1694">
        <v>0</v>
      </c>
    </row>
    <row s="4517" customFormat="1" customHeight="1" ht="0.75" hidden="1">
      <c r="A198" s="1843"/>
      <c r="B198" s="1843"/>
      <c r="C198" s="432" t="s">
        <v>1151</v>
      </c>
      <c r="D198" s="2525"/>
      <c r="E198" s="2267"/>
      <c r="F198" s="2446"/>
      <c r="G198" s="463"/>
      <c r="H198" s="1563"/>
      <c r="I198" s="714"/>
      <c r="J198" s="634"/>
      <c r="K198" s="1563"/>
      <c r="L198" s="277"/>
      <c r="M198" s="404"/>
      <c r="N198" s="397"/>
      <c r="O198" s="1687"/>
      <c r="P198" s="1687"/>
      <c r="AH198" s="1694">
        <v>0</v>
      </c>
    </row>
    <row s="4517" customFormat="1" customHeight="1" ht="18.75" hidden="1">
      <c r="A199" s="1843" t="s">
        <v>262</v>
      </c>
      <c r="B199" s="1843" t="s">
        <v>263</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303</v>
      </c>
      <c r="M199" s="404"/>
      <c r="N199" s="397"/>
      <c r="O199" s="1687"/>
      <c r="P199" s="1687"/>
      <c r="AH199" s="1694">
        <v>0</v>
      </c>
    </row>
    <row s="4517" customFormat="1" customHeight="1" ht="18.75" hidden="1">
      <c r="A200" s="1843"/>
      <c r="B200" s="1843"/>
      <c r="C200" s="432" t="s">
        <v>1144</v>
      </c>
      <c r="D200" s="2525"/>
      <c r="E200" s="2267"/>
      <c r="F200" s="2446"/>
      <c r="G200" s="2490"/>
      <c r="H200" s="1563"/>
      <c r="I200" s="714" t="s">
        <v>1143</v>
      </c>
      <c r="J200" s="634"/>
      <c r="K200" s="1563"/>
      <c r="L200" s="277"/>
      <c r="M200" s="404"/>
      <c r="N200" s="397"/>
      <c r="O200" s="1687"/>
      <c r="P200" s="1687"/>
      <c r="AH200" s="1694">
        <v>0</v>
      </c>
    </row>
    <row s="4517" customFormat="1" customHeight="1" ht="0.75" hidden="1">
      <c r="A201" s="1843"/>
      <c r="B201" s="1843"/>
      <c r="C201" s="432" t="s">
        <v>1151</v>
      </c>
      <c r="D201" s="2525"/>
      <c r="E201" s="2267"/>
      <c r="F201" s="2446"/>
      <c r="G201" s="463"/>
      <c r="H201" s="1563"/>
      <c r="I201" s="714"/>
      <c r="J201" s="634"/>
      <c r="K201" s="1563"/>
      <c r="L201" s="277"/>
      <c r="M201" s="404"/>
      <c r="N201" s="397"/>
      <c r="O201" s="1687"/>
      <c r="P201" s="1687"/>
      <c r="AH201" s="1694">
        <v>0</v>
      </c>
    </row>
    <row s="4517" customFormat="1" customHeight="1" ht="18.75" hidden="1">
      <c r="A202" s="1843" t="s">
        <v>267</v>
      </c>
      <c r="B202" s="1843" t="s">
        <v>268</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303</v>
      </c>
      <c r="M202" s="404"/>
      <c r="N202" s="397"/>
      <c r="O202" s="1687"/>
      <c r="P202" s="1687"/>
      <c r="AH202" s="1694">
        <v>0</v>
      </c>
    </row>
    <row s="4517" customFormat="1" customHeight="1" ht="18.75" hidden="1">
      <c r="A203" s="1843"/>
      <c r="B203" s="1843"/>
      <c r="C203" s="432" t="s">
        <v>1144</v>
      </c>
      <c r="D203" s="2525"/>
      <c r="E203" s="2267"/>
      <c r="F203" s="2446"/>
      <c r="G203" s="2490"/>
      <c r="H203" s="1563"/>
      <c r="I203" s="714" t="s">
        <v>1143</v>
      </c>
      <c r="J203" s="634"/>
      <c r="K203" s="1563"/>
      <c r="L203" s="277"/>
      <c r="M203" s="404"/>
      <c r="N203" s="397"/>
      <c r="O203" s="1687"/>
      <c r="P203" s="1687"/>
      <c r="AH203" s="1694">
        <v>0</v>
      </c>
    </row>
    <row s="4517" customFormat="1" customHeight="1" ht="0.75" hidden="1">
      <c r="A204" s="1843"/>
      <c r="B204" s="1843"/>
      <c r="C204" s="432" t="s">
        <v>1151</v>
      </c>
      <c r="D204" s="2525"/>
      <c r="E204" s="2267"/>
      <c r="F204" s="2446"/>
      <c r="G204" s="463"/>
      <c r="H204" s="1563"/>
      <c r="I204" s="714"/>
      <c r="J204" s="634"/>
      <c r="K204" s="1563"/>
      <c r="L204" s="277"/>
      <c r="M204" s="404"/>
      <c r="N204" s="397"/>
      <c r="O204" s="1687"/>
      <c r="P204" s="1687"/>
      <c r="AH204" s="1694">
        <v>0</v>
      </c>
    </row>
    <row s="4517" customFormat="1" customHeight="1" ht="18.75" hidden="1">
      <c r="A205" s="1843" t="s">
        <v>272</v>
      </c>
      <c r="B205" s="1843" t="s">
        <v>273</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303</v>
      </c>
      <c r="M205" s="404"/>
      <c r="N205" s="397"/>
      <c r="O205" s="1687"/>
      <c r="P205" s="1687"/>
      <c r="AH205" s="1694">
        <v>0</v>
      </c>
    </row>
    <row s="4517" customFormat="1" customHeight="1" ht="18.75" hidden="1">
      <c r="A206" s="1843"/>
      <c r="B206" s="1843"/>
      <c r="C206" s="432" t="s">
        <v>1144</v>
      </c>
      <c r="D206" s="2525"/>
      <c r="E206" s="2267"/>
      <c r="F206" s="2446"/>
      <c r="G206" s="2490"/>
      <c r="H206" s="1563"/>
      <c r="I206" s="714" t="s">
        <v>1143</v>
      </c>
      <c r="J206" s="634"/>
      <c r="K206" s="1563"/>
      <c r="L206" s="277"/>
      <c r="M206" s="404"/>
      <c r="N206" s="397"/>
      <c r="O206" s="1687"/>
      <c r="P206" s="1687"/>
      <c r="AH206" s="1694">
        <v>0</v>
      </c>
    </row>
    <row s="4517" customFormat="1" customHeight="1" ht="1.05">
      <c r="A207" s="1843"/>
      <c r="B207" s="1843"/>
      <c r="C207" s="432" t="s">
        <v>1151</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110</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3"/>
      <c r="H208" s="2523"/>
      <c r="I208" s="2523"/>
      <c r="J208" s="2523"/>
      <c r="K208" s="2523"/>
      <c r="L208" s="2523"/>
      <c r="M208" s="360"/>
      <c r="N208" s="397"/>
      <c r="AH208" s="437">
        <v>26</v>
      </c>
    </row>
    <row s="4517" customFormat="1" customHeight="1" ht="60.75" hidden="1">
      <c r="A209" s="1843" t="s">
        <v>154</v>
      </c>
      <c r="B209" s="1843" t="s">
        <v>155</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303</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7"/>
      <c r="O209" s="1687"/>
      <c r="P209" s="1687"/>
      <c r="AH209" s="1694">
        <v>0</v>
      </c>
    </row>
    <row s="4517" customFormat="1" customHeight="1" ht="18.75" hidden="1">
      <c r="A210" s="1843"/>
      <c r="B210" s="1843"/>
      <c r="C210" s="432" t="s">
        <v>1144</v>
      </c>
      <c r="D210" s="2525"/>
      <c r="E210" s="2267"/>
      <c r="F210" s="2446"/>
      <c r="G210" s="2490"/>
      <c r="H210" s="1563"/>
      <c r="I210" s="714" t="s">
        <v>1143</v>
      </c>
      <c r="J210" s="634"/>
      <c r="K210" s="1563"/>
      <c r="L210" s="277"/>
      <c r="M210" s="2233"/>
      <c r="N210" s="397"/>
      <c r="O210" s="1687"/>
      <c r="P210" s="1687"/>
      <c r="AH210" s="1694">
        <v>0</v>
      </c>
    </row>
    <row s="4517" customFormat="1" customHeight="1" ht="0.75" hidden="1">
      <c r="A211" s="1843"/>
      <c r="B211" s="1843"/>
      <c r="C211" s="432" t="s">
        <v>1151</v>
      </c>
      <c r="D211" s="2525"/>
      <c r="E211" s="2267"/>
      <c r="F211" s="2446"/>
      <c r="G211" s="463"/>
      <c r="H211" s="1563"/>
      <c r="I211" s="714"/>
      <c r="J211" s="634"/>
      <c r="K211" s="1563"/>
      <c r="L211" s="277"/>
      <c r="M211" s="2233"/>
      <c r="N211" s="397"/>
      <c r="O211" s="1687"/>
      <c r="P211" s="1687"/>
      <c r="AH211" s="1694">
        <v>0</v>
      </c>
    </row>
    <row s="4517" customFormat="1" customHeight="1" ht="45" hidden="1">
      <c r="A212" s="1843" t="s">
        <v>159</v>
      </c>
      <c r="B212" s="1843" t="s">
        <v>160</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303</v>
      </c>
      <c r="M212" s="2234"/>
      <c r="N212" s="397"/>
      <c r="O212" s="1687"/>
      <c r="P212" s="1687"/>
      <c r="AH212" s="1694">
        <v>0</v>
      </c>
    </row>
    <row s="4517" customFormat="1" customHeight="1" ht="18.75" hidden="1">
      <c r="A213" s="1843"/>
      <c r="B213" s="1843"/>
      <c r="C213" s="432" t="s">
        <v>1144</v>
      </c>
      <c r="D213" s="2525"/>
      <c r="E213" s="2267"/>
      <c r="F213" s="2446"/>
      <c r="G213" s="2490"/>
      <c r="H213" s="1563"/>
      <c r="I213" s="714" t="s">
        <v>1143</v>
      </c>
      <c r="J213" s="634"/>
      <c r="K213" s="1563"/>
      <c r="L213" s="277"/>
      <c r="M213" s="1924"/>
      <c r="N213" s="397"/>
      <c r="O213" s="1687"/>
      <c r="P213" s="1687"/>
      <c r="AH213" s="1694">
        <v>0</v>
      </c>
    </row>
    <row s="4517" customFormat="1" customHeight="1" ht="0.75" hidden="1">
      <c r="A214" s="1843"/>
      <c r="B214" s="1843"/>
      <c r="C214" s="432" t="s">
        <v>1151</v>
      </c>
      <c r="D214" s="2525"/>
      <c r="E214" s="2267"/>
      <c r="F214" s="2446"/>
      <c r="G214" s="463"/>
      <c r="H214" s="1563"/>
      <c r="I214" s="714"/>
      <c r="J214" s="634"/>
      <c r="K214" s="1563"/>
      <c r="L214" s="277"/>
      <c r="M214" s="404"/>
      <c r="N214" s="397"/>
      <c r="O214" s="1687"/>
      <c r="P214" s="1687"/>
      <c r="AH214" s="1694">
        <v>0</v>
      </c>
    </row>
    <row s="4517" customFormat="1" customHeight="1" ht="45" hidden="1">
      <c r="A215" s="1843" t="s">
        <v>166</v>
      </c>
      <c r="B215" s="1843" t="s">
        <v>167</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303</v>
      </c>
      <c r="M215" s="404"/>
      <c r="N215" s="397"/>
      <c r="O215" s="1687"/>
      <c r="P215" s="1687"/>
      <c r="AH215" s="1694">
        <v>0</v>
      </c>
    </row>
    <row s="4517" customFormat="1" customHeight="1" ht="18.75" hidden="1">
      <c r="A216" s="1843"/>
      <c r="B216" s="1843"/>
      <c r="C216" s="432" t="s">
        <v>1144</v>
      </c>
      <c r="D216" s="2525"/>
      <c r="E216" s="2267"/>
      <c r="F216" s="2446"/>
      <c r="G216" s="2490"/>
      <c r="H216" s="1563"/>
      <c r="I216" s="714" t="s">
        <v>1143</v>
      </c>
      <c r="J216" s="634"/>
      <c r="K216" s="1563"/>
      <c r="L216" s="277"/>
      <c r="M216" s="404"/>
      <c r="N216" s="397"/>
      <c r="O216" s="1687"/>
      <c r="P216" s="1687"/>
      <c r="AH216" s="1694">
        <v>0</v>
      </c>
    </row>
    <row s="4517" customFormat="1" customHeight="1" ht="0.75" hidden="1">
      <c r="A217" s="1843"/>
      <c r="B217" s="1843"/>
      <c r="C217" s="432" t="s">
        <v>1151</v>
      </c>
      <c r="D217" s="2525"/>
      <c r="E217" s="2267"/>
      <c r="F217" s="2446"/>
      <c r="G217" s="463"/>
      <c r="H217" s="1563"/>
      <c r="I217" s="714"/>
      <c r="J217" s="634"/>
      <c r="K217" s="1563"/>
      <c r="L217" s="277"/>
      <c r="M217" s="404"/>
      <c r="N217" s="397"/>
      <c r="O217" s="1687"/>
      <c r="P217" s="1687"/>
      <c r="AH217" s="1694">
        <v>0</v>
      </c>
    </row>
    <row s="4517" customFormat="1" customHeight="1" ht="45" hidden="1">
      <c r="A218" s="1843" t="s">
        <v>172</v>
      </c>
      <c r="B218" s="1843" t="s">
        <v>173</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303</v>
      </c>
      <c r="M218" s="404"/>
      <c r="N218" s="397"/>
      <c r="O218" s="1687"/>
      <c r="P218" s="1687"/>
      <c r="AH218" s="1694">
        <v>0</v>
      </c>
    </row>
    <row s="4517" customFormat="1" customHeight="1" ht="18.75" hidden="1">
      <c r="A219" s="1843"/>
      <c r="B219" s="1843"/>
      <c r="C219" s="432" t="s">
        <v>1144</v>
      </c>
      <c r="D219" s="2525"/>
      <c r="E219" s="2267"/>
      <c r="F219" s="2446"/>
      <c r="G219" s="2490"/>
      <c r="H219" s="1563"/>
      <c r="I219" s="714" t="s">
        <v>1143</v>
      </c>
      <c r="J219" s="634"/>
      <c r="K219" s="1563"/>
      <c r="L219" s="277"/>
      <c r="M219" s="404"/>
      <c r="N219" s="397"/>
      <c r="O219" s="1687"/>
      <c r="P219" s="1687"/>
      <c r="AH219" s="1694">
        <v>0</v>
      </c>
    </row>
    <row s="4517" customFormat="1" customHeight="1" ht="0.75" hidden="1">
      <c r="A220" s="1843"/>
      <c r="B220" s="1843"/>
      <c r="C220" s="432" t="s">
        <v>1151</v>
      </c>
      <c r="D220" s="2525"/>
      <c r="E220" s="2267"/>
      <c r="F220" s="2446"/>
      <c r="G220" s="463"/>
      <c r="H220" s="1563"/>
      <c r="I220" s="714"/>
      <c r="J220" s="634"/>
      <c r="K220" s="1563"/>
      <c r="L220" s="277"/>
      <c r="M220" s="404"/>
      <c r="N220" s="397"/>
      <c r="O220" s="1687"/>
      <c r="P220" s="1687"/>
      <c r="AH220" s="1694">
        <v>0</v>
      </c>
    </row>
    <row s="4517" customFormat="1" customHeight="1" ht="18.75" hidden="1">
      <c r="A221" s="1843" t="s">
        <v>178</v>
      </c>
      <c r="B221" s="1843" t="s">
        <v>179</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303</v>
      </c>
      <c r="M221" s="404"/>
      <c r="N221" s="397"/>
      <c r="O221" s="1687"/>
      <c r="P221" s="1687"/>
      <c r="AH221" s="1694">
        <v>0</v>
      </c>
    </row>
    <row s="4517" customFormat="1" customHeight="1" ht="18.75" hidden="1">
      <c r="A222" s="1843"/>
      <c r="B222" s="1843"/>
      <c r="C222" s="432" t="s">
        <v>1144</v>
      </c>
      <c r="D222" s="2525"/>
      <c r="E222" s="2267"/>
      <c r="F222" s="2446"/>
      <c r="G222" s="2490"/>
      <c r="H222" s="1563"/>
      <c r="I222" s="714" t="s">
        <v>1143</v>
      </c>
      <c r="J222" s="634"/>
      <c r="K222" s="1563"/>
      <c r="L222" s="277"/>
      <c r="M222" s="404"/>
      <c r="N222" s="397"/>
      <c r="O222" s="1687"/>
      <c r="P222" s="1687"/>
      <c r="AH222" s="1694">
        <v>0</v>
      </c>
    </row>
    <row s="4517" customFormat="1" customHeight="1" ht="0.75" hidden="1">
      <c r="A223" s="1843"/>
      <c r="B223" s="1843"/>
      <c r="C223" s="432" t="s">
        <v>1151</v>
      </c>
      <c r="D223" s="2525"/>
      <c r="E223" s="2267"/>
      <c r="F223" s="2446"/>
      <c r="G223" s="463"/>
      <c r="H223" s="1563"/>
      <c r="I223" s="714"/>
      <c r="J223" s="634"/>
      <c r="K223" s="1563"/>
      <c r="L223" s="277"/>
      <c r="M223" s="404"/>
      <c r="N223" s="397"/>
      <c r="O223" s="1687"/>
      <c r="P223" s="1687"/>
      <c r="AH223" s="1694">
        <v>0</v>
      </c>
    </row>
    <row s="4517" customFormat="1" customHeight="1" ht="18.75" hidden="1">
      <c r="A224" s="1843" t="s">
        <v>184</v>
      </c>
      <c r="B224" s="1843" t="s">
        <v>185</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303</v>
      </c>
      <c r="M224" s="404"/>
      <c r="N224" s="397"/>
      <c r="O224" s="1687"/>
      <c r="P224" s="1687"/>
      <c r="AH224" s="1694">
        <v>0</v>
      </c>
    </row>
    <row s="4517" customFormat="1" customHeight="1" ht="18.75" hidden="1">
      <c r="A225" s="1843"/>
      <c r="B225" s="1843"/>
      <c r="C225" s="432" t="s">
        <v>1144</v>
      </c>
      <c r="D225" s="2525"/>
      <c r="E225" s="2267"/>
      <c r="F225" s="2446"/>
      <c r="G225" s="2490"/>
      <c r="H225" s="1563"/>
      <c r="I225" s="714" t="s">
        <v>1143</v>
      </c>
      <c r="J225" s="634"/>
      <c r="K225" s="1563"/>
      <c r="L225" s="277"/>
      <c r="M225" s="404"/>
      <c r="N225" s="397"/>
      <c r="O225" s="1687"/>
      <c r="P225" s="1687"/>
      <c r="AH225" s="1694">
        <v>0</v>
      </c>
    </row>
    <row s="4517" customFormat="1" customHeight="1" ht="0.75" hidden="1">
      <c r="A226" s="1843"/>
      <c r="B226" s="1843"/>
      <c r="C226" s="432" t="s">
        <v>1151</v>
      </c>
      <c r="D226" s="2525"/>
      <c r="E226" s="2267"/>
      <c r="F226" s="2446"/>
      <c r="G226" s="463"/>
      <c r="H226" s="1563"/>
      <c r="I226" s="714"/>
      <c r="J226" s="634"/>
      <c r="K226" s="1563"/>
      <c r="L226" s="277"/>
      <c r="M226" s="404"/>
      <c r="N226" s="397"/>
      <c r="O226" s="1687"/>
      <c r="P226" s="1687"/>
      <c r="AH226" s="1694">
        <v>0</v>
      </c>
    </row>
    <row s="4517" customFormat="1" customHeight="1" ht="18.75" hidden="1">
      <c r="A227" s="1843" t="s">
        <v>190</v>
      </c>
      <c r="B227" s="1843" t="s">
        <v>191</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303</v>
      </c>
      <c r="M227" s="404"/>
      <c r="N227" s="397"/>
      <c r="O227" s="1687"/>
      <c r="P227" s="1687"/>
      <c r="AH227" s="1694">
        <v>0</v>
      </c>
    </row>
    <row s="4517" customFormat="1" customHeight="1" ht="18.75" hidden="1">
      <c r="A228" s="1843"/>
      <c r="B228" s="1843"/>
      <c r="C228" s="432" t="s">
        <v>1144</v>
      </c>
      <c r="D228" s="2525"/>
      <c r="E228" s="2267"/>
      <c r="F228" s="2446"/>
      <c r="G228" s="2490"/>
      <c r="H228" s="1563"/>
      <c r="I228" s="714" t="s">
        <v>1143</v>
      </c>
      <c r="J228" s="634"/>
      <c r="K228" s="1563"/>
      <c r="L228" s="277"/>
      <c r="M228" s="404"/>
      <c r="N228" s="397"/>
      <c r="O228" s="1687"/>
      <c r="P228" s="1687"/>
      <c r="AH228" s="1694">
        <v>0</v>
      </c>
    </row>
    <row s="4517" customFormat="1" customHeight="1" ht="0.75" hidden="1">
      <c r="A229" s="1843"/>
      <c r="B229" s="1843"/>
      <c r="C229" s="432" t="s">
        <v>1151</v>
      </c>
      <c r="D229" s="2525"/>
      <c r="E229" s="2267"/>
      <c r="F229" s="2446"/>
      <c r="G229" s="463"/>
      <c r="H229" s="1563"/>
      <c r="I229" s="714"/>
      <c r="J229" s="634"/>
      <c r="K229" s="1563"/>
      <c r="L229" s="277"/>
      <c r="M229" s="404"/>
      <c r="N229" s="397"/>
      <c r="O229" s="1687"/>
      <c r="P229" s="1687"/>
      <c r="AH229" s="1694">
        <v>0</v>
      </c>
    </row>
    <row s="4517" customFormat="1" customHeight="1" ht="18.75" hidden="1">
      <c r="A230" s="1843" t="s">
        <v>196</v>
      </c>
      <c r="B230" s="1843" t="s">
        <v>197</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303</v>
      </c>
      <c r="M230" s="404"/>
      <c r="N230" s="397"/>
      <c r="O230" s="1687"/>
      <c r="P230" s="1687"/>
      <c r="AH230" s="1694">
        <v>0</v>
      </c>
    </row>
    <row s="4517" customFormat="1" customHeight="1" ht="18.75" hidden="1">
      <c r="A231" s="1843"/>
      <c r="B231" s="1843"/>
      <c r="C231" s="432" t="s">
        <v>1144</v>
      </c>
      <c r="D231" s="2525"/>
      <c r="E231" s="2267"/>
      <c r="F231" s="2446"/>
      <c r="G231" s="2490"/>
      <c r="H231" s="1563"/>
      <c r="I231" s="714" t="s">
        <v>1143</v>
      </c>
      <c r="J231" s="634"/>
      <c r="K231" s="1563"/>
      <c r="L231" s="277"/>
      <c r="M231" s="404"/>
      <c r="N231" s="397"/>
      <c r="O231" s="1687"/>
      <c r="P231" s="1687"/>
      <c r="AH231" s="1694">
        <v>0</v>
      </c>
    </row>
    <row s="4517" customFormat="1" customHeight="1" ht="0.75" hidden="1">
      <c r="A232" s="1843"/>
      <c r="B232" s="1843"/>
      <c r="C232" s="432" t="s">
        <v>1151</v>
      </c>
      <c r="D232" s="2525"/>
      <c r="E232" s="2267"/>
      <c r="F232" s="2446"/>
      <c r="G232" s="463"/>
      <c r="H232" s="1563"/>
      <c r="I232" s="714"/>
      <c r="J232" s="634"/>
      <c r="K232" s="1563"/>
      <c r="L232" s="277"/>
      <c r="M232" s="404"/>
      <c r="N232" s="397"/>
      <c r="O232" s="1687"/>
      <c r="P232" s="1687"/>
      <c r="AH232" s="1694">
        <v>0</v>
      </c>
    </row>
    <row s="4517" customFormat="1" customHeight="1" ht="18.75" hidden="1">
      <c r="A233" s="1843" t="s">
        <v>202</v>
      </c>
      <c r="B233" s="1843" t="s">
        <v>203</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303</v>
      </c>
      <c r="M233" s="404"/>
      <c r="N233" s="397"/>
      <c r="O233" s="1687"/>
      <c r="P233" s="1687"/>
      <c r="AH233" s="1694">
        <v>0</v>
      </c>
    </row>
    <row s="4517" customFormat="1" customHeight="1" ht="18.75" hidden="1">
      <c r="A234" s="1843"/>
      <c r="B234" s="1843"/>
      <c r="C234" s="432" t="s">
        <v>1144</v>
      </c>
      <c r="D234" s="2525"/>
      <c r="E234" s="2267"/>
      <c r="F234" s="2446"/>
      <c r="G234" s="2490"/>
      <c r="H234" s="1563"/>
      <c r="I234" s="714" t="s">
        <v>1143</v>
      </c>
      <c r="J234" s="634"/>
      <c r="K234" s="1563"/>
      <c r="L234" s="277"/>
      <c r="M234" s="404"/>
      <c r="N234" s="397"/>
      <c r="O234" s="1687"/>
      <c r="P234" s="1687"/>
      <c r="AH234" s="1694">
        <v>0</v>
      </c>
    </row>
    <row s="4517" customFormat="1" customHeight="1" ht="0.75" hidden="1">
      <c r="A235" s="1843"/>
      <c r="B235" s="1843"/>
      <c r="C235" s="432" t="s">
        <v>1151</v>
      </c>
      <c r="D235" s="2525"/>
      <c r="E235" s="2267"/>
      <c r="F235" s="2446"/>
      <c r="G235" s="463"/>
      <c r="H235" s="1563"/>
      <c r="I235" s="714"/>
      <c r="J235" s="634"/>
      <c r="K235" s="1563"/>
      <c r="L235" s="277"/>
      <c r="M235" s="404"/>
      <c r="N235" s="397"/>
      <c r="O235" s="1687"/>
      <c r="P235" s="1687"/>
      <c r="AH235" s="1694">
        <v>0</v>
      </c>
    </row>
    <row s="4517" customFormat="1" customHeight="1" ht="18.75" hidden="1">
      <c r="A236" s="1843" t="s">
        <v>222</v>
      </c>
      <c r="B236" s="1843" t="s">
        <v>223</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303</v>
      </c>
      <c r="M236" s="404"/>
      <c r="N236" s="397"/>
      <c r="O236" s="1687"/>
      <c r="P236" s="1687"/>
      <c r="AH236" s="1694">
        <v>0</v>
      </c>
    </row>
    <row s="4517" customFormat="1" customHeight="1" ht="18.75" hidden="1">
      <c r="A237" s="1843"/>
      <c r="B237" s="1843"/>
      <c r="C237" s="432" t="s">
        <v>1144</v>
      </c>
      <c r="D237" s="2525"/>
      <c r="E237" s="2267"/>
      <c r="F237" s="2446"/>
      <c r="G237" s="2490"/>
      <c r="H237" s="1563"/>
      <c r="I237" s="714" t="s">
        <v>1143</v>
      </c>
      <c r="J237" s="634"/>
      <c r="K237" s="1563"/>
      <c r="L237" s="277"/>
      <c r="M237" s="404"/>
      <c r="N237" s="397"/>
      <c r="O237" s="1687"/>
      <c r="P237" s="1687"/>
      <c r="AH237" s="1694">
        <v>0</v>
      </c>
    </row>
    <row s="4517" customFormat="1" customHeight="1" ht="0.75" hidden="1">
      <c r="A238" s="1843"/>
      <c r="B238" s="1843"/>
      <c r="C238" s="432" t="s">
        <v>1151</v>
      </c>
      <c r="D238" s="2525"/>
      <c r="E238" s="2267"/>
      <c r="F238" s="2446"/>
      <c r="G238" s="463"/>
      <c r="H238" s="1563"/>
      <c r="I238" s="714"/>
      <c r="J238" s="634"/>
      <c r="K238" s="1563"/>
      <c r="L238" s="277"/>
      <c r="M238" s="404"/>
      <c r="N238" s="397"/>
      <c r="O238" s="1687"/>
      <c r="P238" s="1687"/>
      <c r="AH238" s="1694">
        <v>0</v>
      </c>
    </row>
    <row s="4517" customFormat="1" customHeight="1" ht="18.75" hidden="1">
      <c r="A239" s="1843" t="s">
        <v>227</v>
      </c>
      <c r="B239" s="1843" t="s">
        <v>228</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303</v>
      </c>
      <c r="M239" s="404"/>
      <c r="N239" s="397"/>
      <c r="O239" s="1687"/>
      <c r="P239" s="1687"/>
      <c r="AH239" s="1694">
        <v>0</v>
      </c>
    </row>
    <row s="4517" customFormat="1" customHeight="1" ht="18.75" hidden="1">
      <c r="A240" s="1843"/>
      <c r="B240" s="1843"/>
      <c r="C240" s="432" t="s">
        <v>1144</v>
      </c>
      <c r="D240" s="2525"/>
      <c r="E240" s="2267"/>
      <c r="F240" s="2446"/>
      <c r="G240" s="2490"/>
      <c r="H240" s="1563"/>
      <c r="I240" s="714" t="s">
        <v>1143</v>
      </c>
      <c r="J240" s="634"/>
      <c r="K240" s="1563"/>
      <c r="L240" s="277"/>
      <c r="M240" s="404"/>
      <c r="N240" s="397"/>
      <c r="O240" s="1687"/>
      <c r="P240" s="1687"/>
      <c r="AH240" s="1694">
        <v>0</v>
      </c>
    </row>
    <row s="4517" customFormat="1" customHeight="1" ht="0.75" hidden="1">
      <c r="A241" s="1843"/>
      <c r="B241" s="1843"/>
      <c r="C241" s="432" t="s">
        <v>1151</v>
      </c>
      <c r="D241" s="2525"/>
      <c r="E241" s="2267"/>
      <c r="F241" s="2446"/>
      <c r="G241" s="463"/>
      <c r="H241" s="1563"/>
      <c r="I241" s="714"/>
      <c r="J241" s="634"/>
      <c r="K241" s="1563"/>
      <c r="L241" s="277"/>
      <c r="M241" s="404"/>
      <c r="N241" s="397"/>
      <c r="O241" s="1687"/>
      <c r="P241" s="1687"/>
      <c r="AH241" s="1694">
        <v>0</v>
      </c>
    </row>
    <row s="4517" customFormat="1" customHeight="1" ht="18.75" hidden="1">
      <c r="A242" s="1843" t="s">
        <v>232</v>
      </c>
      <c r="B242" s="1843" t="s">
        <v>233</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303</v>
      </c>
      <c r="M242" s="404"/>
      <c r="N242" s="397"/>
      <c r="O242" s="1687"/>
      <c r="P242" s="1687"/>
      <c r="AH242" s="1694">
        <v>0</v>
      </c>
    </row>
    <row s="4517" customFormat="1" customHeight="1" ht="18.75" hidden="1">
      <c r="A243" s="1843"/>
      <c r="B243" s="1843"/>
      <c r="C243" s="432" t="s">
        <v>1144</v>
      </c>
      <c r="D243" s="2525"/>
      <c r="E243" s="2267"/>
      <c r="F243" s="2446"/>
      <c r="G243" s="2490"/>
      <c r="H243" s="1563"/>
      <c r="I243" s="714" t="s">
        <v>1143</v>
      </c>
      <c r="J243" s="634"/>
      <c r="K243" s="1563"/>
      <c r="L243" s="277"/>
      <c r="M243" s="404"/>
      <c r="N243" s="397"/>
      <c r="O243" s="1687"/>
      <c r="P243" s="1687"/>
      <c r="AH243" s="1694">
        <v>0</v>
      </c>
    </row>
    <row s="4517" customFormat="1" customHeight="1" ht="0.75" hidden="1">
      <c r="A244" s="1843"/>
      <c r="B244" s="1843"/>
      <c r="C244" s="432" t="s">
        <v>1151</v>
      </c>
      <c r="D244" s="2525"/>
      <c r="E244" s="2267"/>
      <c r="F244" s="2446"/>
      <c r="G244" s="463"/>
      <c r="H244" s="1563"/>
      <c r="I244" s="714"/>
      <c r="J244" s="634"/>
      <c r="K244" s="1563"/>
      <c r="L244" s="277"/>
      <c r="M244" s="404"/>
      <c r="N244" s="397"/>
      <c r="O244" s="1687"/>
      <c r="P244" s="1687"/>
      <c r="AH244" s="1694">
        <v>0</v>
      </c>
    </row>
    <row s="4517" customFormat="1" customHeight="1" ht="18.75" hidden="1">
      <c r="A245" s="1843" t="s">
        <v>237</v>
      </c>
      <c r="B245" s="1843" t="s">
        <v>238</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303</v>
      </c>
      <c r="M245" s="404"/>
      <c r="N245" s="397"/>
      <c r="O245" s="1687"/>
      <c r="P245" s="1687"/>
      <c r="AH245" s="1694">
        <v>0</v>
      </c>
    </row>
    <row s="4517" customFormat="1" customHeight="1" ht="18.75" hidden="1">
      <c r="A246" s="1843"/>
      <c r="B246" s="1843"/>
      <c r="C246" s="432" t="s">
        <v>1144</v>
      </c>
      <c r="D246" s="2525"/>
      <c r="E246" s="2267"/>
      <c r="F246" s="2446"/>
      <c r="G246" s="2490"/>
      <c r="H246" s="1563"/>
      <c r="I246" s="714" t="s">
        <v>1143</v>
      </c>
      <c r="J246" s="634"/>
      <c r="K246" s="1563"/>
      <c r="L246" s="277"/>
      <c r="M246" s="404"/>
      <c r="N246" s="397"/>
      <c r="O246" s="1687"/>
      <c r="P246" s="1687"/>
      <c r="AH246" s="1694">
        <v>0</v>
      </c>
    </row>
    <row s="4517" customFormat="1" customHeight="1" ht="0.75" hidden="1">
      <c r="A247" s="1843"/>
      <c r="B247" s="1843"/>
      <c r="C247" s="432" t="s">
        <v>1151</v>
      </c>
      <c r="D247" s="2525"/>
      <c r="E247" s="2267"/>
      <c r="F247" s="2446"/>
      <c r="G247" s="463"/>
      <c r="H247" s="1563"/>
      <c r="I247" s="714"/>
      <c r="J247" s="634"/>
      <c r="K247" s="1563"/>
      <c r="L247" s="277"/>
      <c r="M247" s="404"/>
      <c r="N247" s="397"/>
      <c r="O247" s="1687"/>
      <c r="P247" s="1687"/>
      <c r="AH247" s="1694">
        <v>0</v>
      </c>
    </row>
    <row s="4517" customFormat="1" customHeight="1" ht="18.75" hidden="1">
      <c r="A248" s="1843" t="s">
        <v>242</v>
      </c>
      <c r="B248" s="1843" t="s">
        <v>243</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303</v>
      </c>
      <c r="M248" s="404"/>
      <c r="N248" s="397"/>
      <c r="O248" s="1687"/>
      <c r="P248" s="1687"/>
      <c r="AH248" s="1694">
        <v>0</v>
      </c>
    </row>
    <row s="4517" customFormat="1" customHeight="1" ht="18.75" hidden="1">
      <c r="A249" s="1843"/>
      <c r="B249" s="1843"/>
      <c r="C249" s="432" t="s">
        <v>1144</v>
      </c>
      <c r="D249" s="2525"/>
      <c r="E249" s="2267"/>
      <c r="F249" s="2446"/>
      <c r="G249" s="2490"/>
      <c r="H249" s="1563"/>
      <c r="I249" s="714" t="s">
        <v>1143</v>
      </c>
      <c r="J249" s="634"/>
      <c r="K249" s="1563"/>
      <c r="L249" s="277"/>
      <c r="M249" s="404"/>
      <c r="N249" s="397"/>
      <c r="O249" s="1687"/>
      <c r="P249" s="1687"/>
      <c r="AH249" s="1694">
        <v>0</v>
      </c>
    </row>
    <row s="4517" customFormat="1" customHeight="1" ht="0.75" hidden="1">
      <c r="A250" s="1843"/>
      <c r="B250" s="1843"/>
      <c r="C250" s="432" t="s">
        <v>1151</v>
      </c>
      <c r="D250" s="2525"/>
      <c r="E250" s="2267"/>
      <c r="F250" s="2446"/>
      <c r="G250" s="463"/>
      <c r="H250" s="1563"/>
      <c r="I250" s="714"/>
      <c r="J250" s="634"/>
      <c r="K250" s="1563"/>
      <c r="L250" s="277"/>
      <c r="M250" s="404"/>
      <c r="N250" s="397"/>
      <c r="O250" s="1687"/>
      <c r="P250" s="1687"/>
      <c r="AH250" s="1694">
        <v>0</v>
      </c>
    </row>
    <row s="4517" customFormat="1" customHeight="1" ht="18.75" hidden="1">
      <c r="A251" s="1843" t="s">
        <v>247</v>
      </c>
      <c r="B251" s="1843" t="s">
        <v>248</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303</v>
      </c>
      <c r="M251" s="404"/>
      <c r="N251" s="397"/>
      <c r="O251" s="1687"/>
      <c r="P251" s="1687"/>
      <c r="AH251" s="1694">
        <v>0</v>
      </c>
    </row>
    <row s="4517" customFormat="1" customHeight="1" ht="18.75" hidden="1">
      <c r="A252" s="1843"/>
      <c r="B252" s="1843"/>
      <c r="C252" s="432" t="s">
        <v>1144</v>
      </c>
      <c r="D252" s="2525"/>
      <c r="E252" s="2267"/>
      <c r="F252" s="2446"/>
      <c r="G252" s="2490"/>
      <c r="H252" s="1563"/>
      <c r="I252" s="714" t="s">
        <v>1143</v>
      </c>
      <c r="J252" s="634"/>
      <c r="K252" s="1563"/>
      <c r="L252" s="277"/>
      <c r="M252" s="404"/>
      <c r="N252" s="397"/>
      <c r="O252" s="1687"/>
      <c r="P252" s="1687"/>
      <c r="AH252" s="1694">
        <v>0</v>
      </c>
    </row>
    <row s="4517" customFormat="1" customHeight="1" ht="0.75" hidden="1">
      <c r="A253" s="1843"/>
      <c r="B253" s="1843"/>
      <c r="C253" s="432" t="s">
        <v>1151</v>
      </c>
      <c r="D253" s="2525"/>
      <c r="E253" s="2267"/>
      <c r="F253" s="2446"/>
      <c r="G253" s="463"/>
      <c r="H253" s="1563"/>
      <c r="I253" s="714"/>
      <c r="J253" s="634"/>
      <c r="K253" s="1563"/>
      <c r="L253" s="277"/>
      <c r="M253" s="404"/>
      <c r="N253" s="397"/>
      <c r="O253" s="1687"/>
      <c r="P253" s="1687"/>
      <c r="AH253" s="1694">
        <v>0</v>
      </c>
    </row>
    <row s="4517" customFormat="1" customHeight="1" ht="18.75" hidden="1">
      <c r="A254" s="1843" t="s">
        <v>252</v>
      </c>
      <c r="B254" s="1843" t="s">
        <v>253</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303</v>
      </c>
      <c r="M254" s="404"/>
      <c r="N254" s="397"/>
      <c r="O254" s="1687"/>
      <c r="P254" s="1687"/>
      <c r="AH254" s="1694">
        <v>0</v>
      </c>
    </row>
    <row s="4517" customFormat="1" customHeight="1" ht="18.75" hidden="1">
      <c r="A255" s="1843"/>
      <c r="B255" s="1843"/>
      <c r="C255" s="432" t="s">
        <v>1144</v>
      </c>
      <c r="D255" s="2525"/>
      <c r="E255" s="2267"/>
      <c r="F255" s="2446"/>
      <c r="G255" s="2490"/>
      <c r="H255" s="1563"/>
      <c r="I255" s="714" t="s">
        <v>1143</v>
      </c>
      <c r="J255" s="634"/>
      <c r="K255" s="1563"/>
      <c r="L255" s="277"/>
      <c r="M255" s="404"/>
      <c r="N255" s="397"/>
      <c r="O255" s="1687"/>
      <c r="P255" s="1687"/>
      <c r="AH255" s="1694">
        <v>0</v>
      </c>
    </row>
    <row s="4517" customFormat="1" customHeight="1" ht="0.75" hidden="1">
      <c r="A256" s="1843"/>
      <c r="B256" s="1843"/>
      <c r="C256" s="432" t="s">
        <v>1151</v>
      </c>
      <c r="D256" s="2525"/>
      <c r="E256" s="2267"/>
      <c r="F256" s="2446"/>
      <c r="G256" s="463"/>
      <c r="H256" s="1563"/>
      <c r="I256" s="714"/>
      <c r="J256" s="634"/>
      <c r="K256" s="1563"/>
      <c r="L256" s="277"/>
      <c r="M256" s="404"/>
      <c r="N256" s="397"/>
      <c r="O256" s="1687"/>
      <c r="P256" s="1687"/>
      <c r="AH256" s="1694">
        <v>0</v>
      </c>
    </row>
    <row s="4517" customFormat="1" customHeight="1" ht="18.75" hidden="1">
      <c r="A257" s="1843" t="s">
        <v>257</v>
      </c>
      <c r="B257" s="1843" t="s">
        <v>258</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303</v>
      </c>
      <c r="M257" s="404"/>
      <c r="N257" s="397"/>
      <c r="O257" s="1687"/>
      <c r="P257" s="1687"/>
      <c r="AH257" s="1694">
        <v>0</v>
      </c>
    </row>
    <row s="4517" customFormat="1" customHeight="1" ht="18.75" hidden="1">
      <c r="A258" s="1843"/>
      <c r="B258" s="1843"/>
      <c r="C258" s="432" t="s">
        <v>1144</v>
      </c>
      <c r="D258" s="2525"/>
      <c r="E258" s="2267"/>
      <c r="F258" s="2446"/>
      <c r="G258" s="2490"/>
      <c r="H258" s="1563"/>
      <c r="I258" s="714" t="s">
        <v>1143</v>
      </c>
      <c r="J258" s="634"/>
      <c r="K258" s="1563"/>
      <c r="L258" s="277"/>
      <c r="M258" s="404"/>
      <c r="N258" s="397"/>
      <c r="O258" s="1687"/>
      <c r="P258" s="1687"/>
      <c r="AH258" s="1694">
        <v>0</v>
      </c>
    </row>
    <row s="4517" customFormat="1" customHeight="1" ht="0.75" hidden="1">
      <c r="A259" s="1843"/>
      <c r="B259" s="1843"/>
      <c r="C259" s="432" t="s">
        <v>1151</v>
      </c>
      <c r="D259" s="2525"/>
      <c r="E259" s="2267"/>
      <c r="F259" s="2446"/>
      <c r="G259" s="463"/>
      <c r="H259" s="1563"/>
      <c r="I259" s="714"/>
      <c r="J259" s="634"/>
      <c r="K259" s="1563"/>
      <c r="L259" s="277"/>
      <c r="M259" s="404"/>
      <c r="N259" s="397"/>
      <c r="O259" s="1687"/>
      <c r="P259" s="1687"/>
      <c r="AH259" s="1694">
        <v>0</v>
      </c>
    </row>
    <row s="4517" customFormat="1" customHeight="1" ht="18.75" hidden="1">
      <c r="A260" s="1843" t="s">
        <v>262</v>
      </c>
      <c r="B260" s="1843" t="s">
        <v>263</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303</v>
      </c>
      <c r="M260" s="404"/>
      <c r="N260" s="397"/>
      <c r="O260" s="1687"/>
      <c r="P260" s="1687"/>
      <c r="AH260" s="1694">
        <v>0</v>
      </c>
    </row>
    <row s="4517" customFormat="1" customHeight="1" ht="18.75" hidden="1">
      <c r="A261" s="1843"/>
      <c r="B261" s="1843"/>
      <c r="C261" s="432" t="s">
        <v>1144</v>
      </c>
      <c r="D261" s="2525"/>
      <c r="E261" s="2267"/>
      <c r="F261" s="2446"/>
      <c r="G261" s="2490"/>
      <c r="H261" s="1563"/>
      <c r="I261" s="714" t="s">
        <v>1143</v>
      </c>
      <c r="J261" s="634"/>
      <c r="K261" s="1563"/>
      <c r="L261" s="277"/>
      <c r="M261" s="404"/>
      <c r="N261" s="397"/>
      <c r="O261" s="1687"/>
      <c r="P261" s="1687"/>
      <c r="AH261" s="1694">
        <v>0</v>
      </c>
    </row>
    <row s="4517" customFormat="1" customHeight="1" ht="0.75" hidden="1">
      <c r="A262" s="1843"/>
      <c r="B262" s="1843"/>
      <c r="C262" s="432" t="s">
        <v>1151</v>
      </c>
      <c r="D262" s="2525"/>
      <c r="E262" s="2267"/>
      <c r="F262" s="2446"/>
      <c r="G262" s="463"/>
      <c r="H262" s="1563"/>
      <c r="I262" s="714"/>
      <c r="J262" s="634"/>
      <c r="K262" s="1563"/>
      <c r="L262" s="277"/>
      <c r="M262" s="404"/>
      <c r="N262" s="397"/>
      <c r="O262" s="1687"/>
      <c r="P262" s="1687"/>
      <c r="AH262" s="1694">
        <v>0</v>
      </c>
    </row>
    <row s="4517" customFormat="1" customHeight="1" ht="18.75" hidden="1">
      <c r="A263" s="1843" t="s">
        <v>267</v>
      </c>
      <c r="B263" s="1843" t="s">
        <v>268</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303</v>
      </c>
      <c r="M263" s="404"/>
      <c r="N263" s="397"/>
      <c r="O263" s="1687"/>
      <c r="P263" s="1687"/>
      <c r="AH263" s="1694">
        <v>0</v>
      </c>
    </row>
    <row s="4517" customFormat="1" customHeight="1" ht="18.75" hidden="1">
      <c r="A264" s="1843"/>
      <c r="B264" s="1843"/>
      <c r="C264" s="432" t="s">
        <v>1144</v>
      </c>
      <c r="D264" s="2525"/>
      <c r="E264" s="2267"/>
      <c r="F264" s="2446"/>
      <c r="G264" s="2490"/>
      <c r="H264" s="1563"/>
      <c r="I264" s="714" t="s">
        <v>1143</v>
      </c>
      <c r="J264" s="634"/>
      <c r="K264" s="1563"/>
      <c r="L264" s="277"/>
      <c r="M264" s="404"/>
      <c r="N264" s="397"/>
      <c r="O264" s="1687"/>
      <c r="P264" s="1687"/>
      <c r="AH264" s="1694">
        <v>0</v>
      </c>
    </row>
    <row s="4517" customFormat="1" customHeight="1" ht="0.75" hidden="1">
      <c r="A265" s="1843"/>
      <c r="B265" s="1843"/>
      <c r="C265" s="432" t="s">
        <v>1151</v>
      </c>
      <c r="D265" s="2525"/>
      <c r="E265" s="2267"/>
      <c r="F265" s="2446"/>
      <c r="G265" s="463"/>
      <c r="H265" s="1563"/>
      <c r="I265" s="714"/>
      <c r="J265" s="634"/>
      <c r="K265" s="1563"/>
      <c r="L265" s="277"/>
      <c r="M265" s="404"/>
      <c r="N265" s="397"/>
      <c r="O265" s="1687"/>
      <c r="P265" s="1687"/>
      <c r="AH265" s="1694">
        <v>0</v>
      </c>
    </row>
    <row s="4517" customFormat="1" customHeight="1" ht="18.75" hidden="1">
      <c r="A266" s="1843" t="s">
        <v>272</v>
      </c>
      <c r="B266" s="1843" t="s">
        <v>273</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303</v>
      </c>
      <c r="M266" s="404"/>
      <c r="N266" s="397"/>
      <c r="O266" s="1687"/>
      <c r="P266" s="1687"/>
      <c r="AH266" s="1694">
        <v>0</v>
      </c>
    </row>
    <row s="4517" customFormat="1" customHeight="1" ht="18.75" hidden="1">
      <c r="A267" s="1843"/>
      <c r="B267" s="1843"/>
      <c r="C267" s="432" t="s">
        <v>1144</v>
      </c>
      <c r="D267" s="2525"/>
      <c r="E267" s="2267"/>
      <c r="F267" s="2446"/>
      <c r="G267" s="2490"/>
      <c r="H267" s="1563"/>
      <c r="I267" s="714" t="s">
        <v>1143</v>
      </c>
      <c r="J267" s="634"/>
      <c r="K267" s="1563"/>
      <c r="L267" s="277"/>
      <c r="M267" s="404"/>
      <c r="N267" s="397"/>
      <c r="O267" s="1687"/>
      <c r="P267" s="1687"/>
      <c r="AH267" s="1694">
        <v>0</v>
      </c>
    </row>
    <row s="4517" customFormat="1" customHeight="1" ht="1.05">
      <c r="A268" s="1843"/>
      <c r="B268" s="1843"/>
      <c r="C268" s="432" t="s">
        <v>1151</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91</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3"/>
      <c r="H269" s="2523"/>
      <c r="I269" s="2523"/>
      <c r="J269" s="2523"/>
      <c r="K269" s="2523"/>
      <c r="L269" s="2523"/>
      <c r="M269" s="360"/>
      <c r="N269" s="397"/>
      <c r="AH269" s="437">
        <v>26</v>
      </c>
    </row>
    <row s="4517" customFormat="1" customHeight="1" ht="60.75" hidden="1">
      <c r="A270" s="1843" t="s">
        <v>154</v>
      </c>
      <c r="B270" s="1843" t="s">
        <v>155</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303</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517" customFormat="1" customHeight="1" ht="18.75" hidden="1">
      <c r="A271" s="1843"/>
      <c r="B271" s="1843"/>
      <c r="C271" s="432" t="s">
        <v>1144</v>
      </c>
      <c r="D271" s="2525"/>
      <c r="E271" s="2267"/>
      <c r="F271" s="2446"/>
      <c r="G271" s="2490"/>
      <c r="H271" s="1563"/>
      <c r="I271" s="714" t="s">
        <v>1143</v>
      </c>
      <c r="J271" s="634"/>
      <c r="K271" s="1563"/>
      <c r="L271" s="277"/>
      <c r="M271" s="2233"/>
      <c r="N271" s="397"/>
      <c r="O271" s="1687"/>
      <c r="P271" s="1687"/>
      <c r="AH271" s="1694">
        <v>0</v>
      </c>
    </row>
    <row s="4517" customFormat="1" customHeight="1" ht="0.75" hidden="1">
      <c r="A272" s="1843"/>
      <c r="B272" s="1843"/>
      <c r="C272" s="432" t="s">
        <v>1151</v>
      </c>
      <c r="D272" s="2525"/>
      <c r="E272" s="2267"/>
      <c r="F272" s="2446"/>
      <c r="G272" s="463"/>
      <c r="H272" s="1563"/>
      <c r="I272" s="714"/>
      <c r="J272" s="634"/>
      <c r="K272" s="1563"/>
      <c r="L272" s="277"/>
      <c r="M272" s="2233"/>
      <c r="N272" s="397"/>
      <c r="O272" s="1687"/>
      <c r="P272" s="1687"/>
      <c r="AH272" s="1694">
        <v>0</v>
      </c>
    </row>
    <row s="4517" customFormat="1" customHeight="1" ht="45" hidden="1">
      <c r="A273" s="1843" t="s">
        <v>159</v>
      </c>
      <c r="B273" s="1843" t="s">
        <v>160</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303</v>
      </c>
      <c r="M273" s="2234"/>
      <c r="N273" s="397"/>
      <c r="O273" s="1687"/>
      <c r="P273" s="1687"/>
      <c r="AH273" s="1694">
        <v>0</v>
      </c>
    </row>
    <row s="4517" customFormat="1" customHeight="1" ht="18.75" hidden="1">
      <c r="A274" s="1843"/>
      <c r="B274" s="1843"/>
      <c r="C274" s="432" t="s">
        <v>1144</v>
      </c>
      <c r="D274" s="2525"/>
      <c r="E274" s="2267"/>
      <c r="F274" s="2446"/>
      <c r="G274" s="2490"/>
      <c r="H274" s="1563"/>
      <c r="I274" s="714" t="s">
        <v>1143</v>
      </c>
      <c r="J274" s="634"/>
      <c r="K274" s="1563"/>
      <c r="L274" s="277"/>
      <c r="M274" s="1924"/>
      <c r="N274" s="397"/>
      <c r="O274" s="1687"/>
      <c r="P274" s="1687"/>
      <c r="AH274" s="1694">
        <v>0</v>
      </c>
    </row>
    <row s="4517" customFormat="1" customHeight="1" ht="0.75" hidden="1">
      <c r="A275" s="1843"/>
      <c r="B275" s="1843"/>
      <c r="C275" s="432" t="s">
        <v>1151</v>
      </c>
      <c r="D275" s="2525"/>
      <c r="E275" s="2267"/>
      <c r="F275" s="2446"/>
      <c r="G275" s="463"/>
      <c r="H275" s="1563"/>
      <c r="I275" s="714"/>
      <c r="J275" s="634"/>
      <c r="K275" s="1563"/>
      <c r="L275" s="277"/>
      <c r="M275" s="404"/>
      <c r="N275" s="397"/>
      <c r="O275" s="1687"/>
      <c r="P275" s="1687"/>
      <c r="AH275" s="1694">
        <v>0</v>
      </c>
    </row>
    <row s="4517" customFormat="1" customHeight="1" ht="45" hidden="1">
      <c r="A276" s="1843" t="s">
        <v>166</v>
      </c>
      <c r="B276" s="1843" t="s">
        <v>167</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303</v>
      </c>
      <c r="M276" s="404"/>
      <c r="N276" s="397"/>
      <c r="O276" s="1687"/>
      <c r="P276" s="1687"/>
      <c r="AH276" s="1694">
        <v>0</v>
      </c>
    </row>
    <row s="4517" customFormat="1" customHeight="1" ht="18.75" hidden="1">
      <c r="A277" s="1843"/>
      <c r="B277" s="1843"/>
      <c r="C277" s="432" t="s">
        <v>1144</v>
      </c>
      <c r="D277" s="2525"/>
      <c r="E277" s="2267"/>
      <c r="F277" s="2446"/>
      <c r="G277" s="2490"/>
      <c r="H277" s="1563"/>
      <c r="I277" s="714" t="s">
        <v>1143</v>
      </c>
      <c r="J277" s="634"/>
      <c r="K277" s="1563"/>
      <c r="L277" s="277"/>
      <c r="M277" s="404"/>
      <c r="N277" s="397"/>
      <c r="O277" s="1687"/>
      <c r="P277" s="1687"/>
      <c r="AH277" s="1694">
        <v>0</v>
      </c>
    </row>
    <row s="4517" customFormat="1" customHeight="1" ht="0.75" hidden="1">
      <c r="A278" s="1843"/>
      <c r="B278" s="1843"/>
      <c r="C278" s="432" t="s">
        <v>1151</v>
      </c>
      <c r="D278" s="2525"/>
      <c r="E278" s="2267"/>
      <c r="F278" s="2446"/>
      <c r="G278" s="463"/>
      <c r="H278" s="1563"/>
      <c r="I278" s="714"/>
      <c r="J278" s="634"/>
      <c r="K278" s="1563"/>
      <c r="L278" s="277"/>
      <c r="M278" s="404"/>
      <c r="N278" s="397"/>
      <c r="O278" s="1687"/>
      <c r="P278" s="1687"/>
      <c r="AH278" s="1694">
        <v>0</v>
      </c>
    </row>
    <row s="4517" customFormat="1" customHeight="1" ht="45" hidden="1">
      <c r="A279" s="1843" t="s">
        <v>172</v>
      </c>
      <c r="B279" s="1843" t="s">
        <v>173</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303</v>
      </c>
      <c r="M279" s="404"/>
      <c r="N279" s="397"/>
      <c r="O279" s="1687"/>
      <c r="P279" s="1687"/>
      <c r="AH279" s="1694">
        <v>0</v>
      </c>
    </row>
    <row s="4517" customFormat="1" customHeight="1" ht="18.75" hidden="1">
      <c r="A280" s="1843"/>
      <c r="B280" s="1843"/>
      <c r="C280" s="432" t="s">
        <v>1144</v>
      </c>
      <c r="D280" s="2525"/>
      <c r="E280" s="2267"/>
      <c r="F280" s="2446"/>
      <c r="G280" s="2490"/>
      <c r="H280" s="1563"/>
      <c r="I280" s="714" t="s">
        <v>1143</v>
      </c>
      <c r="J280" s="634"/>
      <c r="K280" s="1563"/>
      <c r="L280" s="277"/>
      <c r="M280" s="404"/>
      <c r="N280" s="397"/>
      <c r="O280" s="1687"/>
      <c r="P280" s="1687"/>
      <c r="AH280" s="1694">
        <v>0</v>
      </c>
    </row>
    <row s="4517" customFormat="1" customHeight="1" ht="0.75" hidden="1">
      <c r="A281" s="1843"/>
      <c r="B281" s="1843"/>
      <c r="C281" s="432" t="s">
        <v>1151</v>
      </c>
      <c r="D281" s="2525"/>
      <c r="E281" s="2267"/>
      <c r="F281" s="2446"/>
      <c r="G281" s="463"/>
      <c r="H281" s="1563"/>
      <c r="I281" s="714"/>
      <c r="J281" s="634"/>
      <c r="K281" s="1563"/>
      <c r="L281" s="277"/>
      <c r="M281" s="404"/>
      <c r="N281" s="397"/>
      <c r="O281" s="1687"/>
      <c r="P281" s="1687"/>
      <c r="AH281" s="1694">
        <v>0</v>
      </c>
    </row>
    <row s="4517" customFormat="1" customHeight="1" ht="18.75" hidden="1">
      <c r="A282" s="1843" t="s">
        <v>178</v>
      </c>
      <c r="B282" s="1843" t="s">
        <v>179</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303</v>
      </c>
      <c r="M282" s="404"/>
      <c r="N282" s="397"/>
      <c r="O282" s="1687"/>
      <c r="P282" s="1687"/>
      <c r="AH282" s="1694">
        <v>0</v>
      </c>
    </row>
    <row s="4517" customFormat="1" customHeight="1" ht="18.75" hidden="1">
      <c r="A283" s="1843"/>
      <c r="B283" s="1843"/>
      <c r="C283" s="432" t="s">
        <v>1144</v>
      </c>
      <c r="D283" s="2525"/>
      <c r="E283" s="2267"/>
      <c r="F283" s="2446"/>
      <c r="G283" s="2490"/>
      <c r="H283" s="1563"/>
      <c r="I283" s="714" t="s">
        <v>1143</v>
      </c>
      <c r="J283" s="634"/>
      <c r="K283" s="1563"/>
      <c r="L283" s="277"/>
      <c r="M283" s="404"/>
      <c r="N283" s="397"/>
      <c r="O283" s="1687"/>
      <c r="P283" s="1687"/>
      <c r="AH283" s="1694">
        <v>0</v>
      </c>
    </row>
    <row s="4517" customFormat="1" customHeight="1" ht="0.75" hidden="1">
      <c r="A284" s="1843"/>
      <c r="B284" s="1843"/>
      <c r="C284" s="432" t="s">
        <v>1151</v>
      </c>
      <c r="D284" s="2525"/>
      <c r="E284" s="2267"/>
      <c r="F284" s="2446"/>
      <c r="G284" s="463"/>
      <c r="H284" s="1563"/>
      <c r="I284" s="714"/>
      <c r="J284" s="634"/>
      <c r="K284" s="1563"/>
      <c r="L284" s="277"/>
      <c r="M284" s="404"/>
      <c r="N284" s="397"/>
      <c r="O284" s="1687"/>
      <c r="P284" s="1687"/>
      <c r="AH284" s="1694">
        <v>0</v>
      </c>
    </row>
    <row s="4517" customFormat="1" customHeight="1" ht="18.75" hidden="1">
      <c r="A285" s="1843" t="s">
        <v>184</v>
      </c>
      <c r="B285" s="1843" t="s">
        <v>185</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303</v>
      </c>
      <c r="M285" s="404"/>
      <c r="N285" s="397"/>
      <c r="O285" s="1687"/>
      <c r="P285" s="1687"/>
      <c r="AH285" s="1694">
        <v>0</v>
      </c>
    </row>
    <row s="4517" customFormat="1" customHeight="1" ht="18.75" hidden="1">
      <c r="A286" s="1843"/>
      <c r="B286" s="1843"/>
      <c r="C286" s="432" t="s">
        <v>1144</v>
      </c>
      <c r="D286" s="2525"/>
      <c r="E286" s="2267"/>
      <c r="F286" s="2446"/>
      <c r="G286" s="2490"/>
      <c r="H286" s="1563"/>
      <c r="I286" s="714" t="s">
        <v>1143</v>
      </c>
      <c r="J286" s="634"/>
      <c r="K286" s="1563"/>
      <c r="L286" s="277"/>
      <c r="M286" s="404"/>
      <c r="N286" s="397"/>
      <c r="O286" s="1687"/>
      <c r="P286" s="1687"/>
      <c r="AH286" s="1694">
        <v>0</v>
      </c>
    </row>
    <row s="4517" customFormat="1" customHeight="1" ht="0.75" hidden="1">
      <c r="A287" s="1843"/>
      <c r="B287" s="1843"/>
      <c r="C287" s="432" t="s">
        <v>1151</v>
      </c>
      <c r="D287" s="2525"/>
      <c r="E287" s="2267"/>
      <c r="F287" s="2446"/>
      <c r="G287" s="463"/>
      <c r="H287" s="1563"/>
      <c r="I287" s="714"/>
      <c r="J287" s="634"/>
      <c r="K287" s="1563"/>
      <c r="L287" s="277"/>
      <c r="M287" s="404"/>
      <c r="N287" s="397"/>
      <c r="O287" s="1687"/>
      <c r="P287" s="1687"/>
      <c r="AH287" s="1694">
        <v>0</v>
      </c>
    </row>
    <row s="4517" customFormat="1" customHeight="1" ht="18.75" hidden="1">
      <c r="A288" s="1843" t="s">
        <v>190</v>
      </c>
      <c r="B288" s="1843" t="s">
        <v>191</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303</v>
      </c>
      <c r="M288" s="404"/>
      <c r="N288" s="397"/>
      <c r="O288" s="1687"/>
      <c r="P288" s="1687"/>
      <c r="AH288" s="1694">
        <v>0</v>
      </c>
    </row>
    <row s="4517" customFormat="1" customHeight="1" ht="18.75" hidden="1">
      <c r="A289" s="1843"/>
      <c r="B289" s="1843"/>
      <c r="C289" s="432" t="s">
        <v>1144</v>
      </c>
      <c r="D289" s="2525"/>
      <c r="E289" s="2267"/>
      <c r="F289" s="2446"/>
      <c r="G289" s="2490"/>
      <c r="H289" s="1563"/>
      <c r="I289" s="714" t="s">
        <v>1143</v>
      </c>
      <c r="J289" s="634"/>
      <c r="K289" s="1563"/>
      <c r="L289" s="277"/>
      <c r="M289" s="404"/>
      <c r="N289" s="397"/>
      <c r="O289" s="1687"/>
      <c r="P289" s="1687"/>
      <c r="AH289" s="1694">
        <v>0</v>
      </c>
    </row>
    <row s="4517" customFormat="1" customHeight="1" ht="0.75" hidden="1">
      <c r="A290" s="1843"/>
      <c r="B290" s="1843"/>
      <c r="C290" s="432" t="s">
        <v>1151</v>
      </c>
      <c r="D290" s="2525"/>
      <c r="E290" s="2267"/>
      <c r="F290" s="2446"/>
      <c r="G290" s="463"/>
      <c r="H290" s="1563"/>
      <c r="I290" s="714"/>
      <c r="J290" s="634"/>
      <c r="K290" s="1563"/>
      <c r="L290" s="277"/>
      <c r="M290" s="404"/>
      <c r="N290" s="397"/>
      <c r="O290" s="1687"/>
      <c r="P290" s="1687"/>
      <c r="AH290" s="1694">
        <v>0</v>
      </c>
    </row>
    <row s="4517" customFormat="1" customHeight="1" ht="18.75" hidden="1">
      <c r="A291" s="1843" t="s">
        <v>196</v>
      </c>
      <c r="B291" s="1843" t="s">
        <v>197</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303</v>
      </c>
      <c r="M291" s="404"/>
      <c r="N291" s="397"/>
      <c r="O291" s="1687"/>
      <c r="P291" s="1687"/>
      <c r="AH291" s="1694">
        <v>0</v>
      </c>
    </row>
    <row s="4517" customFormat="1" customHeight="1" ht="18.75" hidden="1">
      <c r="A292" s="1843"/>
      <c r="B292" s="1843"/>
      <c r="C292" s="432" t="s">
        <v>1144</v>
      </c>
      <c r="D292" s="2525"/>
      <c r="E292" s="2267"/>
      <c r="F292" s="2446"/>
      <c r="G292" s="2490"/>
      <c r="H292" s="1563"/>
      <c r="I292" s="714" t="s">
        <v>1143</v>
      </c>
      <c r="J292" s="634"/>
      <c r="K292" s="1563"/>
      <c r="L292" s="277"/>
      <c r="M292" s="404"/>
      <c r="N292" s="397"/>
      <c r="O292" s="1687"/>
      <c r="P292" s="1687"/>
      <c r="AH292" s="1694">
        <v>0</v>
      </c>
    </row>
    <row s="4517" customFormat="1" customHeight="1" ht="0.75" hidden="1">
      <c r="A293" s="1843"/>
      <c r="B293" s="1843"/>
      <c r="C293" s="432" t="s">
        <v>1151</v>
      </c>
      <c r="D293" s="2525"/>
      <c r="E293" s="2267"/>
      <c r="F293" s="2446"/>
      <c r="G293" s="463"/>
      <c r="H293" s="1563"/>
      <c r="I293" s="714"/>
      <c r="J293" s="634"/>
      <c r="K293" s="1563"/>
      <c r="L293" s="277"/>
      <c r="M293" s="404"/>
      <c r="N293" s="397"/>
      <c r="O293" s="1687"/>
      <c r="P293" s="1687"/>
      <c r="AH293" s="1694">
        <v>0</v>
      </c>
    </row>
    <row s="4517" customFormat="1" customHeight="1" ht="18.75" hidden="1">
      <c r="A294" s="1843" t="s">
        <v>202</v>
      </c>
      <c r="B294" s="1843" t="s">
        <v>203</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303</v>
      </c>
      <c r="M294" s="404"/>
      <c r="N294" s="397"/>
      <c r="O294" s="1687"/>
      <c r="P294" s="1687"/>
      <c r="AH294" s="1694">
        <v>0</v>
      </c>
    </row>
    <row s="4517" customFormat="1" customHeight="1" ht="18.75" hidden="1">
      <c r="A295" s="1843"/>
      <c r="B295" s="1843"/>
      <c r="C295" s="432" t="s">
        <v>1144</v>
      </c>
      <c r="D295" s="2525"/>
      <c r="E295" s="2267"/>
      <c r="F295" s="2446"/>
      <c r="G295" s="2490"/>
      <c r="H295" s="1563"/>
      <c r="I295" s="714" t="s">
        <v>1143</v>
      </c>
      <c r="J295" s="634"/>
      <c r="K295" s="1563"/>
      <c r="L295" s="277"/>
      <c r="M295" s="404"/>
      <c r="N295" s="397"/>
      <c r="O295" s="1687"/>
      <c r="P295" s="1687"/>
      <c r="AH295" s="1694">
        <v>0</v>
      </c>
    </row>
    <row s="4517" customFormat="1" customHeight="1" ht="0.75" hidden="1">
      <c r="A296" s="1843"/>
      <c r="B296" s="1843"/>
      <c r="C296" s="432" t="s">
        <v>1151</v>
      </c>
      <c r="D296" s="2525"/>
      <c r="E296" s="2267"/>
      <c r="F296" s="2446"/>
      <c r="G296" s="463"/>
      <c r="H296" s="1563"/>
      <c r="I296" s="714"/>
      <c r="J296" s="634"/>
      <c r="K296" s="1563"/>
      <c r="L296" s="277"/>
      <c r="M296" s="404"/>
      <c r="N296" s="397"/>
      <c r="O296" s="1687"/>
      <c r="P296" s="1687"/>
      <c r="AH296" s="1694">
        <v>0</v>
      </c>
    </row>
    <row s="4517" customFormat="1" customHeight="1" ht="18.75" hidden="1">
      <c r="A297" s="1843" t="s">
        <v>222</v>
      </c>
      <c r="B297" s="1843" t="s">
        <v>223</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303</v>
      </c>
      <c r="M297" s="404"/>
      <c r="N297" s="397"/>
      <c r="O297" s="1687"/>
      <c r="P297" s="1687"/>
      <c r="AH297" s="1694">
        <v>0</v>
      </c>
    </row>
    <row s="4517" customFormat="1" customHeight="1" ht="18.75" hidden="1">
      <c r="A298" s="1843"/>
      <c r="B298" s="1843"/>
      <c r="C298" s="432" t="s">
        <v>1144</v>
      </c>
      <c r="D298" s="2525"/>
      <c r="E298" s="2267"/>
      <c r="F298" s="2446"/>
      <c r="G298" s="2490"/>
      <c r="H298" s="1563"/>
      <c r="I298" s="714" t="s">
        <v>1143</v>
      </c>
      <c r="J298" s="634"/>
      <c r="K298" s="1563"/>
      <c r="L298" s="277"/>
      <c r="M298" s="404"/>
      <c r="N298" s="397"/>
      <c r="O298" s="1687"/>
      <c r="P298" s="1687"/>
      <c r="AH298" s="1694">
        <v>0</v>
      </c>
    </row>
    <row s="4517" customFormat="1" customHeight="1" ht="0.75" hidden="1">
      <c r="A299" s="1843"/>
      <c r="B299" s="1843"/>
      <c r="C299" s="432" t="s">
        <v>1151</v>
      </c>
      <c r="D299" s="2525"/>
      <c r="E299" s="2267"/>
      <c r="F299" s="2446"/>
      <c r="G299" s="463"/>
      <c r="H299" s="1563"/>
      <c r="I299" s="714"/>
      <c r="J299" s="634"/>
      <c r="K299" s="1563"/>
      <c r="L299" s="277"/>
      <c r="M299" s="404"/>
      <c r="N299" s="397"/>
      <c r="O299" s="1687"/>
      <c r="P299" s="1687"/>
      <c r="AH299" s="1694">
        <v>0</v>
      </c>
    </row>
    <row s="4517" customFormat="1" customHeight="1" ht="18.75" hidden="1">
      <c r="A300" s="1843" t="s">
        <v>227</v>
      </c>
      <c r="B300" s="1843" t="s">
        <v>228</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303</v>
      </c>
      <c r="M300" s="404"/>
      <c r="N300" s="397"/>
      <c r="O300" s="1687"/>
      <c r="P300" s="1687"/>
      <c r="AH300" s="1694">
        <v>0</v>
      </c>
    </row>
    <row s="4517" customFormat="1" customHeight="1" ht="18.75" hidden="1">
      <c r="A301" s="1843"/>
      <c r="B301" s="1843"/>
      <c r="C301" s="432" t="s">
        <v>1144</v>
      </c>
      <c r="D301" s="2525"/>
      <c r="E301" s="2267"/>
      <c r="F301" s="2446"/>
      <c r="G301" s="2490"/>
      <c r="H301" s="1563"/>
      <c r="I301" s="714" t="s">
        <v>1143</v>
      </c>
      <c r="J301" s="634"/>
      <c r="K301" s="1563"/>
      <c r="L301" s="277"/>
      <c r="M301" s="404"/>
      <c r="N301" s="397"/>
      <c r="O301" s="1687"/>
      <c r="P301" s="1687"/>
      <c r="AH301" s="1694">
        <v>0</v>
      </c>
    </row>
    <row s="4517" customFormat="1" customHeight="1" ht="0.75" hidden="1">
      <c r="A302" s="1843"/>
      <c r="B302" s="1843"/>
      <c r="C302" s="432" t="s">
        <v>1151</v>
      </c>
      <c r="D302" s="2525"/>
      <c r="E302" s="2267"/>
      <c r="F302" s="2446"/>
      <c r="G302" s="463"/>
      <c r="H302" s="1563"/>
      <c r="I302" s="714"/>
      <c r="J302" s="634"/>
      <c r="K302" s="1563"/>
      <c r="L302" s="277"/>
      <c r="M302" s="404"/>
      <c r="N302" s="397"/>
      <c r="O302" s="1687"/>
      <c r="P302" s="1687"/>
      <c r="AH302" s="1694">
        <v>0</v>
      </c>
    </row>
    <row s="4517" customFormat="1" customHeight="1" ht="18.75" hidden="1">
      <c r="A303" s="1843" t="s">
        <v>232</v>
      </c>
      <c r="B303" s="1843" t="s">
        <v>233</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303</v>
      </c>
      <c r="M303" s="404"/>
      <c r="N303" s="397"/>
      <c r="O303" s="1687"/>
      <c r="P303" s="1687"/>
      <c r="AH303" s="1694">
        <v>0</v>
      </c>
    </row>
    <row s="4517" customFormat="1" customHeight="1" ht="18.75" hidden="1">
      <c r="A304" s="1843"/>
      <c r="B304" s="1843"/>
      <c r="C304" s="432" t="s">
        <v>1144</v>
      </c>
      <c r="D304" s="2525"/>
      <c r="E304" s="2267"/>
      <c r="F304" s="2446"/>
      <c r="G304" s="2490"/>
      <c r="H304" s="1563"/>
      <c r="I304" s="714" t="s">
        <v>1143</v>
      </c>
      <c r="J304" s="634"/>
      <c r="K304" s="1563"/>
      <c r="L304" s="277"/>
      <c r="M304" s="404"/>
      <c r="N304" s="397"/>
      <c r="O304" s="1687"/>
      <c r="P304" s="1687"/>
      <c r="AH304" s="1694">
        <v>0</v>
      </c>
    </row>
    <row s="4517" customFormat="1" customHeight="1" ht="0.75" hidden="1">
      <c r="A305" s="1843"/>
      <c r="B305" s="1843"/>
      <c r="C305" s="432" t="s">
        <v>1151</v>
      </c>
      <c r="D305" s="2525"/>
      <c r="E305" s="2267"/>
      <c r="F305" s="2446"/>
      <c r="G305" s="463"/>
      <c r="H305" s="1563"/>
      <c r="I305" s="714"/>
      <c r="J305" s="634"/>
      <c r="K305" s="1563"/>
      <c r="L305" s="277"/>
      <c r="M305" s="404"/>
      <c r="N305" s="397"/>
      <c r="O305" s="1687"/>
      <c r="P305" s="1687"/>
      <c r="AH305" s="1694">
        <v>0</v>
      </c>
    </row>
    <row s="4517" customFormat="1" customHeight="1" ht="18.75" hidden="1">
      <c r="A306" s="1843" t="s">
        <v>237</v>
      </c>
      <c r="B306" s="1843" t="s">
        <v>238</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303</v>
      </c>
      <c r="M306" s="404"/>
      <c r="N306" s="397"/>
      <c r="O306" s="1687"/>
      <c r="P306" s="1687"/>
      <c r="AH306" s="1694">
        <v>0</v>
      </c>
    </row>
    <row s="4517" customFormat="1" customHeight="1" ht="18.75" hidden="1">
      <c r="A307" s="1843"/>
      <c r="B307" s="1843"/>
      <c r="C307" s="432" t="s">
        <v>1144</v>
      </c>
      <c r="D307" s="2525"/>
      <c r="E307" s="2267"/>
      <c r="F307" s="2446"/>
      <c r="G307" s="2490"/>
      <c r="H307" s="1563"/>
      <c r="I307" s="714" t="s">
        <v>1143</v>
      </c>
      <c r="J307" s="634"/>
      <c r="K307" s="1563"/>
      <c r="L307" s="277"/>
      <c r="M307" s="404"/>
      <c r="N307" s="397"/>
      <c r="O307" s="1687"/>
      <c r="P307" s="1687"/>
      <c r="AH307" s="1694">
        <v>0</v>
      </c>
    </row>
    <row s="4517" customFormat="1" customHeight="1" ht="0.75" hidden="1">
      <c r="A308" s="1843"/>
      <c r="B308" s="1843"/>
      <c r="C308" s="432" t="s">
        <v>1151</v>
      </c>
      <c r="D308" s="2525"/>
      <c r="E308" s="2267"/>
      <c r="F308" s="2446"/>
      <c r="G308" s="463"/>
      <c r="H308" s="1563"/>
      <c r="I308" s="714"/>
      <c r="J308" s="634"/>
      <c r="K308" s="1563"/>
      <c r="L308" s="277"/>
      <c r="M308" s="404"/>
      <c r="N308" s="397"/>
      <c r="O308" s="1687"/>
      <c r="P308" s="1687"/>
      <c r="AH308" s="1694">
        <v>0</v>
      </c>
    </row>
    <row s="4517" customFormat="1" customHeight="1" ht="18.75" hidden="1">
      <c r="A309" s="1843" t="s">
        <v>242</v>
      </c>
      <c r="B309" s="1843" t="s">
        <v>243</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303</v>
      </c>
      <c r="M309" s="404"/>
      <c r="N309" s="397"/>
      <c r="O309" s="1687"/>
      <c r="P309" s="1687"/>
      <c r="AH309" s="1694">
        <v>0</v>
      </c>
    </row>
    <row s="4517" customFormat="1" customHeight="1" ht="18.75" hidden="1">
      <c r="A310" s="1843"/>
      <c r="B310" s="1843"/>
      <c r="C310" s="432" t="s">
        <v>1144</v>
      </c>
      <c r="D310" s="2525"/>
      <c r="E310" s="2267"/>
      <c r="F310" s="2446"/>
      <c r="G310" s="2490"/>
      <c r="H310" s="1563"/>
      <c r="I310" s="714" t="s">
        <v>1143</v>
      </c>
      <c r="J310" s="634"/>
      <c r="K310" s="1563"/>
      <c r="L310" s="277"/>
      <c r="M310" s="404"/>
      <c r="N310" s="397"/>
      <c r="O310" s="1687"/>
      <c r="P310" s="1687"/>
      <c r="AH310" s="1694">
        <v>0</v>
      </c>
    </row>
    <row s="4517" customFormat="1" customHeight="1" ht="0.75" hidden="1">
      <c r="A311" s="1843"/>
      <c r="B311" s="1843"/>
      <c r="C311" s="432" t="s">
        <v>1151</v>
      </c>
      <c r="D311" s="2525"/>
      <c r="E311" s="2267"/>
      <c r="F311" s="2446"/>
      <c r="G311" s="463"/>
      <c r="H311" s="1563"/>
      <c r="I311" s="714"/>
      <c r="J311" s="634"/>
      <c r="K311" s="1563"/>
      <c r="L311" s="277"/>
      <c r="M311" s="404"/>
      <c r="N311" s="397"/>
      <c r="O311" s="1687"/>
      <c r="P311" s="1687"/>
      <c r="AH311" s="1694">
        <v>0</v>
      </c>
    </row>
    <row s="4517" customFormat="1" customHeight="1" ht="18.75" hidden="1">
      <c r="A312" s="1843" t="s">
        <v>247</v>
      </c>
      <c r="B312" s="1843" t="s">
        <v>248</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303</v>
      </c>
      <c r="M312" s="404"/>
      <c r="N312" s="397"/>
      <c r="O312" s="1687"/>
      <c r="P312" s="1687"/>
      <c r="AH312" s="1694">
        <v>0</v>
      </c>
    </row>
    <row s="4517" customFormat="1" customHeight="1" ht="18.75" hidden="1">
      <c r="A313" s="1843"/>
      <c r="B313" s="1843"/>
      <c r="C313" s="432" t="s">
        <v>1144</v>
      </c>
      <c r="D313" s="2525"/>
      <c r="E313" s="2267"/>
      <c r="F313" s="2446"/>
      <c r="G313" s="2490"/>
      <c r="H313" s="1563"/>
      <c r="I313" s="714" t="s">
        <v>1143</v>
      </c>
      <c r="J313" s="634"/>
      <c r="K313" s="1563"/>
      <c r="L313" s="277"/>
      <c r="M313" s="404"/>
      <c r="N313" s="397"/>
      <c r="O313" s="1687"/>
      <c r="P313" s="1687"/>
      <c r="AH313" s="1694">
        <v>0</v>
      </c>
    </row>
    <row s="4517" customFormat="1" customHeight="1" ht="0.75" hidden="1">
      <c r="A314" s="1843"/>
      <c r="B314" s="1843"/>
      <c r="C314" s="432" t="s">
        <v>1151</v>
      </c>
      <c r="D314" s="2525"/>
      <c r="E314" s="2267"/>
      <c r="F314" s="2446"/>
      <c r="G314" s="463"/>
      <c r="H314" s="1563"/>
      <c r="I314" s="714"/>
      <c r="J314" s="634"/>
      <c r="K314" s="1563"/>
      <c r="L314" s="277"/>
      <c r="M314" s="404"/>
      <c r="N314" s="397"/>
      <c r="O314" s="1687"/>
      <c r="P314" s="1687"/>
      <c r="AH314" s="1694">
        <v>0</v>
      </c>
    </row>
    <row s="4517" customFormat="1" customHeight="1" ht="18.75" hidden="1">
      <c r="A315" s="1843" t="s">
        <v>252</v>
      </c>
      <c r="B315" s="1843" t="s">
        <v>253</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303</v>
      </c>
      <c r="M315" s="404"/>
      <c r="N315" s="397"/>
      <c r="O315" s="1687"/>
      <c r="P315" s="1687"/>
      <c r="AH315" s="1694">
        <v>0</v>
      </c>
    </row>
    <row s="4517" customFormat="1" customHeight="1" ht="18.75" hidden="1">
      <c r="A316" s="1843"/>
      <c r="B316" s="1843"/>
      <c r="C316" s="432" t="s">
        <v>1144</v>
      </c>
      <c r="D316" s="2525"/>
      <c r="E316" s="2267"/>
      <c r="F316" s="2446"/>
      <c r="G316" s="2490"/>
      <c r="H316" s="1563"/>
      <c r="I316" s="714" t="s">
        <v>1143</v>
      </c>
      <c r="J316" s="634"/>
      <c r="K316" s="1563"/>
      <c r="L316" s="277"/>
      <c r="M316" s="404"/>
      <c r="N316" s="397"/>
      <c r="O316" s="1687"/>
      <c r="P316" s="1687"/>
      <c r="AH316" s="1694">
        <v>0</v>
      </c>
    </row>
    <row s="4517" customFormat="1" customHeight="1" ht="0.75" hidden="1">
      <c r="A317" s="1843"/>
      <c r="B317" s="1843"/>
      <c r="C317" s="432" t="s">
        <v>1151</v>
      </c>
      <c r="D317" s="2525"/>
      <c r="E317" s="2267"/>
      <c r="F317" s="2446"/>
      <c r="G317" s="463"/>
      <c r="H317" s="1563"/>
      <c r="I317" s="714"/>
      <c r="J317" s="634"/>
      <c r="K317" s="1563"/>
      <c r="L317" s="277"/>
      <c r="M317" s="404"/>
      <c r="N317" s="397"/>
      <c r="O317" s="1687"/>
      <c r="P317" s="1687"/>
      <c r="AH317" s="1694">
        <v>0</v>
      </c>
    </row>
    <row s="4517" customFormat="1" customHeight="1" ht="18.75" hidden="1">
      <c r="A318" s="1843" t="s">
        <v>257</v>
      </c>
      <c r="B318" s="1843" t="s">
        <v>258</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303</v>
      </c>
      <c r="M318" s="404"/>
      <c r="N318" s="397"/>
      <c r="O318" s="1687"/>
      <c r="P318" s="1687"/>
      <c r="AH318" s="1694">
        <v>0</v>
      </c>
    </row>
    <row s="4517" customFormat="1" customHeight="1" ht="18.75" hidden="1">
      <c r="A319" s="1843"/>
      <c r="B319" s="1843"/>
      <c r="C319" s="432" t="s">
        <v>1144</v>
      </c>
      <c r="D319" s="2525"/>
      <c r="E319" s="2267"/>
      <c r="F319" s="2446"/>
      <c r="G319" s="2490"/>
      <c r="H319" s="1563"/>
      <c r="I319" s="714" t="s">
        <v>1143</v>
      </c>
      <c r="J319" s="634"/>
      <c r="K319" s="1563"/>
      <c r="L319" s="277"/>
      <c r="M319" s="404"/>
      <c r="N319" s="397"/>
      <c r="O319" s="1687"/>
      <c r="P319" s="1687"/>
      <c r="AH319" s="1694">
        <v>0</v>
      </c>
    </row>
    <row s="4517" customFormat="1" customHeight="1" ht="0.75" hidden="1">
      <c r="A320" s="1843"/>
      <c r="B320" s="1843"/>
      <c r="C320" s="432" t="s">
        <v>1151</v>
      </c>
      <c r="D320" s="2525"/>
      <c r="E320" s="2267"/>
      <c r="F320" s="2446"/>
      <c r="G320" s="463"/>
      <c r="H320" s="1563"/>
      <c r="I320" s="714"/>
      <c r="J320" s="634"/>
      <c r="K320" s="1563"/>
      <c r="L320" s="277"/>
      <c r="M320" s="404"/>
      <c r="N320" s="397"/>
      <c r="O320" s="1687"/>
      <c r="P320" s="1687"/>
      <c r="AH320" s="1694">
        <v>0</v>
      </c>
    </row>
    <row s="4517" customFormat="1" customHeight="1" ht="18.75" hidden="1">
      <c r="A321" s="1843" t="s">
        <v>262</v>
      </c>
      <c r="B321" s="1843" t="s">
        <v>263</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303</v>
      </c>
      <c r="M321" s="404"/>
      <c r="N321" s="397"/>
      <c r="O321" s="1687"/>
      <c r="P321" s="1687"/>
      <c r="AH321" s="1694">
        <v>0</v>
      </c>
    </row>
    <row s="4517" customFormat="1" customHeight="1" ht="18.75" hidden="1">
      <c r="A322" s="1843"/>
      <c r="B322" s="1843"/>
      <c r="C322" s="432" t="s">
        <v>1144</v>
      </c>
      <c r="D322" s="2525"/>
      <c r="E322" s="2267"/>
      <c r="F322" s="2446"/>
      <c r="G322" s="2490"/>
      <c r="H322" s="1563"/>
      <c r="I322" s="714" t="s">
        <v>1143</v>
      </c>
      <c r="J322" s="634"/>
      <c r="K322" s="1563"/>
      <c r="L322" s="277"/>
      <c r="M322" s="404"/>
      <c r="N322" s="397"/>
      <c r="O322" s="1687"/>
      <c r="P322" s="1687"/>
      <c r="AH322" s="1694">
        <v>0</v>
      </c>
    </row>
    <row s="4517" customFormat="1" customHeight="1" ht="0.75" hidden="1">
      <c r="A323" s="1843"/>
      <c r="B323" s="1843"/>
      <c r="C323" s="432" t="s">
        <v>1151</v>
      </c>
      <c r="D323" s="2525"/>
      <c r="E323" s="2267"/>
      <c r="F323" s="2446"/>
      <c r="G323" s="463"/>
      <c r="H323" s="1563"/>
      <c r="I323" s="714"/>
      <c r="J323" s="634"/>
      <c r="K323" s="1563"/>
      <c r="L323" s="277"/>
      <c r="M323" s="404"/>
      <c r="N323" s="397"/>
      <c r="O323" s="1687"/>
      <c r="P323" s="1687"/>
      <c r="AH323" s="1694">
        <v>0</v>
      </c>
    </row>
    <row s="4517" customFormat="1" customHeight="1" ht="18.75" hidden="1">
      <c r="A324" s="1843" t="s">
        <v>267</v>
      </c>
      <c r="B324" s="1843" t="s">
        <v>268</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303</v>
      </c>
      <c r="M324" s="404"/>
      <c r="N324" s="397"/>
      <c r="O324" s="1687"/>
      <c r="P324" s="1687"/>
      <c r="AH324" s="1694">
        <v>0</v>
      </c>
    </row>
    <row s="4517" customFormat="1" customHeight="1" ht="18.75" hidden="1">
      <c r="A325" s="1843"/>
      <c r="B325" s="1843"/>
      <c r="C325" s="432" t="s">
        <v>1144</v>
      </c>
      <c r="D325" s="2525"/>
      <c r="E325" s="2267"/>
      <c r="F325" s="2446"/>
      <c r="G325" s="2490"/>
      <c r="H325" s="1563"/>
      <c r="I325" s="714" t="s">
        <v>1143</v>
      </c>
      <c r="J325" s="634"/>
      <c r="K325" s="1563"/>
      <c r="L325" s="277"/>
      <c r="M325" s="404"/>
      <c r="N325" s="397"/>
      <c r="O325" s="1687"/>
      <c r="P325" s="1687"/>
      <c r="AH325" s="1694">
        <v>0</v>
      </c>
    </row>
    <row s="4517" customFormat="1" customHeight="1" ht="0.75" hidden="1">
      <c r="A326" s="1843"/>
      <c r="B326" s="1843"/>
      <c r="C326" s="432" t="s">
        <v>1151</v>
      </c>
      <c r="D326" s="2525"/>
      <c r="E326" s="2267"/>
      <c r="F326" s="2446"/>
      <c r="G326" s="463"/>
      <c r="H326" s="1563"/>
      <c r="I326" s="714"/>
      <c r="J326" s="634"/>
      <c r="K326" s="1563"/>
      <c r="L326" s="277"/>
      <c r="M326" s="404"/>
      <c r="N326" s="397"/>
      <c r="O326" s="1687"/>
      <c r="P326" s="1687"/>
      <c r="AH326" s="1694">
        <v>0</v>
      </c>
    </row>
    <row s="4517" customFormat="1" customHeight="1" ht="18.75" hidden="1">
      <c r="A327" s="1843" t="s">
        <v>272</v>
      </c>
      <c r="B327" s="1843" t="s">
        <v>273</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303</v>
      </c>
      <c r="M327" s="404"/>
      <c r="N327" s="397"/>
      <c r="O327" s="1687"/>
      <c r="P327" s="1687"/>
      <c r="AH327" s="1694">
        <v>0</v>
      </c>
    </row>
    <row s="4517" customFormat="1" customHeight="1" ht="18.75" hidden="1">
      <c r="A328" s="1843"/>
      <c r="B328" s="1843"/>
      <c r="C328" s="432" t="s">
        <v>1144</v>
      </c>
      <c r="D328" s="2525"/>
      <c r="E328" s="2267"/>
      <c r="F328" s="2446"/>
      <c r="G328" s="2490"/>
      <c r="H328" s="1563"/>
      <c r="I328" s="714" t="s">
        <v>1143</v>
      </c>
      <c r="J328" s="634"/>
      <c r="K328" s="1563"/>
      <c r="L328" s="277"/>
      <c r="M328" s="404"/>
      <c r="N328" s="397"/>
      <c r="O328" s="1687"/>
      <c r="P328" s="1687"/>
      <c r="AH328" s="1694">
        <v>0</v>
      </c>
    </row>
    <row s="4517" customFormat="1" customHeight="1" ht="1.05">
      <c r="A329" s="1843"/>
      <c r="B329" s="1843"/>
      <c r="C329" s="432" t="s">
        <v>1151</v>
      </c>
      <c r="D329" s="2525"/>
      <c r="E329" s="2267"/>
      <c r="F329" s="2446"/>
      <c r="G329" s="463"/>
      <c r="H329" s="1563"/>
      <c r="I329" s="714"/>
      <c r="J329" s="634"/>
      <c r="K329" s="1563"/>
      <c r="L329" s="277"/>
      <c r="M329" s="404"/>
      <c r="N329" s="397"/>
      <c r="O329" s="1687"/>
      <c r="P329" s="1687"/>
      <c r="AH329" s="1694">
        <v>1</v>
      </c>
    </row>
    <row s="4979"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81</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EC937-731D-28DF-6DE1-613C9D0C0B6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686</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8"/>
      <c r="F5" s="2518"/>
      <c r="G5" s="2519"/>
      <c r="H5" s="329"/>
      <c r="R5" s="437">
        <v>33</v>
      </c>
    </row>
    <row s="4517" customFormat="1" customHeight="1" ht="18">
      <c r="A6" s="1732"/>
      <c r="B6" s="1223"/>
      <c r="C6" s="439"/>
      <c r="D6" s="2520" t="str">
        <f>IF(org=0,"Не определено",org)</f>
        <v>Филиал "Уренгойская ГРЭС" АО "Интер РАО - Электрогенерация"</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297</v>
      </c>
      <c r="E8" s="2272"/>
      <c r="F8" s="2272"/>
      <c r="G8" s="2272"/>
      <c r="H8" s="2452" t="s">
        <v>298</v>
      </c>
      <c r="R8" s="437">
        <v>14</v>
      </c>
    </row>
    <row customHeight="1" ht="24">
      <c r="C9" s="439"/>
      <c r="D9" s="449" t="s">
        <v>87</v>
      </c>
      <c r="E9" s="171" t="s">
        <v>299</v>
      </c>
      <c r="F9" s="171" t="s">
        <v>300</v>
      </c>
      <c r="G9" s="171" t="s">
        <v>387</v>
      </c>
      <c r="H9" s="2452"/>
      <c r="R9" s="437">
        <v>23</v>
      </c>
    </row>
    <row customHeight="1" ht="14.699999999999998">
      <c r="A10" s="406"/>
      <c r="C10" s="439"/>
      <c r="D10" s="210" t="s">
        <v>108</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0"/>
      <c r="G10" s="276"/>
      <c r="H10" s="2232" t="s">
        <v>1152</v>
      </c>
      <c r="R10" s="437">
        <v>14</v>
      </c>
    </row>
    <row customHeight="1" ht="14.699999999999998">
      <c r="A11" s="406"/>
      <c r="C11" s="439"/>
      <c r="D11" s="210" t="s">
        <v>109</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0"/>
      <c r="G11" s="276"/>
      <c r="H11" s="2233"/>
      <c r="R11" s="437">
        <v>14</v>
      </c>
    </row>
    <row customHeight="1" ht="14.699999999999998">
      <c r="A12" s="165"/>
      <c r="C12" s="450"/>
      <c r="D12" s="210" t="s">
        <v>89</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3"/>
      <c r="K12" s="437"/>
      <c r="R12" s="437">
        <v>14</v>
      </c>
    </row>
    <row customHeight="1" ht="14.699999999999998">
      <c r="A13" s="165"/>
      <c r="C13" s="450"/>
      <c r="D13" s="210" t="s">
        <v>90</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319</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81</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BD35D-FF5E-6636-4661-4F584EEF3F5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hidden="1" customWidth="1"/>
    <col min="21" max="21" style="5060" width="5.7109375" hidden="1" customWidth="1"/>
    <col min="22" max="22" style="5060" width="34.421875" hidden="1"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Филиал "Уренгойская ГРЭС" АО "Интер РАО - Электрогенерация"</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87</v>
      </c>
      <c r="E9" s="2164" t="s">
        <v>122</v>
      </c>
      <c r="F9" s="2166"/>
      <c r="G9" s="2190" t="s">
        <v>104</v>
      </c>
      <c r="H9" s="2190" t="s">
        <v>87</v>
      </c>
      <c r="I9" s="2190"/>
      <c r="J9" s="2190" t="s">
        <v>123</v>
      </c>
      <c r="K9" s="2218" t="s">
        <v>124</v>
      </c>
      <c r="L9" s="2218"/>
      <c r="M9" s="2218"/>
      <c r="N9" s="2218"/>
      <c r="O9" s="2218" t="s">
        <v>125</v>
      </c>
      <c r="P9" s="2218"/>
      <c r="Q9" s="2218"/>
      <c r="R9" s="2218"/>
      <c r="S9" s="2218" t="s">
        <v>126</v>
      </c>
      <c r="T9" s="2218"/>
      <c r="U9" s="2218"/>
      <c r="V9" s="2218"/>
      <c r="W9" s="2190" t="s">
        <v>127</v>
      </c>
      <c r="AR9" s="167">
        <v>27</v>
      </c>
    </row>
    <row customHeight="1" ht="31.5">
      <c r="D10" s="2190"/>
      <c r="E10" s="1347" t="s">
        <v>88</v>
      </c>
      <c r="F10" s="1347" t="s">
        <v>128</v>
      </c>
      <c r="G10" s="2190"/>
      <c r="H10" s="2190"/>
      <c r="I10" s="2190"/>
      <c r="J10" s="2190"/>
      <c r="K10" s="173" t="s">
        <v>107</v>
      </c>
      <c r="L10" s="2190" t="s">
        <v>87</v>
      </c>
      <c r="M10" s="2190"/>
      <c r="N10" s="173" t="s">
        <v>129</v>
      </c>
      <c r="O10" s="173" t="s">
        <v>107</v>
      </c>
      <c r="P10" s="2190" t="s">
        <v>87</v>
      </c>
      <c r="Q10" s="2190"/>
      <c r="R10" s="173" t="s">
        <v>129</v>
      </c>
      <c r="S10" s="346" t="s">
        <v>107</v>
      </c>
      <c r="T10" s="2190" t="s">
        <v>87</v>
      </c>
      <c r="U10" s="2190"/>
      <c r="V10" s="346" t="s">
        <v>88</v>
      </c>
      <c r="W10" s="2190"/>
      <c r="Z10" s="1322" t="s">
        <v>130</v>
      </c>
      <c r="AA10" s="1322" t="s">
        <v>131</v>
      </c>
      <c r="AB10" s="1322" t="s">
        <v>132</v>
      </c>
      <c r="AC10" s="1322" t="s">
        <v>133</v>
      </c>
      <c r="AD10" s="1322" t="s">
        <v>134</v>
      </c>
      <c r="AE10" s="1322" t="s">
        <v>135</v>
      </c>
      <c r="AF10" s="1322" t="s">
        <v>136</v>
      </c>
      <c r="AG10" s="1322" t="s">
        <v>137</v>
      </c>
      <c r="AH10" s="1322" t="s">
        <v>138</v>
      </c>
      <c r="AI10" s="1322" t="s">
        <v>139</v>
      </c>
      <c r="AJ10" s="1322" t="s">
        <v>140</v>
      </c>
      <c r="AK10" s="1322" t="s">
        <v>141</v>
      </c>
      <c r="AL10" s="1322" t="s">
        <v>142</v>
      </c>
      <c r="AM10" s="1322" t="s">
        <v>143</v>
      </c>
      <c r="AN10" s="1322" t="s">
        <v>144</v>
      </c>
      <c r="AO10" s="1322" t="s">
        <v>145</v>
      </c>
      <c r="AP10" s="1322" t="s">
        <v>146</v>
      </c>
      <c r="AQ10" s="1322" t="s">
        <v>147</v>
      </c>
      <c r="AR10" s="167">
        <v>30</v>
      </c>
    </row>
    <row s="4469" customFormat="1" customHeight="1" ht="12" hidden="1">
      <c r="D11" s="1312" t="s">
        <v>108</v>
      </c>
      <c r="E11" s="1312" t="s">
        <v>109</v>
      </c>
      <c r="F11" s="1312"/>
      <c r="G11" s="1312" t="s">
        <v>89</v>
      </c>
      <c r="H11" s="2219" t="s">
        <v>110</v>
      </c>
      <c r="I11" s="2219"/>
      <c r="J11" s="1312" t="s">
        <v>91</v>
      </c>
      <c r="K11" s="1312" t="s">
        <v>92</v>
      </c>
      <c r="L11" s="2219" t="s">
        <v>111</v>
      </c>
      <c r="M11" s="2219"/>
      <c r="N11" s="1312" t="s">
        <v>148</v>
      </c>
      <c r="O11" s="1312" t="s">
        <v>149</v>
      </c>
      <c r="P11" s="2219" t="s">
        <v>98</v>
      </c>
      <c r="Q11" s="2219"/>
      <c r="R11" s="1312" t="s">
        <v>150</v>
      </c>
      <c r="S11" s="1312" t="s">
        <v>98</v>
      </c>
      <c r="T11" s="2219" t="s">
        <v>150</v>
      </c>
      <c r="U11" s="2219"/>
      <c r="V11" s="1312" t="s">
        <v>151</v>
      </c>
      <c r="W11" s="1312" t="s">
        <v>152</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hidden="1">
      <c r="A13" s="384"/>
      <c r="C13" s="272"/>
      <c r="D13" s="2198">
        <v>1</v>
      </c>
      <c r="E13" s="2206" t="s">
        <v>153</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154</v>
      </c>
      <c r="AD13" s="1330" t="s">
        <v>155</v>
      </c>
      <c r="AE13" s="1330" t="s">
        <v>156</v>
      </c>
      <c r="AF13" s="1330" t="s">
        <v>157</v>
      </c>
      <c r="AG13" s="1330" t="s">
        <v>158</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159</v>
      </c>
      <c r="AD18" s="1330" t="s">
        <v>160</v>
      </c>
      <c r="AE18" s="1330" t="s">
        <v>161</v>
      </c>
      <c r="AF18" s="1330" t="s">
        <v>162</v>
      </c>
      <c r="AG18" s="1330" t="s">
        <v>163</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0"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164</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159</v>
      </c>
      <c r="AD23" s="1330" t="s">
        <v>160</v>
      </c>
      <c r="AE23" s="1330" t="s">
        <v>161</v>
      </c>
      <c r="AF23" s="1330" t="s">
        <v>162</v>
      </c>
      <c r="AG23" s="1330" t="s">
        <v>163</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hidden="1">
      <c r="A28" s="384"/>
      <c r="C28" s="272"/>
      <c r="D28" s="2198">
        <v>3</v>
      </c>
      <c r="E28" s="2206" t="s">
        <v>165</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166</v>
      </c>
      <c r="AD28" s="1330" t="s">
        <v>167</v>
      </c>
      <c r="AE28" s="1330" t="s">
        <v>168</v>
      </c>
      <c r="AF28" s="1330" t="s">
        <v>169</v>
      </c>
      <c r="AG28" s="1330" t="s">
        <v>170</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hidden="1">
      <c r="A33" s="384"/>
      <c r="C33" s="272"/>
      <c r="D33" s="2198">
        <v>4</v>
      </c>
      <c r="E33" s="2206" t="s">
        <v>171</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172</v>
      </c>
      <c r="AD33" s="1330" t="s">
        <v>173</v>
      </c>
      <c r="AE33" s="1330" t="s">
        <v>174</v>
      </c>
      <c r="AF33" s="1330" t="s">
        <v>175</v>
      </c>
      <c r="AG33" s="1330" t="s">
        <v>176</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hidden="1">
      <c r="A38" s="384"/>
      <c r="C38" s="272"/>
      <c r="D38" s="2198">
        <v>5</v>
      </c>
      <c r="E38" s="2206" t="s">
        <v>177</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178</v>
      </c>
      <c r="AD38" s="1330" t="s">
        <v>179</v>
      </c>
      <c r="AE38" s="1330" t="s">
        <v>180</v>
      </c>
      <c r="AF38" s="1330" t="s">
        <v>181</v>
      </c>
      <c r="AG38" s="1330" t="s">
        <v>182</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hidden="1">
      <c r="A43" s="384"/>
      <c r="C43" s="272"/>
      <c r="D43" s="2198">
        <v>6</v>
      </c>
      <c r="E43" s="2206" t="s">
        <v>183</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184</v>
      </c>
      <c r="AD43" s="1330" t="s">
        <v>185</v>
      </c>
      <c r="AE43" s="1330" t="s">
        <v>186</v>
      </c>
      <c r="AF43" s="1330" t="s">
        <v>187</v>
      </c>
      <c r="AG43" s="1330" t="s">
        <v>188</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hidden="1">
      <c r="A48" s="384"/>
      <c r="C48" s="272"/>
      <c r="D48" s="2229">
        <v>7</v>
      </c>
      <c r="E48" s="2232" t="s">
        <v>189</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190</v>
      </c>
      <c r="AD48" s="1330" t="s">
        <v>191</v>
      </c>
      <c r="AE48" s="1330" t="s">
        <v>192</v>
      </c>
      <c r="AF48" s="1330" t="s">
        <v>193</v>
      </c>
      <c r="AG48" s="1330" t="s">
        <v>194</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hidden="1">
      <c r="A53" s="384"/>
      <c r="C53" s="272"/>
      <c r="D53" s="2198">
        <v>8</v>
      </c>
      <c r="E53" s="2206" t="s">
        <v>195</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196</v>
      </c>
      <c r="AD53" s="1330" t="s">
        <v>197</v>
      </c>
      <c r="AE53" s="1330" t="s">
        <v>198</v>
      </c>
      <c r="AF53" s="1330" t="s">
        <v>199</v>
      </c>
      <c r="AG53" s="1330" t="s">
        <v>200</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hidden="1">
      <c r="A58" s="384"/>
      <c r="C58" s="272"/>
      <c r="D58" s="2198">
        <v>9</v>
      </c>
      <c r="E58" s="2206" t="s">
        <v>201</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202</v>
      </c>
      <c r="AD58" s="1330" t="s">
        <v>203</v>
      </c>
      <c r="AE58" s="1330" t="s">
        <v>204</v>
      </c>
      <c r="AF58" s="1330" t="s">
        <v>205</v>
      </c>
      <c r="AG58" s="1330" t="s">
        <v>206</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207</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208</v>
      </c>
      <c r="AD63" s="1330" t="s">
        <v>209</v>
      </c>
      <c r="AE63" s="1330" t="s">
        <v>210</v>
      </c>
      <c r="AF63" s="1330" t="s">
        <v>211</v>
      </c>
      <c r="AG63" s="1330" t="s">
        <v>212</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213</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214</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215</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216</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217</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218</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219</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220</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221</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222</v>
      </c>
      <c r="AD79" s="1330" t="s">
        <v>223</v>
      </c>
      <c r="AE79" s="1330" t="s">
        <v>224</v>
      </c>
      <c r="AF79" s="1330" t="s">
        <v>225</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226</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227</v>
      </c>
      <c r="AD84" s="1330" t="s">
        <v>228</v>
      </c>
      <c r="AE84" s="1330" t="s">
        <v>229</v>
      </c>
      <c r="AF84" s="1330" t="s">
        <v>230</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231</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232</v>
      </c>
      <c r="AD89" s="1330" t="s">
        <v>233</v>
      </c>
      <c r="AE89" s="1330" t="s">
        <v>234</v>
      </c>
      <c r="AF89" s="1330" t="s">
        <v>235</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236</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237</v>
      </c>
      <c r="AD94" s="1330" t="s">
        <v>238</v>
      </c>
      <c r="AE94" s="1330" t="s">
        <v>239</v>
      </c>
      <c r="AF94" s="1330" t="s">
        <v>240</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241</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242</v>
      </c>
      <c r="AD99" s="1330" t="s">
        <v>243</v>
      </c>
      <c r="AE99" s="1330" t="s">
        <v>244</v>
      </c>
      <c r="AF99" s="1330" t="s">
        <v>245</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246</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247</v>
      </c>
      <c r="AD105" s="1330" t="s">
        <v>248</v>
      </c>
      <c r="AE105" s="1330" t="s">
        <v>249</v>
      </c>
      <c r="AF105" s="1330" t="s">
        <v>250</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251</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252</v>
      </c>
      <c r="AD110" s="1330" t="s">
        <v>253</v>
      </c>
      <c r="AE110" s="1330" t="s">
        <v>254</v>
      </c>
      <c r="AF110" s="1330" t="s">
        <v>255</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256</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257</v>
      </c>
      <c r="AD115" s="1330" t="s">
        <v>258</v>
      </c>
      <c r="AE115" s="1330" t="s">
        <v>259</v>
      </c>
      <c r="AF115" s="1330" t="s">
        <v>260</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261</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262</v>
      </c>
      <c r="AD121" s="1330" t="s">
        <v>263</v>
      </c>
      <c r="AE121" s="1330" t="s">
        <v>264</v>
      </c>
      <c r="AF121" s="1330" t="s">
        <v>265</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266</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267</v>
      </c>
      <c r="AD126" s="1330" t="s">
        <v>268</v>
      </c>
      <c r="AE126" s="1330" t="s">
        <v>269</v>
      </c>
      <c r="AF126" s="1330" t="s">
        <v>270</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271</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272</v>
      </c>
      <c r="AD131" s="1330" t="s">
        <v>273</v>
      </c>
      <c r="AE131" s="1330" t="s">
        <v>274</v>
      </c>
      <c r="AF131" s="1330" t="s">
        <v>275</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81</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AB944-29C6-9AD8-D1B5-BC09A5BC038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1153</v>
      </c>
      <c r="E5" s="2300"/>
      <c r="F5" s="2300"/>
      <c r="G5" s="2300"/>
      <c r="H5" s="2300"/>
      <c r="I5" s="2300"/>
      <c r="J5" s="2300"/>
      <c r="V5" s="568">
        <v>63</v>
      </c>
    </row>
    <row customHeight="1" ht="15.75">
      <c r="C6" s="239"/>
      <c r="D6" s="2239" t="str">
        <f>IF(org=0,"Не определено",org)</f>
        <v>Филиал "Уренгойская ГРЭС" АО "Интер РАО - Электрогенерация"</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116</v>
      </c>
      <c r="J8" s="815"/>
      <c r="K8" s="480"/>
      <c r="U8" s="738"/>
      <c r="V8" s="821">
        <v>1</v>
      </c>
    </row>
    <row customHeight="1" ht="15.75">
      <c r="C9" s="239"/>
      <c r="D9" s="774"/>
      <c r="E9" s="2430" t="s">
        <v>104</v>
      </c>
      <c r="F9" s="2431"/>
      <c r="G9" s="2458" t="str">
        <f>IF(G8="","",INDEX(DIFFERENTIATION_UNMERGE_VD,MATCH(G8,DIFFERENTIATION_ID_DIFF,0)))</f>
        <v/>
      </c>
      <c r="H9" s="2459"/>
      <c r="I9" s="2458" t="str">
        <f>IF(I8="","",INDEX(DIFFERENTIATION_UNMERGE_VD,MATCH(I8,DIFFERENTIATION_ID_DIFF,0)))</f>
        <v>Транспортировка</v>
      </c>
      <c r="J9" s="2459"/>
      <c r="K9" s="2238" t="s">
        <v>298</v>
      </c>
      <c r="V9" s="568">
        <v>15</v>
      </c>
    </row>
    <row s="4517" customFormat="1" customHeight="1" ht="15.75">
      <c r="A10" s="822"/>
      <c r="C10" s="239"/>
      <c r="D10" s="774"/>
      <c r="E10" s="2430" t="s">
        <v>561</v>
      </c>
      <c r="F10" s="2431"/>
      <c r="G10" s="2458" t="str">
        <f>IF(G8="","",INDEX(DIFFERENTIATION_UNMERGE_AREA,MATCH(G8,DIFFERENTIATION_ID_DIFF,0)))</f>
        <v/>
      </c>
      <c r="H10" s="2459"/>
      <c r="I10" s="2458" t="str">
        <f>IF(I8="","",INDEX(DIFFERENTIATION_UNMERGE_AREA,MATCH(I8,DIFFERENTIATION_ID_DIFF,0)))</f>
        <v>Территория 1</v>
      </c>
      <c r="J10" s="2459"/>
      <c r="K10" s="2262"/>
      <c r="U10" s="738"/>
      <c r="V10" s="821">
        <v>15</v>
      </c>
    </row>
    <row s="4517" customFormat="1" customHeight="1" ht="15.75">
      <c r="A11" s="822"/>
      <c r="C11" s="239"/>
      <c r="D11" s="774"/>
      <c r="E11" s="2430" t="s">
        <v>562</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297</v>
      </c>
      <c r="E12" s="2433"/>
      <c r="F12" s="2433"/>
      <c r="G12" s="950"/>
      <c r="H12" s="950"/>
      <c r="I12" s="950"/>
      <c r="J12" s="950"/>
      <c r="K12" s="2262"/>
      <c r="U12" s="738"/>
      <c r="V12" s="821">
        <v>15</v>
      </c>
    </row>
    <row customHeight="1" ht="35.699999999999996">
      <c r="C13" s="239"/>
      <c r="D13" s="868" t="s">
        <v>87</v>
      </c>
      <c r="E13" s="870" t="s">
        <v>299</v>
      </c>
      <c r="F13" s="870" t="s">
        <v>563</v>
      </c>
      <c r="G13" s="871" t="s">
        <v>300</v>
      </c>
      <c r="H13" s="870" t="s">
        <v>387</v>
      </c>
      <c r="I13" s="871" t="s">
        <v>300</v>
      </c>
      <c r="J13" s="870" t="s">
        <v>387</v>
      </c>
      <c r="K13" s="2295"/>
      <c r="V13" s="568">
        <v>34</v>
      </c>
    </row>
    <row customHeight="1" ht="15" hidden="1">
      <c r="C14" s="239"/>
      <c r="D14" s="656" t="s">
        <v>108</v>
      </c>
      <c r="E14" s="656" t="s">
        <v>109</v>
      </c>
      <c r="F14" s="656" t="s">
        <v>89</v>
      </c>
      <c r="G14" s="722" t="str">
        <f>G1&amp;".1"</f>
        <v>4.1</v>
      </c>
      <c r="H14" s="722"/>
      <c r="I14" s="722" t="str">
        <f>I1&amp;".1"</f>
        <v>4.1</v>
      </c>
      <c r="J14" s="722"/>
      <c r="K14" s="352"/>
      <c r="V14" s="568">
        <v>0</v>
      </c>
    </row>
    <row customHeight="1" ht="22.5" hidden="1">
      <c r="A15" s="568"/>
      <c r="C15" s="589"/>
      <c r="D15" s="584">
        <v>1</v>
      </c>
      <c r="E15" s="740" t="s">
        <v>806</v>
      </c>
      <c r="F15" s="584" t="s">
        <v>807</v>
      </c>
      <c r="G15" s="741"/>
      <c r="H15" s="741"/>
      <c r="I15" s="741"/>
      <c r="J15" s="741"/>
      <c r="K15" s="352" t="s">
        <v>808</v>
      </c>
      <c r="V15" s="568">
        <v>0</v>
      </c>
    </row>
    <row customHeight="1" ht="22.5" hidden="1">
      <c r="A16" s="568"/>
      <c r="C16" s="589"/>
      <c r="D16" s="584">
        <v>2</v>
      </c>
      <c r="E16" s="342" t="s">
        <v>809</v>
      </c>
      <c r="F16" s="584" t="s">
        <v>810</v>
      </c>
      <c r="G16" s="741"/>
      <c r="H16" s="741"/>
      <c r="I16" s="741"/>
      <c r="J16" s="741"/>
      <c r="K16" s="352" t="s">
        <v>811</v>
      </c>
      <c r="V16" s="568">
        <v>0</v>
      </c>
    </row>
    <row customHeight="1" ht="123.75" hidden="1">
      <c r="A17" s="568"/>
      <c r="C17" s="589"/>
      <c r="D17" s="584">
        <v>3</v>
      </c>
      <c r="E17" s="342" t="s">
        <v>1154</v>
      </c>
      <c r="F17" s="584" t="s">
        <v>303</v>
      </c>
      <c r="G17" s="741"/>
      <c r="H17" s="741"/>
      <c r="I17" s="741"/>
      <c r="J17" s="741"/>
      <c r="K17" s="352" t="s">
        <v>1155</v>
      </c>
      <c r="V17" s="568">
        <v>0</v>
      </c>
    </row>
    <row customHeight="1" ht="48.29999999999999">
      <c r="A18" s="568"/>
      <c r="C18" s="589"/>
      <c r="D18" s="584">
        <v>3</v>
      </c>
      <c r="E18" s="342" t="s">
        <v>812</v>
      </c>
      <c r="F18" s="584" t="s">
        <v>303</v>
      </c>
      <c r="G18" s="872" t="s">
        <v>303</v>
      </c>
      <c r="H18" s="873" t="s">
        <v>303</v>
      </c>
      <c r="I18" s="584" t="s">
        <v>303</v>
      </c>
      <c r="J18" s="641" t="s">
        <v>303</v>
      </c>
      <c r="K18" s="352" t="s">
        <v>1156</v>
      </c>
      <c r="V18" s="568">
        <v>46</v>
      </c>
    </row>
    <row customHeight="1" ht="35.699999999999996">
      <c r="A19" s="568"/>
      <c r="C19" s="589"/>
      <c r="D19" s="602" t="s">
        <v>321</v>
      </c>
      <c r="E19" s="622" t="s">
        <v>814</v>
      </c>
      <c r="F19" s="584" t="s">
        <v>815</v>
      </c>
      <c r="G19" s="880"/>
      <c r="H19" s="169"/>
      <c r="I19" s="880"/>
      <c r="J19" s="881"/>
      <c r="K19" s="742"/>
      <c r="V19" s="568">
        <v>34</v>
      </c>
    </row>
    <row customHeight="1" ht="35.699999999999996">
      <c r="A20" s="568"/>
      <c r="C20" s="589"/>
      <c r="D20" s="1953" t="s">
        <v>329</v>
      </c>
      <c r="E20" s="622" t="s">
        <v>816</v>
      </c>
      <c r="F20" s="584" t="s">
        <v>817</v>
      </c>
      <c r="G20" s="880"/>
      <c r="H20" s="169"/>
      <c r="I20" s="880"/>
      <c r="J20" s="169"/>
      <c r="K20" s="742"/>
      <c r="V20" s="568">
        <v>34</v>
      </c>
    </row>
    <row customHeight="1" ht="48.29999999999999">
      <c r="A21" s="568"/>
      <c r="C21" s="589"/>
      <c r="D21" s="1953" t="s">
        <v>331</v>
      </c>
      <c r="E21" s="622" t="s">
        <v>818</v>
      </c>
      <c r="F21" s="584" t="s">
        <v>568</v>
      </c>
      <c r="G21" s="743"/>
      <c r="H21" s="169"/>
      <c r="I21" s="743"/>
      <c r="J21" s="169"/>
      <c r="K21" s="742"/>
      <c r="V21" s="568">
        <v>46</v>
      </c>
    </row>
    <row customHeight="1" ht="67.5" hidden="1">
      <c r="A22" s="568"/>
      <c r="C22" s="589"/>
      <c r="D22" s="584">
        <v>5</v>
      </c>
      <c r="E22" s="342" t="s">
        <v>1157</v>
      </c>
      <c r="F22" s="584" t="s">
        <v>555</v>
      </c>
      <c r="G22" s="744"/>
      <c r="H22" s="745"/>
      <c r="I22" s="744"/>
      <c r="J22" s="745"/>
      <c r="K22" s="352" t="s">
        <v>1158</v>
      </c>
      <c r="V22" s="568">
        <v>0</v>
      </c>
    </row>
    <row customHeight="1" ht="33.75" hidden="1">
      <c r="C23" s="514"/>
      <c r="D23" s="584">
        <v>6</v>
      </c>
      <c r="E23" s="342" t="s">
        <v>1159</v>
      </c>
      <c r="F23" s="584" t="s">
        <v>1160</v>
      </c>
      <c r="G23" s="744"/>
      <c r="H23" s="744"/>
      <c r="I23" s="744"/>
      <c r="J23" s="744"/>
      <c r="K23" s="352" t="s">
        <v>1161</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81</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2350FA-DAB2-92DB-2509-3233F9E21B7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1162</v>
      </c>
      <c r="B1" s="1130" t="s">
        <v>1163</v>
      </c>
      <c r="C1" s="1130" t="s">
        <v>1164</v>
      </c>
      <c r="D1" s="1130" t="s">
        <v>1165</v>
      </c>
      <c r="E1" s="1130" t="s">
        <v>1166</v>
      </c>
      <c r="F1" s="1130" t="s">
        <v>1167</v>
      </c>
      <c r="G1" s="1130" t="s">
        <v>1168</v>
      </c>
      <c r="H1" s="1130" t="s">
        <v>1169</v>
      </c>
      <c r="I1" s="1130" t="s">
        <v>1170</v>
      </c>
      <c r="J1" s="1130" t="s">
        <v>1171</v>
      </c>
      <c r="K1" s="1130" t="s">
        <v>1172</v>
      </c>
      <c r="L1" s="1130" t="s">
        <v>1173</v>
      </c>
      <c r="M1" s="1130"/>
      <c r="N1" s="1130" t="s">
        <v>1174</v>
      </c>
      <c r="O1" s="1130" t="s">
        <v>1175</v>
      </c>
      <c r="P1" s="1130" t="s">
        <v>1176</v>
      </c>
      <c r="Q1" s="1130" t="s">
        <v>1177</v>
      </c>
      <c r="R1" s="1130" t="s">
        <v>1178</v>
      </c>
      <c r="S1" s="1130" t="s">
        <v>1179</v>
      </c>
      <c r="T1" s="1130" t="s">
        <v>1180</v>
      </c>
      <c r="U1" s="1130" t="s">
        <v>1181</v>
      </c>
      <c r="V1" s="1130"/>
      <c r="W1" s="860" t="s">
        <v>1182</v>
      </c>
      <c r="X1" s="1130" t="s">
        <v>1183</v>
      </c>
      <c r="Y1" s="1130" t="s">
        <v>1184</v>
      </c>
      <c r="Z1" s="1130"/>
      <c r="AA1" s="1130" t="s">
        <v>1185</v>
      </c>
      <c r="AB1" s="1130"/>
      <c r="AC1" s="1130" t="s">
        <v>1186</v>
      </c>
      <c r="AD1" s="1130"/>
      <c r="AF1" s="1130" t="s">
        <v>1187</v>
      </c>
      <c r="AH1" s="1130" t="s">
        <v>1188</v>
      </c>
      <c r="AI1" s="1130" t="s">
        <v>1189</v>
      </c>
      <c r="AK1" s="1130" t="s">
        <v>1190</v>
      </c>
      <c r="AM1" s="1130" t="s">
        <v>1191</v>
      </c>
      <c r="AP1" s="1130" t="s">
        <v>1192</v>
      </c>
      <c r="AQ1" s="1130" t="s">
        <v>1193</v>
      </c>
      <c r="AS1" s="1130" t="s">
        <v>1194</v>
      </c>
      <c r="AU1" s="1130" t="s">
        <v>1195</v>
      </c>
      <c r="AW1" s="1130" t="s">
        <v>1196</v>
      </c>
      <c r="AX1" s="1130" t="s">
        <v>1197</v>
      </c>
      <c r="AZ1" s="1215" t="s">
        <v>1198</v>
      </c>
      <c r="BB1" s="1130" t="s">
        <v>1199</v>
      </c>
      <c r="BC1" s="1130"/>
      <c r="BE1" s="1130" t="s">
        <v>1200</v>
      </c>
      <c r="BF1" s="1130" t="s">
        <v>1201</v>
      </c>
      <c r="BH1" s="1132" t="s">
        <v>805</v>
      </c>
      <c r="BI1" s="1133"/>
      <c r="BJ1" s="1134" t="s">
        <v>1202</v>
      </c>
      <c r="BK1" s="1133"/>
      <c r="BL1" s="1135" t="s">
        <v>904</v>
      </c>
      <c r="BM1" s="1133"/>
      <c r="BN1" s="1136" t="s">
        <v>1203</v>
      </c>
      <c r="BS1" s="1490"/>
    </row>
    <row customHeight="1" ht="11.25">
      <c r="A2" s="1137" t="s">
        <v>1204</v>
      </c>
      <c r="B2" s="1138">
        <v>2000</v>
      </c>
      <c r="C2" s="1138">
        <v>2022</v>
      </c>
      <c r="D2" s="1138" t="s">
        <v>65</v>
      </c>
      <c r="E2" s="1139" t="s">
        <v>1205</v>
      </c>
      <c r="F2" s="1139" t="s">
        <v>1206</v>
      </c>
      <c r="G2" s="1139" t="s">
        <v>1207</v>
      </c>
      <c r="H2" s="1140" t="s">
        <v>54</v>
      </c>
      <c r="I2" s="1139" t="s">
        <v>108</v>
      </c>
      <c r="J2" s="1139" t="s">
        <v>1208</v>
      </c>
      <c r="K2" s="1141" t="s">
        <v>1209</v>
      </c>
      <c r="L2" s="1142"/>
      <c r="M2" s="1141">
        <v>1</v>
      </c>
      <c r="N2" s="1225" t="s">
        <v>1210</v>
      </c>
      <c r="O2" s="1140" t="s">
        <v>1211</v>
      </c>
      <c r="P2" s="1143" t="s">
        <v>38</v>
      </c>
      <c r="Q2" s="1144" t="s">
        <v>1212</v>
      </c>
      <c r="R2" s="206" t="s">
        <v>1213</v>
      </c>
      <c r="S2" s="206" t="s">
        <v>1214</v>
      </c>
      <c r="T2" s="1145" t="s">
        <v>1215</v>
      </c>
      <c r="U2" s="1142" t="s">
        <v>1216</v>
      </c>
      <c r="V2" s="1146">
        <v>1</v>
      </c>
      <c r="W2" s="1147"/>
      <c r="X2" s="1147" t="s">
        <v>1217</v>
      </c>
      <c r="Y2" s="1138" t="s">
        <v>1218</v>
      </c>
      <c r="Z2" s="1148"/>
      <c r="AA2" s="1138" t="s">
        <v>1219</v>
      </c>
      <c r="AB2" s="1149" t="s">
        <v>1219</v>
      </c>
      <c r="AC2" s="1138" t="s">
        <v>1220</v>
      </c>
      <c r="AD2" s="1149" t="s">
        <v>1220</v>
      </c>
      <c r="AF2" s="1140" t="s">
        <v>1216</v>
      </c>
      <c r="AH2" s="1139" t="s">
        <v>1221</v>
      </c>
      <c r="AI2" s="1139" t="s">
        <v>1221</v>
      </c>
      <c r="AK2" s="1139" t="s">
        <v>1222</v>
      </c>
      <c r="AM2" s="1139" t="s">
        <v>1223</v>
      </c>
      <c r="AP2" s="1150" t="s">
        <v>1217</v>
      </c>
      <c r="AQ2" s="1151" t="s">
        <v>1217</v>
      </c>
      <c r="AS2" s="1138" t="s">
        <v>1224</v>
      </c>
      <c r="AU2" s="1183" t="s">
        <v>1225</v>
      </c>
      <c r="AW2" s="1183" t="s">
        <v>1226</v>
      </c>
      <c r="AX2" s="1183" t="s">
        <v>1226</v>
      </c>
      <c r="AZ2" s="1183" t="s">
        <v>1227</v>
      </c>
      <c r="BB2" s="1183" t="s">
        <v>1228</v>
      </c>
      <c r="BC2" s="1183" t="s">
        <v>1229</v>
      </c>
      <c r="BE2" s="1183">
        <v>2000</v>
      </c>
      <c r="BF2" s="1183" t="s">
        <v>1230</v>
      </c>
    </row>
    <row customHeight="1" ht="11.25">
      <c r="A3" s="1137" t="s">
        <v>1231</v>
      </c>
      <c r="B3" s="1138">
        <v>2001</v>
      </c>
      <c r="C3" s="1138">
        <v>2023</v>
      </c>
      <c r="D3" s="1138" t="s">
        <v>19</v>
      </c>
      <c r="E3" s="1139" t="s">
        <v>1232</v>
      </c>
      <c r="F3" s="1139" t="s">
        <v>1233</v>
      </c>
      <c r="G3" s="1139" t="s">
        <v>1234</v>
      </c>
      <c r="H3" s="1140" t="s">
        <v>1235</v>
      </c>
      <c r="I3" s="1139" t="s">
        <v>109</v>
      </c>
      <c r="J3" s="1139" t="s">
        <v>553</v>
      </c>
      <c r="K3" s="1141" t="s">
        <v>1236</v>
      </c>
      <c r="L3" s="1142">
        <f>_xlfn.IFERROR(MATCH(K3,OFFER_METHOD,0),0)</f>
        <v>0</v>
      </c>
      <c r="M3" s="1141">
        <v>2</v>
      </c>
      <c r="N3" s="1225" t="s">
        <v>1237</v>
      </c>
      <c r="O3" s="1140" t="s">
        <v>1238</v>
      </c>
      <c r="P3" s="1143" t="s">
        <v>1239</v>
      </c>
      <c r="Q3" s="1144" t="s">
        <v>1240</v>
      </c>
      <c r="R3" s="206" t="s">
        <v>1241</v>
      </c>
      <c r="S3" s="206" t="s">
        <v>1242</v>
      </c>
      <c r="T3" s="1145" t="s">
        <v>1243</v>
      </c>
      <c r="U3" s="1142" t="s">
        <v>1244</v>
      </c>
      <c r="V3" s="1146">
        <v>2</v>
      </c>
      <c r="W3" s="1147"/>
      <c r="X3" s="1147" t="s">
        <v>1245</v>
      </c>
      <c r="Y3" s="1138" t="s">
        <v>1218</v>
      </c>
      <c r="Z3" s="1148"/>
      <c r="AA3" s="1138" t="s">
        <v>1246</v>
      </c>
      <c r="AB3" s="1149" t="s">
        <v>1246</v>
      </c>
      <c r="AC3" s="1138" t="s">
        <v>1247</v>
      </c>
      <c r="AD3" s="1149" t="s">
        <v>1247</v>
      </c>
      <c r="AF3" s="1140" t="s">
        <v>1244</v>
      </c>
      <c r="AH3" s="1139" t="s">
        <v>1248</v>
      </c>
      <c r="AI3" s="1139" t="s">
        <v>1249</v>
      </c>
      <c r="AK3" s="1139" t="s">
        <v>1250</v>
      </c>
      <c r="AM3" s="1139" t="s">
        <v>1251</v>
      </c>
      <c r="AP3" s="1150" t="s">
        <v>1252</v>
      </c>
      <c r="AQ3" s="1151" t="s">
        <v>1252</v>
      </c>
      <c r="AS3" s="1138" t="s">
        <v>1253</v>
      </c>
      <c r="AU3" s="1183" t="s">
        <v>1254</v>
      </c>
      <c r="AW3" s="1183" t="s">
        <v>1255</v>
      </c>
      <c r="AX3" s="1183" t="s">
        <v>1255</v>
      </c>
      <c r="AZ3" s="1183" t="s">
        <v>1256</v>
      </c>
      <c r="BB3" s="1183" t="s">
        <v>1257</v>
      </c>
      <c r="BC3" s="1183" t="s">
        <v>1229</v>
      </c>
      <c r="BE3" s="1183">
        <v>2001</v>
      </c>
      <c r="BF3" s="1183" t="s">
        <v>1258</v>
      </c>
      <c r="BH3" s="1130" t="s">
        <v>1259</v>
      </c>
      <c r="BJ3" s="1130" t="s">
        <v>1260</v>
      </c>
      <c r="BL3" s="1130" t="s">
        <v>1261</v>
      </c>
      <c r="BN3" s="1130" t="s">
        <v>1262</v>
      </c>
      <c r="BR3" s="1130" t="s">
        <v>1263</v>
      </c>
      <c r="BS3" s="1491"/>
      <c r="BT3" s="1133"/>
      <c r="BU3" s="1130" t="s">
        <v>1264</v>
      </c>
      <c r="BV3" s="1133"/>
      <c r="BW3" s="1753"/>
      <c r="BX3" s="1755" t="s">
        <v>1265</v>
      </c>
      <c r="CA3" s="1130" t="s">
        <v>1266</v>
      </c>
    </row>
    <row customHeight="1" ht="11.25">
      <c r="A4" s="1137" t="s">
        <v>1267</v>
      </c>
      <c r="B4" s="1138">
        <v>2002</v>
      </c>
      <c r="C4" s="1138">
        <v>2024</v>
      </c>
      <c r="E4" s="1139" t="s">
        <v>1268</v>
      </c>
      <c r="F4" s="1139" t="s">
        <v>35</v>
      </c>
      <c r="H4" s="1140" t="s">
        <v>1269</v>
      </c>
      <c r="I4" s="1139" t="s">
        <v>89</v>
      </c>
      <c r="J4" s="1139" t="s">
        <v>1270</v>
      </c>
      <c r="K4" s="1141" t="s">
        <v>1271</v>
      </c>
      <c r="L4" s="1142">
        <f>_xlfn.IFERROR(MATCH(K4,OFFER_METHOD,0),0)</f>
        <v>0</v>
      </c>
      <c r="M4" s="1141">
        <v>3</v>
      </c>
      <c r="N4" s="1225" t="s">
        <v>1272</v>
      </c>
      <c r="O4" s="1139" t="s">
        <v>1273</v>
      </c>
      <c r="Q4" s="1144" t="s">
        <v>1274</v>
      </c>
      <c r="R4" s="206" t="s">
        <v>1275</v>
      </c>
      <c r="S4" s="206" t="s">
        <v>1276</v>
      </c>
      <c r="T4" s="1145" t="s">
        <v>1277</v>
      </c>
      <c r="U4" s="1142" t="s">
        <v>1278</v>
      </c>
      <c r="V4" s="1146">
        <v>3</v>
      </c>
      <c r="W4" s="1147"/>
      <c r="X4" s="1147" t="s">
        <v>1279</v>
      </c>
      <c r="Y4" s="1138" t="s">
        <v>1218</v>
      </c>
      <c r="Z4" s="1154"/>
      <c r="AC4" s="1138" t="s">
        <v>1280</v>
      </c>
      <c r="AD4" s="1149" t="s">
        <v>1280</v>
      </c>
      <c r="AF4" s="1140" t="s">
        <v>1278</v>
      </c>
      <c r="AH4" s="1140" t="s">
        <v>1281</v>
      </c>
      <c r="AK4" s="1139" t="s">
        <v>1282</v>
      </c>
      <c r="AM4" s="1139" t="s">
        <v>1283</v>
      </c>
      <c r="AP4" s="1150" t="s">
        <v>1245</v>
      </c>
      <c r="AQ4" s="1151" t="s">
        <v>1245</v>
      </c>
      <c r="AS4" s="1138" t="s">
        <v>1284</v>
      </c>
      <c r="AU4" s="1183" t="s">
        <v>1285</v>
      </c>
      <c r="AW4" s="1183" t="s">
        <v>1286</v>
      </c>
      <c r="AX4" s="1183" t="s">
        <v>1286</v>
      </c>
      <c r="AZ4" s="1183" t="s">
        <v>1287</v>
      </c>
      <c r="BB4" s="1183" t="s">
        <v>1288</v>
      </c>
      <c r="BC4" s="1183" t="s">
        <v>1289</v>
      </c>
      <c r="BE4" s="1183">
        <v>2002</v>
      </c>
      <c r="BF4" s="1183" t="s">
        <v>1290</v>
      </c>
      <c r="BH4" s="1131" t="s">
        <v>1291</v>
      </c>
      <c r="BJ4" s="1131" t="s">
        <v>1291</v>
      </c>
      <c r="BL4" s="1131" t="s">
        <v>1291</v>
      </c>
      <c r="BN4" s="1131" t="s">
        <v>1291</v>
      </c>
      <c r="BQ4" s="1495" t="s">
        <v>1292</v>
      </c>
      <c r="BR4" s="1222" t="s">
        <v>1293</v>
      </c>
      <c r="BS4" s="337"/>
      <c r="BT4" s="1495" t="s">
        <v>1294</v>
      </c>
      <c r="BU4" s="1222" t="s">
        <v>1295</v>
      </c>
      <c r="BV4" s="1133"/>
      <c r="BW4" s="1760" t="s">
        <v>1296</v>
      </c>
      <c r="BX4" s="1754" t="s">
        <v>1297</v>
      </c>
      <c r="BZ4" s="1495" t="s">
        <v>1298</v>
      </c>
      <c r="CA4" s="1222" t="s">
        <v>1299</v>
      </c>
    </row>
    <row customHeight="1" ht="11.25">
      <c r="A5" s="1137" t="s">
        <v>1300</v>
      </c>
      <c r="B5" s="1138">
        <v>2003</v>
      </c>
      <c r="C5" s="1138">
        <v>2025</v>
      </c>
      <c r="E5" s="1139" t="s">
        <v>1301</v>
      </c>
      <c r="F5" s="1139" t="s">
        <v>1302</v>
      </c>
      <c r="H5" s="1140" t="s">
        <v>1303</v>
      </c>
      <c r="I5" s="1139" t="s">
        <v>90</v>
      </c>
      <c r="K5" s="1141" t="s">
        <v>1304</v>
      </c>
      <c r="L5" s="1142">
        <f>_xlfn.IFERROR(MATCH(K5,OFFER_METHOD,0),0)</f>
        <v>0</v>
      </c>
      <c r="M5" s="1141">
        <v>4</v>
      </c>
      <c r="N5" s="1155" t="s">
        <v>1305</v>
      </c>
      <c r="O5" s="1139" t="s">
        <v>1306</v>
      </c>
      <c r="Q5" s="1144" t="s">
        <v>1307</v>
      </c>
      <c r="R5" s="206" t="s">
        <v>1308</v>
      </c>
      <c r="T5" s="1140" t="s">
        <v>1309</v>
      </c>
      <c r="U5" s="1142" t="s">
        <v>1310</v>
      </c>
      <c r="V5" s="1146">
        <v>4</v>
      </c>
      <c r="W5" s="1147"/>
      <c r="X5" s="1147" t="s">
        <v>165</v>
      </c>
      <c r="Y5" s="1138" t="s">
        <v>1311</v>
      </c>
      <c r="Z5" s="1154">
        <v>1</v>
      </c>
      <c r="AF5" s="1140" t="s">
        <v>1312</v>
      </c>
      <c r="AH5" s="1139" t="s">
        <v>1313</v>
      </c>
      <c r="AK5" s="1139" t="s">
        <v>1314</v>
      </c>
      <c r="AM5" s="1139" t="s">
        <v>1315</v>
      </c>
      <c r="AP5" s="1150" t="s">
        <v>165</v>
      </c>
      <c r="AQ5" s="1151" t="s">
        <v>165</v>
      </c>
      <c r="AU5" s="1183" t="s">
        <v>1316</v>
      </c>
      <c r="AW5" s="1183" t="s">
        <v>1317</v>
      </c>
      <c r="AX5" s="1183" t="s">
        <v>1317</v>
      </c>
      <c r="AZ5" s="1183" t="s">
        <v>1318</v>
      </c>
      <c r="BB5" s="1183" t="s">
        <v>1319</v>
      </c>
      <c r="BC5" s="1183" t="s">
        <v>1320</v>
      </c>
      <c r="BE5" s="1183">
        <v>2003</v>
      </c>
      <c r="BF5" s="1183" t="s">
        <v>1321</v>
      </c>
      <c r="BH5" s="1131" t="s">
        <v>1322</v>
      </c>
      <c r="BJ5" s="1131" t="s">
        <v>1322</v>
      </c>
      <c r="BL5" s="1131" t="s">
        <v>1322</v>
      </c>
      <c r="BN5" s="1131" t="s">
        <v>1323</v>
      </c>
      <c r="BQ5" s="1344">
        <v>4213775</v>
      </c>
      <c r="BR5" s="1131" t="s">
        <v>1217</v>
      </c>
      <c r="BS5" s="1492"/>
      <c r="BT5" s="1344">
        <v>64236871</v>
      </c>
      <c r="BU5" s="1131" t="s">
        <v>226</v>
      </c>
      <c r="BV5" s="1133"/>
      <c r="BW5" s="1758">
        <v>4213767</v>
      </c>
      <c r="BX5" s="1756" t="s">
        <v>1324</v>
      </c>
      <c r="BZ5" s="1344">
        <v>64237509</v>
      </c>
      <c r="CA5" s="1358" t="s">
        <v>1325</v>
      </c>
    </row>
    <row customHeight="1" ht="11.25">
      <c r="A6" s="1137" t="s">
        <v>1326</v>
      </c>
      <c r="B6" s="1138">
        <v>2004</v>
      </c>
      <c r="C6" s="1138">
        <v>2026</v>
      </c>
      <c r="E6" s="1139" t="s">
        <v>1327</v>
      </c>
      <c r="F6" s="1156"/>
      <c r="H6" s="1140" t="s">
        <v>1328</v>
      </c>
      <c r="I6" s="1139" t="s">
        <v>110</v>
      </c>
      <c r="J6" s="1130" t="s">
        <v>1329</v>
      </c>
      <c r="L6" s="1142">
        <f>SUM(kind_of_control_method_filter)</f>
        <v>0</v>
      </c>
      <c r="N6" s="1155" t="s">
        <v>1330</v>
      </c>
      <c r="O6" s="1139" t="s">
        <v>1331</v>
      </c>
      <c r="R6" s="206" t="s">
        <v>1212</v>
      </c>
      <c r="T6" s="1140" t="s">
        <v>1332</v>
      </c>
      <c r="U6" s="1142" t="s">
        <v>1312</v>
      </c>
      <c r="V6" s="1146">
        <v>5</v>
      </c>
      <c r="W6" s="1147"/>
      <c r="X6" s="1138" t="s">
        <v>171</v>
      </c>
      <c r="Y6" s="1138" t="s">
        <v>1333</v>
      </c>
      <c r="Z6" s="1154"/>
      <c r="AA6" s="1157"/>
      <c r="AH6" s="1139" t="s">
        <v>1334</v>
      </c>
      <c r="AK6" s="1139" t="s">
        <v>1335</v>
      </c>
      <c r="AM6" s="1139" t="s">
        <v>1336</v>
      </c>
      <c r="AP6" s="1150" t="s">
        <v>171</v>
      </c>
      <c r="AQ6" s="1151" t="s">
        <v>171</v>
      </c>
      <c r="AU6" s="1183" t="s">
        <v>1337</v>
      </c>
      <c r="AW6" s="1183" t="s">
        <v>1338</v>
      </c>
      <c r="AX6" s="1183" t="s">
        <v>1338</v>
      </c>
      <c r="BB6" s="1183" t="s">
        <v>1339</v>
      </c>
      <c r="BC6" s="1183" t="s">
        <v>1320</v>
      </c>
      <c r="BE6" s="1183">
        <v>2004</v>
      </c>
      <c r="BF6" s="1183" t="s">
        <v>1340</v>
      </c>
      <c r="BH6" s="1131" t="s">
        <v>1341</v>
      </c>
      <c r="BJ6" s="1131" t="s">
        <v>1342</v>
      </c>
      <c r="BL6" s="1131" t="s">
        <v>1342</v>
      </c>
      <c r="BN6" s="1131" t="s">
        <v>1343</v>
      </c>
      <c r="BQ6" s="1344">
        <v>4213784</v>
      </c>
      <c r="BR6" s="1358" t="s">
        <v>1252</v>
      </c>
      <c r="BS6" s="1493"/>
      <c r="BT6" s="1344">
        <v>64236872</v>
      </c>
      <c r="BU6" s="1131" t="s">
        <v>231</v>
      </c>
      <c r="BV6" s="1133"/>
      <c r="BW6" s="1758">
        <v>4213768</v>
      </c>
      <c r="BX6" s="1756" t="s">
        <v>251</v>
      </c>
      <c r="BZ6" s="1344">
        <v>64237510</v>
      </c>
      <c r="CA6" s="1131" t="s">
        <v>1344</v>
      </c>
    </row>
    <row customHeight="1" ht="11.25">
      <c r="A7" s="1137" t="s">
        <v>1345</v>
      </c>
      <c r="B7" s="1138">
        <v>2005</v>
      </c>
      <c r="E7" s="1139" t="s">
        <v>1346</v>
      </c>
      <c r="F7" s="1156"/>
      <c r="H7" s="1140" t="s">
        <v>1347</v>
      </c>
      <c r="I7" s="1139" t="s">
        <v>91</v>
      </c>
      <c r="J7" s="1139" t="s">
        <v>1348</v>
      </c>
      <c r="N7" s="1159" t="s">
        <v>1349</v>
      </c>
      <c r="O7" s="1139" t="s">
        <v>1350</v>
      </c>
      <c r="U7" s="1142" t="s">
        <v>19</v>
      </c>
      <c r="V7" s="433" t="s">
        <v>91</v>
      </c>
      <c r="W7" s="1147"/>
      <c r="X7" s="1138" t="s">
        <v>177</v>
      </c>
      <c r="Y7" s="1138" t="s">
        <v>1311</v>
      </c>
      <c r="Z7" s="1154"/>
      <c r="AA7" s="1157"/>
      <c r="AH7" s="1139" t="s">
        <v>1351</v>
      </c>
      <c r="AK7" s="1139" t="s">
        <v>1352</v>
      </c>
      <c r="AM7" s="1139" t="s">
        <v>1353</v>
      </c>
      <c r="AP7" s="1150" t="s">
        <v>177</v>
      </c>
      <c r="AQ7" s="1151" t="s">
        <v>177</v>
      </c>
      <c r="AU7" s="1183" t="s">
        <v>1354</v>
      </c>
      <c r="AW7" s="1183" t="s">
        <v>1355</v>
      </c>
      <c r="AX7" s="1183" t="s">
        <v>1355</v>
      </c>
      <c r="AZ7" s="1130" t="s">
        <v>1356</v>
      </c>
      <c r="BB7" s="1183" t="s">
        <v>1357</v>
      </c>
      <c r="BC7" s="1183" t="s">
        <v>1320</v>
      </c>
      <c r="BE7" s="1183">
        <v>2005</v>
      </c>
      <c r="BF7" s="1183" t="s">
        <v>1358</v>
      </c>
      <c r="BH7" s="1131" t="s">
        <v>1359</v>
      </c>
      <c r="BJ7" s="1131" t="s">
        <v>1341</v>
      </c>
      <c r="BL7" s="1131" t="s">
        <v>1341</v>
      </c>
      <c r="BN7" s="1131" t="s">
        <v>1360</v>
      </c>
      <c r="BQ7" s="1344">
        <v>4213781</v>
      </c>
      <c r="BR7" s="1131" t="s">
        <v>1245</v>
      </c>
      <c r="BS7" s="1492"/>
      <c r="BT7" s="1344">
        <v>64236873</v>
      </c>
      <c r="BU7" s="1131" t="s">
        <v>236</v>
      </c>
      <c r="BV7" s="1133"/>
      <c r="BW7" s="1758">
        <v>4213769</v>
      </c>
      <c r="BX7" s="1756" t="s">
        <v>1361</v>
      </c>
      <c r="BZ7" s="1344">
        <v>64237511</v>
      </c>
      <c r="CA7" s="1131" t="s">
        <v>266</v>
      </c>
    </row>
    <row customHeight="1" ht="11.25">
      <c r="A8" s="1137" t="s">
        <v>1362</v>
      </c>
      <c r="B8" s="1138">
        <v>2006</v>
      </c>
      <c r="E8" s="1139" t="s">
        <v>1363</v>
      </c>
      <c r="F8" s="1156"/>
      <c r="H8" s="1140" t="s">
        <v>1364</v>
      </c>
      <c r="I8" s="1139" t="s">
        <v>92</v>
      </c>
      <c r="J8" s="1139" t="s">
        <v>1365</v>
      </c>
      <c r="N8" s="1226" t="s">
        <v>1366</v>
      </c>
      <c r="O8" s="1139" t="s">
        <v>1367</v>
      </c>
      <c r="V8" s="433" t="s">
        <v>92</v>
      </c>
      <c r="W8" s="1147"/>
      <c r="X8" s="1138" t="s">
        <v>183</v>
      </c>
      <c r="Y8" s="1138" t="s">
        <v>1311</v>
      </c>
      <c r="Z8" s="1154"/>
      <c r="AA8" s="1157"/>
      <c r="AK8" s="1139" t="s">
        <v>1368</v>
      </c>
      <c r="AP8" s="1150" t="s">
        <v>183</v>
      </c>
      <c r="AQ8" s="1151" t="s">
        <v>183</v>
      </c>
      <c r="AU8" s="1183" t="s">
        <v>1369</v>
      </c>
      <c r="AW8" s="1183" t="s">
        <v>1370</v>
      </c>
      <c r="AX8" s="1183" t="s">
        <v>1370</v>
      </c>
      <c r="AZ8" s="1183" t="s">
        <v>1371</v>
      </c>
      <c r="BB8" s="1183" t="s">
        <v>1372</v>
      </c>
      <c r="BC8" s="1183" t="s">
        <v>1320</v>
      </c>
      <c r="BE8" s="1183">
        <v>2006</v>
      </c>
      <c r="BF8" s="1183" t="s">
        <v>1373</v>
      </c>
      <c r="BH8" s="1131" t="s">
        <v>1374</v>
      </c>
      <c r="BJ8" s="1131" t="s">
        <v>1375</v>
      </c>
      <c r="BL8" s="1131" t="s">
        <v>1375</v>
      </c>
      <c r="BN8" s="1131" t="s">
        <v>1376</v>
      </c>
      <c r="BQ8" s="1344">
        <v>4213776</v>
      </c>
      <c r="BR8" s="1131" t="s">
        <v>165</v>
      </c>
      <c r="BS8" s="1492"/>
      <c r="BT8" s="1344">
        <v>64236874</v>
      </c>
      <c r="BU8" s="1358" t="s">
        <v>1377</v>
      </c>
      <c r="BV8" s="1133"/>
      <c r="BW8" s="1758">
        <v>4213770</v>
      </c>
      <c r="BX8" s="1759" t="s">
        <v>1378</v>
      </c>
      <c r="BZ8" s="1344">
        <v>64237512</v>
      </c>
      <c r="CA8" s="1131" t="s">
        <v>261</v>
      </c>
    </row>
    <row customHeight="1" ht="11.25">
      <c r="A9" s="1137" t="s">
        <v>1379</v>
      </c>
      <c r="B9" s="1138">
        <v>2007</v>
      </c>
      <c r="E9" s="1139" t="s">
        <v>1380</v>
      </c>
      <c r="F9" s="1156"/>
      <c r="G9" s="1130" t="s">
        <v>1381</v>
      </c>
      <c r="H9" s="1130" t="s">
        <v>1382</v>
      </c>
      <c r="I9" s="1139" t="s">
        <v>111</v>
      </c>
      <c r="O9" s="1139" t="s">
        <v>1383</v>
      </c>
      <c r="V9" s="433" t="s">
        <v>111</v>
      </c>
      <c r="W9" s="1147"/>
      <c r="X9" s="1138" t="s">
        <v>189</v>
      </c>
      <c r="Y9" s="1138" t="s">
        <v>1218</v>
      </c>
      <c r="Z9" s="1154">
        <v>1</v>
      </c>
      <c r="AA9" s="1157"/>
      <c r="AK9" s="1139" t="s">
        <v>1384</v>
      </c>
      <c r="AP9" s="1150" t="s">
        <v>1385</v>
      </c>
      <c r="AQ9" s="1151" t="s">
        <v>1385</v>
      </c>
      <c r="AW9" s="1183" t="s">
        <v>1386</v>
      </c>
      <c r="AX9" s="1183" t="s">
        <v>1386</v>
      </c>
      <c r="AZ9" s="1183" t="s">
        <v>1387</v>
      </c>
      <c r="BB9" s="1183" t="s">
        <v>1388</v>
      </c>
      <c r="BC9" s="1183" t="s">
        <v>1320</v>
      </c>
      <c r="BE9" s="1183">
        <v>2007</v>
      </c>
      <c r="BF9" s="1183" t="s">
        <v>1389</v>
      </c>
      <c r="BH9" s="1131" t="s">
        <v>1390</v>
      </c>
      <c r="BJ9" s="1131" t="s">
        <v>1391</v>
      </c>
      <c r="BL9" s="1131" t="s">
        <v>1391</v>
      </c>
      <c r="BN9" s="1131" t="s">
        <v>1392</v>
      </c>
      <c r="BQ9" s="1344">
        <v>4213777</v>
      </c>
      <c r="BR9" s="1131" t="s">
        <v>171</v>
      </c>
      <c r="BS9" s="1492"/>
      <c r="BT9" s="1344">
        <v>64236875</v>
      </c>
      <c r="BU9" s="1131" t="s">
        <v>241</v>
      </c>
      <c r="BV9" s="1133"/>
      <c r="BW9" s="1753"/>
      <c r="BX9" s="1753"/>
    </row>
    <row customHeight="1" ht="11.25">
      <c r="A10" s="1137" t="s">
        <v>1393</v>
      </c>
      <c r="B10" s="1138">
        <v>2008</v>
      </c>
      <c r="E10" s="1139" t="s">
        <v>1394</v>
      </c>
      <c r="F10" s="1156"/>
      <c r="G10" s="1139" t="s">
        <v>1395</v>
      </c>
      <c r="H10" s="1139" t="s">
        <v>1396</v>
      </c>
      <c r="I10" s="1139" t="s">
        <v>148</v>
      </c>
      <c r="J10" s="1130" t="s">
        <v>1397</v>
      </c>
      <c r="K10" s="1130" t="s">
        <v>1398</v>
      </c>
      <c r="O10" s="1139" t="s">
        <v>1399</v>
      </c>
      <c r="V10" s="434" t="s">
        <v>148</v>
      </c>
      <c r="W10" s="1160"/>
      <c r="X10" s="1160" t="s">
        <v>1400</v>
      </c>
      <c r="Y10" s="1161" t="s">
        <v>1401</v>
      </c>
      <c r="Z10" s="1154"/>
      <c r="AP10" s="1150" t="s">
        <v>1400</v>
      </c>
      <c r="AQ10" s="1151" t="s">
        <v>1400</v>
      </c>
      <c r="AW10" s="1183" t="s">
        <v>1402</v>
      </c>
      <c r="AX10" s="1183" t="s">
        <v>1402</v>
      </c>
      <c r="AZ10" s="1183" t="s">
        <v>1403</v>
      </c>
      <c r="BB10" s="1183" t="s">
        <v>1404</v>
      </c>
      <c r="BC10" s="1183" t="s">
        <v>1320</v>
      </c>
      <c r="BE10" s="1183">
        <v>2008</v>
      </c>
      <c r="BF10" s="1183" t="s">
        <v>1405</v>
      </c>
      <c r="BH10" s="1131" t="s">
        <v>1406</v>
      </c>
      <c r="BJ10" s="1131" t="s">
        <v>1407</v>
      </c>
      <c r="BL10" s="1131" t="s">
        <v>1407</v>
      </c>
      <c r="BN10" s="1131" t="s">
        <v>1408</v>
      </c>
      <c r="BQ10" s="1344">
        <v>4213778</v>
      </c>
      <c r="BR10" s="1131" t="s">
        <v>177</v>
      </c>
      <c r="BS10" s="1492"/>
      <c r="BT10" s="1344">
        <v>64236876</v>
      </c>
      <c r="BU10" s="1131" t="s">
        <v>221</v>
      </c>
      <c r="BV10" s="1133"/>
      <c r="BW10" s="1753"/>
      <c r="BX10" s="1753"/>
    </row>
    <row customHeight="1" ht="11.25">
      <c r="A11" s="1137" t="s">
        <v>1409</v>
      </c>
      <c r="B11" s="1138">
        <v>2009</v>
      </c>
      <c r="E11" s="1139" t="s">
        <v>1410</v>
      </c>
      <c r="F11" s="1156"/>
      <c r="G11" s="1139" t="s">
        <v>1411</v>
      </c>
      <c r="H11" s="1139" t="s">
        <v>1412</v>
      </c>
      <c r="I11" s="1139" t="s">
        <v>149</v>
      </c>
      <c r="J11" s="1140" t="s">
        <v>1413</v>
      </c>
      <c r="K11" s="1162" t="s">
        <v>1414</v>
      </c>
      <c r="O11" s="1140" t="s">
        <v>1415</v>
      </c>
      <c r="V11" s="433" t="s">
        <v>149</v>
      </c>
      <c r="W11" s="338"/>
      <c r="X11" s="1147" t="s">
        <v>1385</v>
      </c>
      <c r="Y11" s="1138" t="s">
        <v>1416</v>
      </c>
      <c r="Z11" s="1154"/>
      <c r="AP11" s="1150" t="s">
        <v>189</v>
      </c>
      <c r="AQ11" s="1152" t="s">
        <v>189</v>
      </c>
      <c r="AW11" s="1183" t="s">
        <v>1417</v>
      </c>
      <c r="AX11" s="1183" t="s">
        <v>1417</v>
      </c>
      <c r="AZ11" s="1183" t="s">
        <v>1418</v>
      </c>
      <c r="BB11" s="1183" t="s">
        <v>1419</v>
      </c>
      <c r="BC11" s="1183" t="s">
        <v>1320</v>
      </c>
      <c r="BE11" s="1183">
        <v>2009</v>
      </c>
      <c r="BF11" s="1183" t="s">
        <v>1420</v>
      </c>
      <c r="BH11" s="1131" t="s">
        <v>1421</v>
      </c>
      <c r="BJ11" s="1131" t="s">
        <v>1390</v>
      </c>
      <c r="BL11" s="1131" t="s">
        <v>1390</v>
      </c>
      <c r="BN11" s="1131" t="s">
        <v>1422</v>
      </c>
      <c r="BQ11" s="1344">
        <v>4213780</v>
      </c>
      <c r="BR11" s="1131" t="s">
        <v>183</v>
      </c>
      <c r="BS11" s="1492"/>
      <c r="BW11" s="1753"/>
      <c r="BX11" s="1753"/>
    </row>
    <row customHeight="1" ht="11.25">
      <c r="A12" s="1137" t="s">
        <v>1423</v>
      </c>
      <c r="B12" s="1138">
        <v>2010</v>
      </c>
      <c r="E12" s="1139" t="s">
        <v>1424</v>
      </c>
      <c r="F12" s="1156"/>
      <c r="G12" s="1139" t="s">
        <v>1412</v>
      </c>
      <c r="I12" s="1139" t="s">
        <v>98</v>
      </c>
      <c r="J12" s="1140" t="s">
        <v>1425</v>
      </c>
      <c r="K12" s="1162" t="s">
        <v>1426</v>
      </c>
      <c r="O12" s="1140" t="s">
        <v>1212</v>
      </c>
      <c r="V12" s="433" t="s">
        <v>98</v>
      </c>
      <c r="W12" s="1152"/>
      <c r="X12" s="1147" t="s">
        <v>1427</v>
      </c>
      <c r="Y12" s="1138" t="s">
        <v>1218</v>
      </c>
      <c r="AP12" s="1150"/>
      <c r="AW12" s="1183" t="s">
        <v>149</v>
      </c>
      <c r="AX12" s="1183" t="s">
        <v>149</v>
      </c>
      <c r="AZ12" s="1183" t="s">
        <v>1428</v>
      </c>
      <c r="BB12" s="1183" t="s">
        <v>1429</v>
      </c>
      <c r="BC12" s="1183" t="s">
        <v>1320</v>
      </c>
      <c r="BE12" s="1183">
        <v>2010</v>
      </c>
      <c r="BF12" s="1183" t="s">
        <v>1430</v>
      </c>
      <c r="BH12" s="1131" t="s">
        <v>1431</v>
      </c>
      <c r="BJ12" s="1131" t="s">
        <v>1432</v>
      </c>
      <c r="BL12" s="1131" t="s">
        <v>1432</v>
      </c>
      <c r="BN12" s="1131" t="s">
        <v>1433</v>
      </c>
      <c r="BQ12" s="1344">
        <v>4213779</v>
      </c>
      <c r="BR12" s="1131" t="s">
        <v>1385</v>
      </c>
      <c r="BS12" s="1492"/>
      <c r="BT12" s="1133"/>
      <c r="BU12" s="1133"/>
      <c r="BV12" s="1133"/>
      <c r="BW12" s="1753"/>
      <c r="BX12" s="1753"/>
    </row>
    <row customHeight="1" ht="11.25">
      <c r="A13" s="1137" t="s">
        <v>1434</v>
      </c>
      <c r="B13" s="1138">
        <v>2011</v>
      </c>
      <c r="E13" s="1139" t="s">
        <v>1435</v>
      </c>
      <c r="F13" s="1156"/>
      <c r="I13" s="1139" t="s">
        <v>150</v>
      </c>
      <c r="K13" s="1162" t="s">
        <v>1384</v>
      </c>
      <c r="V13" s="433" t="s">
        <v>150</v>
      </c>
      <c r="W13" s="1152"/>
      <c r="X13" s="1152"/>
      <c r="Y13" s="1152"/>
      <c r="AW13" s="1183" t="s">
        <v>98</v>
      </c>
      <c r="AX13" s="1183" t="s">
        <v>98</v>
      </c>
      <c r="BB13" s="1183" t="s">
        <v>1436</v>
      </c>
      <c r="BC13" s="1183" t="s">
        <v>1437</v>
      </c>
      <c r="BE13" s="1183">
        <v>2011</v>
      </c>
      <c r="BF13" s="1183" t="s">
        <v>1438</v>
      </c>
      <c r="BH13" s="1131" t="s">
        <v>1439</v>
      </c>
      <c r="BJ13" s="1131" t="s">
        <v>1421</v>
      </c>
      <c r="BL13" s="1131" t="s">
        <v>1421</v>
      </c>
      <c r="BN13" s="1131" t="s">
        <v>1440</v>
      </c>
      <c r="BQ13" s="1344">
        <v>4213783</v>
      </c>
      <c r="BR13" s="1131" t="s">
        <v>1400</v>
      </c>
      <c r="BS13" s="1492"/>
      <c r="BT13" s="1133"/>
      <c r="BU13" s="1133"/>
      <c r="BV13" s="1133"/>
      <c r="BW13" s="1757"/>
      <c r="BX13" s="1753"/>
    </row>
    <row customHeight="1" ht="11.25">
      <c r="A14" s="1137" t="s">
        <v>1441</v>
      </c>
      <c r="B14" s="1138">
        <v>2012</v>
      </c>
      <c r="I14" s="1139" t="s">
        <v>151</v>
      </c>
      <c r="J14" s="1130" t="s">
        <v>1442</v>
      </c>
      <c r="N14" s="1130" t="s">
        <v>1443</v>
      </c>
      <c r="V14" s="1146">
        <v>13</v>
      </c>
      <c r="W14" s="1147"/>
      <c r="X14" s="1147" t="s">
        <v>1252</v>
      </c>
      <c r="Y14" s="1138" t="s">
        <v>1218</v>
      </c>
      <c r="AW14" s="1183" t="s">
        <v>150</v>
      </c>
      <c r="AX14" s="1183" t="s">
        <v>150</v>
      </c>
      <c r="AZ14" s="1130" t="s">
        <v>1444</v>
      </c>
      <c r="BB14" s="1183" t="s">
        <v>1445</v>
      </c>
      <c r="BC14" s="1183" t="s">
        <v>1437</v>
      </c>
      <c r="BE14" s="1183">
        <v>2012</v>
      </c>
      <c r="BH14" s="1131" t="s">
        <v>1360</v>
      </c>
      <c r="BJ14" s="1280" t="s">
        <v>1446</v>
      </c>
      <c r="BL14" s="1280" t="s">
        <v>1446</v>
      </c>
      <c r="BN14" s="1131" t="s">
        <v>1447</v>
      </c>
      <c r="BQ14" s="1344">
        <v>4213782</v>
      </c>
      <c r="BR14" s="1131" t="s">
        <v>189</v>
      </c>
      <c r="BS14" s="1492"/>
      <c r="BT14" s="1133"/>
      <c r="BU14" s="1133"/>
      <c r="BV14" s="1133"/>
      <c r="BW14" s="1757"/>
      <c r="BX14" s="1753"/>
    </row>
    <row customHeight="1" ht="19.5">
      <c r="A15" s="1137" t="s">
        <v>1448</v>
      </c>
      <c r="B15" s="1138">
        <v>2013</v>
      </c>
      <c r="E15" s="1761" t="s">
        <v>1449</v>
      </c>
      <c r="G15" s="1130" t="s">
        <v>1450</v>
      </c>
      <c r="H15" s="1130" t="s">
        <v>1451</v>
      </c>
      <c r="I15" s="1141" t="s">
        <v>152</v>
      </c>
      <c r="J15" s="1152" t="s">
        <v>580</v>
      </c>
      <c r="N15" s="1221" t="s">
        <v>1452</v>
      </c>
      <c r="X15" s="1150"/>
      <c r="AW15" s="1183" t="s">
        <v>151</v>
      </c>
      <c r="AX15" s="1183" t="s">
        <v>151</v>
      </c>
      <c r="AZ15" s="1183" t="s">
        <v>1371</v>
      </c>
      <c r="BB15" s="1183" t="s">
        <v>1453</v>
      </c>
      <c r="BC15" s="1183" t="s">
        <v>1437</v>
      </c>
      <c r="BE15" s="1183">
        <v>2013</v>
      </c>
      <c r="BH15" s="1131" t="s">
        <v>1376</v>
      </c>
      <c r="BJ15" s="1280" t="s">
        <v>1454</v>
      </c>
      <c r="BL15" s="1280" t="s">
        <v>1454</v>
      </c>
      <c r="BN15" s="1131" t="s">
        <v>1455</v>
      </c>
      <c r="BR15" s="1133"/>
      <c r="BS15" s="1494"/>
      <c r="BT15" s="1133"/>
      <c r="BU15" s="1133"/>
      <c r="BV15" s="1133"/>
      <c r="BW15" s="1757"/>
      <c r="BX15" s="1753"/>
    </row>
    <row customHeight="1" ht="21">
      <c r="A16" s="1933" t="s">
        <v>1456</v>
      </c>
      <c r="B16" s="1138">
        <v>2014</v>
      </c>
      <c r="E16" s="1762" t="s">
        <v>1457</v>
      </c>
      <c r="G16" s="1139" t="s">
        <v>1458</v>
      </c>
      <c r="H16" s="1139" t="s">
        <v>1459</v>
      </c>
      <c r="I16" s="1141" t="s">
        <v>1460</v>
      </c>
      <c r="J16" s="1152" t="s">
        <v>553</v>
      </c>
      <c r="N16" s="1221" t="s">
        <v>1461</v>
      </c>
      <c r="AW16" s="1183" t="s">
        <v>152</v>
      </c>
      <c r="AX16" s="1183" t="s">
        <v>152</v>
      </c>
      <c r="AZ16" s="1183" t="s">
        <v>1387</v>
      </c>
      <c r="BB16" s="1183" t="s">
        <v>1462</v>
      </c>
      <c r="BC16" s="1183" t="s">
        <v>1437</v>
      </c>
      <c r="BE16" s="1183">
        <v>2014</v>
      </c>
      <c r="BH16" s="1131" t="s">
        <v>1392</v>
      </c>
      <c r="BJ16" s="1280" t="s">
        <v>1463</v>
      </c>
      <c r="BL16" s="1280" t="s">
        <v>1463</v>
      </c>
      <c r="BN16" s="1131" t="s">
        <v>1464</v>
      </c>
      <c r="BR16" s="1133"/>
      <c r="BS16" s="1494"/>
      <c r="BT16" s="1133"/>
      <c r="BU16" s="1133"/>
      <c r="BV16" s="1133"/>
      <c r="BW16" s="1757"/>
      <c r="BX16" s="1753"/>
    </row>
    <row customHeight="1" ht="21">
      <c r="A17" s="1137" t="s">
        <v>1465</v>
      </c>
      <c r="B17" s="1138">
        <v>2015</v>
      </c>
      <c r="G17" s="1139" t="s">
        <v>1412</v>
      </c>
      <c r="H17" s="1139" t="s">
        <v>1412</v>
      </c>
      <c r="I17" s="1139" t="s">
        <v>1466</v>
      </c>
      <c r="N17" s="1221" t="s">
        <v>1467</v>
      </c>
      <c r="X17" s="1150"/>
      <c r="AW17" s="1183" t="s">
        <v>1460</v>
      </c>
      <c r="AX17" s="1183" t="s">
        <v>1460</v>
      </c>
      <c r="AZ17" s="1183" t="s">
        <v>1468</v>
      </c>
      <c r="BB17" s="1183" t="s">
        <v>1469</v>
      </c>
      <c r="BC17" s="1183" t="s">
        <v>1320</v>
      </c>
      <c r="BE17" s="1183">
        <v>2015</v>
      </c>
      <c r="BH17" s="1131" t="s">
        <v>1408</v>
      </c>
      <c r="BJ17" s="1280" t="s">
        <v>1470</v>
      </c>
      <c r="BL17" s="1280" t="s">
        <v>1470</v>
      </c>
      <c r="BN17" s="1131" t="s">
        <v>1471</v>
      </c>
      <c r="BR17" s="1130" t="s">
        <v>1263</v>
      </c>
      <c r="BS17" s="1491"/>
      <c r="BU17" s="1130" t="s">
        <v>1472</v>
      </c>
      <c r="BV17" s="1133"/>
      <c r="BW17" s="1753"/>
      <c r="BX17" s="1755" t="s">
        <v>1473</v>
      </c>
      <c r="CA17" s="1130" t="s">
        <v>1474</v>
      </c>
      <c r="CD17" s="1130" t="s">
        <v>1475</v>
      </c>
    </row>
    <row customHeight="1" ht="21">
      <c r="A18" s="1137" t="s">
        <v>1476</v>
      </c>
      <c r="B18" s="1138">
        <v>2016</v>
      </c>
      <c r="E18" s="2068" t="s">
        <v>1477</v>
      </c>
      <c r="I18" s="1139" t="s">
        <v>1478</v>
      </c>
      <c r="N18" s="1221" t="s">
        <v>1479</v>
      </c>
      <c r="X18" s="1150"/>
      <c r="AW18" s="1183" t="s">
        <v>1466</v>
      </c>
      <c r="AX18" s="1183" t="s">
        <v>1466</v>
      </c>
      <c r="BB18" s="1183" t="s">
        <v>1480</v>
      </c>
      <c r="BC18" s="1183" t="s">
        <v>1320</v>
      </c>
      <c r="BE18" s="1183">
        <v>2016</v>
      </c>
      <c r="BH18" s="1131" t="s">
        <v>1422</v>
      </c>
      <c r="BJ18" s="1280" t="s">
        <v>1481</v>
      </c>
      <c r="BL18" s="1280" t="s">
        <v>1481</v>
      </c>
      <c r="BN18" s="1131" t="s">
        <v>1482</v>
      </c>
      <c r="BQ18" s="1495" t="s">
        <v>1292</v>
      </c>
      <c r="BR18" s="1222" t="s">
        <v>1293</v>
      </c>
      <c r="BS18" s="337"/>
      <c r="BT18" s="1495" t="s">
        <v>1483</v>
      </c>
      <c r="BU18" s="1222" t="s">
        <v>1484</v>
      </c>
      <c r="BV18" s="1133"/>
      <c r="BW18" s="1760" t="s">
        <v>1485</v>
      </c>
      <c r="BX18" s="1754" t="s">
        <v>1486</v>
      </c>
      <c r="BZ18" s="1495" t="s">
        <v>1487</v>
      </c>
      <c r="CA18" s="1222" t="s">
        <v>1488</v>
      </c>
      <c r="CC18" s="1495" t="s">
        <v>1489</v>
      </c>
      <c r="CD18" s="1222" t="s">
        <v>1490</v>
      </c>
    </row>
    <row customHeight="1" ht="21">
      <c r="A19" s="1933" t="s">
        <v>1491</v>
      </c>
      <c r="B19" s="1138">
        <v>2017</v>
      </c>
      <c r="E19" s="1137" t="s">
        <v>164</v>
      </c>
      <c r="I19" s="1139" t="s">
        <v>1492</v>
      </c>
      <c r="N19" s="1221" t="s">
        <v>1493</v>
      </c>
      <c r="X19" s="1150"/>
      <c r="AW19" s="1183" t="s">
        <v>1478</v>
      </c>
      <c r="AX19" s="1183" t="s">
        <v>1478</v>
      </c>
      <c r="AZ19" s="1130" t="s">
        <v>1494</v>
      </c>
      <c r="BB19" s="1183" t="s">
        <v>1495</v>
      </c>
      <c r="BC19" s="1183" t="s">
        <v>1320</v>
      </c>
      <c r="BE19" s="1183">
        <v>2017</v>
      </c>
      <c r="BH19" s="1131" t="s">
        <v>1496</v>
      </c>
      <c r="BJ19" s="1280" t="s">
        <v>1497</v>
      </c>
      <c r="BL19" s="1280" t="s">
        <v>1497</v>
      </c>
      <c r="BQ19" s="1344">
        <v>4190064</v>
      </c>
      <c r="BR19" s="1131" t="s">
        <v>1498</v>
      </c>
      <c r="BS19" s="1492"/>
      <c r="BT19" s="1344">
        <v>4189671</v>
      </c>
      <c r="BU19" s="1131" t="s">
        <v>1499</v>
      </c>
      <c r="BV19" s="1133"/>
      <c r="BW19" s="1758">
        <v>4189706</v>
      </c>
      <c r="BX19" s="1756" t="s">
        <v>1500</v>
      </c>
      <c r="BZ19" s="1344">
        <v>4189714</v>
      </c>
      <c r="CA19" s="1131" t="s">
        <v>1501</v>
      </c>
      <c r="CC19" s="1344">
        <v>4189708</v>
      </c>
      <c r="CD19" s="1131" t="s">
        <v>1502</v>
      </c>
    </row>
    <row customHeight="1" ht="21">
      <c r="A20" s="1137" t="s">
        <v>1503</v>
      </c>
      <c r="B20" s="1138">
        <v>2018</v>
      </c>
      <c r="E20" s="1137" t="s">
        <v>1252</v>
      </c>
      <c r="I20" s="1139" t="s">
        <v>1504</v>
      </c>
      <c r="N20" s="1221" t="s">
        <v>1505</v>
      </c>
      <c r="AW20" s="1183" t="s">
        <v>1492</v>
      </c>
      <c r="AX20" s="1183" t="s">
        <v>1492</v>
      </c>
      <c r="AZ20" s="1183" t="s">
        <v>1506</v>
      </c>
      <c r="BB20" s="1183" t="s">
        <v>1507</v>
      </c>
      <c r="BC20" s="1183" t="s">
        <v>1437</v>
      </c>
      <c r="BE20" s="1183">
        <v>2018</v>
      </c>
      <c r="BH20" s="1131" t="s">
        <v>1433</v>
      </c>
      <c r="BJ20" s="1131" t="s">
        <v>1360</v>
      </c>
      <c r="BL20" s="1131" t="s">
        <v>1360</v>
      </c>
      <c r="BQ20" s="1344">
        <v>4190065</v>
      </c>
      <c r="BR20" s="1131" t="s">
        <v>1508</v>
      </c>
      <c r="BS20" s="1492"/>
      <c r="BT20" s="1344">
        <v>4189672</v>
      </c>
      <c r="BU20" s="1131" t="s">
        <v>1509</v>
      </c>
      <c r="BV20" s="1133"/>
      <c r="BW20" s="1758">
        <v>4189705</v>
      </c>
      <c r="BX20" s="1756" t="s">
        <v>1510</v>
      </c>
      <c r="BZ20" s="1344">
        <v>4189713</v>
      </c>
      <c r="CA20" s="1131" t="s">
        <v>1510</v>
      </c>
      <c r="CC20" s="1344">
        <v>4189709</v>
      </c>
      <c r="CD20" s="1131" t="s">
        <v>1511</v>
      </c>
    </row>
    <row customHeight="1" ht="21">
      <c r="A21" s="1137" t="s">
        <v>1512</v>
      </c>
      <c r="B21" s="1138">
        <v>2019</v>
      </c>
      <c r="I21" s="1139" t="s">
        <v>1513</v>
      </c>
      <c r="N21" s="1221" t="s">
        <v>1514</v>
      </c>
      <c r="AW21" s="1183" t="s">
        <v>1504</v>
      </c>
      <c r="AX21" s="1183" t="s">
        <v>1504</v>
      </c>
      <c r="AZ21" s="1183" t="s">
        <v>1515</v>
      </c>
      <c r="BB21" s="1183" t="s">
        <v>1516</v>
      </c>
      <c r="BC21" s="1183" t="s">
        <v>1320</v>
      </c>
      <c r="BE21" s="1183">
        <v>2019</v>
      </c>
      <c r="BH21" s="1131" t="s">
        <v>1440</v>
      </c>
      <c r="BJ21" s="1131" t="s">
        <v>1376</v>
      </c>
      <c r="BL21" s="1131" t="s">
        <v>1376</v>
      </c>
      <c r="BQ21" s="1344">
        <v>4190066</v>
      </c>
      <c r="BR21" s="1131" t="s">
        <v>1517</v>
      </c>
      <c r="BS21" s="1492"/>
      <c r="BT21" s="1344">
        <v>4189673</v>
      </c>
      <c r="BU21" s="1131" t="s">
        <v>1518</v>
      </c>
      <c r="BV21" s="1133"/>
      <c r="BW21" s="1758">
        <v>4189707</v>
      </c>
      <c r="BX21" s="1756" t="s">
        <v>1519</v>
      </c>
      <c r="BZ21" s="1344">
        <v>4189712</v>
      </c>
      <c r="CA21" s="1131" t="s">
        <v>1520</v>
      </c>
      <c r="CC21" s="1344">
        <v>4189710</v>
      </c>
      <c r="CD21" s="1131" t="s">
        <v>1521</v>
      </c>
    </row>
    <row customHeight="1" ht="21">
      <c r="A22" s="1137" t="s">
        <v>1522</v>
      </c>
      <c r="B22" s="1138">
        <v>2020</v>
      </c>
      <c r="N22" s="1221" t="s">
        <v>1523</v>
      </c>
      <c r="AW22" s="1183" t="s">
        <v>1513</v>
      </c>
      <c r="AX22" s="1183" t="s">
        <v>1513</v>
      </c>
      <c r="AZ22" s="1183" t="s">
        <v>1524</v>
      </c>
      <c r="BB22" s="1183" t="s">
        <v>1525</v>
      </c>
      <c r="BC22" s="1183" t="s">
        <v>1320</v>
      </c>
      <c r="BE22" s="1183">
        <v>2020</v>
      </c>
      <c r="BH22" s="1131" t="s">
        <v>1447</v>
      </c>
      <c r="BJ22" s="1131" t="s">
        <v>1392</v>
      </c>
      <c r="BL22" s="1131" t="s">
        <v>1392</v>
      </c>
      <c r="BQ22" s="1344">
        <v>4190067</v>
      </c>
      <c r="BR22" s="1131" t="s">
        <v>1526</v>
      </c>
      <c r="BS22" s="1492"/>
      <c r="BT22" s="1344">
        <v>4189674</v>
      </c>
      <c r="BU22" s="1131" t="s">
        <v>1527</v>
      </c>
      <c r="BV22" s="1133"/>
      <c r="BW22" s="1133"/>
      <c r="CC22" s="1344">
        <v>4189711</v>
      </c>
      <c r="CD22" s="1131" t="s">
        <v>290</v>
      </c>
    </row>
    <row customHeight="1" ht="21">
      <c r="A23" s="1137" t="s">
        <v>1528</v>
      </c>
      <c r="B23" s="1138">
        <v>2021</v>
      </c>
      <c r="AW23" s="1183" t="s">
        <v>1529</v>
      </c>
      <c r="AX23" s="1183" t="s">
        <v>1529</v>
      </c>
      <c r="AZ23" s="1183" t="s">
        <v>1530</v>
      </c>
      <c r="BB23" s="1183" t="s">
        <v>1531</v>
      </c>
      <c r="BC23" s="1183" t="s">
        <v>1229</v>
      </c>
      <c r="BE23" s="1183">
        <v>2021</v>
      </c>
      <c r="BH23" s="1131" t="s">
        <v>1455</v>
      </c>
      <c r="BJ23" s="1131" t="s">
        <v>1408</v>
      </c>
      <c r="BL23" s="1131" t="s">
        <v>1408</v>
      </c>
      <c r="BQ23" s="1344">
        <v>4190068</v>
      </c>
      <c r="BR23" s="1131" t="s">
        <v>1532</v>
      </c>
      <c r="BS23" s="1492"/>
      <c r="BT23" s="1344">
        <v>4189675</v>
      </c>
      <c r="BU23" s="1131" t="s">
        <v>1533</v>
      </c>
      <c r="BV23" s="1133"/>
      <c r="BW23" s="1133"/>
      <c r="CC23" s="1344">
        <v>5110778</v>
      </c>
      <c r="CD23" s="1131" t="s">
        <v>1534</v>
      </c>
    </row>
    <row customHeight="1" ht="21">
      <c r="A24" s="1137" t="s">
        <v>1535</v>
      </c>
      <c r="B24" s="1138">
        <v>2022</v>
      </c>
      <c r="AW24" s="1183" t="s">
        <v>1536</v>
      </c>
      <c r="AX24" s="1183" t="s">
        <v>1536</v>
      </c>
      <c r="AZ24" s="1183" t="s">
        <v>1537</v>
      </c>
      <c r="BB24" s="1183" t="s">
        <v>1538</v>
      </c>
      <c r="BC24" s="1183" t="s">
        <v>1539</v>
      </c>
      <c r="BE24" s="1183">
        <v>2022</v>
      </c>
      <c r="BH24" s="1131" t="s">
        <v>1464</v>
      </c>
      <c r="BJ24" s="1131" t="s">
        <v>1422</v>
      </c>
      <c r="BL24" s="1131" t="s">
        <v>1422</v>
      </c>
      <c r="BQ24" s="1344">
        <v>4190069</v>
      </c>
      <c r="BR24" s="1131" t="s">
        <v>1540</v>
      </c>
      <c r="BS24" s="1492"/>
      <c r="BT24" s="1344">
        <v>4189676</v>
      </c>
      <c r="BU24" s="1131" t="s">
        <v>1541</v>
      </c>
      <c r="BV24" s="1133"/>
      <c r="BW24" s="1133"/>
      <c r="CC24" s="1344">
        <v>25575374</v>
      </c>
      <c r="CD24" s="1131" t="s">
        <v>1542</v>
      </c>
    </row>
    <row customHeight="1" ht="11.25">
      <c r="A25" s="1137" t="s">
        <v>1543</v>
      </c>
      <c r="B25" s="1138">
        <v>2023</v>
      </c>
      <c r="AW25" s="1183" t="s">
        <v>1544</v>
      </c>
      <c r="AX25" s="1183" t="s">
        <v>1544</v>
      </c>
      <c r="AZ25" s="1183" t="s">
        <v>1545</v>
      </c>
      <c r="BB25" s="1183" t="s">
        <v>1546</v>
      </c>
      <c r="BC25" s="1183" t="s">
        <v>1539</v>
      </c>
      <c r="BE25" s="1183">
        <v>2023</v>
      </c>
      <c r="BH25" s="1131" t="s">
        <v>1471</v>
      </c>
      <c r="BJ25" s="1131" t="s">
        <v>1496</v>
      </c>
      <c r="BL25" s="1131" t="s">
        <v>1496</v>
      </c>
      <c r="BQ25" s="1344">
        <v>4190070</v>
      </c>
      <c r="BR25" s="1131" t="s">
        <v>1547</v>
      </c>
      <c r="BS25" s="1492"/>
      <c r="BT25" s="1344">
        <v>4189677</v>
      </c>
      <c r="BU25" s="1131" t="s">
        <v>1548</v>
      </c>
      <c r="BV25" s="1133"/>
      <c r="BW25" s="1133"/>
    </row>
    <row customHeight="1" ht="11.25">
      <c r="A26" s="1137" t="s">
        <v>1549</v>
      </c>
      <c r="B26" s="1138">
        <v>2024</v>
      </c>
      <c r="J26" s="1794" t="s">
        <v>1550</v>
      </c>
      <c r="AX26" s="1183" t="s">
        <v>1551</v>
      </c>
      <c r="AZ26" s="1183" t="s">
        <v>1415</v>
      </c>
      <c r="BB26" s="1183" t="s">
        <v>1552</v>
      </c>
      <c r="BC26" s="1183" t="s">
        <v>1539</v>
      </c>
      <c r="BE26" s="1183">
        <v>2024</v>
      </c>
      <c r="BH26" s="1131" t="s">
        <v>1482</v>
      </c>
      <c r="BJ26" s="1131" t="s">
        <v>1433</v>
      </c>
      <c r="BL26" s="1131" t="s">
        <v>1433</v>
      </c>
      <c r="BQ26" s="1344">
        <v>4190071</v>
      </c>
      <c r="BR26" s="1131" t="s">
        <v>1553</v>
      </c>
      <c r="BS26" s="1492"/>
      <c r="BV26" s="1133"/>
      <c r="BW26" s="1133"/>
    </row>
    <row customHeight="1" ht="11.25">
      <c r="A27" s="1137" t="s">
        <v>1554</v>
      </c>
      <c r="B27" s="1138">
        <v>2025</v>
      </c>
      <c r="J27" s="239" t="s">
        <v>686</v>
      </c>
      <c r="AX27" s="1183" t="s">
        <v>1555</v>
      </c>
      <c r="BB27" s="1183" t="s">
        <v>1556</v>
      </c>
      <c r="BC27" s="1183" t="s">
        <v>1539</v>
      </c>
      <c r="BE27" s="1183">
        <v>2025</v>
      </c>
      <c r="BH27" s="1133" t="s">
        <v>22</v>
      </c>
      <c r="BJ27" s="1131" t="s">
        <v>1440</v>
      </c>
      <c r="BL27" s="1131" t="s">
        <v>1440</v>
      </c>
      <c r="BN27" s="1133" t="s">
        <v>22</v>
      </c>
      <c r="BQ27" s="1344">
        <v>4190072</v>
      </c>
      <c r="BR27" s="1131" t="s">
        <v>1557</v>
      </c>
      <c r="BS27" s="1492"/>
      <c r="BV27" s="1133"/>
      <c r="BW27" s="1133"/>
    </row>
    <row customHeight="1" ht="11.25">
      <c r="A28" s="1137" t="s">
        <v>1558</v>
      </c>
      <c r="D28" s="1164"/>
      <c r="E28" s="1165"/>
      <c r="F28" s="1165"/>
      <c r="H28" s="1166" t="s">
        <v>1559</v>
      </c>
      <c r="AX28" s="1183" t="s">
        <v>1560</v>
      </c>
      <c r="AZ28" s="1130" t="s">
        <v>1561</v>
      </c>
      <c r="BB28" s="1183" t="s">
        <v>1562</v>
      </c>
      <c r="BC28" s="1183" t="s">
        <v>1563</v>
      </c>
      <c r="BE28" s="1183">
        <v>2026</v>
      </c>
      <c r="BH28" s="1133" t="s">
        <v>22</v>
      </c>
      <c r="BJ28" s="1131" t="s">
        <v>1447</v>
      </c>
      <c r="BL28" s="1131" t="s">
        <v>1447</v>
      </c>
      <c r="BN28" s="1133" t="s">
        <v>22</v>
      </c>
      <c r="BQ28" s="1344">
        <v>4190073</v>
      </c>
      <c r="BR28" s="1131" t="s">
        <v>1564</v>
      </c>
      <c r="BS28" s="1492"/>
      <c r="BV28" s="1133"/>
      <c r="BW28" s="1133"/>
    </row>
    <row customHeight="1" ht="11.25">
      <c r="A29" s="1137" t="s">
        <v>1565</v>
      </c>
      <c r="D29" s="1167" t="s">
        <v>1566</v>
      </c>
      <c r="E29" s="1168" t="str">
        <f>IF(TEMPLATE_GROUP="","",INDEX(StartDateList,MATCH(TEMPLATE_GROUP,CodeTemplateList,0),1))</f>
        <v>01.07.2024</v>
      </c>
      <c r="F29" s="1168" t="str">
        <f>IF(TEMPLATE_GROUP="","",INDEX(EndDateList,MATCH(TEMPLATE_GROUP,CodeTemplateList,0),1))</f>
        <v>30.09.2024</v>
      </c>
      <c r="H29" s="1169" t="s">
        <v>1567</v>
      </c>
      <c r="AX29" s="1183" t="s">
        <v>1568</v>
      </c>
      <c r="AZ29" s="1183" t="s">
        <v>1213</v>
      </c>
      <c r="BB29" s="1183" t="s">
        <v>1415</v>
      </c>
      <c r="BC29" s="1154"/>
      <c r="BE29" s="1183">
        <v>2027</v>
      </c>
      <c r="BJ29" s="1131" t="s">
        <v>1455</v>
      </c>
      <c r="BL29" s="1131" t="s">
        <v>1455</v>
      </c>
    </row>
    <row customHeight="1" ht="11.25">
      <c r="A30" s="1137" t="s">
        <v>1569</v>
      </c>
      <c r="D30" s="1170"/>
      <c r="E30" s="1171"/>
      <c r="F30" s="1171"/>
      <c r="AX30" s="1183" t="s">
        <v>1570</v>
      </c>
      <c r="AZ30" s="1183" t="s">
        <v>1241</v>
      </c>
      <c r="BE30" s="1183">
        <v>2028</v>
      </c>
      <c r="BJ30" s="1131" t="s">
        <v>1571</v>
      </c>
      <c r="BL30" s="1131" t="s">
        <v>1571</v>
      </c>
    </row>
    <row customHeight="1" ht="12.75">
      <c r="A31" s="1137" t="s">
        <v>1572</v>
      </c>
      <c r="D31" s="1164"/>
      <c r="E31" s="1165"/>
      <c r="F31" s="1165"/>
      <c r="H31" s="1172"/>
      <c r="AX31" s="1183" t="s">
        <v>1573</v>
      </c>
      <c r="AZ31" s="1183" t="s">
        <v>1574</v>
      </c>
      <c r="BE31" s="1183">
        <v>2029</v>
      </c>
      <c r="BJ31" s="1131" t="s">
        <v>1575</v>
      </c>
      <c r="BL31" s="1131" t="s">
        <v>1575</v>
      </c>
    </row>
    <row customHeight="1" ht="11.25">
      <c r="A32" s="1137" t="s">
        <v>1576</v>
      </c>
      <c r="D32" s="1167" t="s">
        <v>1577</v>
      </c>
      <c r="E32" s="1168" t="str">
        <f>IF(TEMPLATE_GROUP="","",INDEX(StartDateList,MATCH(TEMPLATE_GROUP,CodeTemplateList,0),1))</f>
        <v>01.07.2024</v>
      </c>
      <c r="F32" s="1168" t="str">
        <f>IF(TEMPLATE_GROUP="","",INDEX(EndDateList,MATCH(TEMPLATE_GROUP,CodeTemplateList,0),1))</f>
        <v>30.09.2024</v>
      </c>
      <c r="H32" s="1173" t="s">
        <v>1578</v>
      </c>
      <c r="O32" s="1137" t="s">
        <v>1211</v>
      </c>
      <c r="AX32" s="1183" t="s">
        <v>1579</v>
      </c>
      <c r="AZ32" s="1183" t="s">
        <v>1308</v>
      </c>
      <c r="BE32" s="1183">
        <v>2030</v>
      </c>
      <c r="BJ32" s="1131" t="s">
        <v>1464</v>
      </c>
      <c r="BL32" s="1131" t="s">
        <v>1464</v>
      </c>
    </row>
    <row customHeight="1" ht="11.25">
      <c r="A33" s="1137" t="s">
        <v>1580</v>
      </c>
      <c r="O33" s="1137" t="s">
        <v>1238</v>
      </c>
      <c r="AX33" s="1183" t="s">
        <v>1581</v>
      </c>
      <c r="AZ33" s="1183" t="s">
        <v>1212</v>
      </c>
      <c r="BE33" s="1183">
        <v>2031</v>
      </c>
      <c r="BJ33" s="1131" t="s">
        <v>1471</v>
      </c>
      <c r="BL33" s="1131" t="s">
        <v>1471</v>
      </c>
    </row>
    <row customHeight="1" ht="11.25">
      <c r="A34" s="1137" t="s">
        <v>1582</v>
      </c>
      <c r="O34" s="1137" t="s">
        <v>1273</v>
      </c>
      <c r="AX34" s="1183" t="s">
        <v>1583</v>
      </c>
      <c r="BE34" s="1183">
        <v>2032</v>
      </c>
      <c r="BJ34" s="1131" t="s">
        <v>1482</v>
      </c>
      <c r="BL34" s="1131" t="s">
        <v>1482</v>
      </c>
    </row>
    <row customHeight="1" ht="11.25">
      <c r="A35" s="1137" t="s">
        <v>1584</v>
      </c>
      <c r="O35" s="1137" t="s">
        <v>1306</v>
      </c>
      <c r="AX35" s="1183" t="s">
        <v>1585</v>
      </c>
      <c r="AZ35" s="1130" t="s">
        <v>1586</v>
      </c>
      <c r="BE35" s="1183">
        <v>2033</v>
      </c>
      <c r="BL35" s="1131" t="s">
        <v>1587</v>
      </c>
    </row>
    <row customHeight="1" ht="11.25">
      <c r="A36" s="1933" t="s">
        <v>1588</v>
      </c>
      <c r="D36" s="1174" t="s">
        <v>1589</v>
      </c>
      <c r="E36" s="1175" t="s">
        <v>904</v>
      </c>
      <c r="F36" s="1176" t="str">
        <f>INDEX(E37:E41,MATCH(TEMPLATE_SPHERE,F37:F41,0))</f>
        <v>водоотведения</v>
      </c>
      <c r="G36" s="1176" t="str">
        <f>INDEX(G37:G41,MATCH(TEMPLATE_SPHERE,F37:F41,0))</f>
        <v>водоотведение</v>
      </c>
      <c r="O36" s="1137" t="s">
        <v>1331</v>
      </c>
      <c r="AX36" s="1183" t="s">
        <v>1590</v>
      </c>
      <c r="AZ36" s="1183" t="s">
        <v>1212</v>
      </c>
      <c r="BE36" s="1183">
        <v>2034</v>
      </c>
      <c r="BL36" s="1131" t="s">
        <v>1591</v>
      </c>
    </row>
    <row customHeight="1" ht="11.25">
      <c r="A37" s="1137" t="s">
        <v>1592</v>
      </c>
      <c r="E37" s="470" t="s">
        <v>1593</v>
      </c>
      <c r="F37" s="1177" t="s">
        <v>805</v>
      </c>
      <c r="G37" s="470" t="s">
        <v>1594</v>
      </c>
      <c r="O37" s="1137" t="s">
        <v>1350</v>
      </c>
      <c r="AX37" s="1183" t="s">
        <v>1595</v>
      </c>
      <c r="AZ37" s="1183" t="s">
        <v>1240</v>
      </c>
      <c r="BE37" s="1183">
        <v>2035</v>
      </c>
    </row>
    <row customHeight="1" ht="11.25">
      <c r="A38" s="1137" t="s">
        <v>1596</v>
      </c>
      <c r="E38" s="470" t="s">
        <v>1597</v>
      </c>
      <c r="F38" s="1178" t="s">
        <v>851</v>
      </c>
      <c r="G38" s="470" t="s">
        <v>1598</v>
      </c>
      <c r="O38" s="1137" t="s">
        <v>1367</v>
      </c>
      <c r="AX38" s="1183" t="s">
        <v>1599</v>
      </c>
      <c r="AZ38" s="1183" t="s">
        <v>1274</v>
      </c>
      <c r="BE38" s="1183">
        <v>2036</v>
      </c>
      <c r="BH38" s="1130" t="s">
        <v>1600</v>
      </c>
      <c r="BJ38" s="1130" t="s">
        <v>1601</v>
      </c>
      <c r="BL38" s="1130" t="s">
        <v>1602</v>
      </c>
      <c r="BN38" s="1130" t="s">
        <v>1603</v>
      </c>
    </row>
    <row customHeight="1" ht="11.25">
      <c r="A39" s="1137" t="s">
        <v>1604</v>
      </c>
      <c r="E39" s="470" t="s">
        <v>1605</v>
      </c>
      <c r="F39" s="1178" t="s">
        <v>904</v>
      </c>
      <c r="G39" s="470" t="s">
        <v>1606</v>
      </c>
      <c r="O39" s="1137" t="s">
        <v>1383</v>
      </c>
      <c r="AX39" s="1183" t="s">
        <v>1607</v>
      </c>
      <c r="AZ39" s="1183" t="s">
        <v>1307</v>
      </c>
      <c r="BE39" s="1183">
        <v>2037</v>
      </c>
      <c r="BH39" s="1131" t="s">
        <v>1608</v>
      </c>
      <c r="BJ39" s="1280" t="s">
        <v>1608</v>
      </c>
      <c r="BL39" s="1280" t="s">
        <v>1608</v>
      </c>
      <c r="BN39" s="1131" t="s">
        <v>1609</v>
      </c>
    </row>
    <row customHeight="1" ht="11.25">
      <c r="A40" s="1137" t="s">
        <v>1610</v>
      </c>
      <c r="E40" s="470" t="s">
        <v>1611</v>
      </c>
      <c r="F40" s="1178" t="s">
        <v>891</v>
      </c>
      <c r="G40" s="470" t="s">
        <v>1612</v>
      </c>
      <c r="O40" s="1137" t="s">
        <v>1399</v>
      </c>
      <c r="AX40" s="1183" t="s">
        <v>1613</v>
      </c>
      <c r="BE40" s="1183">
        <v>2038</v>
      </c>
      <c r="BH40" s="1131" t="s">
        <v>1614</v>
      </c>
      <c r="BJ40" s="1280" t="s">
        <v>1024</v>
      </c>
      <c r="BL40" s="1280" t="s">
        <v>1024</v>
      </c>
      <c r="BN40" s="1131" t="s">
        <v>1058</v>
      </c>
    </row>
    <row customHeight="1" ht="11.25">
      <c r="A41" s="1137" t="s">
        <v>1615</v>
      </c>
      <c r="E41" s="470" t="s">
        <v>1616</v>
      </c>
      <c r="F41" s="1178" t="s">
        <v>1617</v>
      </c>
      <c r="G41" s="470" t="s">
        <v>1616</v>
      </c>
      <c r="O41" s="1137" t="s">
        <v>1415</v>
      </c>
      <c r="AX41" s="1183" t="s">
        <v>1618</v>
      </c>
      <c r="AZ41" s="1130" t="s">
        <v>1619</v>
      </c>
      <c r="BE41" s="1183">
        <v>2039</v>
      </c>
      <c r="BH41" s="1131" t="s">
        <v>1620</v>
      </c>
      <c r="BJ41" s="1280" t="s">
        <v>1020</v>
      </c>
      <c r="BL41" s="1280" t="s">
        <v>1020</v>
      </c>
      <c r="BN41" s="1131" t="s">
        <v>1045</v>
      </c>
    </row>
    <row customHeight="1" ht="11.25">
      <c r="A42" s="1137" t="s">
        <v>1621</v>
      </c>
      <c r="AX42" s="1183" t="s">
        <v>1622</v>
      </c>
      <c r="AZ42" s="1183" t="s">
        <v>1211</v>
      </c>
      <c r="BE42" s="1183">
        <v>2040</v>
      </c>
      <c r="BH42" s="1131" t="s">
        <v>1042</v>
      </c>
      <c r="BJ42" s="1280" t="s">
        <v>1022</v>
      </c>
      <c r="BL42" s="1280" t="s">
        <v>1022</v>
      </c>
      <c r="BN42" s="1131" t="s">
        <v>1623</v>
      </c>
    </row>
    <row customHeight="1" ht="11.25">
      <c r="A43" s="1137" t="s">
        <v>1624</v>
      </c>
      <c r="AX43" s="1183" t="s">
        <v>1625</v>
      </c>
      <c r="AZ43" s="1183" t="s">
        <v>1238</v>
      </c>
      <c r="BE43" s="1183">
        <v>2041</v>
      </c>
      <c r="BH43" s="1131" t="s">
        <v>1626</v>
      </c>
      <c r="BJ43" s="1280" t="s">
        <v>1620</v>
      </c>
      <c r="BL43" s="1280" t="s">
        <v>1620</v>
      </c>
      <c r="BN43" s="1131" t="s">
        <v>1627</v>
      </c>
    </row>
    <row customHeight="1" ht="11.25">
      <c r="A44" s="1137" t="s">
        <v>1628</v>
      </c>
      <c r="G44" s="1157">
        <f>YEAR(TODAY())</f>
        <v>2024</v>
      </c>
      <c r="I44" s="862" t="s">
        <v>1629</v>
      </c>
      <c r="J44" s="1152" t="s">
        <v>1630</v>
      </c>
      <c r="K44" s="1152" t="s">
        <v>1631</v>
      </c>
      <c r="AX44" s="1183" t="s">
        <v>1632</v>
      </c>
      <c r="AZ44" s="1183" t="s">
        <v>1273</v>
      </c>
      <c r="BE44" s="1183">
        <v>2042</v>
      </c>
      <c r="BH44" s="1131" t="s">
        <v>1633</v>
      </c>
      <c r="BJ44" s="1280" t="s">
        <v>1042</v>
      </c>
      <c r="BL44" s="1280" t="s">
        <v>1042</v>
      </c>
      <c r="BN44" s="1131" t="s">
        <v>1634</v>
      </c>
    </row>
    <row customHeight="1" ht="11.25">
      <c r="A45" s="1137" t="s">
        <v>1635</v>
      </c>
      <c r="D45" s="1174" t="s">
        <v>1636</v>
      </c>
      <c r="E45" s="1175" t="s">
        <v>1637</v>
      </c>
      <c r="F45" s="860" t="s">
        <v>1638</v>
      </c>
      <c r="G45" s="859" t="s">
        <v>1639</v>
      </c>
      <c r="H45" s="862" t="s">
        <v>1640</v>
      </c>
      <c r="I45" s="1804">
        <f>INDEX(PeriodIsEmptyList,MATCH(TEMPLATE_GROUP,CodeTemplateList,0),1)</f>
        <v>0</v>
      </c>
      <c r="J45" s="180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1641</v>
      </c>
      <c r="AZ45" s="1183" t="s">
        <v>1306</v>
      </c>
      <c r="BE45" s="1183">
        <v>2043</v>
      </c>
      <c r="BH45" s="1131" t="s">
        <v>1642</v>
      </c>
      <c r="BJ45" s="1280" t="s">
        <v>1036</v>
      </c>
      <c r="BL45" s="1280" t="s">
        <v>1036</v>
      </c>
      <c r="BN45" s="1131" t="s">
        <v>1643</v>
      </c>
    </row>
    <row customHeight="1" ht="11.25">
      <c r="A46" s="1137" t="s">
        <v>1644</v>
      </c>
      <c r="E46" s="470" t="s">
        <v>27</v>
      </c>
      <c r="F46" s="1177" t="s">
        <v>1645</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(водоотведения)</v>
      </c>
      <c r="K46" s="1809"/>
      <c r="AX46" s="1183" t="s">
        <v>1646</v>
      </c>
      <c r="AZ46" s="1183" t="s">
        <v>1331</v>
      </c>
      <c r="BE46" s="1183">
        <v>2044</v>
      </c>
      <c r="BH46" s="1131" t="s">
        <v>1045</v>
      </c>
      <c r="BJ46" s="1280" t="s">
        <v>1026</v>
      </c>
      <c r="BL46" s="1280" t="s">
        <v>1026</v>
      </c>
      <c r="BN46" s="1131" t="s">
        <v>1647</v>
      </c>
    </row>
    <row customHeight="1" ht="11.25">
      <c r="A47" s="1137" t="s">
        <v>1648</v>
      </c>
      <c r="E47" s="470" t="s">
        <v>33</v>
      </c>
      <c r="F47" s="1178" t="s">
        <v>1637</v>
      </c>
      <c r="G47" s="1179" t="str">
        <f>_xlfn.IFERROR(IF(f_year="","01.01."&amp;CURRENT_YEAR,IF(LEN(f_quart)=0,"01.01."&amp;f_year,IF(f_quart="I квартал","01.01."&amp;f_year,IF(f_quart="II квартал","01.04."&amp;f_year,(IF(f_quart="III квартал","01.07."&amp;f_year,"01.10."&amp;f_year)))))),"01.01."&amp;CURRENT_YEAR)</f>
        <v>01.07.2024</v>
      </c>
      <c r="H47" s="1179" t="str">
        <f>_xlfn.IFERROR(IF(f_year="","31.12."&amp;CURRENT_YEAR,IF(LEN(f_quart)=0,"31.12."&amp;f_year,IF(f_quart="I квартал","31.03."&amp;f_year,IF(f_quart="II квартал","30.06."&amp;f_year,(IF(f_quart="III квартал","30.09."&amp;f_year,"31.12."&amp;f_year)))))),"31.12."&amp;CURRENT_YEAR)</f>
        <v>30.09.2024</v>
      </c>
      <c r="I47" s="1806">
        <f>IF(OR(f_year="",f_quart=""),TRUE,FALSE)</f>
        <v>0</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9"/>
      <c r="AX47" s="1183" t="s">
        <v>1649</v>
      </c>
      <c r="AZ47" s="1183" t="s">
        <v>1350</v>
      </c>
      <c r="BE47" s="1183">
        <v>2045</v>
      </c>
      <c r="BH47" s="1131" t="s">
        <v>1623</v>
      </c>
      <c r="BJ47" s="1280" t="s">
        <v>1028</v>
      </c>
      <c r="BL47" s="1280" t="s">
        <v>1028</v>
      </c>
      <c r="BN47" s="1131" t="s">
        <v>1650</v>
      </c>
    </row>
    <row customHeight="1" ht="11.25">
      <c r="A48" s="1137" t="s">
        <v>1651</v>
      </c>
      <c r="E48" s="470" t="s">
        <v>1652</v>
      </c>
      <c r="F48" s="1178" t="s">
        <v>1653</v>
      </c>
      <c r="G48" s="1179" t="str">
        <f>_xlfn.IFERROR(IF(f_year="","01.01."&amp;CURRENT_YEAR,"01.01."&amp;f_year),"01.01."&amp;CURRENT_YEAR)</f>
        <v>01.01.2024</v>
      </c>
      <c r="H48" s="1179" t="str">
        <f>_xlfn.IFERROR(IF(f_year="","31.12."&amp;CURRENT_YEAR,"31.12."&amp;f_year),"31.12."&amp;CURRENT_YEAR)</f>
        <v>31.12.2024</v>
      </c>
      <c r="I48" s="1805">
        <f>IF(f_year="",TRUE,FALSE)</f>
        <v>0</v>
      </c>
      <c r="J48" s="1808" t="s">
        <v>1654</v>
      </c>
      <c r="K48" s="1809"/>
      <c r="AX48" s="1183" t="s">
        <v>1655</v>
      </c>
      <c r="AZ48" s="1183" t="s">
        <v>1367</v>
      </c>
      <c r="BE48" s="1183">
        <v>2046</v>
      </c>
      <c r="BH48" s="1131" t="s">
        <v>1627</v>
      </c>
      <c r="BJ48" s="1280" t="s">
        <v>1030</v>
      </c>
      <c r="BL48" s="1280" t="s">
        <v>1030</v>
      </c>
      <c r="BN48" s="1131" t="s">
        <v>1656</v>
      </c>
    </row>
    <row customHeight="1" ht="11.25">
      <c r="A49" s="1137" t="s">
        <v>1657</v>
      </c>
      <c r="E49" s="470" t="s">
        <v>1658</v>
      </c>
      <c r="F49" s="1178" t="s">
        <v>1659</v>
      </c>
      <c r="G49" s="1179" t="str">
        <f>_xlfn.IFERROR(IF(f_year="","01.01."&amp;CURRENT_YEAR,"01.01."&amp;f_year),"01.01."&amp;CURRENT_YEAR)</f>
        <v>01.01.2024</v>
      </c>
      <c r="H49" s="1179" t="str">
        <f>_xlfn.IFERROR(IF(f_year="","31.12."&amp;CURRENT_YEAR,"31.12."&amp;f_year),"31.12."&amp;CURRENT_YEAR)</f>
        <v>31.12.2024</v>
      </c>
      <c r="I49" s="1805">
        <f>IF(f_year="",TRUE,FALSE)</f>
        <v>0</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9"/>
      <c r="AX49" s="1183" t="s">
        <v>1660</v>
      </c>
      <c r="AZ49" s="1183" t="s">
        <v>1383</v>
      </c>
      <c r="BE49" s="1183">
        <v>2047</v>
      </c>
      <c r="BH49" s="1131" t="s">
        <v>1046</v>
      </c>
      <c r="BJ49" s="1280" t="s">
        <v>1032</v>
      </c>
      <c r="BL49" s="1280" t="s">
        <v>1032</v>
      </c>
    </row>
    <row customHeight="1" ht="11.25">
      <c r="A50" s="1137" t="s">
        <v>1661</v>
      </c>
      <c r="E50" s="470" t="s">
        <v>1662</v>
      </c>
      <c r="F50" s="1178" t="s">
        <v>1016</v>
      </c>
      <c r="G50" s="1179" t="str">
        <f>_xlfn.IFERROR(IF(f_year="","01.01."&amp;CURRENT_YEAR,"01.01."&amp;f_year),"01.01."&amp;CURRENT_YEAR)</f>
        <v>01.01.2024</v>
      </c>
      <c r="H50" s="1179" t="str">
        <f>_xlfn.IFERROR(IF(f_year="","31.12."&amp;CURRENT_YEAR,"31.12."&amp;f_year),"31.12."&amp;CURRENT_YEAR)</f>
        <v>31.12.2024</v>
      </c>
      <c r="I50" s="1805">
        <f>IF(f_year="",TRUE,FALSE)</f>
        <v>0</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9"/>
      <c r="AX50" s="1183" t="s">
        <v>1663</v>
      </c>
      <c r="AZ50" s="1183" t="s">
        <v>1399</v>
      </c>
      <c r="BE50" s="1183">
        <v>2048</v>
      </c>
      <c r="BH50" s="1131" t="s">
        <v>1634</v>
      </c>
      <c r="BJ50" s="1280" t="s">
        <v>1034</v>
      </c>
      <c r="BL50" s="1280" t="s">
        <v>1034</v>
      </c>
    </row>
    <row customHeight="1" ht="11.25">
      <c r="A51" s="1137" t="s">
        <v>1664</v>
      </c>
      <c r="E51" s="470" t="s">
        <v>1665</v>
      </c>
      <c r="F51" s="1178" t="s">
        <v>1666</v>
      </c>
      <c r="G51" s="1179" t="str">
        <f>_xlfn.IFERROR(IF(TITLE_PERIOD_START="","01.01."&amp;CURRENT_YEAR,"01.01."&amp;YEAR(TITLE_PERIOD_START)),"01.01."&amp;CURRENT_YEAR)</f>
        <v>01.01.2024</v>
      </c>
      <c r="H51" s="1179" t="str">
        <f>_xlfn.IFERROR(IF(TITLE_PERIOD_END="","31.12."&amp;CURRENT_YEAR,"31.12."&amp;YEAR(TITLE_PERIOD_END)),"31.12."&amp;CURRENT_YEAR)</f>
        <v>31.12.2024</v>
      </c>
      <c r="I51" s="1806">
        <f>IF(OR(TITLE_PERIOD_START="",TITLE_PERIOD_END=""),TRUE,FALSE)</f>
        <v>1</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1667</v>
      </c>
      <c r="AZ51" s="1183" t="s">
        <v>1415</v>
      </c>
      <c r="BE51" s="1183">
        <v>2049</v>
      </c>
      <c r="BH51" s="1131" t="s">
        <v>1643</v>
      </c>
      <c r="BJ51" s="1280" t="s">
        <v>1668</v>
      </c>
      <c r="BL51" s="1280" t="s">
        <v>1668</v>
      </c>
    </row>
    <row customHeight="1" ht="11.25">
      <c r="A52" s="1137" t="s">
        <v>1669</v>
      </c>
      <c r="E52" s="470" t="s">
        <v>1670</v>
      </c>
      <c r="F52" s="1178" t="s">
        <v>1671</v>
      </c>
      <c r="G52" s="1179" t="str">
        <f>_xlfn.IFERROR(IF(TITLE_PERIOD_START="","01.01."&amp;CURRENT_YEAR,"01.01."&amp;YEAR(TITLE_PERIOD_START)),"01.01."&amp;CURRENT_YEAR)</f>
        <v>01.01.2024</v>
      </c>
      <c r="H52" s="1179" t="str">
        <f>_xlfn.IFERROR(IF(TITLE_PERIOD_END="","31.12."&amp;CURRENT_YEAR,"31.12."&amp;YEAR(TITLE_PERIOD_END)),"31.12."&amp;CURRENT_YEAR)</f>
        <v>31.12.2024</v>
      </c>
      <c r="I52" s="1806">
        <f>IF(OR(TITLE_PERIOD_START="",TITLE_PERIOD_END=""),TRUE,FALSE)</f>
        <v>1</v>
      </c>
      <c r="J52" s="1808" t="str">
        <f>"Показатели, подлежащие раскрытию в сфере "&amp;TEMPLATE_SPHERE_RUS&amp;" (цены и тарифы)"</f>
        <v>Показатели, подлежащие раскрытию в сфере водоотведения (цены и тарифы)</v>
      </c>
      <c r="K52" s="1809"/>
      <c r="AX52" s="1183" t="s">
        <v>1672</v>
      </c>
      <c r="AZ52" s="1183" t="s">
        <v>1212</v>
      </c>
      <c r="BE52" s="1183">
        <v>2050</v>
      </c>
      <c r="BH52" s="1131" t="s">
        <v>1647</v>
      </c>
      <c r="BJ52" s="1280" t="s">
        <v>1045</v>
      </c>
      <c r="BL52" s="1280" t="s">
        <v>1045</v>
      </c>
    </row>
    <row customHeight="1" ht="11.25">
      <c r="A53" s="1137" t="s">
        <v>1673</v>
      </c>
      <c r="E53" s="470" t="s">
        <v>1674</v>
      </c>
      <c r="F53" s="1178" t="s">
        <v>1674</v>
      </c>
      <c r="G53" s="1179" t="str">
        <f>_xlfn.IFERROR(IF(f_year="","01.01."&amp;CURRENT_YEAR,"01.01."&amp;f_year),"01.01."&amp;CURRENT_YEAR)</f>
        <v>01.01.2024</v>
      </c>
      <c r="H53" s="1179" t="str">
        <f>_xlfn.IFERROR(IF(f_year="","31.12."&amp;CURRENT_YEAR,"31.12."&amp;f_year),"31.12."&amp;CURRENT_YEAR)</f>
        <v>31.12.2024</v>
      </c>
      <c r="I53" s="1805">
        <f>IF(AND(f_year="",TITLE_DATE_FIL=""),TRUE,FALSE)</f>
        <v>0</v>
      </c>
      <c r="J53" s="1808" t="s">
        <v>1675</v>
      </c>
      <c r="K53" s="1809"/>
      <c r="AX53" s="1183" t="s">
        <v>1676</v>
      </c>
      <c r="BE53" s="1183">
        <v>2051</v>
      </c>
      <c r="BH53" s="1131" t="s">
        <v>1650</v>
      </c>
      <c r="BJ53" s="1280" t="s">
        <v>1623</v>
      </c>
      <c r="BL53" s="1280" t="s">
        <v>1623</v>
      </c>
    </row>
    <row customHeight="1" ht="11.25">
      <c r="A54" s="1137" t="s">
        <v>1677</v>
      </c>
      <c r="AX54" s="1183" t="s">
        <v>1678</v>
      </c>
      <c r="AZ54" s="1130" t="s">
        <v>1679</v>
      </c>
      <c r="BE54" s="1183">
        <v>2052</v>
      </c>
      <c r="BH54" s="1131" t="s">
        <v>1656</v>
      </c>
      <c r="BJ54" s="1280" t="s">
        <v>1627</v>
      </c>
      <c r="BL54" s="1280" t="s">
        <v>1627</v>
      </c>
    </row>
    <row customHeight="1" ht="11.25">
      <c r="A55" s="1137" t="s">
        <v>1680</v>
      </c>
      <c r="AX55" s="1183" t="s">
        <v>1681</v>
      </c>
      <c r="AZ55" s="1183" t="s">
        <v>1214</v>
      </c>
      <c r="BE55" s="1183">
        <v>2053</v>
      </c>
      <c r="BH55" s="1133" t="s">
        <v>22</v>
      </c>
      <c r="BJ55" s="1280" t="s">
        <v>1046</v>
      </c>
      <c r="BL55" s="1280" t="s">
        <v>1046</v>
      </c>
    </row>
    <row customHeight="1" ht="11.25">
      <c r="A56" s="1137" t="s">
        <v>1682</v>
      </c>
      <c r="D56" s="1181" t="s">
        <v>1683</v>
      </c>
      <c r="E56" s="1158" t="s">
        <v>110</v>
      </c>
      <c r="F56" s="1137" t="s">
        <v>1684</v>
      </c>
      <c r="AX56" s="1183" t="s">
        <v>1685</v>
      </c>
      <c r="AZ56" s="1183" t="s">
        <v>1242</v>
      </c>
      <c r="BE56" s="1183">
        <v>2054</v>
      </c>
      <c r="BH56" s="1133" t="s">
        <v>22</v>
      </c>
      <c r="BJ56" s="1280" t="s">
        <v>1634</v>
      </c>
      <c r="BL56" s="1280" t="s">
        <v>1634</v>
      </c>
    </row>
    <row customHeight="1" ht="11.25">
      <c r="A57" s="1137" t="s">
        <v>1686</v>
      </c>
      <c r="D57" s="1181" t="s">
        <v>1687</v>
      </c>
      <c r="E57" s="1158" t="s">
        <v>110</v>
      </c>
      <c r="F57" s="1137" t="s">
        <v>1684</v>
      </c>
      <c r="AX57" s="1183" t="s">
        <v>1688</v>
      </c>
      <c r="AZ57" s="1183" t="s">
        <v>1276</v>
      </c>
      <c r="BE57" s="1183">
        <v>2055</v>
      </c>
      <c r="BJ57" s="1280" t="s">
        <v>1643</v>
      </c>
      <c r="BL57" s="1280" t="s">
        <v>1643</v>
      </c>
    </row>
    <row customHeight="1" ht="11.25">
      <c r="A58" s="1137" t="s">
        <v>1689</v>
      </c>
      <c r="D58" s="1181" t="s">
        <v>1690</v>
      </c>
      <c r="E58" s="1158" t="s">
        <v>110</v>
      </c>
      <c r="F58" s="1137" t="s">
        <v>1684</v>
      </c>
      <c r="AX58" s="1183" t="s">
        <v>1691</v>
      </c>
      <c r="BE58" s="1183">
        <v>2056</v>
      </c>
      <c r="BJ58" s="1280" t="s">
        <v>1647</v>
      </c>
      <c r="BL58" s="1280" t="s">
        <v>1647</v>
      </c>
    </row>
    <row customHeight="1" ht="11.25">
      <c r="A59" s="1137" t="s">
        <v>1692</v>
      </c>
      <c r="D59" s="1181" t="s">
        <v>131</v>
      </c>
      <c r="E59" s="1158" t="s">
        <v>1579</v>
      </c>
      <c r="F59" s="1137" t="s">
        <v>1693</v>
      </c>
      <c r="AX59" s="1183" t="s">
        <v>1694</v>
      </c>
      <c r="AZ59" s="1130" t="s">
        <v>1695</v>
      </c>
      <c r="BE59" s="1183">
        <v>2057</v>
      </c>
      <c r="BJ59" s="1280" t="s">
        <v>1650</v>
      </c>
      <c r="BL59" s="1280" t="s">
        <v>1650</v>
      </c>
    </row>
    <row customHeight="1" ht="11.25">
      <c r="A60" s="1137" t="s">
        <v>1696</v>
      </c>
      <c r="D60" s="1181" t="s">
        <v>1697</v>
      </c>
      <c r="E60" s="1158" t="s">
        <v>1579</v>
      </c>
      <c r="F60" s="1137" t="s">
        <v>1693</v>
      </c>
      <c r="AX60" s="1183" t="s">
        <v>1698</v>
      </c>
      <c r="AZ60" s="1183" t="s">
        <v>1215</v>
      </c>
      <c r="BE60" s="1183">
        <v>2058</v>
      </c>
      <c r="BJ60" s="1280" t="s">
        <v>1656</v>
      </c>
      <c r="BL60" s="1280" t="s">
        <v>1656</v>
      </c>
    </row>
    <row customHeight="1" ht="11.25">
      <c r="A61" s="1137" t="s">
        <v>1699</v>
      </c>
      <c r="D61" s="1181" t="s">
        <v>1700</v>
      </c>
      <c r="E61" s="1158" t="s">
        <v>1579</v>
      </c>
      <c r="F61" s="1137" t="s">
        <v>1693</v>
      </c>
      <c r="AX61" s="1183" t="s">
        <v>1701</v>
      </c>
      <c r="AZ61" s="1183" t="s">
        <v>1243</v>
      </c>
      <c r="BE61" s="1183">
        <v>2059</v>
      </c>
      <c r="BL61" s="1280" t="s">
        <v>1038</v>
      </c>
    </row>
    <row customHeight="1" ht="11.25">
      <c r="A62" s="1137" t="s">
        <v>1702</v>
      </c>
      <c r="D62" s="1181" t="s">
        <v>130</v>
      </c>
      <c r="E62" s="1158">
        <v>30</v>
      </c>
      <c r="F62" s="1137" t="s">
        <v>1693</v>
      </c>
      <c r="AZ62" s="1183" t="s">
        <v>1277</v>
      </c>
      <c r="BE62" s="1183">
        <v>2060</v>
      </c>
      <c r="BL62" s="1280" t="s">
        <v>1040</v>
      </c>
    </row>
    <row customHeight="1" ht="11.25">
      <c r="A63" s="1137" t="s">
        <v>1703</v>
      </c>
      <c r="D63" s="1181" t="s">
        <v>1704</v>
      </c>
      <c r="E63" s="1158">
        <v>30</v>
      </c>
      <c r="F63" s="1137" t="s">
        <v>1693</v>
      </c>
      <c r="AZ63" s="1183" t="s">
        <v>1309</v>
      </c>
      <c r="BE63" s="1183">
        <v>2061</v>
      </c>
    </row>
    <row customHeight="1" ht="11.25">
      <c r="A64" s="1137" t="s">
        <v>1705</v>
      </c>
      <c r="D64" s="1181" t="s">
        <v>1706</v>
      </c>
      <c r="E64" s="1158">
        <v>30</v>
      </c>
      <c r="F64" s="1137" t="s">
        <v>1693</v>
      </c>
      <c r="AZ64" s="1183" t="s">
        <v>1332</v>
      </c>
      <c r="BE64" s="1183">
        <v>2062</v>
      </c>
    </row>
    <row customHeight="1" ht="11.25">
      <c r="A65" s="1137" t="s">
        <v>1707</v>
      </c>
      <c r="D65" s="1137"/>
      <c r="BE65" s="1183">
        <v>2063</v>
      </c>
    </row>
    <row customHeight="1" ht="11.25">
      <c r="A66" s="1137" t="s">
        <v>1708</v>
      </c>
      <c r="AZ66" s="1130" t="s">
        <v>1709</v>
      </c>
      <c r="BE66" s="1183">
        <v>2064</v>
      </c>
    </row>
    <row customHeight="1" ht="11.25">
      <c r="A67" s="1137" t="s">
        <v>1710</v>
      </c>
      <c r="AZ67" s="1183" t="s">
        <v>1216</v>
      </c>
      <c r="BE67" s="1183">
        <v>2065</v>
      </c>
    </row>
    <row customHeight="1" ht="11.25">
      <c r="A68" s="1137" t="s">
        <v>1711</v>
      </c>
      <c r="AZ68" s="1183" t="s">
        <v>1244</v>
      </c>
      <c r="BE68" s="1183">
        <v>2066</v>
      </c>
      <c r="BH68" s="1130" t="s">
        <v>1712</v>
      </c>
      <c r="BJ68" s="1130" t="s">
        <v>1713</v>
      </c>
      <c r="BL68" s="1130" t="s">
        <v>1714</v>
      </c>
      <c r="BN68" s="1130" t="s">
        <v>1715</v>
      </c>
    </row>
    <row customHeight="1" ht="11.25">
      <c r="A69" s="1137" t="s">
        <v>1716</v>
      </c>
      <c r="AZ69" s="1183" t="s">
        <v>1278</v>
      </c>
      <c r="BE69" s="1183">
        <v>2067</v>
      </c>
      <c r="BH69" s="1131" t="s">
        <v>1717</v>
      </c>
      <c r="BI69" s="1180" t="s">
        <v>108</v>
      </c>
      <c r="BJ69" s="1131" t="s">
        <v>1718</v>
      </c>
      <c r="BK69" s="1180" t="s">
        <v>108</v>
      </c>
      <c r="BL69" s="1131" t="s">
        <v>1719</v>
      </c>
      <c r="BM69" s="1133" t="s">
        <v>108</v>
      </c>
      <c r="BN69" s="1131" t="s">
        <v>1720</v>
      </c>
    </row>
    <row customHeight="1" ht="11.25">
      <c r="A70" s="1137" t="s">
        <v>1721</v>
      </c>
      <c r="AZ70" s="1183" t="s">
        <v>1310</v>
      </c>
      <c r="BE70" s="1183">
        <v>2068</v>
      </c>
      <c r="BH70" s="1131" t="s">
        <v>1722</v>
      </c>
      <c r="BJ70" s="1131" t="s">
        <v>1723</v>
      </c>
      <c r="BL70" s="1131" t="s">
        <v>1724</v>
      </c>
      <c r="BN70" s="1131" t="s">
        <v>1725</v>
      </c>
    </row>
    <row customHeight="1" ht="11.25">
      <c r="A71" s="1137" t="s">
        <v>1726</v>
      </c>
      <c r="AZ71" s="1183" t="s">
        <v>1312</v>
      </c>
      <c r="BE71" s="1183">
        <v>2069</v>
      </c>
      <c r="BH71" s="1131" t="s">
        <v>1727</v>
      </c>
      <c r="BI71" s="1180" t="s">
        <v>89</v>
      </c>
      <c r="BJ71" s="1131" t="s">
        <v>1728</v>
      </c>
      <c r="BK71" s="1180" t="s">
        <v>89</v>
      </c>
      <c r="BL71" s="1131" t="s">
        <v>1729</v>
      </c>
      <c r="BM71" s="1133" t="s">
        <v>89</v>
      </c>
      <c r="BN71" s="1131" t="s">
        <v>1730</v>
      </c>
    </row>
    <row customHeight="1" ht="11.25">
      <c r="A72" s="1137" t="s">
        <v>1731</v>
      </c>
      <c r="AZ72" s="1183" t="s">
        <v>19</v>
      </c>
      <c r="BE72" s="1183">
        <v>2070</v>
      </c>
      <c r="BH72" s="1131" t="s">
        <v>1732</v>
      </c>
      <c r="BJ72" s="1131" t="s">
        <v>1732</v>
      </c>
      <c r="BL72" s="1131" t="s">
        <v>1732</v>
      </c>
      <c r="BN72" s="1131" t="s">
        <v>1733</v>
      </c>
    </row>
    <row customHeight="1" ht="11.25">
      <c r="A73" s="1137" t="s">
        <v>1734</v>
      </c>
      <c r="BH73" s="1131" t="s">
        <v>1735</v>
      </c>
      <c r="BI73" s="1180" t="s">
        <v>110</v>
      </c>
      <c r="BJ73" s="1131" t="s">
        <v>1736</v>
      </c>
      <c r="BK73" s="1180" t="s">
        <v>110</v>
      </c>
      <c r="BL73" s="1131" t="s">
        <v>1737</v>
      </c>
      <c r="BM73" s="1133" t="s">
        <v>110</v>
      </c>
      <c r="BN73" s="1131" t="s">
        <v>1738</v>
      </c>
    </row>
    <row customHeight="1" ht="11.25">
      <c r="A74" s="1137" t="s">
        <v>1739</v>
      </c>
      <c r="BH74" s="1131" t="s">
        <v>1740</v>
      </c>
      <c r="BJ74" s="1131" t="s">
        <v>1741</v>
      </c>
      <c r="BL74" s="1131" t="s">
        <v>1742</v>
      </c>
      <c r="BN74" s="1131" t="s">
        <v>1743</v>
      </c>
    </row>
    <row customHeight="1" ht="11.25">
      <c r="A75" s="1137" t="s">
        <v>1744</v>
      </c>
      <c r="AZ75" s="1130" t="s">
        <v>1745</v>
      </c>
      <c r="BH75" s="1131" t="s">
        <v>1746</v>
      </c>
      <c r="BJ75" s="1131" t="s">
        <v>1746</v>
      </c>
      <c r="BL75" s="1131" t="s">
        <v>1746</v>
      </c>
    </row>
    <row customHeight="1" ht="11.25">
      <c r="A76" s="1137" t="s">
        <v>1747</v>
      </c>
      <c r="AZ76" s="1183" t="s">
        <v>1225</v>
      </c>
      <c r="BH76" s="1131" t="s">
        <v>1748</v>
      </c>
      <c r="BJ76" s="1131" t="s">
        <v>1749</v>
      </c>
      <c r="BL76" s="1131" t="s">
        <v>1750</v>
      </c>
    </row>
    <row customHeight="1" ht="11.25">
      <c r="A77" s="1137" t="s">
        <v>1751</v>
      </c>
      <c r="AZ77" s="1183" t="s">
        <v>1254</v>
      </c>
    </row>
    <row customHeight="1" ht="11.25">
      <c r="A78" s="1137" t="s">
        <v>1752</v>
      </c>
      <c r="AZ78" s="1183" t="s">
        <v>1285</v>
      </c>
    </row>
    <row customHeight="1" ht="11.25">
      <c r="A79" s="1137" t="s">
        <v>1753</v>
      </c>
      <c r="AZ79" s="1183" t="s">
        <v>1316</v>
      </c>
      <c r="BH79" s="1130" t="s">
        <v>1754</v>
      </c>
      <c r="BJ79" s="1130" t="s">
        <v>1755</v>
      </c>
      <c r="BL79" s="1130" t="s">
        <v>1756</v>
      </c>
    </row>
    <row customHeight="1" ht="11.25">
      <c r="A80" s="1137" t="s">
        <v>1757</v>
      </c>
      <c r="AZ80" s="1183" t="s">
        <v>1337</v>
      </c>
      <c r="BH80" s="1131" t="s">
        <v>1758</v>
      </c>
      <c r="BJ80" s="1131" t="s">
        <v>1759</v>
      </c>
      <c r="BL80" s="1131" t="s">
        <v>1760</v>
      </c>
    </row>
    <row customHeight="1" ht="11.25">
      <c r="A81" s="1137" t="s">
        <v>1761</v>
      </c>
      <c r="AZ81" s="1183" t="s">
        <v>1354</v>
      </c>
      <c r="BH81" s="1131" t="s">
        <v>1762</v>
      </c>
      <c r="BJ81" s="1131" t="s">
        <v>1763</v>
      </c>
      <c r="BL81" s="1131" t="s">
        <v>1764</v>
      </c>
    </row>
    <row customHeight="1" ht="11.25">
      <c r="A82" s="1137" t="s">
        <v>1765</v>
      </c>
      <c r="AZ82" s="1183" t="s">
        <v>1369</v>
      </c>
      <c r="BH82" s="1131" t="s">
        <v>1766</v>
      </c>
      <c r="BJ82" s="1131" t="s">
        <v>1767</v>
      </c>
      <c r="BL82" s="1131" t="s">
        <v>1768</v>
      </c>
    </row>
    <row customHeight="1" ht="11.25">
      <c r="A83" s="1137" t="s">
        <v>1769</v>
      </c>
      <c r="BH83" s="1131" t="s">
        <v>1770</v>
      </c>
      <c r="BJ83" s="1131" t="s">
        <v>1771</v>
      </c>
      <c r="BL83" s="1131" t="s">
        <v>1772</v>
      </c>
    </row>
    <row customHeight="1" ht="11.25">
      <c r="A84" s="1137" t="s">
        <v>1773</v>
      </c>
      <c r="AZ84" s="1130" t="s">
        <v>1774</v>
      </c>
    </row>
    <row customHeight="1" ht="11.25">
      <c r="A85" s="1933" t="s">
        <v>1775</v>
      </c>
      <c r="AZ85" s="1183" t="s">
        <v>1776</v>
      </c>
    </row>
    <row customHeight="1" ht="11.25">
      <c r="A86" s="1137" t="s">
        <v>1777</v>
      </c>
      <c r="AZ86" s="1183" t="s">
        <v>1778</v>
      </c>
      <c r="BH86" s="1130" t="s">
        <v>1779</v>
      </c>
      <c r="BJ86" s="1130" t="s">
        <v>1780</v>
      </c>
      <c r="BL86" s="1130" t="s">
        <v>1781</v>
      </c>
    </row>
    <row customHeight="1" ht="11.25">
      <c r="A87" s="1137" t="s">
        <v>1782</v>
      </c>
      <c r="AZ87" s="1183" t="s">
        <v>1783</v>
      </c>
      <c r="BH87" s="1131" t="s">
        <v>1784</v>
      </c>
      <c r="BJ87" s="1131" t="s">
        <v>1785</v>
      </c>
      <c r="BL87" s="1131" t="s">
        <v>1786</v>
      </c>
    </row>
    <row customHeight="1" ht="11.25">
      <c r="A88" s="1137" t="s">
        <v>1787</v>
      </c>
      <c r="AZ88" s="1669"/>
      <c r="BH88" s="1131" t="s">
        <v>1788</v>
      </c>
      <c r="BJ88" s="1131" t="s">
        <v>1789</v>
      </c>
      <c r="BL88" s="1131" t="s">
        <v>1790</v>
      </c>
    </row>
    <row customHeight="1" ht="11.25">
      <c r="A89" s="1137" t="s">
        <v>1791</v>
      </c>
      <c r="AZ89" s="1130" t="s">
        <v>1792</v>
      </c>
    </row>
    <row customHeight="1" ht="11.25">
      <c r="A90" s="1137" t="s">
        <v>16</v>
      </c>
      <c r="AZ90" s="1183" t="s">
        <v>1016</v>
      </c>
    </row>
    <row customHeight="1" ht="11.25">
      <c r="A91" s="1137" t="s">
        <v>1793</v>
      </c>
      <c r="AZ91" s="1183" t="s">
        <v>1052</v>
      </c>
      <c r="BH91" s="1130" t="s">
        <v>1794</v>
      </c>
      <c r="BJ91" s="1130" t="s">
        <v>1795</v>
      </c>
      <c r="BL91" s="1130" t="s">
        <v>1796</v>
      </c>
    </row>
    <row customHeight="1" ht="11.25">
      <c r="AZ92" s="1183" t="s">
        <v>1797</v>
      </c>
      <c r="BH92" s="1131" t="s">
        <v>1798</v>
      </c>
      <c r="BJ92" s="1131" t="s">
        <v>1799</v>
      </c>
      <c r="BL92" s="1131" t="s">
        <v>1800</v>
      </c>
    </row>
    <row customHeight="1" ht="11.25">
      <c r="AZ93" s="1183" t="s">
        <v>1801</v>
      </c>
      <c r="BH93" s="1131" t="s">
        <v>1802</v>
      </c>
      <c r="BJ93" s="1131" t="s">
        <v>1803</v>
      </c>
      <c r="BL93" s="1131" t="s">
        <v>1804</v>
      </c>
    </row>
    <row customHeight="1" ht="11.25">
      <c r="AZ94" s="1183" t="s">
        <v>1805</v>
      </c>
    </row>
    <row r="96" customHeight="1" ht="11.25">
      <c r="AZ96" s="1130" t="s">
        <v>1806</v>
      </c>
      <c r="BH96" s="1130" t="s">
        <v>1807</v>
      </c>
      <c r="BJ96" s="1130" t="s">
        <v>1808</v>
      </c>
      <c r="BL96" s="1130" t="s">
        <v>1809</v>
      </c>
      <c r="BN96" s="1130" t="s">
        <v>1810</v>
      </c>
    </row>
    <row customHeight="1" ht="11.25">
      <c r="AZ97" s="1964" t="s">
        <v>1811</v>
      </c>
      <c r="BA97" s="1965" t="s">
        <v>1812</v>
      </c>
      <c r="BH97" s="1131" t="s">
        <v>1813</v>
      </c>
      <c r="BJ97" s="1131" t="s">
        <v>1814</v>
      </c>
      <c r="BL97" s="1131" t="s">
        <v>1815</v>
      </c>
      <c r="BN97" s="1131" t="s">
        <v>1816</v>
      </c>
    </row>
    <row customHeight="1" ht="11.25">
      <c r="AZ98" s="1964" t="s">
        <v>1817</v>
      </c>
      <c r="BA98" s="1965" t="s">
        <v>1818</v>
      </c>
      <c r="BH98" s="1131" t="s">
        <v>1819</v>
      </c>
      <c r="BJ98" s="1131" t="s">
        <v>1820</v>
      </c>
      <c r="BL98" s="1131" t="s">
        <v>1821</v>
      </c>
      <c r="BN98" s="1131" t="s">
        <v>1822</v>
      </c>
    </row>
    <row customHeight="1" ht="22.5">
      <c r="AZ99" s="1964" t="s">
        <v>1823</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1824</v>
      </c>
      <c r="BJ99" s="1131" t="s">
        <v>1825</v>
      </c>
      <c r="BL99" s="1131" t="s">
        <v>1826</v>
      </c>
      <c r="BN99" s="1131" t="s">
        <v>1827</v>
      </c>
    </row>
    <row customHeight="1" ht="22.5">
      <c r="AZ100" s="1964" t="s">
        <v>1828</v>
      </c>
      <c r="BA100"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1" t="s">
        <v>1415</v>
      </c>
      <c r="BL100" s="1131" t="s">
        <v>1415</v>
      </c>
      <c r="BN100" s="1131" t="s">
        <v>1829</v>
      </c>
    </row>
    <row customHeight="1" ht="22.5">
      <c r="AZ101" s="1964" t="s">
        <v>1830</v>
      </c>
      <c r="BA101" s="1965" t="s">
        <v>1831</v>
      </c>
      <c r="BN101" s="1131" t="s">
        <v>1832</v>
      </c>
    </row>
    <row customHeight="1" ht="22.5">
      <c r="AZ102" s="1964" t="s">
        <v>1833</v>
      </c>
      <c r="BA102"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1" t="s">
        <v>1834</v>
      </c>
    </row>
    <row customHeight="1" ht="11.25">
      <c r="AZ103" s="1964" t="s">
        <v>1835</v>
      </c>
      <c r="BA103" s="1965" t="s">
        <v>1836</v>
      </c>
      <c r="BN103" s="1131" t="s">
        <v>1837</v>
      </c>
    </row>
    <row customHeight="1" ht="11.25">
      <c r="BN104" s="1131" t="s">
        <v>1838</v>
      </c>
    </row>
    <row customHeight="1" ht="11.25">
      <c r="AZ105" s="1755" t="s">
        <v>1839</v>
      </c>
    </row>
    <row customHeight="1" ht="11.25">
      <c r="AZ106" s="1183" t="s">
        <v>1840</v>
      </c>
    </row>
    <row customHeight="1" ht="11.25">
      <c r="AZ107" s="1183" t="s">
        <v>1841</v>
      </c>
      <c r="BH107" s="1130" t="s">
        <v>1842</v>
      </c>
      <c r="BJ107" s="1130" t="s">
        <v>1843</v>
      </c>
      <c r="BL107" s="1130" t="s">
        <v>1844</v>
      </c>
      <c r="BN107" s="1130" t="s">
        <v>1845</v>
      </c>
    </row>
    <row customHeight="1" ht="11.25">
      <c r="AZ108" s="1183" t="s">
        <v>568</v>
      </c>
      <c r="BH108" s="1131" t="s">
        <v>1846</v>
      </c>
      <c r="BJ108" s="1131" t="s">
        <v>1847</v>
      </c>
      <c r="BL108" s="1131" t="s">
        <v>1501</v>
      </c>
      <c r="BN108" s="1131" t="s">
        <v>1848</v>
      </c>
    </row>
    <row customHeight="1" ht="11.25">
      <c r="BH109" s="1131" t="s">
        <v>1849</v>
      </c>
    </row>
    <row customHeight="1" ht="11.25">
      <c r="AZ110" s="1755" t="s">
        <v>1850</v>
      </c>
      <c r="BH110" s="1131" t="s">
        <v>1849</v>
      </c>
    </row>
    <row customHeight="1" ht="11.25">
      <c r="AZ111" s="1964" t="s">
        <v>1811</v>
      </c>
      <c r="BA111" s="1965" t="s">
        <v>1812</v>
      </c>
    </row>
    <row customHeight="1" ht="11.25">
      <c r="AZ112" s="1964" t="s">
        <v>1817</v>
      </c>
      <c r="BA112" s="1965" t="s">
        <v>1818</v>
      </c>
    </row>
    <row customHeight="1" ht="22.5">
      <c r="AZ113" s="1964" t="s">
        <v>1823</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1828</v>
      </c>
      <c r="BA114"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0" t="s">
        <v>1851</v>
      </c>
    </row>
    <row customHeight="1" ht="22.5">
      <c r="AZ115" s="1964" t="s">
        <v>1833</v>
      </c>
      <c r="BA115"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1" t="s">
        <v>1212</v>
      </c>
    </row>
    <row customHeight="1" ht="11.25">
      <c r="AZ116" s="1964" t="s">
        <v>1835</v>
      </c>
      <c r="BA116" s="1965" t="s">
        <v>1836</v>
      </c>
      <c r="BH116" s="1131" t="s">
        <v>1240</v>
      </c>
    </row>
    <row customHeight="1" ht="11.25">
      <c r="BH117" s="1131" t="s">
        <v>1274</v>
      </c>
    </row>
    <row customHeight="1" ht="11.25">
      <c r="BH118" s="1131"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AD487-CB2E-A881-828A-555DEF6A9A0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296</v>
      </c>
      <c r="J1" s="518" t="s">
        <v>14</v>
      </c>
    </row>
    <row customHeight="1" ht="22.5" hidden="1">
      <c r="A2" s="565"/>
      <c r="B2" s="565"/>
      <c r="C2" s="1793" t="s">
        <v>686</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2"/>
      <c r="F5" s="2303"/>
      <c r="I5" s="778"/>
      <c r="J5" s="518">
        <v>26</v>
      </c>
    </row>
    <row customHeight="1" ht="18">
      <c r="D6" s="2239" t="str">
        <f>IF(region_name=0,"Не определено",region_name)</f>
        <v>Ямало-Ненецкий автономный округ</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297</v>
      </c>
      <c r="E9" s="2268"/>
      <c r="F9" s="2268"/>
      <c r="G9" s="2271" t="s">
        <v>298</v>
      </c>
      <c r="J9" s="518">
        <v>11</v>
      </c>
    </row>
    <row customHeight="1" ht="11.549999999999999">
      <c r="A10" s="565"/>
      <c r="B10" s="565"/>
      <c r="C10" s="520"/>
      <c r="D10" s="1537" t="s">
        <v>87</v>
      </c>
      <c r="E10" s="1539" t="s">
        <v>299</v>
      </c>
      <c r="F10" s="1539" t="s">
        <v>300</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1" t="str">
        <f>IF(org="","",org)</f>
        <v>Филиал "Уренгойская ГРЭС" АО "Интер РАО - Электрогенерация"</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6"/>
      <c r="J12" s="518">
        <v>23</v>
      </c>
    </row>
    <row customHeight="1" ht="19.95">
      <c r="A13" s="565"/>
      <c r="B13" s="565"/>
      <c r="C13" s="520"/>
      <c r="D13" s="1583">
        <v>2</v>
      </c>
      <c r="E13" s="1590" t="s">
        <v>1852</v>
      </c>
      <c r="F13" s="1584" t="s">
        <v>303</v>
      </c>
      <c r="G13" s="537"/>
      <c r="H13" s="1596"/>
      <c r="J13" s="518">
        <v>19</v>
      </c>
    </row>
    <row customHeight="1" ht="19.95">
      <c r="A14" s="565"/>
      <c r="B14" s="565"/>
      <c r="C14" s="520"/>
      <c r="D14" s="1586" t="s">
        <v>706</v>
      </c>
      <c r="E14" s="1587" t="s">
        <v>1853</v>
      </c>
      <c r="F14" s="1589"/>
      <c r="G14" s="1588" t="s">
        <v>1854</v>
      </c>
      <c r="H14" s="1596"/>
      <c r="J14" s="518">
        <v>19</v>
      </c>
    </row>
    <row customHeight="1" ht="19.95">
      <c r="A15" s="565"/>
      <c r="B15" s="565"/>
      <c r="C15" s="520"/>
      <c r="D15" s="1586" t="s">
        <v>304</v>
      </c>
      <c r="E15" s="1587" t="s">
        <v>1855</v>
      </c>
      <c r="F15" s="1589"/>
      <c r="G15" s="1588" t="s">
        <v>1856</v>
      </c>
      <c r="H15" s="1596"/>
      <c r="J15" s="518">
        <v>19</v>
      </c>
    </row>
    <row customHeight="1" ht="24">
      <c r="A16" s="565"/>
      <c r="B16" s="565"/>
      <c r="C16" s="520"/>
      <c r="D16" s="1586" t="s">
        <v>307</v>
      </c>
      <c r="E16" s="1585" t="s">
        <v>1857</v>
      </c>
      <c r="F16" s="1594"/>
      <c r="G16" s="537" t="s">
        <v>1858</v>
      </c>
      <c r="H16" s="1596"/>
      <c r="J16" s="518">
        <v>23</v>
      </c>
    </row>
    <row customHeight="1" ht="48.29999999999999">
      <c r="A17" s="565"/>
      <c r="B17" s="565"/>
      <c r="C17" s="520"/>
      <c r="D17" s="1583">
        <v>3</v>
      </c>
      <c r="E17" s="1590" t="s">
        <v>1859</v>
      </c>
      <c r="F17" s="1589"/>
      <c r="G17" s="537" t="s">
        <v>1860</v>
      </c>
      <c r="H17" s="1596"/>
      <c r="J17" s="518">
        <v>46</v>
      </c>
    </row>
    <row customHeight="1" ht="48.29999999999999">
      <c r="A18" s="1538">
        <v>1</v>
      </c>
      <c r="B18" s="565"/>
      <c r="C18" s="1540"/>
      <c r="D18" s="1583" t="s">
        <v>90</v>
      </c>
      <c r="E18" s="1590" t="s">
        <v>1861</v>
      </c>
      <c r="F18" s="1589"/>
      <c r="G18" s="537" t="s">
        <v>1860</v>
      </c>
      <c r="H18" s="1596"/>
      <c r="I18" s="915"/>
      <c r="J18" s="518">
        <v>46</v>
      </c>
    </row>
    <row customHeight="1" ht="23.25">
      <c r="A19" s="565"/>
      <c r="B19" s="565"/>
      <c r="C19" s="520"/>
      <c r="D19" s="1583" t="s">
        <v>110</v>
      </c>
      <c r="E19" s="1590" t="s">
        <v>1862</v>
      </c>
      <c r="F19" s="1584" t="s">
        <v>303</v>
      </c>
      <c r="G19" s="2534" t="s">
        <v>1863</v>
      </c>
      <c r="H19" s="538"/>
      <c r="J19" s="518">
        <v>22</v>
      </c>
    </row>
    <row s="4676" customFormat="1" customHeight="1" ht="5.25" hidden="1">
      <c r="A20" s="565"/>
      <c r="B20" s="565"/>
      <c r="C20" s="1592"/>
      <c r="D20" s="1591" t="s">
        <v>1113</v>
      </c>
      <c r="E20" s="1077"/>
      <c r="F20" s="1076"/>
      <c r="G20" s="2535"/>
      <c r="J20" s="1593">
        <v>0</v>
      </c>
    </row>
    <row customHeight="1" ht="15.75">
      <c r="A21" s="565"/>
      <c r="B21" s="565"/>
      <c r="C21" s="520"/>
      <c r="D21" s="530"/>
      <c r="E21" s="478" t="s">
        <v>336</v>
      </c>
      <c r="F21" s="532"/>
      <c r="G21" s="2536"/>
      <c r="H21" s="1596"/>
      <c r="J21" s="518">
        <v>15</v>
      </c>
    </row>
    <row s="3233" customFormat="1" customHeight="1" ht="26.25">
      <c r="A22" s="565"/>
      <c r="B22" s="565"/>
      <c r="C22" s="565"/>
      <c r="D22" s="1583" t="s">
        <v>91</v>
      </c>
      <c r="E22" s="537" t="s">
        <v>1864</v>
      </c>
      <c r="F22" s="1589"/>
      <c r="G22" s="537" t="s">
        <v>1865</v>
      </c>
      <c r="H22" s="1595"/>
      <c r="J22" s="564">
        <v>25</v>
      </c>
    </row>
    <row s="3233" customFormat="1" customHeight="1" ht="19.95">
      <c r="A23" s="565"/>
      <c r="B23" s="565"/>
      <c r="C23" s="565"/>
      <c r="D23" s="1583" t="s">
        <v>92</v>
      </c>
      <c r="E23" s="1590" t="s">
        <v>1866</v>
      </c>
      <c r="F23" s="1594"/>
      <c r="G23" s="537" t="s">
        <v>1867</v>
      </c>
      <c r="H23" s="1595"/>
      <c r="J23" s="564">
        <v>19</v>
      </c>
    </row>
    <row s="3233" customFormat="1" customHeight="1" ht="144" hidden="1">
      <c r="A24" s="565"/>
      <c r="B24" s="565"/>
      <c r="C24" s="565"/>
      <c r="D24" s="1583" t="s">
        <v>111</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5"/>
      <c r="J24" s="564">
        <v>0</v>
      </c>
    </row>
    <row customHeight="1" ht="11.25" hidden="1">
      <c r="A25" s="564" t="s">
        <v>81</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296E7-9DDD-D80F-FF24-25D6F04E7BE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1868</v>
      </c>
      <c r="G1" s="1694" t="s">
        <v>48</v>
      </c>
      <c r="H1" s="1694" t="s">
        <v>50</v>
      </c>
      <c r="IU1" s="1218" t="s">
        <v>14</v>
      </c>
    </row>
    <row s="5235" customFormat="1" customHeight="1" ht="22.5" hidden="1">
      <c r="A2" s="894"/>
      <c r="B2" s="1223">
        <v>1</v>
      </c>
      <c r="C2" s="1223"/>
      <c r="D2" s="1991" t="s">
        <v>686</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82</v>
      </c>
      <c r="G3" s="557" t="s">
        <v>83</v>
      </c>
      <c r="H3" s="557"/>
      <c r="I3" s="557"/>
      <c r="J3" s="290" t="s">
        <v>84</v>
      </c>
      <c r="K3" s="310" t="s">
        <v>82</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297</v>
      </c>
      <c r="F7" s="2165"/>
      <c r="G7" s="2165"/>
      <c r="H7" s="2165"/>
      <c r="I7" s="2165"/>
      <c r="J7" s="2537" t="s">
        <v>298</v>
      </c>
      <c r="K7" s="563"/>
      <c r="L7" s="563"/>
      <c r="M7" s="563"/>
      <c r="N7" s="563"/>
      <c r="O7" s="289"/>
      <c r="P7" s="563"/>
      <c r="Q7" s="288"/>
      <c r="R7" s="288"/>
      <c r="S7" s="288"/>
      <c r="T7" s="288"/>
      <c r="IU7" s="570">
        <v>14</v>
      </c>
    </row>
    <row s="3380" customFormat="1" customHeight="1" ht="21">
      <c r="A8" s="1218"/>
      <c r="B8" s="1223"/>
      <c r="C8" s="1218"/>
      <c r="D8" s="1558"/>
      <c r="E8" s="1611" t="s">
        <v>87</v>
      </c>
      <c r="F8" s="1603" t="s">
        <v>1868</v>
      </c>
      <c r="G8" s="1603" t="s">
        <v>48</v>
      </c>
      <c r="H8" s="1603" t="s">
        <v>50</v>
      </c>
      <c r="I8" s="1603" t="s">
        <v>1869</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1870</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81</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30981-C78F-53DE-FF44-A0A675CB52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686</v>
      </c>
      <c r="E2" s="1952"/>
      <c r="F2" s="1955" t="str">
        <f>IF(ROIV_INFO_NAME="","",ROIV_INFO_NAME)</f>
        <v>Филиал "Уренгойская ГРЭС" АО "Интер РАО - Электрогенерация"</v>
      </c>
      <c r="G2" s="1980" t="s">
        <v>22</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82</v>
      </c>
      <c r="G3" s="1798" t="s">
        <v>83</v>
      </c>
      <c r="H3" s="557"/>
      <c r="I3" s="557"/>
      <c r="J3" s="557"/>
      <c r="K3" s="557"/>
      <c r="L3" s="290" t="s">
        <v>84</v>
      </c>
      <c r="M3" s="310" t="s">
        <v>82</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297</v>
      </c>
      <c r="F7" s="2165"/>
      <c r="G7" s="2165"/>
      <c r="H7" s="2165"/>
      <c r="I7" s="2165"/>
      <c r="J7" s="2165"/>
      <c r="K7" s="2165"/>
      <c r="L7" s="2537" t="s">
        <v>298</v>
      </c>
      <c r="M7" s="563"/>
      <c r="N7" s="563"/>
      <c r="O7" s="563"/>
      <c r="P7" s="563"/>
      <c r="Q7" s="289"/>
      <c r="R7" s="563"/>
      <c r="S7" s="288"/>
      <c r="T7" s="288"/>
      <c r="U7" s="288"/>
      <c r="V7" s="288"/>
      <c r="IW7" s="570">
        <v>14</v>
      </c>
    </row>
    <row s="3380" customFormat="1" customHeight="1" ht="67.2">
      <c r="A8" s="1218"/>
      <c r="B8" s="1223"/>
      <c r="C8" s="1218"/>
      <c r="D8" s="1558"/>
      <c r="E8" s="2541" t="s">
        <v>87</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1871</v>
      </c>
      <c r="H9" s="1600" t="s">
        <v>1872</v>
      </c>
      <c r="I9" s="1600" t="s">
        <v>1873</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Филиал "Уренгойская ГРЭС" АО "Интер РАО - Электрогенерация"</v>
      </c>
      <c r="G10" s="1795" t="s">
        <v>22</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1874</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81</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ED0C-7768-A39D-ED15-03A8077106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686</v>
      </c>
      <c r="E2" s="1967"/>
      <c r="F2" s="1969" t="str">
        <f>IF(ROIV_INFO_NAME="","",ROIV_INFO_NAME)</f>
        <v>Филиал "Уренгойская ГРЭС" АО "Интер РАО - Электрогенерация"</v>
      </c>
      <c r="G2" s="1795" t="s">
        <v>22</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82</v>
      </c>
      <c r="G3" s="1798" t="s">
        <v>83</v>
      </c>
      <c r="H3" s="1956"/>
      <c r="I3" s="1956"/>
      <c r="J3" s="1956"/>
      <c r="K3" s="1956"/>
      <c r="L3" s="290" t="s">
        <v>84</v>
      </c>
      <c r="M3" s="311" t="s">
        <v>82</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297</v>
      </c>
      <c r="F7" s="2165"/>
      <c r="G7" s="2165"/>
      <c r="H7" s="2165"/>
      <c r="I7" s="2165"/>
      <c r="J7" s="2165"/>
      <c r="K7" s="2165"/>
      <c r="L7" s="2537" t="s">
        <v>298</v>
      </c>
      <c r="M7" s="1687"/>
      <c r="N7" s="1687"/>
      <c r="O7" s="1687"/>
      <c r="P7" s="1687"/>
      <c r="Q7" s="1687"/>
      <c r="R7" s="1687"/>
      <c r="S7" s="288"/>
      <c r="T7" s="288"/>
      <c r="U7" s="288"/>
      <c r="V7" s="288"/>
      <c r="IW7" s="1672">
        <v>14</v>
      </c>
    </row>
    <row s="3380" customFormat="1" customHeight="1" ht="67.2">
      <c r="A8" s="1694"/>
      <c r="B8" s="1429"/>
      <c r="C8" s="1694"/>
      <c r="D8" s="1578"/>
      <c r="E8" s="2541" t="s">
        <v>87</v>
      </c>
      <c r="F8" s="2541" t="s">
        <v>1875</v>
      </c>
      <c r="G8" s="2543" t="s">
        <v>1876</v>
      </c>
      <c r="H8" s="2544"/>
      <c r="I8" s="2545"/>
      <c r="J8" s="2541" t="s">
        <v>1877</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1871</v>
      </c>
      <c r="H9" s="1957" t="s">
        <v>1872</v>
      </c>
      <c r="I9" s="1957" t="s">
        <v>1873</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Филиал "Уренгойская ГРЭС" АО "Интер РАО - Электрогенерация"</v>
      </c>
      <c r="G10" s="1796" t="s">
        <v>22</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1874</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81</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D9EEC-6282-3A09-8327-CE200AF36BA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686</v>
      </c>
      <c r="E2" s="2190">
        <v>1</v>
      </c>
      <c r="F2" s="2366" t="str">
        <f>IF(region_name="","",region_name)</f>
        <v>Ямало-Ненецкий автономный округ</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1878</v>
      </c>
      <c r="L3" s="1606"/>
      <c r="M3" s="1983"/>
      <c r="N3" s="1976"/>
      <c r="O3" s="1598"/>
      <c r="P3" s="574"/>
      <c r="Q3" s="486">
        <v>0</v>
      </c>
    </row>
    <row s="4026" customFormat="1" customHeight="1" ht="5.25" hidden="1">
      <c r="A4" s="559"/>
      <c r="D4" s="557"/>
      <c r="F4" s="310" t="s">
        <v>82</v>
      </c>
      <c r="G4" s="557" t="s">
        <v>83</v>
      </c>
      <c r="H4" s="557"/>
      <c r="I4" s="1986"/>
      <c r="J4" s="1607"/>
      <c r="K4" s="1974"/>
      <c r="L4" s="1974"/>
      <c r="M4" s="1974"/>
      <c r="N4" s="1970"/>
      <c r="O4" s="310" t="s">
        <v>82</v>
      </c>
      <c r="P4" s="310"/>
      <c r="Q4" s="574">
        <v>0</v>
      </c>
    </row>
    <row s="5235" customFormat="1" customHeight="1" ht="22.5" hidden="1">
      <c r="A5" s="1704"/>
      <c r="B5" s="1429">
        <v>1</v>
      </c>
      <c r="C5" s="1429"/>
      <c r="D5" s="864"/>
      <c r="E5" s="1976"/>
      <c r="F5" s="1976"/>
      <c r="G5" s="1976"/>
      <c r="H5" s="1987"/>
      <c r="I5" s="1992" t="s">
        <v>686</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297</v>
      </c>
      <c r="F10" s="2190"/>
      <c r="G10" s="2190"/>
      <c r="H10" s="2190"/>
      <c r="I10" s="2190"/>
      <c r="J10" s="2190"/>
      <c r="K10" s="2190"/>
      <c r="L10" s="2190"/>
      <c r="M10" s="2164"/>
      <c r="N10" s="2541" t="s">
        <v>298</v>
      </c>
      <c r="O10" s="563"/>
      <c r="P10" s="563"/>
      <c r="Q10" s="570">
        <v>14</v>
      </c>
    </row>
    <row s="3380" customFormat="1" customHeight="1" ht="44.25">
      <c r="A11" s="1694"/>
      <c r="B11" s="1429"/>
      <c r="C11" s="1694"/>
      <c r="D11" s="1578"/>
      <c r="E11" s="2555" t="s">
        <v>87</v>
      </c>
      <c r="F11" s="2555" t="s">
        <v>301</v>
      </c>
      <c r="G11" s="2555" t="s">
        <v>1879</v>
      </c>
      <c r="H11" s="2555"/>
      <c r="I11" s="2555" t="s">
        <v>1880</v>
      </c>
      <c r="J11" s="2555"/>
      <c r="K11" s="2555"/>
      <c r="L11" s="2555" t="s">
        <v>1881</v>
      </c>
      <c r="M11" s="2543" t="s">
        <v>1882</v>
      </c>
      <c r="N11" s="2554"/>
      <c r="O11" s="1687"/>
      <c r="P11" s="1687"/>
      <c r="Q11" s="1672">
        <v>42</v>
      </c>
    </row>
    <row s="3380" customFormat="1" customHeight="1" ht="29.25">
      <c r="A12" s="1218"/>
      <c r="B12" s="1223"/>
      <c r="C12" s="1218"/>
      <c r="D12" s="1558"/>
      <c r="E12" s="2541"/>
      <c r="F12" s="2555"/>
      <c r="G12" s="1972" t="s">
        <v>1883</v>
      </c>
      <c r="H12" s="1972" t="s">
        <v>305</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Ямало-Ненецкий автономный округ</v>
      </c>
      <c r="G13" s="2550"/>
      <c r="H13" s="2557"/>
      <c r="I13" s="537"/>
      <c r="J13" s="1968">
        <v>1</v>
      </c>
      <c r="K13" s="1981"/>
      <c r="L13" s="1982"/>
      <c r="M13" s="1982"/>
      <c r="N13" s="2551" t="s">
        <v>1884</v>
      </c>
      <c r="O13" s="1598"/>
      <c r="P13" s="574"/>
      <c r="Q13" s="486">
        <v>22</v>
      </c>
    </row>
    <row s="5235" customFormat="1" customHeight="1" ht="23.25">
      <c r="A14" s="2162"/>
      <c r="B14" s="1223"/>
      <c r="C14" s="1223"/>
      <c r="D14" s="864"/>
      <c r="E14" s="2190"/>
      <c r="F14" s="2549"/>
      <c r="G14" s="2550"/>
      <c r="H14" s="2558"/>
      <c r="I14" s="484"/>
      <c r="J14" s="1563"/>
      <c r="K14" s="1563" t="s">
        <v>1878</v>
      </c>
      <c r="L14" s="1606"/>
      <c r="M14" s="1606"/>
      <c r="N14" s="2552"/>
      <c r="O14" s="1598"/>
      <c r="P14" s="574"/>
      <c r="Q14" s="486">
        <v>22</v>
      </c>
    </row>
    <row s="5235" customFormat="1" customHeight="1" ht="23.25">
      <c r="A15" s="2162"/>
      <c r="B15" s="1223"/>
      <c r="C15" s="475"/>
      <c r="D15" s="864"/>
      <c r="E15" s="484"/>
      <c r="F15" s="1563" t="s">
        <v>1870</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81</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3AA97-5933-7333-D3F5-EA6B830AD9B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1885</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297</v>
      </c>
      <c r="E8" s="2272"/>
      <c r="F8" s="2272"/>
      <c r="G8" s="2272"/>
      <c r="H8" s="2272"/>
      <c r="I8" s="2272" t="s">
        <v>298</v>
      </c>
      <c r="M8" s="184">
        <v>14</v>
      </c>
    </row>
    <row customHeight="1" ht="29.25">
      <c r="D9" s="2272" t="s">
        <v>87</v>
      </c>
      <c r="E9" s="2272" t="s">
        <v>1886</v>
      </c>
      <c r="F9" s="2272"/>
      <c r="G9" s="2272"/>
      <c r="H9" s="2272"/>
      <c r="I9" s="2272"/>
      <c r="M9" s="184">
        <v>28</v>
      </c>
    </row>
    <row customHeight="1" ht="24">
      <c r="D10" s="2272"/>
      <c r="E10" s="190" t="s">
        <v>1887</v>
      </c>
      <c r="F10" s="190" t="s">
        <v>1888</v>
      </c>
      <c r="G10" s="190" t="s">
        <v>1889</v>
      </c>
      <c r="H10" s="190" t="s">
        <v>387</v>
      </c>
      <c r="I10" s="2272"/>
      <c r="M10" s="184">
        <v>23</v>
      </c>
    </row>
    <row customHeight="1" ht="12" hidden="1">
      <c r="D11" s="150" t="s">
        <v>108</v>
      </c>
      <c r="E11" s="150" t="s">
        <v>90</v>
      </c>
      <c r="F11" s="150" t="s">
        <v>110</v>
      </c>
      <c r="G11" s="150" t="s">
        <v>91</v>
      </c>
      <c r="H11" s="150" t="s">
        <v>92</v>
      </c>
      <c r="I11" s="150" t="s">
        <v>111</v>
      </c>
      <c r="M11" s="184">
        <v>0</v>
      </c>
    </row>
    <row s="4979" customFormat="1" customHeight="1" ht="26.25">
      <c r="A12" s="208" t="s">
        <v>89</v>
      </c>
      <c r="B12" s="188" t="s">
        <v>22</v>
      </c>
      <c r="C12" s="189"/>
      <c r="D12" s="191" t="s">
        <v>108</v>
      </c>
      <c r="E12" s="444"/>
      <c r="F12" s="444"/>
      <c r="G12" s="1797" t="s">
        <v>22</v>
      </c>
      <c r="H12" s="445"/>
      <c r="I12" s="2232" t="s">
        <v>1890</v>
      </c>
      <c r="K12" s="335"/>
      <c r="L12" s="336"/>
      <c r="M12" s="180">
        <v>25</v>
      </c>
    </row>
    <row customHeight="1" ht="15.75">
      <c r="A13" s="184"/>
      <c r="B13" s="184"/>
      <c r="C13" s="184"/>
      <c r="D13" s="172"/>
      <c r="E13" s="193" t="s">
        <v>465</v>
      </c>
      <c r="F13" s="192"/>
      <c r="G13" s="192"/>
      <c r="H13" s="277"/>
      <c r="I13" s="2234"/>
      <c r="M13" s="184">
        <v>15</v>
      </c>
    </row>
    <row customHeight="1" ht="3">
      <c r="A14" s="184"/>
      <c r="B14" s="184"/>
      <c r="C14" s="184"/>
      <c r="M14" s="184">
        <v>3</v>
      </c>
    </row>
    <row customHeight="1" ht="29.25">
      <c r="E15" s="2559" t="s">
        <v>1891</v>
      </c>
      <c r="F15" s="2559"/>
      <c r="G15" s="2559"/>
      <c r="H15" s="2559"/>
      <c r="M15" s="184">
        <v>28</v>
      </c>
    </row>
    <row customHeight="1" ht="14.25" hidden="1">
      <c r="A16" s="181" t="s">
        <v>81</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70686-1442-24C1-73E7-2A4D13AE920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1892</v>
      </c>
      <c r="E7" s="2561"/>
      <c r="F7" s="330"/>
      <c r="J7" s="132">
        <v>22</v>
      </c>
    </row>
    <row customHeight="1" ht="3">
      <c r="C8" s="155"/>
      <c r="D8" s="133"/>
      <c r="E8" s="133"/>
      <c r="J8" s="132">
        <v>3</v>
      </c>
    </row>
    <row customHeight="1" ht="16.8">
      <c r="C9" s="155"/>
      <c r="D9" s="168" t="s">
        <v>87</v>
      </c>
      <c r="E9" s="323" t="s">
        <v>1893</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1894</v>
      </c>
      <c r="J13" s="132">
        <v>12</v>
      </c>
    </row>
    <row customHeight="1" ht="3">
      <c r="J14" s="132">
        <v>3</v>
      </c>
    </row>
    <row customHeight="1" ht="23.25">
      <c r="C15" s="200"/>
      <c r="D15" s="2562" t="s">
        <v>1895</v>
      </c>
      <c r="E15" s="2562"/>
      <c r="F15" s="201"/>
      <c r="G15" s="201"/>
      <c r="H15" s="201"/>
      <c r="I15" s="201"/>
      <c r="J15" s="132">
        <v>22</v>
      </c>
    </row>
    <row customHeight="1" ht="14.25" hidden="1">
      <c r="A16" s="132" t="s">
        <v>81</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B59EF-D437-AA26-28EB-6BA0F75D0CE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1896</v>
      </c>
      <c r="E7" s="2163"/>
      <c r="F7" s="330"/>
      <c r="M7" s="132">
        <v>22</v>
      </c>
    </row>
    <row customHeight="1" ht="3">
      <c r="C8" s="155"/>
      <c r="D8" s="133"/>
      <c r="E8" s="133"/>
      <c r="M8" s="132">
        <v>3</v>
      </c>
    </row>
    <row customHeight="1" ht="16.8">
      <c r="C9" s="155"/>
      <c r="D9" s="168" t="s">
        <v>87</v>
      </c>
      <c r="E9" s="171" t="s">
        <v>284</v>
      </c>
      <c r="M9" s="132">
        <v>16</v>
      </c>
    </row>
    <row customHeight="1" ht="12.75">
      <c r="C10" s="155"/>
      <c r="D10" s="150" t="s">
        <v>108</v>
      </c>
      <c r="E10" s="150" t="s">
        <v>109</v>
      </c>
      <c r="M10" s="132">
        <v>12</v>
      </c>
    </row>
    <row customHeight="1" ht="15" hidden="1">
      <c r="C11" s="155"/>
      <c r="D11" s="176">
        <v>0</v>
      </c>
      <c r="E11" s="212"/>
      <c r="M11" s="132">
        <v>0</v>
      </c>
    </row>
    <row customHeight="1" ht="14.699999999999998">
      <c r="C12" s="155"/>
      <c r="D12" s="172"/>
      <c r="E12" s="170" t="s">
        <v>1894</v>
      </c>
      <c r="M12" s="132">
        <v>14</v>
      </c>
    </row>
    <row customHeight="1" ht="14.25" hidden="1">
      <c r="A13" s="132" t="s">
        <v>81</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B86AC-A187-67CA-350A-655C1BCE9EA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276</v>
      </c>
      <c r="M2" s="1616" t="s">
        <v>277</v>
      </c>
      <c r="R2" s="1616" t="s">
        <v>278</v>
      </c>
      <c r="S2" s="1616" t="s">
        <v>277</v>
      </c>
      <c r="X2" s="1616" t="s">
        <v>276</v>
      </c>
      <c r="Y2" s="1616" t="s">
        <v>277</v>
      </c>
      <c r="AD2" s="1616" t="s">
        <v>276</v>
      </c>
      <c r="AE2" s="1616" t="s">
        <v>277</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279</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Филиал "Уренгойская ГРЭС" АО "Интер РАО - Электрогенерация"</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87</v>
      </c>
      <c r="E8" s="2190" t="s">
        <v>104</v>
      </c>
      <c r="F8" s="2255" t="s">
        <v>122</v>
      </c>
      <c r="G8" s="2256"/>
      <c r="H8" s="2255" t="s">
        <v>87</v>
      </c>
      <c r="I8" s="2256"/>
      <c r="J8" s="2190" t="s">
        <v>123</v>
      </c>
      <c r="K8" s="1619"/>
      <c r="L8" s="2259" t="s">
        <v>280</v>
      </c>
      <c r="M8" s="2259"/>
      <c r="N8" s="2259"/>
      <c r="O8" s="2259"/>
      <c r="P8" s="2259"/>
      <c r="Q8" s="1620"/>
      <c r="R8" s="2159" t="s">
        <v>281</v>
      </c>
      <c r="S8" s="2260"/>
      <c r="T8" s="2260"/>
      <c r="U8" s="2260"/>
      <c r="V8" s="2260"/>
      <c r="W8" s="1620"/>
      <c r="X8" s="2261" t="s">
        <v>282</v>
      </c>
      <c r="Y8" s="2261"/>
      <c r="Z8" s="2261"/>
      <c r="AA8" s="2261"/>
      <c r="AB8" s="2261"/>
      <c r="AC8" s="1621"/>
      <c r="AD8" s="2190" t="s">
        <v>283</v>
      </c>
      <c r="AE8" s="2190"/>
      <c r="AF8" s="2190"/>
      <c r="AG8" s="2190"/>
      <c r="AH8" s="2164"/>
      <c r="AI8" s="2190" t="s">
        <v>284</v>
      </c>
      <c r="AJ8" s="1637"/>
      <c r="BM8" s="356">
        <v>32</v>
      </c>
    </row>
    <row customHeight="1" ht="23.25">
      <c r="D9" s="2190"/>
      <c r="E9" s="2190"/>
      <c r="F9" s="2238" t="s">
        <v>88</v>
      </c>
      <c r="G9" s="2238" t="s">
        <v>128</v>
      </c>
      <c r="H9" s="2257"/>
      <c r="I9" s="2258"/>
      <c r="J9" s="2164"/>
      <c r="K9" s="1622"/>
      <c r="L9" s="2190" t="s">
        <v>285</v>
      </c>
      <c r="M9" s="2164"/>
      <c r="N9" s="2255" t="s">
        <v>87</v>
      </c>
      <c r="O9" s="2256"/>
      <c r="P9" s="2190" t="s">
        <v>129</v>
      </c>
      <c r="Q9" s="1619"/>
      <c r="R9" s="2190" t="s">
        <v>285</v>
      </c>
      <c r="S9" s="2164"/>
      <c r="T9" s="2255" t="s">
        <v>87</v>
      </c>
      <c r="U9" s="2256"/>
      <c r="V9" s="2190" t="s">
        <v>129</v>
      </c>
      <c r="W9" s="1619"/>
      <c r="X9" s="2190" t="s">
        <v>285</v>
      </c>
      <c r="Y9" s="2164"/>
      <c r="Z9" s="2255" t="s">
        <v>87</v>
      </c>
      <c r="AA9" s="2256"/>
      <c r="AB9" s="2190" t="s">
        <v>286</v>
      </c>
      <c r="AC9" s="1619"/>
      <c r="AD9" s="2190" t="s">
        <v>285</v>
      </c>
      <c r="AE9" s="2164"/>
      <c r="AF9" s="2255" t="s">
        <v>87</v>
      </c>
      <c r="AG9" s="2256"/>
      <c r="AH9" s="2164" t="s">
        <v>286</v>
      </c>
      <c r="AI9" s="2190"/>
      <c r="AJ9" s="1637"/>
      <c r="BM9" s="356">
        <v>22</v>
      </c>
    </row>
    <row customHeight="1" ht="24">
      <c r="D10" s="2238"/>
      <c r="E10" s="2238"/>
      <c r="F10" s="2262"/>
      <c r="G10" s="2262"/>
      <c r="H10" s="2263"/>
      <c r="I10" s="2264"/>
      <c r="J10" s="2255"/>
      <c r="K10" s="1622"/>
      <c r="L10" s="1641" t="s">
        <v>287</v>
      </c>
      <c r="M10" s="1636" t="s">
        <v>288</v>
      </c>
      <c r="N10" s="2257"/>
      <c r="O10" s="2258"/>
      <c r="P10" s="2238"/>
      <c r="Q10" s="1619"/>
      <c r="R10" s="1641" t="s">
        <v>287</v>
      </c>
      <c r="S10" s="1636" t="s">
        <v>288</v>
      </c>
      <c r="T10" s="2257"/>
      <c r="U10" s="2258"/>
      <c r="V10" s="2238"/>
      <c r="W10" s="1619"/>
      <c r="X10" s="1641" t="s">
        <v>287</v>
      </c>
      <c r="Y10" s="1636" t="s">
        <v>288</v>
      </c>
      <c r="Z10" s="2257"/>
      <c r="AA10" s="2258"/>
      <c r="AB10" s="2238"/>
      <c r="AC10" s="1619"/>
      <c r="AD10" s="1641" t="s">
        <v>287</v>
      </c>
      <c r="AE10" s="1636" t="s">
        <v>288</v>
      </c>
      <c r="AF10" s="2257"/>
      <c r="AG10" s="2258"/>
      <c r="AH10" s="2255"/>
      <c r="AI10" s="2238"/>
      <c r="AJ10" s="1637"/>
      <c r="AK10" s="317" t="s">
        <v>289</v>
      </c>
      <c r="AL10" s="317" t="s">
        <v>130</v>
      </c>
      <c r="BM10" s="356">
        <v>23</v>
      </c>
    </row>
    <row customHeight="1" ht="15">
      <c r="D11" s="2246" t="s">
        <v>108</v>
      </c>
      <c r="E11" s="2242" t="s">
        <v>290</v>
      </c>
      <c r="F11" s="2242" t="s">
        <v>291</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109</v>
      </c>
      <c r="E17" s="2242" t="s">
        <v>290</v>
      </c>
      <c r="F17" s="2242" t="s">
        <v>292</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89</v>
      </c>
      <c r="E23" s="2242" t="s">
        <v>290</v>
      </c>
      <c r="F23" s="2242" t="s">
        <v>293</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97</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90</v>
      </c>
      <c r="E29" s="2242" t="s">
        <v>290</v>
      </c>
      <c r="F29" s="2242" t="s">
        <v>294</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110</v>
      </c>
      <c r="E35" s="2242" t="s">
        <v>290</v>
      </c>
      <c r="F35" s="2242" t="s">
        <v>295</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81</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E4798-E0D5-72A7-AB48-22A04BCCD2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1897</v>
      </c>
      <c r="C2" s="2563"/>
      <c r="D2" s="2563"/>
      <c r="E2" s="331"/>
      <c r="F2" s="152">
        <v>22</v>
      </c>
    </row>
    <row customHeight="1" ht="3">
      <c r="F3" s="152">
        <v>3</v>
      </c>
    </row>
    <row customHeight="1" ht="23.25">
      <c r="B4" s="2677" t="s">
        <v>1898</v>
      </c>
      <c r="C4" s="446" t="s">
        <v>1899</v>
      </c>
      <c r="D4" s="446" t="s">
        <v>1900</v>
      </c>
      <c r="F4" s="152">
        <v>22</v>
      </c>
    </row>
    <row customHeight="1" ht="11.25" hidden="1">
      <c r="A5" s="152" t="s">
        <v>81</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A495F-F6BA-F64E-09EE-63578414CD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1901</v>
      </c>
    </row>
    <row r="4" s="4799" customFormat="1" customHeight="1" ht="15">
      <c r="C4" s="1879"/>
      <c r="D4" s="176"/>
      <c r="E4" s="440"/>
    </row>
    <row r="6" s="4808" customFormat="1" customHeight="1" ht="17.25">
      <c r="A6" s="1878" t="s">
        <v>1902</v>
      </c>
    </row>
    <row r="8" s="4799" customFormat="1" customHeight="1" ht="17.25">
      <c r="C8" s="1880"/>
      <c r="D8" s="176"/>
      <c r="E8" s="177"/>
    </row>
    <row r="11" s="4808" customFormat="1" customHeight="1" ht="17.25">
      <c r="A11" s="1878" t="s">
        <v>1903</v>
      </c>
    </row>
    <row r="13" s="3380" customFormat="1" customHeight="1" ht="15">
      <c r="A13" s="2280">
        <v>1</v>
      </c>
      <c r="B13" s="1223"/>
      <c r="C13" s="864" t="s">
        <v>686</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101</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1904</v>
      </c>
    </row>
    <row r="19" s="5235" customFormat="1" customHeight="1" ht="15">
      <c r="A19" s="1945"/>
      <c r="B19" s="1429">
        <v>1</v>
      </c>
      <c r="C19" s="1429"/>
      <c r="D19" s="863" t="s">
        <v>686</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1905</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686</v>
      </c>
      <c r="D23" s="2171" t="s">
        <v>108</v>
      </c>
      <c r="E23" s="2172"/>
      <c r="F23" s="2170" t="s">
        <v>19</v>
      </c>
      <c r="G23" s="2620"/>
      <c r="H23" s="2190">
        <v>1</v>
      </c>
      <c r="I23" s="2622" t="str">
        <f>IF(U23="","",INDEX(TERRITORY_MR_LIST,MATCH(U23,TERRITORY_LIST_ID,0)))</f>
        <v/>
      </c>
      <c r="J23" s="2170" t="s">
        <v>19</v>
      </c>
      <c r="K23" s="895"/>
      <c r="L23" s="1845" t="s">
        <v>108</v>
      </c>
      <c r="M23" s="666"/>
      <c r="N23" s="667"/>
      <c r="O23" s="667"/>
      <c r="P23" s="667"/>
      <c r="Q23" s="667"/>
      <c r="R23" s="667"/>
      <c r="S23" s="667"/>
      <c r="T23" s="667"/>
      <c r="U23" s="668"/>
      <c r="V23" s="667"/>
      <c r="W23" s="667"/>
      <c r="X23" s="658"/>
      <c r="Y23" s="658" t="s">
        <v>118</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119</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120</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1906</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686</v>
      </c>
      <c r="H29" s="2166">
        <v>1</v>
      </c>
      <c r="I29" s="2625" t="str">
        <f>IF(U29="","",INDEX(TERRITORY_MR_LIST,MATCH(U29,TERRITORY_LIST_ID,0)))</f>
        <v/>
      </c>
      <c r="J29" s="2170" t="s">
        <v>19</v>
      </c>
      <c r="K29" s="895"/>
      <c r="L29" s="1845" t="s">
        <v>108</v>
      </c>
      <c r="M29" s="666"/>
      <c r="N29" s="667"/>
      <c r="O29" s="667"/>
      <c r="P29" s="667"/>
      <c r="Q29" s="667"/>
      <c r="R29" s="667"/>
      <c r="S29" s="667"/>
      <c r="T29" s="667"/>
      <c r="U29" s="668"/>
      <c r="V29" s="667"/>
      <c r="W29" s="667"/>
      <c r="X29" s="658"/>
      <c r="Y29" s="658" t="s">
        <v>118</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119</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1907</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686</v>
      </c>
      <c r="L34" s="1792" t="s">
        <v>108</v>
      </c>
      <c r="M34" s="874"/>
      <c r="N34" s="875"/>
      <c r="O34" s="667"/>
      <c r="P34" s="667"/>
      <c r="Q34" s="667"/>
      <c r="R34" s="667"/>
      <c r="S34" s="667"/>
      <c r="T34" s="667"/>
      <c r="U34" s="668"/>
      <c r="V34" s="667"/>
      <c r="W34" s="667"/>
      <c r="X34" s="658"/>
      <c r="Y34" s="658" t="s">
        <v>118</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1908</v>
      </c>
    </row>
    <row customHeight="1" ht="11.25"/>
    <row s="3231" customFormat="1" customHeight="1" ht="22.5">
      <c r="A39" s="1854"/>
      <c r="B39" s="520"/>
      <c r="C39" s="922"/>
      <c r="D39" s="503"/>
      <c r="E39" s="923"/>
      <c r="F39" s="1875"/>
      <c r="G39" s="1885"/>
      <c r="H39" s="538"/>
    </row>
    <row customHeight="1" ht="11.25"/>
    <row s="4808" customFormat="1" customHeight="1" ht="11.25">
      <c r="A41" s="1878" t="s">
        <v>1909</v>
      </c>
    </row>
    <row customHeight="1" ht="11.25"/>
    <row s="3231" customFormat="1" customHeight="1" ht="22.5">
      <c r="A43" s="520"/>
      <c r="B43" s="520"/>
      <c r="C43" s="520"/>
      <c r="D43" s="503"/>
      <c r="E43" s="923"/>
      <c r="F43" s="924"/>
      <c r="G43" s="1885"/>
      <c r="H43" s="538"/>
    </row>
    <row customHeight="1" ht="11.25"/>
    <row s="4808" customFormat="1" customHeight="1" ht="11.25">
      <c r="A45" s="1878" t="s">
        <v>1910</v>
      </c>
    </row>
    <row customHeight="1" ht="11.25"/>
    <row s="3231" customFormat="1" customHeight="1" ht="24">
      <c r="A47" s="2265" t="s">
        <v>310</v>
      </c>
      <c r="B47" s="565"/>
      <c r="C47" s="2276"/>
      <c r="D47" s="508" t="str">
        <f>A47</f>
        <v>5.1</v>
      </c>
      <c r="E47" s="505" t="s">
        <v>311</v>
      </c>
      <c r="F47" s="2039" t="s">
        <v>303</v>
      </c>
      <c r="G47" s="507" t="s">
        <v>312</v>
      </c>
      <c r="H47" s="538"/>
      <c r="I47" s="915"/>
    </row>
    <row s="3231" customFormat="1" customHeight="1" ht="22.5">
      <c r="A48" s="2265"/>
      <c r="B48" s="565"/>
      <c r="C48" s="2276"/>
      <c r="D48" s="503" t="str">
        <f>D47&amp;".1"</f>
        <v>5.1.1</v>
      </c>
      <c r="E48" s="502" t="s">
        <v>313</v>
      </c>
      <c r="F48" s="2040" t="s">
        <v>22</v>
      </c>
      <c r="G48" s="537"/>
      <c r="H48" s="538"/>
      <c r="I48" s="915"/>
    </row>
    <row s="3231" customFormat="1" customHeight="1" ht="22.5">
      <c r="A49" s="2265"/>
      <c r="B49" s="565"/>
      <c r="C49" s="2276"/>
      <c r="D49" s="503" t="str">
        <f>D47&amp;".2"</f>
        <v>5.1.2</v>
      </c>
      <c r="E49" s="502" t="s">
        <v>314</v>
      </c>
      <c r="F49" s="1795" t="s">
        <v>22</v>
      </c>
      <c r="G49" s="507" t="s">
        <v>315</v>
      </c>
      <c r="H49" s="538"/>
      <c r="I49" s="915"/>
    </row>
    <row s="3231" customFormat="1" customHeight="1" ht="22.5">
      <c r="A50" s="2265"/>
      <c r="B50" s="565"/>
      <c r="C50" s="2276"/>
      <c r="D50" s="503" t="str">
        <f>D47&amp;".3"</f>
        <v>5.1.3</v>
      </c>
      <c r="E50" s="502" t="s">
        <v>316</v>
      </c>
      <c r="F50" s="2040" t="s">
        <v>22</v>
      </c>
      <c r="G50" s="537"/>
      <c r="H50" s="538"/>
      <c r="I50" s="915"/>
    </row>
    <row s="3231" customFormat="1" customHeight="1" ht="22.5">
      <c r="A51" s="2265"/>
      <c r="B51" s="565"/>
      <c r="C51" s="2276"/>
      <c r="D51" s="503" t="str">
        <f>D47&amp;".4"</f>
        <v>5.1.4</v>
      </c>
      <c r="E51" s="502" t="s">
        <v>317</v>
      </c>
      <c r="F51" s="2040" t="s">
        <v>22</v>
      </c>
      <c r="G51" s="507" t="s">
        <v>318</v>
      </c>
      <c r="H51" s="538"/>
      <c r="I51" s="915"/>
    </row>
    <row r="54" s="4808" customFormat="1" customHeight="1" ht="17.25">
      <c r="A54" s="1878" t="s">
        <v>1911</v>
      </c>
    </row>
    <row r="56" s="3333" customFormat="1" customHeight="1" ht="18.75">
      <c r="A56" s="152"/>
      <c r="B56" s="1886"/>
      <c r="C56" s="1886"/>
      <c r="D56" s="1887"/>
      <c r="E56" s="1872"/>
      <c r="F56" s="931">
        <v>13</v>
      </c>
      <c r="G56" s="930"/>
      <c r="H56" s="856"/>
      <c r="I56" s="854"/>
      <c r="J56" s="583" t="s">
        <v>65</v>
      </c>
      <c r="K56" s="1888" t="s">
        <v>22</v>
      </c>
      <c r="L56" s="152"/>
      <c r="M56" s="1699"/>
      <c r="N56" s="1699"/>
      <c r="O56" s="1699"/>
      <c r="P56" s="579" t="s">
        <v>389</v>
      </c>
      <c r="Q56" s="579" t="s">
        <v>390</v>
      </c>
      <c r="R56" s="580" t="s">
        <v>391</v>
      </c>
      <c r="S56" s="1699" t="s">
        <v>392</v>
      </c>
      <c r="T56" s="1699"/>
      <c r="U56" s="1699"/>
      <c r="V56" s="1699"/>
    </row>
    <row r="58" s="4808" customFormat="1" customHeight="1" ht="11.25">
      <c r="A58" s="1878" t="s">
        <v>1912</v>
      </c>
    </row>
    <row r="60" s="4517" customFormat="1" customHeight="1" ht="14.25">
      <c r="C60" s="1751"/>
      <c r="D60" s="1932"/>
      <c r="E60" s="1840" t="s">
        <v>22</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378</v>
      </c>
      <c r="AQ60" s="1687" t="s">
        <v>378</v>
      </c>
      <c r="AR60" s="1699"/>
      <c r="AS60" s="1699"/>
    </row>
    <row r="62" s="4808" customFormat="1" customHeight="1" ht="11.25">
      <c r="A62" s="1878" t="s">
        <v>1913</v>
      </c>
    </row>
    <row r="64" s="4979" customFormat="1" customHeight="1" ht="15">
      <c r="A64" s="208" t="s">
        <v>89</v>
      </c>
      <c r="B64" s="188" t="s">
        <v>22</v>
      </c>
      <c r="C64" s="1889"/>
      <c r="D64" s="191"/>
      <c r="E64" s="444"/>
      <c r="F64" s="444"/>
      <c r="G64" s="1866"/>
      <c r="H64" s="1888"/>
      <c r="I64" s="1867"/>
      <c r="K64" s="335"/>
      <c r="L64" s="336"/>
    </row>
    <row r="66" s="4808" customFormat="1" customHeight="1" ht="11.25">
      <c r="A66" s="1878" t="s">
        <v>1914</v>
      </c>
    </row>
    <row r="68" s="4517" customFormat="1" customHeight="1" ht="14.25">
      <c r="A68" s="406"/>
      <c r="B68" s="1223"/>
      <c r="C68" s="439"/>
      <c r="D68" s="1873"/>
      <c r="E68" s="949"/>
      <c r="F68" s="1888"/>
      <c r="G68" s="152"/>
      <c r="I68" s="1687"/>
      <c r="J68" s="1687"/>
    </row>
    <row r="70" s="4808" customFormat="1" customHeight="1" ht="11.25">
      <c r="A70" s="1878" t="s">
        <v>1915</v>
      </c>
    </row>
    <row r="72" s="4517" customFormat="1" customHeight="1" ht="27">
      <c r="A72" s="1229"/>
      <c r="B72" s="1229"/>
      <c r="C72" s="1229"/>
      <c r="D72" s="1223"/>
      <c r="E72" s="1890"/>
      <c r="F72" s="2644"/>
      <c r="G72" s="2645"/>
      <c r="H72" s="2646" t="s">
        <v>65</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65</v>
      </c>
      <c r="Z72" s="1871"/>
      <c r="AA72" s="1855">
        <v>1</v>
      </c>
      <c r="AB72" s="1305"/>
      <c r="AD72" s="1699" t="s">
        <v>1916</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1917</v>
      </c>
    </row>
    <row r="75" s="4808" customFormat="1" customHeight="1" ht="11.25">
      <c r="A75" s="1878" t="s">
        <v>1918</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1916</v>
      </c>
    </row>
    <row r="79" s="4808" customFormat="1" customHeight="1" ht="11.25">
      <c r="A79" s="1878" t="s">
        <v>1919</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373</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1920</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1921</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22</v>
      </c>
      <c r="R91" s="2576" t="s">
        <v>22</v>
      </c>
      <c r="S91" s="2576" t="s">
        <v>22</v>
      </c>
      <c r="T91" s="2576" t="s">
        <v>22</v>
      </c>
      <c r="U91" s="2576" t="s">
        <v>22</v>
      </c>
      <c r="V91" s="2576" t="s">
        <v>22</v>
      </c>
      <c r="W91" s="2576" t="s">
        <v>22</v>
      </c>
      <c r="X91" s="2576" t="s">
        <v>22</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1922</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1923</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1924</v>
      </c>
    </row>
    <row r="101" s="4517" customFormat="1" customHeight="1" ht="11.25">
      <c r="A101" s="1229"/>
      <c r="B101" s="1229"/>
      <c r="C101" s="1229"/>
      <c r="D101" s="1223"/>
      <c r="E101" s="1233"/>
      <c r="F101" s="1892"/>
      <c r="G101" s="1893"/>
      <c r="H101" s="2578" t="s">
        <v>108</v>
      </c>
      <c r="I101" s="2579"/>
      <c r="J101" s="2548"/>
      <c r="K101" s="2580"/>
      <c r="L101" s="2170" t="s">
        <v>19</v>
      </c>
      <c r="M101" s="2171"/>
      <c r="N101" s="2049"/>
      <c r="O101" s="1240" t="s">
        <v>373</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1922</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1925</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1926</v>
      </c>
    </row>
    <row customHeight="1" ht="17.25"/>
    <row s="4363" customFormat="1" customHeight="1" ht="21">
      <c r="A109" s="1230"/>
      <c r="B109" s="1003"/>
      <c r="D109" s="987"/>
      <c r="E109" s="1002" t="s">
        <v>22</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1927</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1928</v>
      </c>
    </row>
    <row r="115" s="5235" customFormat="1" customHeight="1" ht="15">
      <c r="A115" s="686"/>
      <c r="B115" s="687"/>
      <c r="C115" s="687"/>
      <c r="D115" s="2641" t="s">
        <v>108</v>
      </c>
      <c r="E115" s="2440" t="s">
        <v>104</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22</v>
      </c>
      <c r="AF115" s="693"/>
      <c r="AG115" s="694" t="s">
        <v>606</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561</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562</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607</v>
      </c>
      <c r="F118" s="2439"/>
      <c r="G118" s="2439"/>
      <c r="H118" s="2439"/>
      <c r="I118" s="2439"/>
      <c r="J118" s="2439"/>
      <c r="K118" s="2439"/>
      <c r="L118" s="2439"/>
      <c r="M118" s="2439"/>
      <c r="N118" s="2439"/>
      <c r="O118" s="2439"/>
      <c r="P118" s="2439"/>
      <c r="Q118" s="621">
        <f>SUMIF(T119:T120,"i",Q119:Q120)</f>
        <v>0</v>
      </c>
      <c r="R118" s="1080"/>
      <c r="S118" s="1861" t="s">
        <v>608</v>
      </c>
      <c r="T118" s="780" t="s">
        <v>609</v>
      </c>
      <c r="U118" s="2437">
        <v>1</v>
      </c>
      <c r="V118" s="2437" t="s">
        <v>572</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22</v>
      </c>
      <c r="F120" s="1231" t="s">
        <v>22</v>
      </c>
      <c r="G120" s="1231" t="s">
        <v>1929</v>
      </c>
      <c r="H120" s="714" t="s">
        <v>22</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610</v>
      </c>
      <c r="F121" s="2439"/>
      <c r="G121" s="2439"/>
      <c r="H121" s="2439"/>
      <c r="I121" s="2439"/>
      <c r="J121" s="2439"/>
      <c r="K121" s="2439"/>
      <c r="L121" s="2439"/>
      <c r="M121" s="2439"/>
      <c r="N121" s="2439"/>
      <c r="O121" s="2439"/>
      <c r="P121" s="2439"/>
      <c r="Q121" s="621">
        <f>SUMIF(T122:T123,"i",Q122:Q123)</f>
        <v>0</v>
      </c>
      <c r="R121" s="1080"/>
      <c r="S121" s="1861" t="s">
        <v>611</v>
      </c>
      <c r="T121" s="780" t="s">
        <v>609</v>
      </c>
      <c r="U121" s="2437">
        <v>1</v>
      </c>
      <c r="V121" s="2437" t="s">
        <v>572</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22</v>
      </c>
      <c r="F123" s="1231" t="s">
        <v>22</v>
      </c>
      <c r="G123" s="1231" t="s">
        <v>1929</v>
      </c>
      <c r="H123" s="714" t="s">
        <v>22</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1930</v>
      </c>
    </row>
    <row r="127" s="5235" customFormat="1" customHeight="1" ht="15">
      <c r="A127" s="686"/>
      <c r="B127" s="687"/>
      <c r="C127" s="687"/>
      <c r="D127" s="2641" t="s">
        <v>108</v>
      </c>
      <c r="E127" s="2440" t="s">
        <v>104</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22</v>
      </c>
      <c r="AF127" s="693"/>
      <c r="AG127" s="694" t="s">
        <v>606</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561</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562</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607</v>
      </c>
      <c r="F130" s="2439"/>
      <c r="G130" s="2439"/>
      <c r="H130" s="2439"/>
      <c r="I130" s="2439"/>
      <c r="J130" s="2439"/>
      <c r="K130" s="2439"/>
      <c r="L130" s="2439"/>
      <c r="M130" s="2439"/>
      <c r="N130" s="2439"/>
      <c r="O130" s="2439"/>
      <c r="P130" s="2439"/>
      <c r="Q130" s="621">
        <f>SUMIF(T131:T132,"i",Q131:Q132)</f>
        <v>0</v>
      </c>
      <c r="R130" s="1080"/>
      <c r="S130" s="1861" t="s">
        <v>608</v>
      </c>
      <c r="T130" s="780" t="s">
        <v>609</v>
      </c>
      <c r="U130" s="2437">
        <v>1</v>
      </c>
      <c r="V130" s="2437" t="s">
        <v>572</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22</v>
      </c>
      <c r="F132" s="1231" t="s">
        <v>22</v>
      </c>
      <c r="G132" s="1231" t="s">
        <v>1929</v>
      </c>
      <c r="H132" s="714" t="s">
        <v>22</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609</v>
      </c>
      <c r="U133" s="2437">
        <v>1</v>
      </c>
      <c r="V133" s="2437" t="s">
        <v>572</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1931</v>
      </c>
    </row>
    <row r="139" s="5235" customFormat="1" customHeight="1" ht="45">
      <c r="A139" s="1869"/>
      <c r="B139" s="1223"/>
      <c r="C139" s="475"/>
      <c r="D139" s="152"/>
      <c r="E139" s="2635"/>
      <c r="F139" s="2171" t="s">
        <v>108</v>
      </c>
      <c r="G139" s="2638" t="s">
        <v>22</v>
      </c>
      <c r="H139" s="352"/>
      <c r="I139" s="700" t="s">
        <v>108</v>
      </c>
      <c r="J139" s="1870" t="s">
        <v>1932</v>
      </c>
      <c r="K139" s="701" t="s">
        <v>543</v>
      </c>
      <c r="L139" s="2287" t="s">
        <v>543</v>
      </c>
      <c r="M139" s="2640"/>
      <c r="N139" s="701" t="s">
        <v>543</v>
      </c>
      <c r="O139" s="701" t="s">
        <v>543</v>
      </c>
      <c r="P139" s="701" t="s">
        <v>543</v>
      </c>
      <c r="Q139" s="702">
        <f>SUM(Q140:Q142)</f>
        <v>0</v>
      </c>
      <c r="R139" s="702">
        <f>IF(R136=0,0,(Q136/R136)*100)</f>
        <v>0</v>
      </c>
      <c r="S139" s="2242"/>
      <c r="T139" s="780" t="s">
        <v>609</v>
      </c>
      <c r="U139" s="152"/>
      <c r="V139" s="152"/>
      <c r="AC139" s="152"/>
    </row>
    <row s="5235" customFormat="1" customHeight="1" ht="11.25">
      <c r="A140" s="1869"/>
      <c r="B140" s="1223"/>
      <c r="C140" s="475"/>
      <c r="D140" s="152"/>
      <c r="E140" s="2636"/>
      <c r="F140" s="2171"/>
      <c r="G140" s="2638"/>
      <c r="H140" s="2190"/>
      <c r="I140" s="2578" t="s">
        <v>1019</v>
      </c>
      <c r="J140" s="2632"/>
      <c r="K140" s="2633"/>
      <c r="L140" s="703"/>
      <c r="M140" s="704" t="s">
        <v>108</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1933</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22</v>
      </c>
      <c r="I142" s="709"/>
      <c r="J142" s="710" t="s">
        <v>1934</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1019</v>
      </c>
      <c r="J147" s="2632"/>
      <c r="K147" s="2633"/>
      <c r="L147" s="703"/>
      <c r="M147" s="704" t="s">
        <v>108</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1933</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108</v>
      </c>
      <c r="N150" s="1858"/>
      <c r="O150" s="705"/>
      <c r="P150" s="706"/>
      <c r="Q150" s="705"/>
      <c r="R150" s="707">
        <v>0</v>
      </c>
      <c r="S150" s="152"/>
      <c r="T150" s="780"/>
      <c r="U150" s="152"/>
      <c r="V150" s="152"/>
      <c r="AC150" s="152"/>
    </row>
    <row r="152" s="4808" customFormat="1" customHeight="1" ht="17.25">
      <c r="A152" s="1878" t="s">
        <v>1935</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65</v>
      </c>
      <c r="L154" s="2171"/>
      <c r="M154" s="2171" t="s">
        <v>108</v>
      </c>
      <c r="N154" s="2567" t="str">
        <f>IF(Z154="","",INDEX(TERRITORY_MR_LIST,MATCH(Z154,TERRITORY_LIST_ID,0)))</f>
        <v/>
      </c>
      <c r="O154" s="2248" t="s">
        <v>65</v>
      </c>
      <c r="P154" s="2171"/>
      <c r="Q154" s="2171" t="s">
        <v>108</v>
      </c>
      <c r="R154" s="2565" t="s">
        <v>22</v>
      </c>
      <c r="S154" s="2170" t="s">
        <v>65</v>
      </c>
      <c r="T154" s="1874"/>
      <c r="U154" s="1874" t="s">
        <v>108</v>
      </c>
      <c r="V154" s="1906" t="s">
        <v>22</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411</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412</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413</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445</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65</v>
      </c>
      <c r="L160" s="2171"/>
      <c r="M160" s="2171" t="s">
        <v>108</v>
      </c>
      <c r="N160" s="2567" t="str">
        <f>IF(Z160="","",INDEX(TERRITORY_MR_LIST,MATCH(Z160,TERRITORY_LIST_ID,0)))</f>
        <v/>
      </c>
      <c r="O160" s="2248" t="s">
        <v>65</v>
      </c>
      <c r="P160" s="2171"/>
      <c r="Q160" s="2171" t="s">
        <v>108</v>
      </c>
      <c r="R160" s="2565" t="s">
        <v>22</v>
      </c>
      <c r="S160" s="2170" t="s">
        <v>65</v>
      </c>
      <c r="T160" s="1874"/>
      <c r="U160" s="1874" t="s">
        <v>108</v>
      </c>
      <c r="V160" s="1906" t="s">
        <v>22</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411</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412</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413</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108</v>
      </c>
      <c r="N165" s="2567" t="str">
        <f>IF(Z165="","",INDEX(TERRITORY_MR_LIST,MATCH(Z165,TERRITORY_LIST_ID,0)))</f>
        <v/>
      </c>
      <c r="O165" s="2248" t="s">
        <v>65</v>
      </c>
      <c r="P165" s="2171"/>
      <c r="Q165" s="2171" t="s">
        <v>108</v>
      </c>
      <c r="R165" s="2565" t="s">
        <v>22</v>
      </c>
      <c r="S165" s="2170" t="s">
        <v>65</v>
      </c>
      <c r="T165" s="1874"/>
      <c r="U165" s="1874" t="s">
        <v>108</v>
      </c>
      <c r="V165" s="1906" t="s">
        <v>22</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411</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412</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108</v>
      </c>
      <c r="R169" s="2565" t="s">
        <v>22</v>
      </c>
      <c r="S169" s="2170" t="s">
        <v>65</v>
      </c>
      <c r="T169" s="1874"/>
      <c r="U169" s="1874" t="s">
        <v>108</v>
      </c>
      <c r="V169" s="1906" t="s">
        <v>22</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411</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108</v>
      </c>
      <c r="V172" s="1906" t="s">
        <v>22</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1936</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65</v>
      </c>
      <c r="L176" s="2171"/>
      <c r="M176" s="2171" t="s">
        <v>108</v>
      </c>
      <c r="N176" s="2567" t="str">
        <f>IF(Z176="","",INDEX(TERRITORY_MR_LIST,MATCH(Z176,TERRITORY_LIST_ID,0)))</f>
        <v/>
      </c>
      <c r="O176" s="2248" t="s">
        <v>65</v>
      </c>
      <c r="P176" s="2171"/>
      <c r="Q176" s="2171" t="s">
        <v>108</v>
      </c>
      <c r="R176" s="2565" t="s">
        <v>22</v>
      </c>
      <c r="S176" s="2469" t="s">
        <v>19</v>
      </c>
      <c r="T176" s="1865"/>
      <c r="U176" s="1865" t="s">
        <v>108</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412</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413</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445</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65</v>
      </c>
      <c r="L182" s="2171"/>
      <c r="M182" s="2171" t="s">
        <v>108</v>
      </c>
      <c r="N182" s="2567" t="str">
        <f>IF(Z182="","",INDEX(TERRITORY_MR_LIST,MATCH(Z182,TERRITORY_LIST_ID,0)))</f>
        <v/>
      </c>
      <c r="O182" s="2248" t="s">
        <v>65</v>
      </c>
      <c r="P182" s="2171"/>
      <c r="Q182" s="2171" t="s">
        <v>108</v>
      </c>
      <c r="R182" s="2565" t="s">
        <v>22</v>
      </c>
      <c r="S182" s="2469" t="s">
        <v>19</v>
      </c>
      <c r="T182" s="1865"/>
      <c r="U182" s="1865" t="s">
        <v>108</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412</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413</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108</v>
      </c>
      <c r="N187" s="2567" t="str">
        <f>IF(Z187="","",INDEX(TERRITORY_MR_LIST,MATCH(Z187,TERRITORY_LIST_ID,0)))</f>
        <v/>
      </c>
      <c r="O187" s="2248" t="s">
        <v>65</v>
      </c>
      <c r="P187" s="2171"/>
      <c r="Q187" s="2171" t="s">
        <v>108</v>
      </c>
      <c r="R187" s="2565" t="s">
        <v>22</v>
      </c>
      <c r="S187" s="2469" t="s">
        <v>19</v>
      </c>
      <c r="T187" s="1865"/>
      <c r="U187" s="1865" t="s">
        <v>108</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412</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108</v>
      </c>
      <c r="R191" s="2565" t="s">
        <v>22</v>
      </c>
      <c r="S191" s="2469" t="s">
        <v>19</v>
      </c>
      <c r="T191" s="1865"/>
      <c r="U191" s="1865" t="s">
        <v>108</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1937</v>
      </c>
    </row>
    <row customHeight="1" ht="17.25">
      <c r="G201" s="1902"/>
      <c r="H201" s="1902"/>
      <c r="I201" s="1902"/>
      <c r="M201" s="1898"/>
    </row>
    <row s="5235" customFormat="1" customHeight="1" ht="15">
      <c r="D202" s="2586"/>
      <c r="E202" s="2262"/>
      <c r="F202" s="2262"/>
      <c r="G202" s="2248"/>
      <c r="H202" s="1627"/>
      <c r="I202" s="2590">
        <v>1</v>
      </c>
      <c r="J202" s="2564"/>
      <c r="K202" s="1642"/>
      <c r="L202" s="2248" t="s">
        <v>65</v>
      </c>
      <c r="M202" s="2248" t="s">
        <v>65</v>
      </c>
      <c r="N202" s="1627"/>
      <c r="O202" s="2171" t="s">
        <v>108</v>
      </c>
      <c r="P202" s="2580"/>
      <c r="Q202" s="1643"/>
      <c r="R202" s="2248" t="s">
        <v>65</v>
      </c>
      <c r="S202" s="2248" t="s">
        <v>65</v>
      </c>
      <c r="T202" s="1918"/>
      <c r="U202" s="2171" t="s">
        <v>108</v>
      </c>
      <c r="V202" s="2587" t="str">
        <f>IF(AK202="","",INDEX(TERRITORY_MR_LIST,MATCH(AK202,TERRITORY_LIST_ID,0)))</f>
        <v/>
      </c>
      <c r="W202" s="1644"/>
      <c r="X202" s="2248" t="s">
        <v>65</v>
      </c>
      <c r="Y202" s="2248" t="s">
        <v>19</v>
      </c>
      <c r="Z202" s="1627"/>
      <c r="AA202" s="2171" t="s">
        <v>108</v>
      </c>
      <c r="AB202" s="2589"/>
      <c r="AC202" s="1645"/>
      <c r="AD202" s="2248" t="s">
        <v>65</v>
      </c>
      <c r="AE202" s="2248" t="s">
        <v>19</v>
      </c>
      <c r="AF202" s="1625"/>
      <c r="AG202" s="1874" t="s">
        <v>108</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1938</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1939</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102</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1940</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445</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6CA1E-8238-C253-AE05-2CEA5D4F12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1941</v>
      </c>
      <c r="B1" s="909"/>
      <c r="C1" s="1045" t="s">
        <v>1942</v>
      </c>
      <c r="D1" s="1043" t="s">
        <v>805</v>
      </c>
      <c r="E1" s="1043" t="s">
        <v>851</v>
      </c>
      <c r="F1" s="1043" t="s">
        <v>904</v>
      </c>
      <c r="G1" s="1043" t="s">
        <v>891</v>
      </c>
      <c r="H1" s="1043" t="s">
        <v>1617</v>
      </c>
    </row>
    <row customHeight="1" ht="9">
      <c r="A2" s="1046" t="s">
        <v>1943</v>
      </c>
      <c r="B2" s="1046"/>
      <c r="C2" s="1047" t="str">
        <f>INDEX(TEMPLATE_NUMBER_FORM_LIST,MATCH(TEMPLATE_SPHERE,TEMPLATE_SPHERE_LIST,0))</f>
        <v>10</v>
      </c>
      <c r="D2" s="1046" t="s">
        <v>1466</v>
      </c>
      <c r="E2" s="1046" t="s">
        <v>149</v>
      </c>
      <c r="F2" s="1048" t="s">
        <v>149</v>
      </c>
      <c r="G2" s="1046" t="s">
        <v>149</v>
      </c>
      <c r="H2" s="1049"/>
    </row>
    <row customHeight="1" ht="63">
      <c r="A3" s="909"/>
      <c r="B3" s="909" t="s">
        <v>108</v>
      </c>
      <c r="C3" s="104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7" t="s">
        <v>1944</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8"/>
      <c r="G3" s="1049"/>
      <c r="H3" s="909"/>
    </row>
    <row customHeight="1" ht="243">
      <c r="A4" s="909" t="s">
        <v>1945</v>
      </c>
      <c r="B4" s="909" t="s">
        <v>109</v>
      </c>
      <c r="C4" s="1047" t="str">
        <f>IF(TEMPLATE_SPHERE="HEAT",D4,IF(TEMPLATE_SPHERE="TKO",H4,E4))</f>
        <v>Форма 1. Информация об организации, осуществляющей водоотведение (общая информация)</v>
      </c>
      <c r="D4" s="1046" t="s">
        <v>1946</v>
      </c>
      <c r="E4" s="104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6"/>
      <c r="G4" s="1046"/>
      <c r="H4" s="909" t="s">
        <v>1947</v>
      </c>
    </row>
    <row customHeight="1" ht="117">
      <c r="A5" s="909" t="s">
        <v>1948</v>
      </c>
      <c r="B5" s="909" t="s">
        <v>89</v>
      </c>
      <c r="C5" s="104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9" t="s">
        <v>1949</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9"/>
      <c r="G5" s="1049"/>
      <c r="H5" s="909" t="s">
        <v>1950</v>
      </c>
    </row>
    <row customHeight="1" ht="90">
      <c r="A6" s="909" t="s">
        <v>1951</v>
      </c>
      <c r="B6" s="909" t="s">
        <v>90</v>
      </c>
      <c r="C6" s="104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9"/>
      <c r="G6" s="909"/>
      <c r="H6" s="1049"/>
    </row>
    <row customHeight="1" ht="45">
      <c r="A7" s="909" t="s">
        <v>1952</v>
      </c>
      <c r="B7" s="909" t="s">
        <v>110</v>
      </c>
      <c r="C7" s="104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9" t="s">
        <v>1953</v>
      </c>
      <c r="E7" s="909" t="s">
        <v>1954</v>
      </c>
      <c r="F7" s="1049"/>
      <c r="G7" s="1049"/>
      <c r="H7" s="1049"/>
    </row>
    <row customHeight="1" ht="108">
      <c r="A8" s="909" t="s">
        <v>1955</v>
      </c>
      <c r="B8" s="909" t="s">
        <v>91</v>
      </c>
      <c r="C8" s="104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9" t="s">
        <v>1153</v>
      </c>
      <c r="E8" s="909" t="s">
        <v>1956</v>
      </c>
      <c r="F8" s="1049"/>
      <c r="G8" s="1049"/>
      <c r="H8" s="1049"/>
    </row>
    <row customHeight="1" ht="99">
      <c r="A9" s="909" t="s">
        <v>1957</v>
      </c>
      <c r="B9" s="909"/>
      <c r="C9" s="909" t="s">
        <v>1958</v>
      </c>
      <c r="D9" s="909"/>
      <c r="E9" s="909"/>
      <c r="F9" s="1049"/>
      <c r="G9" s="1049"/>
      <c r="H9" s="1049"/>
    </row>
    <row customHeight="1" ht="126">
      <c r="A10" s="909" t="s">
        <v>1959</v>
      </c>
      <c r="B10" s="909"/>
      <c r="C10" s="909" t="s">
        <v>1960</v>
      </c>
      <c r="D10" s="909"/>
      <c r="E10" s="909"/>
      <c r="F10" s="1049"/>
      <c r="G10" s="1049"/>
      <c r="H10" s="1049"/>
    </row>
    <row customHeight="1" ht="108">
      <c r="A11" s="909" t="s">
        <v>1961</v>
      </c>
      <c r="B11" s="909"/>
      <c r="C11" s="909" t="s">
        <v>1962</v>
      </c>
      <c r="D11" s="909"/>
      <c r="E11" s="909"/>
      <c r="F11" s="1049"/>
      <c r="G11" s="1049"/>
      <c r="H11" s="1049"/>
    </row>
    <row customHeight="1" ht="54">
      <c r="A12" s="909" t="s">
        <v>1963</v>
      </c>
      <c r="B12" s="909"/>
      <c r="C12" s="909" t="s">
        <v>1964</v>
      </c>
      <c r="D12" s="909"/>
      <c r="E12" s="909"/>
      <c r="F12" s="1049"/>
      <c r="G12" s="1049"/>
      <c r="H12" s="1049"/>
    </row>
    <row customHeight="1" ht="45">
      <c r="A13" s="909" t="s">
        <v>1965</v>
      </c>
      <c r="B13" s="909"/>
      <c r="C13" s="909" t="s">
        <v>1966</v>
      </c>
      <c r="D13" s="909"/>
      <c r="E13" s="909"/>
      <c r="F13" s="1049"/>
      <c r="G13" s="1049"/>
      <c r="H13" s="1049"/>
    </row>
    <row customHeight="1" ht="117">
      <c r="A14" s="909" t="s">
        <v>1967</v>
      </c>
      <c r="B14" s="909"/>
      <c r="C14" s="909" t="s">
        <v>1968</v>
      </c>
      <c r="D14" s="909"/>
      <c r="E14" s="909"/>
      <c r="F14" s="1049"/>
      <c r="G14" s="1049"/>
      <c r="H14" s="1049"/>
    </row>
    <row customHeight="1" ht="117">
      <c r="A15" s="909" t="s">
        <v>1969</v>
      </c>
      <c r="B15" s="909"/>
      <c r="C15" s="909" t="s">
        <v>1970</v>
      </c>
      <c r="D15" s="909"/>
      <c r="E15" s="909"/>
      <c r="F15" s="1049"/>
      <c r="G15" s="1049"/>
      <c r="H15" s="1049"/>
    </row>
    <row customHeight="1" ht="63">
      <c r="A16" s="909" t="s">
        <v>1971</v>
      </c>
      <c r="B16" s="909"/>
      <c r="C16" s="909" t="s">
        <v>1972</v>
      </c>
      <c r="D16" s="909"/>
      <c r="E16" s="909"/>
      <c r="F16" s="1049"/>
      <c r="G16" s="1049"/>
      <c r="H16" s="1049"/>
    </row>
    <row customHeight="1" ht="54">
      <c r="A17" s="909" t="s">
        <v>1973</v>
      </c>
      <c r="B17" s="909"/>
      <c r="C17" s="1047" t="s">
        <v>1974</v>
      </c>
      <c r="D17" s="909"/>
      <c r="E17" s="909"/>
      <c r="F17" s="1049"/>
      <c r="G17" s="1049"/>
      <c r="H17" s="1049"/>
    </row>
    <row customHeight="1" ht="27">
      <c r="A18" s="909" t="s">
        <v>1975</v>
      </c>
      <c r="B18" s="909"/>
      <c r="C18" s="1047" t="s">
        <v>1976</v>
      </c>
      <c r="D18" s="909"/>
      <c r="E18" s="909"/>
      <c r="F18" s="1049"/>
      <c r="G18" s="1049"/>
      <c r="H18" s="1049"/>
    </row>
    <row customHeight="1" ht="54">
      <c r="A19" s="909" t="s">
        <v>1977</v>
      </c>
      <c r="B19" s="909"/>
      <c r="C19" s="1047" t="s">
        <v>1978</v>
      </c>
      <c r="D19" s="909"/>
      <c r="E19" s="909"/>
      <c r="F19" s="1049"/>
      <c r="G19" s="1049"/>
      <c r="H19" s="1049"/>
    </row>
    <row customHeight="1" ht="36">
      <c r="A20" s="909" t="s">
        <v>1979</v>
      </c>
      <c r="B20" s="909"/>
      <c r="C20" s="1047" t="s">
        <v>1980</v>
      </c>
      <c r="D20" s="909"/>
      <c r="E20" s="909"/>
      <c r="F20" s="1049"/>
      <c r="G20" s="1049"/>
      <c r="H20" s="1049"/>
    </row>
    <row customHeight="1" ht="36">
      <c r="A21" s="909" t="s">
        <v>1981</v>
      </c>
      <c r="B21" s="909"/>
      <c r="C21" s="1047" t="s">
        <v>1982</v>
      </c>
      <c r="D21" s="909"/>
      <c r="E21" s="909"/>
      <c r="F21" s="1049"/>
      <c r="G21" s="1049"/>
      <c r="H21" s="1049"/>
    </row>
    <row customHeight="1" ht="27">
      <c r="A22" s="909" t="s">
        <v>1983</v>
      </c>
      <c r="B22" s="909"/>
      <c r="C22" s="1047" t="s">
        <v>1984</v>
      </c>
      <c r="D22" s="909"/>
      <c r="E22" s="909"/>
      <c r="F22" s="1049"/>
      <c r="G22" s="1049"/>
      <c r="H22" s="1049"/>
    </row>
    <row customHeight="1" ht="36">
      <c r="A23" s="909" t="s">
        <v>1985</v>
      </c>
      <c r="B23" s="909"/>
      <c r="C23" s="1047" t="s">
        <v>1986</v>
      </c>
      <c r="D23" s="909"/>
      <c r="E23" s="909"/>
      <c r="F23" s="1049"/>
      <c r="G23" s="1049"/>
      <c r="H23" s="1049"/>
    </row>
    <row customHeight="1" ht="28.5">
      <c r="A24" s="909" t="s">
        <v>1987</v>
      </c>
      <c r="B24" s="909"/>
      <c r="C24" s="1047" t="s">
        <v>1988</v>
      </c>
      <c r="D24" s="909"/>
      <c r="E24" s="909"/>
      <c r="F24" s="1049"/>
      <c r="G24" s="1049"/>
      <c r="H24" s="1049"/>
    </row>
    <row customHeight="1" ht="36">
      <c r="A25" s="909" t="s">
        <v>1989</v>
      </c>
      <c r="B25" s="909"/>
      <c r="C25" s="1047" t="s">
        <v>1990</v>
      </c>
      <c r="D25" s="909"/>
      <c r="E25" s="909"/>
      <c r="F25" s="1049"/>
      <c r="G25" s="1049"/>
      <c r="H25" s="1049"/>
    </row>
    <row customHeight="1" ht="27">
      <c r="A26" s="909" t="s">
        <v>1991</v>
      </c>
      <c r="B26" s="909"/>
      <c r="C26" s="1047" t="s">
        <v>1992</v>
      </c>
      <c r="D26" s="909"/>
      <c r="E26" s="909"/>
      <c r="F26" s="1049"/>
      <c r="G26" s="1049"/>
      <c r="H26" s="1049"/>
    </row>
    <row customHeight="1" ht="36">
      <c r="A27" s="909" t="s">
        <v>1993</v>
      </c>
      <c r="B27" s="909"/>
      <c r="C27" s="1047" t="s">
        <v>1994</v>
      </c>
      <c r="D27" s="909"/>
      <c r="E27" s="909"/>
      <c r="F27" s="1049"/>
      <c r="G27" s="1049"/>
      <c r="H27" s="1049"/>
    </row>
    <row customHeight="1" ht="28.5">
      <c r="A28" s="909" t="s">
        <v>1995</v>
      </c>
      <c r="B28" s="909"/>
      <c r="C28" s="1047" t="s">
        <v>1996</v>
      </c>
      <c r="D28" s="909"/>
      <c r="E28" s="909"/>
      <c r="F28" s="1049"/>
      <c r="G28" s="1049"/>
      <c r="H28" s="1049"/>
    </row>
    <row customHeight="1" ht="126">
      <c r="A29" s="909" t="s">
        <v>1997</v>
      </c>
      <c r="B29" s="909" t="s">
        <v>1568</v>
      </c>
      <c r="C29" s="104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9" t="s">
        <v>1998</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9"/>
      <c r="G29" s="1049"/>
      <c r="H29" s="909" t="s">
        <v>1999</v>
      </c>
    </row>
    <row customHeight="1" ht="36">
      <c r="A30" s="909" t="s">
        <v>2000</v>
      </c>
      <c r="B30" s="909"/>
      <c r="C30" s="104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9" t="s">
        <v>2001</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9"/>
      <c r="G30" s="1049"/>
      <c r="H30" s="1049"/>
    </row>
    <row customHeight="1" ht="54">
      <c r="A31" s="909" t="s">
        <v>2002</v>
      </c>
      <c r="B31" s="909"/>
      <c r="C31" s="1047" t="str">
        <f>IF(TEMPLATE_SPHERE="HEAT",D31,IF(TEMPLATE_SPHERE="TKO",H31,E31))</f>
        <v>Форма 1. Информация об организации, осуществляющей водоотведение (общая информация)</v>
      </c>
      <c r="D31" s="909" t="s">
        <v>2003</v>
      </c>
      <c r="E31" s="91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9"/>
      <c r="G31" s="1049"/>
      <c r="H31" s="1049"/>
    </row>
    <row customHeight="1" ht="198">
      <c r="A32" s="909" t="s">
        <v>2004</v>
      </c>
      <c r="B32" s="909"/>
      <c r="C32" s="1047" t="str">
        <f>IF(TEMPLATE_SPHERE="HEAT",D32,IF(TEMPLATE_SPHERE="TKO",H32,E32))</f>
        <v>Форма 7. Информация об инвестиционных программах организации водоотведения и отчетах об их исполнении</v>
      </c>
      <c r="D32" s="909" t="s">
        <v>2005</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9"/>
      <c r="G32" s="1049"/>
      <c r="H32" s="909" t="s">
        <v>2006</v>
      </c>
    </row>
    <row customHeight="1" ht="9">
      <c r="A33" s="909"/>
      <c r="B33" s="909"/>
      <c r="C33" s="1047"/>
      <c r="D33" s="909"/>
      <c r="E33" s="909"/>
      <c r="F33" s="1049"/>
      <c r="G33" s="1049"/>
      <c r="H33" s="1049"/>
    </row>
    <row customHeight="1" ht="9">
      <c r="A34" s="909"/>
      <c r="B34" s="909" t="s">
        <v>1504</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DF1BF8-9839-5313-F401-D7B91CFD92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2007</v>
      </c>
      <c r="D1" s="961"/>
      <c r="E1" s="961"/>
      <c r="F1" s="961"/>
      <c r="G1" s="961"/>
      <c r="H1" s="961" t="s">
        <v>2008</v>
      </c>
      <c r="I1" s="961"/>
      <c r="J1" s="961"/>
      <c r="K1" s="961"/>
      <c r="L1" s="961"/>
      <c r="M1" s="961" t="s">
        <v>2009</v>
      </c>
      <c r="N1" s="961" t="s">
        <v>2010</v>
      </c>
      <c r="O1" s="2655" t="s">
        <v>2011</v>
      </c>
      <c r="P1" s="2655"/>
      <c r="Q1" s="2655"/>
      <c r="R1" s="2655"/>
      <c r="S1" s="2655"/>
      <c r="T1" s="2655" t="s">
        <v>2009</v>
      </c>
      <c r="U1" s="2655"/>
      <c r="V1" s="2655"/>
      <c r="W1" s="2655"/>
      <c r="X1" s="2655"/>
      <c r="Y1" s="1062"/>
      <c r="Z1" s="2655" t="s">
        <v>2012</v>
      </c>
      <c r="AA1" s="2655"/>
      <c r="AB1" s="2655"/>
      <c r="AC1" s="2655"/>
      <c r="AD1" s="2655"/>
    </row>
    <row customHeight="1" ht="18">
      <c r="A2" s="909"/>
      <c r="B2" s="909"/>
      <c r="C2" s="904" t="s">
        <v>805</v>
      </c>
      <c r="D2" s="904" t="s">
        <v>851</v>
      </c>
      <c r="E2" s="904" t="s">
        <v>904</v>
      </c>
      <c r="F2" s="904" t="s">
        <v>891</v>
      </c>
      <c r="G2" s="904" t="s">
        <v>1617</v>
      </c>
      <c r="H2" s="906"/>
      <c r="I2" s="906"/>
      <c r="J2" s="906"/>
      <c r="K2" s="906"/>
      <c r="L2" s="906"/>
      <c r="M2" s="906"/>
      <c r="N2" s="906"/>
      <c r="O2" s="904" t="s">
        <v>805</v>
      </c>
      <c r="P2" s="904" t="s">
        <v>851</v>
      </c>
      <c r="Q2" s="904" t="s">
        <v>891</v>
      </c>
      <c r="R2" s="904" t="s">
        <v>904</v>
      </c>
      <c r="S2" s="904" t="s">
        <v>1617</v>
      </c>
      <c r="T2" s="904" t="s">
        <v>805</v>
      </c>
      <c r="U2" s="904" t="s">
        <v>851</v>
      </c>
      <c r="V2" s="904" t="s">
        <v>891</v>
      </c>
      <c r="W2" s="904" t="s">
        <v>904</v>
      </c>
      <c r="X2" s="904" t="s">
        <v>1617</v>
      </c>
      <c r="Y2" s="904"/>
      <c r="Z2" s="904" t="s">
        <v>805</v>
      </c>
      <c r="AA2" s="913" t="s">
        <v>851</v>
      </c>
      <c r="AB2" s="904" t="s">
        <v>891</v>
      </c>
      <c r="AC2" s="904" t="s">
        <v>904</v>
      </c>
      <c r="AD2" s="904" t="s">
        <v>1617</v>
      </c>
    </row>
    <row customHeight="1" ht="162">
      <c r="A3" s="908" t="s">
        <v>27</v>
      </c>
      <c r="B3" s="908"/>
      <c r="C3" s="2659" t="s">
        <v>2013</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6"/>
      <c r="P3" s="906"/>
      <c r="Q3" s="906"/>
      <c r="R3" s="906"/>
      <c r="S3" s="906"/>
      <c r="T3" s="906"/>
      <c r="U3" s="906"/>
      <c r="V3" s="906"/>
      <c r="W3" s="906"/>
      <c r="X3" s="906"/>
      <c r="Y3" s="1063"/>
      <c r="Z3" s="909" t="s">
        <v>2014</v>
      </c>
      <c r="AA3" s="906" t="s">
        <v>2015</v>
      </c>
      <c r="AB3" s="909" t="s">
        <v>2016</v>
      </c>
      <c r="AC3" s="909" t="s">
        <v>2017</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1555</v>
      </c>
      <c r="D11" s="2662" t="s">
        <v>1551</v>
      </c>
      <c r="E11" s="2662" t="s">
        <v>1649</v>
      </c>
      <c r="F11" s="2662" t="s">
        <v>2018</v>
      </c>
      <c r="G11" s="2662"/>
      <c r="H11" s="961" t="s">
        <v>2019</v>
      </c>
      <c r="I11" s="961"/>
      <c r="J11" s="961"/>
      <c r="K11" s="961"/>
      <c r="L11" s="961"/>
      <c r="M11" s="907" t="str">
        <f>IF(TEMPLATE_SPHERE="HEAT",T11,U11)</f>
        <v>Количество поданных заявлений </v>
      </c>
      <c r="N11" s="90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6"/>
      <c r="P11" s="906"/>
      <c r="Q11" s="906"/>
      <c r="R11" s="906"/>
      <c r="S11" s="906"/>
      <c r="T11" s="906" t="s">
        <v>2020</v>
      </c>
      <c r="U11" s="906" t="s">
        <v>2021</v>
      </c>
      <c r="V11" s="906"/>
      <c r="W11" s="906"/>
      <c r="X11" s="906"/>
      <c r="Y11" s="1063"/>
      <c r="Z11" s="909" t="s">
        <v>2022</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9"/>
      <c r="AC11" s="909"/>
      <c r="AD11" s="909"/>
    </row>
    <row customHeight="1" ht="45">
      <c r="A12" s="2656"/>
      <c r="B12" s="962">
        <v>2</v>
      </c>
      <c r="C12" s="2663"/>
      <c r="D12" s="2663"/>
      <c r="E12" s="2663"/>
      <c r="F12" s="2663"/>
      <c r="G12" s="2663"/>
      <c r="H12" s="961" t="s">
        <v>2023</v>
      </c>
      <c r="I12" s="961"/>
      <c r="J12" s="961"/>
      <c r="K12" s="961"/>
      <c r="L12" s="961"/>
      <c r="M12" s="907" t="str">
        <f>IF(TEMPLATE_SPHERE="HEAT",T12,U12)</f>
        <v>Количество исполненных заявлений </v>
      </c>
      <c r="N12" s="90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6"/>
      <c r="P12" s="906"/>
      <c r="Q12" s="906"/>
      <c r="R12" s="906"/>
      <c r="S12" s="906"/>
      <c r="T12" s="906" t="s">
        <v>2024</v>
      </c>
      <c r="U12" s="906" t="s">
        <v>2025</v>
      </c>
      <c r="V12" s="906"/>
      <c r="W12" s="906"/>
      <c r="X12" s="906"/>
      <c r="Y12" s="1063"/>
      <c r="Z12" s="909" t="s">
        <v>2026</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9"/>
      <c r="AC12" s="909"/>
      <c r="AD12" s="909"/>
    </row>
    <row customHeight="1" ht="72">
      <c r="A13" s="2656"/>
      <c r="B13" s="962">
        <v>3</v>
      </c>
      <c r="C13" s="2663"/>
      <c r="D13" s="2663"/>
      <c r="E13" s="2663"/>
      <c r="F13" s="2663"/>
      <c r="G13" s="2663"/>
      <c r="H13" s="2655" t="s">
        <v>2027</v>
      </c>
      <c r="I13" s="961"/>
      <c r="J13" s="961"/>
      <c r="K13" s="961"/>
      <c r="L13" s="961"/>
      <c r="M13" s="9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6"/>
      <c r="P13" s="907"/>
      <c r="Q13" s="907"/>
      <c r="R13" s="907"/>
      <c r="S13" s="906"/>
      <c r="T13" s="906" t="s">
        <v>2028</v>
      </c>
      <c r="U13" s="907" t="s">
        <v>2029</v>
      </c>
      <c r="V13" s="907"/>
      <c r="W13" s="907"/>
      <c r="X13" s="906"/>
      <c r="Y13" s="1063"/>
      <c r="Z13" s="909" t="s">
        <v>2030</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2031</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7"/>
      <c r="W14" s="907"/>
      <c r="X14" s="906"/>
      <c r="Y14" s="1063"/>
      <c r="Z14" s="909" t="s">
        <v>2032</v>
      </c>
      <c r="AA14" s="912" t="s">
        <v>2032</v>
      </c>
      <c r="AB14" s="909"/>
      <c r="AC14" s="909"/>
      <c r="AD14" s="909"/>
    </row>
    <row customHeight="1" ht="108">
      <c r="A15" s="2656"/>
      <c r="B15" s="962">
        <v>5</v>
      </c>
      <c r="C15" s="2663"/>
      <c r="D15" s="2663"/>
      <c r="E15" s="2663"/>
      <c r="F15" s="2663"/>
      <c r="G15" s="2663"/>
      <c r="H15" s="2657" t="s">
        <v>2033</v>
      </c>
      <c r="I15" s="963"/>
      <c r="J15" s="963"/>
      <c r="K15" s="963"/>
      <c r="L15" s="963"/>
      <c r="M15" s="91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6"/>
      <c r="P15" s="907"/>
      <c r="Q15" s="907"/>
      <c r="R15" s="907"/>
      <c r="S15" s="906"/>
      <c r="T15" s="906" t="s">
        <v>2034</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7"/>
      <c r="W15" s="907"/>
      <c r="X15" s="906"/>
      <c r="Y15" s="1063"/>
      <c r="Z15" s="909" t="s">
        <v>2035</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6"/>
      <c r="P16" s="907"/>
      <c r="Q16" s="907"/>
      <c r="R16" s="907"/>
      <c r="S16" s="906"/>
      <c r="T16" s="906"/>
      <c r="U16" s="907"/>
      <c r="V16" s="907"/>
      <c r="W16" s="907"/>
      <c r="X16" s="906"/>
      <c r="Y16" s="1063"/>
      <c r="Z16" s="909" t="s">
        <v>2035</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1652</v>
      </c>
      <c r="B18" s="962">
        <v>1</v>
      </c>
      <c r="C18" s="906" t="s">
        <v>2019</v>
      </c>
      <c r="D18" s="1030" t="s">
        <v>2019</v>
      </c>
      <c r="E18" s="906" t="s">
        <v>2019</v>
      </c>
      <c r="F18" s="906" t="s">
        <v>2019</v>
      </c>
      <c r="G18" s="906"/>
      <c r="H18" s="1065"/>
      <c r="I18" s="1068">
        <f>INDEX(TEMPLATE_NUMBER_POINT_FHD,B18,MATCH(TEMPLATE_SPHERE,TEMPLATE_SPHERE_LIST_FOR_NOTE,0))</f>
        <v>1</v>
      </c>
      <c r="J18" s="1068" t="str">
        <f>INDEX(TEMPLATE_DATA_POINT_FHD,B18,MATCH(TEMPLATE_SPHERE,TEMPLATE_SPHERE_LIST_FOR_NOTE,0))</f>
        <v>Выручка от регулируемых видов деятельности в сфере водоотведения</v>
      </c>
      <c r="K18" s="1068" t="str">
        <f>INDEX(TEMPLATE_NOTE_POINT_FHD,B18,MATCH(TEMPLATE_SPHERE,TEMPLATE_SPHERE_LIST_FOR_NOTE,0))</f>
        <v>Указывается выручка с распределением по видам деятельности.</v>
      </c>
      <c r="L18" s="907">
        <f>IF(I18=0,"",I18)</f>
        <v>1</v>
      </c>
      <c r="M18" s="907" t="str">
        <f>IF(J18=0,"",J18)</f>
        <v>Выручка от регулируемых видов деятельности в сфере водоотведения</v>
      </c>
      <c r="N18" s="907" t="str">
        <f>IF(K18=0,"",K18)</f>
        <v>Указывается выручка с распределением по видам деятельности.</v>
      </c>
      <c r="O18" s="1020">
        <v>1</v>
      </c>
      <c r="P18" s="1020">
        <v>1</v>
      </c>
      <c r="Q18" s="1020">
        <v>1</v>
      </c>
      <c r="R18" s="1020">
        <v>1</v>
      </c>
      <c r="S18" s="1020"/>
      <c r="T18" s="1027" t="s">
        <v>2036</v>
      </c>
      <c r="U18" s="909" t="s">
        <v>2037</v>
      </c>
      <c r="V18" s="909" t="s">
        <v>2038</v>
      </c>
      <c r="W18" s="909" t="s">
        <v>2039</v>
      </c>
      <c r="X18" s="906"/>
      <c r="Y18" s="1063"/>
      <c r="Z18" s="909" t="s">
        <v>2040</v>
      </c>
      <c r="AA18" s="912" t="s">
        <v>2041</v>
      </c>
      <c r="AB18" s="912" t="s">
        <v>2041</v>
      </c>
      <c r="AC18" s="912" t="s">
        <v>2041</v>
      </c>
      <c r="AD18" s="909"/>
    </row>
    <row customHeight="1" ht="36">
      <c r="A19" s="908"/>
      <c r="B19" s="962">
        <v>2</v>
      </c>
      <c r="C19" s="906" t="s">
        <v>2023</v>
      </c>
      <c r="D19" s="1030" t="s">
        <v>2023</v>
      </c>
      <c r="E19" s="906" t="s">
        <v>2023</v>
      </c>
      <c r="F19" s="906" t="s">
        <v>2023</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регулируемым видам деятельности в сфере водоотведения, включая:</v>
      </c>
      <c r="N19" s="907" t="str">
        <f>IF(K19=0,"",K19)</f>
        <v>Указывается суммарная себестоимость производимых товаров.</v>
      </c>
      <c r="O19" s="1020">
        <v>2</v>
      </c>
      <c r="P19" s="1020">
        <v>2</v>
      </c>
      <c r="Q19" s="1020">
        <v>2</v>
      </c>
      <c r="R19" s="1020">
        <v>2</v>
      </c>
      <c r="S19" s="1020"/>
      <c r="T19" s="1027" t="s">
        <v>2042</v>
      </c>
      <c r="U19" s="909" t="s">
        <v>2043</v>
      </c>
      <c r="V19" s="909" t="s">
        <v>2044</v>
      </c>
      <c r="W19" s="909" t="s">
        <v>2045</v>
      </c>
      <c r="X19" s="906"/>
      <c r="Y19" s="1063"/>
      <c r="Z19" s="909" t="s">
        <v>2046</v>
      </c>
      <c r="AA19" s="912" t="s">
        <v>2046</v>
      </c>
      <c r="AB19" s="912" t="s">
        <v>2046</v>
      </c>
      <c r="AC19" s="912" t="s">
        <v>2046</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8">
        <f>INDEX(TEMPLATE_NOTE_POINT_FHD,B20,MATCH(TEMPLATE_SPHERE,TEMPLATE_SPHERE_LIST_FOR_NOTE,0))</f>
        <v>0</v>
      </c>
      <c r="L20" s="907" t="str">
        <f>IF(I20=0,"",I20)</f>
        <v>2.1</v>
      </c>
      <c r="M20" s="907" t="str">
        <f>IF(J20=0,"",J20)</f>
        <v>Расходы на оплату услуг по приему, транспортировке и очистке сточных вод другими организациями</v>
      </c>
      <c r="N20" s="907" t="str">
        <f>IF(K20=0,"",K20)</f>
        <v/>
      </c>
      <c r="O20" s="1020" t="s">
        <v>706</v>
      </c>
      <c r="P20" s="1020" t="s">
        <v>706</v>
      </c>
      <c r="Q20" s="1020" t="s">
        <v>706</v>
      </c>
      <c r="R20" s="1020" t="s">
        <v>706</v>
      </c>
      <c r="S20" s="1020"/>
      <c r="T20" s="1027" t="s">
        <v>2047</v>
      </c>
      <c r="U20" s="909" t="s">
        <v>2048</v>
      </c>
      <c r="V20" s="909" t="s">
        <v>2049</v>
      </c>
      <c r="W20" s="909" t="s">
        <v>2050</v>
      </c>
      <c r="X20" s="906"/>
      <c r="Y20" s="1063"/>
      <c r="Z20" s="909"/>
      <c r="AA20" s="912"/>
      <c r="AB20" s="909"/>
      <c r="AC20" s="909"/>
      <c r="AD20" s="909"/>
    </row>
    <row customHeight="1" ht="36">
      <c r="A21" s="908"/>
      <c r="B21" s="962">
        <v>4</v>
      </c>
      <c r="C21" s="906">
        <v>2</v>
      </c>
      <c r="D21" s="1030"/>
      <c r="E21" s="906"/>
      <c r="F21" s="906"/>
      <c r="G21" s="906"/>
      <c r="H21" s="1065"/>
      <c r="I21" s="1068">
        <f>INDEX(TEMPLATE_NUMBER_POINT_FHD,B21,MATCH(TEMPLATE_SPHERE,TEMPLATE_SPHERE_LIST_FOR_NOTE,0))</f>
        <v>0</v>
      </c>
      <c r="J21" s="1068">
        <f>INDEX(TEMPLATE_DATA_POINT_FHD,B21,MATCH(TEMPLATE_SPHERE,TEMPLATE_SPHERE_LIST_FOR_NOTE,0))</f>
        <v>0</v>
      </c>
      <c r="K21" s="1068">
        <f>INDEX(TEMPLATE_NOTE_POINT_FHD,B21,MATCH(TEMPLATE_SPHERE,TEMPLATE_SPHERE_LIST_FOR_NOTE,0))</f>
        <v>0</v>
      </c>
      <c r="L21" s="907" t="str">
        <f>IF(I21=0,"",I21)</f>
        <v/>
      </c>
      <c r="M21" s="907" t="str">
        <f>IF(J21=0,"",J21)</f>
        <v/>
      </c>
      <c r="N21" s="907" t="str">
        <f>IF(K21=0,"",K21)</f>
        <v/>
      </c>
      <c r="O21" s="1020" t="s">
        <v>304</v>
      </c>
      <c r="P21" s="1020"/>
      <c r="Q21" s="1020"/>
      <c r="R21" s="1020"/>
      <c r="S21" s="1020"/>
      <c r="T21" s="1027" t="s">
        <v>2051</v>
      </c>
      <c r="U21" s="909"/>
      <c r="V21" s="909"/>
      <c r="W21" s="909"/>
      <c r="X21" s="906"/>
      <c r="Y21" s="1063"/>
      <c r="Z21" s="909" t="s">
        <v>2052</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304</v>
      </c>
      <c r="R22" s="1020"/>
      <c r="S22" s="1020"/>
      <c r="T22" s="1027"/>
      <c r="U22" s="909"/>
      <c r="V22" s="909" t="s">
        <v>2053</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307</v>
      </c>
      <c r="R23" s="1020"/>
      <c r="S23" s="1020"/>
      <c r="T23" s="1027"/>
      <c r="U23" s="909"/>
      <c r="V23" s="909" t="s">
        <v>2054</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726</v>
      </c>
      <c r="R24" s="1020"/>
      <c r="S24" s="1020"/>
      <c r="T24" s="1027"/>
      <c r="U24" s="909"/>
      <c r="V24" s="909" t="s">
        <v>2055</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2.2</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2.2</v>
      </c>
      <c r="M25" s="907" t="str">
        <f>IF(J25=0,"",J25)</f>
        <v>Расходы на приобретаемую электрическую энергию (мощность), используемую в технологическом процессе</v>
      </c>
      <c r="N25" s="907" t="str">
        <f>IF(K25=0,"",K25)</f>
        <v/>
      </c>
      <c r="O25" s="1020" t="s">
        <v>307</v>
      </c>
      <c r="P25" s="1020" t="s">
        <v>304</v>
      </c>
      <c r="Q25" s="1020" t="s">
        <v>733</v>
      </c>
      <c r="R25" s="1020" t="s">
        <v>304</v>
      </c>
      <c r="S25" s="1020"/>
      <c r="T25" s="1027" t="s">
        <v>2056</v>
      </c>
      <c r="U25" s="909" t="s">
        <v>2056</v>
      </c>
      <c r="V25" s="909" t="s">
        <v>2056</v>
      </c>
      <c r="W25" s="909" t="s">
        <v>2056</v>
      </c>
      <c r="X25" s="906"/>
      <c r="Y25" s="1063"/>
      <c r="Z25" s="909"/>
      <c r="AA25" s="912"/>
      <c r="AB25" s="909"/>
      <c r="AC25" s="909"/>
      <c r="AD25" s="909"/>
    </row>
    <row customHeight="1" ht="18">
      <c r="A26" s="908"/>
      <c r="B26" s="962">
        <v>9</v>
      </c>
      <c r="C26" s="906" t="s">
        <v>649</v>
      </c>
      <c r="D26" s="1030"/>
      <c r="E26" s="906"/>
      <c r="F26" s="906"/>
      <c r="G26" s="954"/>
      <c r="H26" s="1021"/>
      <c r="I26" s="1068" t="str">
        <f>INDEX(TEMPLATE_NUMBER_POINT_FHD,B26,MATCH(TEMPLATE_SPHERE,TEMPLATE_SPHERE_LIST_FOR_NOTE,0))</f>
        <v>2.2.1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2.2.1</v>
      </c>
      <c r="M26" s="907" t="str">
        <f>IF(J26=0,"",J26)</f>
        <v>Средневзвешенная стоимость 1 кВт.ч (с учетом мощности)</v>
      </c>
      <c r="N26" s="907" t="str">
        <f>IF(K26=0,"",K26)</f>
        <v/>
      </c>
      <c r="O26" s="1020" t="s">
        <v>722</v>
      </c>
      <c r="P26" s="1020" t="s">
        <v>716</v>
      </c>
      <c r="Q26" s="1020" t="s">
        <v>2057</v>
      </c>
      <c r="R26" s="1020" t="s">
        <v>716</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2058</v>
      </c>
      <c r="V26" s="1027" t="s">
        <v>2058</v>
      </c>
      <c r="W26" s="1027" t="s">
        <v>2058</v>
      </c>
      <c r="X26" s="906"/>
      <c r="Y26" s="1063"/>
      <c r="Z26" s="909"/>
      <c r="AA26" s="912"/>
      <c r="AB26" s="909"/>
      <c r="AC26" s="909"/>
      <c r="AD26" s="909"/>
    </row>
    <row customHeight="1" ht="18">
      <c r="A27" s="908"/>
      <c r="B27" s="962">
        <v>10</v>
      </c>
      <c r="C27" s="906" t="s">
        <v>653</v>
      </c>
      <c r="D27" s="1030"/>
      <c r="E27" s="906"/>
      <c r="F27" s="906"/>
      <c r="G27" s="954"/>
      <c r="H27" s="1021"/>
      <c r="I27" s="1068" t="str">
        <f>INDEX(TEMPLATE_NUMBER_POINT_FHD,B27,MATCH(TEMPLATE_SPHERE,TEMPLATE_SPHERE_LIST_FOR_NOTE,0))</f>
        <v>2.2.2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2.2.2</v>
      </c>
      <c r="M27" s="907" t="str">
        <f>IF(J27=0,"",J27)</f>
        <v>Объём приобретения электрической энергии</v>
      </c>
      <c r="N27" s="907" t="str">
        <f>IF(K27=0,"",K27)</f>
        <v/>
      </c>
      <c r="O27" s="1020" t="s">
        <v>724</v>
      </c>
      <c r="P27" s="1020" t="s">
        <v>718</v>
      </c>
      <c r="Q27" s="1020" t="s">
        <v>2059</v>
      </c>
      <c r="R27" s="1020" t="s">
        <v>718</v>
      </c>
      <c r="S27" s="1020"/>
      <c r="T27" s="1027" t="s">
        <v>2060</v>
      </c>
      <c r="U27" s="1027" t="s">
        <v>2060</v>
      </c>
      <c r="V27" s="1027" t="s">
        <v>2060</v>
      </c>
      <c r="W27" s="1027" t="s">
        <v>2060</v>
      </c>
      <c r="X27" s="906"/>
      <c r="Y27" s="1063"/>
      <c r="Z27" s="909"/>
      <c r="AA27" s="912"/>
      <c r="AB27" s="909"/>
      <c r="AC27" s="909"/>
      <c r="AD27" s="909"/>
    </row>
    <row customHeight="1" ht="27">
      <c r="A28" s="908"/>
      <c r="B28" s="962">
        <v>11</v>
      </c>
      <c r="C28" s="906">
        <v>7</v>
      </c>
      <c r="D28" s="1030"/>
      <c r="E28" s="906"/>
      <c r="F28" s="906"/>
      <c r="G28" s="954"/>
      <c r="H28" s="1021"/>
      <c r="I28" s="1068">
        <f>INDEX(TEMPLATE_NUMBER_POINT_FHD,B28,MATCH(TEMPLATE_SPHERE,TEMPLATE_SPHERE_LIST_FOR_NOTE,0))</f>
        <v>0</v>
      </c>
      <c r="J28" s="1068">
        <f>INDEX(TEMPLATE_DATA_POINT_FHD,B28,MATCH(TEMPLATE_SPHERE,TEMPLATE_SPHERE_LIST_FOR_NOTE,0))</f>
        <v>0</v>
      </c>
      <c r="K28" s="1068">
        <f>INDEX(TEMPLATE_NOTE_POINT_FHD,B28,MATCH(TEMPLATE_SPHERE,TEMPLATE_SPHERE_LIST_FOR_NOTE,0))</f>
        <v>0</v>
      </c>
      <c r="L28" s="907" t="str">
        <f>IF(I28=0,"",I28)</f>
        <v/>
      </c>
      <c r="M28" s="907" t="str">
        <f>IF(J28=0,"",J28)</f>
        <v/>
      </c>
      <c r="N28" s="907" t="str">
        <f>IF(K28=0,"",K28)</f>
        <v/>
      </c>
      <c r="O28" s="1020" t="s">
        <v>726</v>
      </c>
      <c r="P28" s="1020"/>
      <c r="Q28" s="1020"/>
      <c r="R28" s="1020"/>
      <c r="S28" s="1020"/>
      <c r="T28" s="1027" t="s">
        <v>2061</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2.3</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2.3</v>
      </c>
      <c r="M29" s="907" t="str">
        <f>IF(J29=0,"",J29)</f>
        <v>Расходы на химические реагенты, используемые в технологическом процессе</v>
      </c>
      <c r="N29" s="907" t="str">
        <f>IF(K29=0,"",K29)</f>
        <v/>
      </c>
      <c r="O29" s="1020" t="s">
        <v>733</v>
      </c>
      <c r="P29" s="1020" t="s">
        <v>307</v>
      </c>
      <c r="Q29" s="1020"/>
      <c r="R29" s="1020" t="s">
        <v>307</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2062</v>
      </c>
      <c r="V29" s="909"/>
      <c r="W29" s="909" t="s">
        <v>2062</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2.4</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7" t="str">
        <f>IF(I30=0,"",I30)</f>
        <v>2.4</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Указывается общая сумма расходов на оплату труда и отчислений на социальные нужды основного производственного персонала.</v>
      </c>
      <c r="O30" s="1020" t="s">
        <v>735</v>
      </c>
      <c r="P30" s="1020" t="s">
        <v>726</v>
      </c>
      <c r="Q30" s="1020" t="s">
        <v>735</v>
      </c>
      <c r="R30" s="1020" t="s">
        <v>726</v>
      </c>
      <c r="S30" s="1020"/>
      <c r="T30" s="1027" t="s">
        <v>2063</v>
      </c>
      <c r="U30" s="909" t="s">
        <v>2063</v>
      </c>
      <c r="V30" s="909" t="s">
        <v>2063</v>
      </c>
      <c r="W30" s="909" t="s">
        <v>2063</v>
      </c>
      <c r="X30" s="906"/>
      <c r="Y30" s="1063"/>
      <c r="Z30" s="909"/>
      <c r="AA30" s="912" t="s">
        <v>2064</v>
      </c>
      <c r="AB30" s="912" t="s">
        <v>2064</v>
      </c>
      <c r="AC30" s="912" t="s">
        <v>2064</v>
      </c>
      <c r="AD30" s="909"/>
    </row>
    <row customHeight="1" ht="18">
      <c r="A31" s="908"/>
      <c r="B31" s="962">
        <v>14</v>
      </c>
      <c r="C31" s="906" t="s">
        <v>2065</v>
      </c>
      <c r="D31" s="1030"/>
      <c r="E31" s="906"/>
      <c r="F31" s="906"/>
      <c r="G31" s="954"/>
      <c r="H31" s="1021"/>
      <c r="I31" s="1068" t="str">
        <f>INDEX(TEMPLATE_NUMBER_POINT_FHD,B31,MATCH(TEMPLATE_SPHERE,TEMPLATE_SPHERE_LIST_FOR_NOTE,0))</f>
        <v>2.4.1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2.4.1</v>
      </c>
      <c r="M31" s="907" t="str">
        <f>IF(J31=0,"",J31)</f>
        <v>Расходы на оплату труда основного производственного персонала</v>
      </c>
      <c r="N31" s="907" t="str">
        <f>IF(K31=0,"",K31)</f>
        <v/>
      </c>
      <c r="O31" s="1020" t="s">
        <v>2066</v>
      </c>
      <c r="P31" s="1020" t="s">
        <v>729</v>
      </c>
      <c r="Q31" s="1020" t="s">
        <v>2066</v>
      </c>
      <c r="R31" s="1020" t="s">
        <v>729</v>
      </c>
      <c r="S31" s="1020"/>
      <c r="T31" s="1028" t="s">
        <v>2067</v>
      </c>
      <c r="U31" s="909" t="s">
        <v>2067</v>
      </c>
      <c r="V31" s="909" t="s">
        <v>2067</v>
      </c>
      <c r="W31" s="909" t="s">
        <v>2067</v>
      </c>
      <c r="X31" s="906"/>
      <c r="Y31" s="1063"/>
      <c r="Z31" s="909"/>
      <c r="AA31" s="912"/>
      <c r="AB31" s="912"/>
      <c r="AC31" s="912"/>
      <c r="AD31" s="909"/>
    </row>
    <row customHeight="1" ht="36">
      <c r="A32" s="908"/>
      <c r="B32" s="962">
        <v>15</v>
      </c>
      <c r="C32" s="906" t="s">
        <v>2068</v>
      </c>
      <c r="D32" s="1030"/>
      <c r="E32" s="906"/>
      <c r="F32" s="906"/>
      <c r="G32" s="954"/>
      <c r="H32" s="1021"/>
      <c r="I32" s="1068" t="str">
        <f>INDEX(TEMPLATE_NUMBER_POINT_FHD,B32,MATCH(TEMPLATE_SPHERE,TEMPLATE_SPHERE_LIST_FOR_NOTE,0))</f>
        <v>2.4.2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2.4.2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2069</v>
      </c>
      <c r="P32" s="1020" t="s">
        <v>731</v>
      </c>
      <c r="Q32" s="1020" t="s">
        <v>2069</v>
      </c>
      <c r="R32" s="1020" t="s">
        <v>731</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2070</v>
      </c>
      <c r="V32" s="909" t="s">
        <v>2070</v>
      </c>
      <c r="W32" s="909" t="s">
        <v>2070</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2.5</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7" t="str">
        <f>IF(I33=0,"",I33)</f>
        <v>2.5</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7" t="str">
        <f>IF(K33=0,"",K33)</f>
        <v>Указывается общая сумма расходов на оплату труда и отчислений на социальные нужды административно-управленческого персонала.</v>
      </c>
      <c r="O33" s="1020" t="s">
        <v>737</v>
      </c>
      <c r="P33" s="1020" t="s">
        <v>733</v>
      </c>
      <c r="Q33" s="1020" t="s">
        <v>737</v>
      </c>
      <c r="R33" s="1020" t="s">
        <v>733</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2071</v>
      </c>
      <c r="V33" s="909" t="s">
        <v>2071</v>
      </c>
      <c r="W33" s="909" t="s">
        <v>2072</v>
      </c>
      <c r="X33" s="906"/>
      <c r="Y33" s="1063"/>
      <c r="Z33" s="909"/>
      <c r="AA33" s="912" t="s">
        <v>2073</v>
      </c>
      <c r="AB33" s="912" t="s">
        <v>2073</v>
      </c>
      <c r="AC33" s="912" t="s">
        <v>2073</v>
      </c>
      <c r="AD33" s="909"/>
    </row>
    <row customHeight="1" ht="27">
      <c r="A34" s="908"/>
      <c r="B34" s="962">
        <v>17</v>
      </c>
      <c r="C34" s="906" t="s">
        <v>2074</v>
      </c>
      <c r="D34" s="1030"/>
      <c r="E34" s="906"/>
      <c r="F34" s="906"/>
      <c r="G34" s="954"/>
      <c r="H34" s="1021"/>
      <c r="I34" s="1068" t="str">
        <f>INDEX(TEMPLATE_NUMBER_POINT_FHD,B34,MATCH(TEMPLATE_SPHERE,TEMPLATE_SPHERE_LIST_FOR_NOTE,0))</f>
        <v>2.5.1</v>
      </c>
      <c r="J34" s="1068" t="str">
        <f>INDEX(TEMPLATE_DATA_POINT_FHD,B34,MATCH(TEMPLATE_SPHERE,TEMPLATE_SPHERE_LIST_FOR_NOTE,0))</f>
        <v>Расходы на оплату труда административно-управленческого персонала, в том числе:</v>
      </c>
      <c r="K34" s="1068">
        <f>INDEX(TEMPLATE_NOTE_POINT_FHD,B34,MATCH(TEMPLATE_SPHERE,TEMPLATE_SPHERE_LIST_FOR_NOTE,0))</f>
        <v>0</v>
      </c>
      <c r="L34" s="907" t="str">
        <f>IF(I34=0,"",I34)</f>
        <v>2.5.1</v>
      </c>
      <c r="M34" s="907" t="str">
        <f>IF(J34=0,"",J34)</f>
        <v>Расходы на оплату труда административно-управленческого персонала, в том числе:</v>
      </c>
      <c r="N34" s="907" t="str">
        <f>IF(K34=0,"",K34)</f>
        <v/>
      </c>
      <c r="O34" s="1020" t="s">
        <v>2075</v>
      </c>
      <c r="P34" s="1020" t="s">
        <v>2057</v>
      </c>
      <c r="Q34" s="1020" t="s">
        <v>2075</v>
      </c>
      <c r="R34" s="1020" t="s">
        <v>2057</v>
      </c>
      <c r="S34" s="1020"/>
      <c r="T34" s="1029" t="s">
        <v>2076</v>
      </c>
      <c r="U34" s="909" t="s">
        <v>2076</v>
      </c>
      <c r="V34" s="909" t="s">
        <v>2076</v>
      </c>
      <c r="W34" s="909" t="s">
        <v>2077</v>
      </c>
      <c r="X34" s="906"/>
      <c r="Y34" s="1063"/>
      <c r="Z34" s="909"/>
      <c r="AA34" s="912"/>
      <c r="AB34" s="909"/>
      <c r="AC34" s="909"/>
      <c r="AD34" s="909"/>
    </row>
    <row customHeight="1" ht="45">
      <c r="A35" s="908"/>
      <c r="B35" s="962">
        <v>18</v>
      </c>
      <c r="C35" s="906" t="s">
        <v>2078</v>
      </c>
      <c r="D35" s="1030"/>
      <c r="E35" s="906"/>
      <c r="F35" s="906"/>
      <c r="G35" s="954"/>
      <c r="H35" s="1021"/>
      <c r="I35" s="1068" t="str">
        <f>INDEX(TEMPLATE_NUMBER_POINT_FHD,B35,MATCH(TEMPLATE_SPHERE,TEMPLATE_SPHERE_LIST_FOR_NOTE,0))</f>
        <v>2.5.2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2.5.2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2079</v>
      </c>
      <c r="P35" s="1020" t="s">
        <v>2059</v>
      </c>
      <c r="Q35" s="1020" t="s">
        <v>2079</v>
      </c>
      <c r="R35" s="1020" t="s">
        <v>2059</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2080</v>
      </c>
      <c r="V35" s="909" t="s">
        <v>2080</v>
      </c>
      <c r="W35" s="909" t="s">
        <v>2080</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2.6</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2.6</v>
      </c>
      <c r="M36" s="907" t="str">
        <f>IF(J36=0,"",J36)</f>
        <v>Расходы на амортизацию основных средств и нематериальных активов</v>
      </c>
      <c r="N36" s="907" t="str">
        <f>IF(K36=0,"",K36)</f>
        <v/>
      </c>
      <c r="O36" s="1020" t="s">
        <v>739</v>
      </c>
      <c r="P36" s="1020" t="s">
        <v>735</v>
      </c>
      <c r="Q36" s="1020" t="s">
        <v>739</v>
      </c>
      <c r="R36" s="1020" t="s">
        <v>735</v>
      </c>
      <c r="S36" s="1020"/>
      <c r="T36" s="1027" t="s">
        <v>2081</v>
      </c>
      <c r="U36" s="909" t="s">
        <v>2081</v>
      </c>
      <c r="V36" s="909" t="s">
        <v>2081</v>
      </c>
      <c r="W36" s="909" t="s">
        <v>2081</v>
      </c>
      <c r="X36" s="906"/>
      <c r="Y36" s="1063"/>
      <c r="Z36" s="909"/>
      <c r="AA36" s="912"/>
      <c r="AB36" s="909"/>
      <c r="AC36" s="909"/>
      <c r="AD36" s="909"/>
    </row>
    <row customHeight="1" ht="18">
      <c r="A37" s="908"/>
      <c r="B37" s="962">
        <v>20</v>
      </c>
      <c r="C37" s="906" t="s">
        <v>2082</v>
      </c>
      <c r="D37" s="1030"/>
      <c r="E37" s="906"/>
      <c r="F37" s="906"/>
      <c r="G37" s="954"/>
      <c r="H37" s="1021"/>
      <c r="I37" s="1068" t="str">
        <f>INDEX(TEMPLATE_NUMBER_POINT_FHD,B37,MATCH(TEMPLATE_SPHERE,TEMPLATE_SPHERE_LIST_FOR_NOTE,0))</f>
        <v>2.6.1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2.6.1</v>
      </c>
      <c r="M37" s="907" t="str">
        <f>IF(J37=0,"",J37)</f>
        <v>Расходы на амортизацию основных средств</v>
      </c>
      <c r="N37" s="907" t="str">
        <f>IF(K37=0,"",K37)</f>
        <v/>
      </c>
      <c r="O37" s="1020" t="s">
        <v>2083</v>
      </c>
      <c r="P37" s="1020" t="s">
        <v>2066</v>
      </c>
      <c r="Q37" s="1020" t="s">
        <v>2083</v>
      </c>
      <c r="R37" s="1020" t="s">
        <v>2066</v>
      </c>
      <c r="S37" s="1020"/>
      <c r="T37" s="1027" t="s">
        <v>2084</v>
      </c>
      <c r="U37" s="909" t="s">
        <v>2084</v>
      </c>
      <c r="V37" s="909" t="s">
        <v>2084</v>
      </c>
      <c r="W37" s="909" t="s">
        <v>2084</v>
      </c>
      <c r="X37" s="906"/>
      <c r="Y37" s="1063"/>
      <c r="Z37" s="909"/>
      <c r="AA37" s="912"/>
      <c r="AB37" s="909"/>
      <c r="AC37" s="909"/>
      <c r="AD37" s="909"/>
    </row>
    <row customHeight="1" ht="18">
      <c r="A38" s="908"/>
      <c r="B38" s="962">
        <v>21</v>
      </c>
      <c r="C38" s="906" t="s">
        <v>2085</v>
      </c>
      <c r="D38" s="1030"/>
      <c r="E38" s="906"/>
      <c r="F38" s="906"/>
      <c r="G38" s="954"/>
      <c r="H38" s="1021"/>
      <c r="I38" s="1068" t="str">
        <f>INDEX(TEMPLATE_NUMBER_POINT_FHD,B38,MATCH(TEMPLATE_SPHERE,TEMPLATE_SPHERE_LIST_FOR_NOTE,0))</f>
        <v>2.6.2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2.6.2</v>
      </c>
      <c r="M38" s="907" t="str">
        <f>IF(J38=0,"",J38)</f>
        <v>Расходы на амортизацию нематериальных активов</v>
      </c>
      <c r="N38" s="907" t="str">
        <f>IF(K38=0,"",K38)</f>
        <v/>
      </c>
      <c r="O38" s="1020" t="s">
        <v>2086</v>
      </c>
      <c r="P38" s="1020" t="s">
        <v>2069</v>
      </c>
      <c r="Q38" s="1020" t="s">
        <v>2086</v>
      </c>
      <c r="R38" s="1020" t="s">
        <v>2069</v>
      </c>
      <c r="S38" s="1020"/>
      <c r="T38" s="1027" t="s">
        <v>2087</v>
      </c>
      <c r="U38" s="909" t="s">
        <v>2087</v>
      </c>
      <c r="V38" s="909" t="s">
        <v>2087</v>
      </c>
      <c r="W38" s="909" t="s">
        <v>2087</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2.7</v>
      </c>
      <c r="J39" s="106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8">
        <f>INDEX(TEMPLATE_NOTE_POINT_FHD,B39,MATCH(TEMPLATE_SPHERE,TEMPLATE_SPHERE_LIST_FOR_NOTE,0))</f>
        <v>0</v>
      </c>
      <c r="L39" s="907" t="str">
        <f>IF(I39=0,"",I39)</f>
        <v>2.7</v>
      </c>
      <c r="M39" s="907" t="str">
        <f>IF(J39=0,"",J39)</f>
        <v>Расходы на аренду имущества, используемого для осуществления регулируемых видов деятельности в сфере водоотведения</v>
      </c>
      <c r="N39" s="907" t="str">
        <f>IF(K39=0,"",K39)</f>
        <v/>
      </c>
      <c r="O39" s="1020" t="s">
        <v>743</v>
      </c>
      <c r="P39" s="1020" t="s">
        <v>737</v>
      </c>
      <c r="Q39" s="1020" t="s">
        <v>743</v>
      </c>
      <c r="R39" s="1020" t="s">
        <v>737</v>
      </c>
      <c r="S39" s="1020"/>
      <c r="T39" s="1027" t="s">
        <v>2088</v>
      </c>
      <c r="U39" s="909" t="s">
        <v>2089</v>
      </c>
      <c r="V39" s="909" t="s">
        <v>2090</v>
      </c>
      <c r="W39" s="909" t="s">
        <v>2091</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2.8</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2.8</v>
      </c>
      <c r="M40" s="907" t="str">
        <f>IF(J40=0,"",J40)</f>
        <v>Общепроизводственные расходы, в том числе:</v>
      </c>
      <c r="N40" s="907" t="str">
        <f>IF(K40=0,"",K40)</f>
        <v>Указывается общая сумма общепроизводственных расходов.</v>
      </c>
      <c r="O40" s="1020" t="s">
        <v>2092</v>
      </c>
      <c r="P40" s="1020" t="s">
        <v>739</v>
      </c>
      <c r="Q40" s="1020" t="s">
        <v>2092</v>
      </c>
      <c r="R40" s="1020" t="s">
        <v>739</v>
      </c>
      <c r="S40" s="1020"/>
      <c r="T40" s="906" t="s">
        <v>2093</v>
      </c>
      <c r="U40" s="906" t="s">
        <v>2093</v>
      </c>
      <c r="V40" s="906" t="s">
        <v>2093</v>
      </c>
      <c r="W40" s="906" t="s">
        <v>2093</v>
      </c>
      <c r="X40" s="906"/>
      <c r="Y40" s="1063"/>
      <c r="Z40" s="909" t="s">
        <v>2094</v>
      </c>
      <c r="AA40" s="912" t="s">
        <v>2094</v>
      </c>
      <c r="AB40" s="912" t="s">
        <v>2094</v>
      </c>
      <c r="AC40" s="912" t="s">
        <v>2094</v>
      </c>
      <c r="AD40" s="909"/>
    </row>
    <row customHeight="1" ht="27">
      <c r="A41" s="908"/>
      <c r="B41" s="962">
        <v>24</v>
      </c>
      <c r="C41" s="906" t="s">
        <v>2095</v>
      </c>
      <c r="D41" s="1030"/>
      <c r="E41" s="906"/>
      <c r="F41" s="906"/>
      <c r="G41" s="906"/>
      <c r="H41" s="954"/>
      <c r="I41" s="1068" t="str">
        <f>INDEX(TEMPLATE_NUMBER_POINT_FHD,B41,MATCH(TEMPLATE_SPHERE,TEMPLATE_SPHERE_LIST_FOR_NOTE,0))</f>
        <v>2.8.1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2.8.1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2096</v>
      </c>
      <c r="P41" s="1020" t="s">
        <v>2083</v>
      </c>
      <c r="Q41" s="1020" t="s">
        <v>2096</v>
      </c>
      <c r="R41" s="1020" t="s">
        <v>2083</v>
      </c>
      <c r="S41" s="1020"/>
      <c r="T41" s="906" t="s">
        <v>2097</v>
      </c>
      <c r="U41" s="906" t="s">
        <v>2097</v>
      </c>
      <c r="V41" s="906" t="s">
        <v>2097</v>
      </c>
      <c r="W41" s="906" t="s">
        <v>2097</v>
      </c>
      <c r="X41" s="906"/>
      <c r="Y41" s="1063"/>
      <c r="Z41" s="909" t="s">
        <v>2098</v>
      </c>
      <c r="AA41" s="909" t="s">
        <v>2098</v>
      </c>
      <c r="AB41" s="909" t="s">
        <v>2098</v>
      </c>
      <c r="AC41" s="909" t="s">
        <v>2098</v>
      </c>
      <c r="AD41" s="909"/>
    </row>
    <row customHeight="1" ht="27">
      <c r="A42" s="908"/>
      <c r="B42" s="962">
        <v>25</v>
      </c>
      <c r="C42" s="906" t="s">
        <v>2099</v>
      </c>
      <c r="D42" s="1030"/>
      <c r="E42" s="906"/>
      <c r="F42" s="906"/>
      <c r="G42" s="906"/>
      <c r="H42" s="954"/>
      <c r="I42" s="1068" t="str">
        <f>INDEX(TEMPLATE_NUMBER_POINT_FHD,B42,MATCH(TEMPLATE_SPHERE,TEMPLATE_SPHERE_LIST_FOR_NOTE,0))</f>
        <v>2.8.2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2.8.2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2100</v>
      </c>
      <c r="P42" s="1020" t="s">
        <v>2086</v>
      </c>
      <c r="Q42" s="1020" t="s">
        <v>2100</v>
      </c>
      <c r="R42" s="1020" t="s">
        <v>2086</v>
      </c>
      <c r="S42" s="1020"/>
      <c r="T42" s="906" t="s">
        <v>2101</v>
      </c>
      <c r="U42" s="906" t="s">
        <v>2101</v>
      </c>
      <c r="V42" s="906" t="s">
        <v>2101</v>
      </c>
      <c r="W42" s="906" t="s">
        <v>2101</v>
      </c>
      <c r="X42" s="906"/>
      <c r="Y42" s="1063"/>
      <c r="Z42" s="909" t="s">
        <v>2102</v>
      </c>
      <c r="AA42" s="909" t="s">
        <v>2102</v>
      </c>
      <c r="AB42" s="909" t="s">
        <v>2102</v>
      </c>
      <c r="AC42" s="909" t="s">
        <v>2102</v>
      </c>
      <c r="AD42" s="909"/>
    </row>
    <row customHeight="1" ht="18">
      <c r="A43" s="908"/>
      <c r="B43" s="962">
        <v>26</v>
      </c>
      <c r="C43" s="906">
        <v>14</v>
      </c>
      <c r="D43" s="1030"/>
      <c r="E43" s="906"/>
      <c r="F43" s="906"/>
      <c r="G43" s="906"/>
      <c r="H43" s="954"/>
      <c r="I43" s="1068" t="str">
        <f>INDEX(TEMPLATE_NUMBER_POINT_FHD,B43,MATCH(TEMPLATE_SPHERE,TEMPLATE_SPHERE_LIST_FOR_NOTE,0))</f>
        <v>2.9</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2.9</v>
      </c>
      <c r="M43" s="907" t="str">
        <f>IF(J43=0,"",J43)</f>
        <v>Общехозяйственные расходы, в том числе:</v>
      </c>
      <c r="N43" s="907" t="str">
        <f>IF(K43=0,"",K43)</f>
        <v>Указывается общая сумма общехозяйственных расходов.</v>
      </c>
      <c r="O43" s="1020" t="s">
        <v>2103</v>
      </c>
      <c r="P43" s="1020" t="s">
        <v>743</v>
      </c>
      <c r="Q43" s="1020" t="s">
        <v>2103</v>
      </c>
      <c r="R43" s="1020" t="s">
        <v>743</v>
      </c>
      <c r="S43" s="1020"/>
      <c r="T43" s="906" t="s">
        <v>2104</v>
      </c>
      <c r="U43" s="906" t="s">
        <v>2104</v>
      </c>
      <c r="V43" s="906" t="s">
        <v>2104</v>
      </c>
      <c r="W43" s="906" t="s">
        <v>2104</v>
      </c>
      <c r="X43" s="906"/>
      <c r="Y43" s="1063"/>
      <c r="Z43" s="909" t="s">
        <v>2105</v>
      </c>
      <c r="AA43" s="909" t="s">
        <v>2105</v>
      </c>
      <c r="AB43" s="909" t="s">
        <v>2105</v>
      </c>
      <c r="AC43" s="909" t="s">
        <v>2105</v>
      </c>
      <c r="AD43" s="909"/>
    </row>
    <row customHeight="1" ht="27">
      <c r="A44" s="908"/>
      <c r="B44" s="962">
        <v>27</v>
      </c>
      <c r="C44" s="906" t="s">
        <v>2106</v>
      </c>
      <c r="D44" s="1030"/>
      <c r="E44" s="906"/>
      <c r="F44" s="906"/>
      <c r="G44" s="906"/>
      <c r="H44" s="954"/>
      <c r="I44" s="1068" t="str">
        <f>INDEX(TEMPLATE_NUMBER_POINT_FHD,B44,MATCH(TEMPLATE_SPHERE,TEMPLATE_SPHERE_LIST_FOR_NOTE,0))</f>
        <v>2.9.1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2.9.1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2107</v>
      </c>
      <c r="P44" s="1020" t="s">
        <v>2108</v>
      </c>
      <c r="Q44" s="1020" t="s">
        <v>2107</v>
      </c>
      <c r="R44" s="1020" t="s">
        <v>2108</v>
      </c>
      <c r="S44" s="1020"/>
      <c r="T44" s="906" t="s">
        <v>2097</v>
      </c>
      <c r="U44" s="906" t="s">
        <v>2097</v>
      </c>
      <c r="V44" s="906" t="s">
        <v>2097</v>
      </c>
      <c r="W44" s="906" t="s">
        <v>2097</v>
      </c>
      <c r="X44" s="906"/>
      <c r="Y44" s="1063"/>
      <c r="Z44" s="909" t="s">
        <v>2109</v>
      </c>
      <c r="AA44" s="909" t="s">
        <v>2109</v>
      </c>
      <c r="AB44" s="909" t="s">
        <v>2109</v>
      </c>
      <c r="AC44" s="909" t="s">
        <v>2109</v>
      </c>
      <c r="AD44" s="909"/>
    </row>
    <row customHeight="1" ht="27">
      <c r="A45" s="908"/>
      <c r="B45" s="962">
        <v>28</v>
      </c>
      <c r="C45" s="906" t="s">
        <v>2110</v>
      </c>
      <c r="D45" s="1030"/>
      <c r="E45" s="906"/>
      <c r="F45" s="906"/>
      <c r="G45" s="906"/>
      <c r="H45" s="954"/>
      <c r="I45" s="1068" t="str">
        <f>INDEX(TEMPLATE_NUMBER_POINT_FHD,B45,MATCH(TEMPLATE_SPHERE,TEMPLATE_SPHERE_LIST_FOR_NOTE,0))</f>
        <v>2.9.2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2.9.2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2111</v>
      </c>
      <c r="P45" s="1020" t="s">
        <v>2112</v>
      </c>
      <c r="Q45" s="1020" t="s">
        <v>2111</v>
      </c>
      <c r="R45" s="1020" t="s">
        <v>2112</v>
      </c>
      <c r="S45" s="1020"/>
      <c r="T45" s="906" t="s">
        <v>2101</v>
      </c>
      <c r="U45" s="906" t="s">
        <v>2101</v>
      </c>
      <c r="V45" s="906" t="s">
        <v>2101</v>
      </c>
      <c r="W45" s="906" t="s">
        <v>2101</v>
      </c>
      <c r="X45" s="906"/>
      <c r="Y45" s="1063"/>
      <c r="Z45" s="909" t="s">
        <v>2113</v>
      </c>
      <c r="AA45" s="909" t="s">
        <v>2113</v>
      </c>
      <c r="AB45" s="909" t="s">
        <v>2113</v>
      </c>
      <c r="AC45" s="909" t="s">
        <v>2113</v>
      </c>
      <c r="AD45" s="909"/>
    </row>
    <row customHeight="1" ht="54">
      <c r="A46" s="908"/>
      <c r="B46" s="962">
        <v>29</v>
      </c>
      <c r="C46" s="906">
        <v>15</v>
      </c>
      <c r="D46" s="1030"/>
      <c r="E46" s="906"/>
      <c r="F46" s="906"/>
      <c r="G46" s="906"/>
      <c r="H46" s="954"/>
      <c r="I46" s="1068" t="str">
        <f>INDEX(TEMPLATE_NUMBER_POINT_FHD,B46,MATCH(TEMPLATE_SPHERE,TEMPLATE_SPHERE_LIST_FOR_NOTE,0))</f>
        <v>2.10</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2.10</v>
      </c>
      <c r="M46" s="907" t="str">
        <f>IF(J46=0,"",J46)</f>
        <v>Расходы на капитальный и текущий ремонт основных средств</v>
      </c>
      <c r="N46" s="90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2114</v>
      </c>
      <c r="P46" s="1020" t="s">
        <v>2092</v>
      </c>
      <c r="Q46" s="1020" t="s">
        <v>2114</v>
      </c>
      <c r="R46" s="1020" t="s">
        <v>2092</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2115</v>
      </c>
      <c r="V46" s="906" t="s">
        <v>2115</v>
      </c>
      <c r="W46" s="906" t="s">
        <v>2115</v>
      </c>
      <c r="X46" s="906"/>
      <c r="Y46" s="1063"/>
      <c r="Z46" s="909" t="s">
        <v>2116</v>
      </c>
      <c r="AA46" s="909" t="s">
        <v>2117</v>
      </c>
      <c r="AB46" s="909" t="s">
        <v>2117</v>
      </c>
      <c r="AC46" s="909" t="s">
        <v>2117</v>
      </c>
      <c r="AD46" s="909"/>
    </row>
    <row customHeight="1" ht="54">
      <c r="A47" s="908"/>
      <c r="B47" s="962">
        <v>30</v>
      </c>
      <c r="C47" s="906" t="s">
        <v>2118</v>
      </c>
      <c r="D47" s="1030"/>
      <c r="E47" s="906"/>
      <c r="F47" s="906"/>
      <c r="G47" s="906"/>
      <c r="H47" s="954"/>
      <c r="I47" s="1068" t="str">
        <f>INDEX(TEMPLATE_NUMBER_POINT_FHD,B47,MATCH(TEMPLATE_SPHERE,TEMPLATE_SPHERE_LIST_FOR_NOTE,0))</f>
        <v>2.10.1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2.10.1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2119</v>
      </c>
      <c r="P47" s="1020" t="s">
        <v>2096</v>
      </c>
      <c r="Q47" s="1020" t="s">
        <v>2119</v>
      </c>
      <c r="R47" s="1020" t="s">
        <v>2096</v>
      </c>
      <c r="S47" s="1020"/>
      <c r="T47" s="906" t="s">
        <v>2120</v>
      </c>
      <c r="U47" s="906" t="s">
        <v>2120</v>
      </c>
      <c r="V47" s="906" t="s">
        <v>2120</v>
      </c>
      <c r="W47" s="906" t="s">
        <v>2120</v>
      </c>
      <c r="X47" s="906"/>
      <c r="Y47" s="1063"/>
      <c r="Z47" s="909"/>
      <c r="AA47" s="912"/>
      <c r="AB47" s="912"/>
      <c r="AC47" s="912"/>
      <c r="AD47" s="909"/>
    </row>
    <row customHeight="1" ht="54">
      <c r="A48" s="908"/>
      <c r="B48" s="962">
        <v>31</v>
      </c>
      <c r="C48" s="906">
        <v>16</v>
      </c>
      <c r="D48" s="1030"/>
      <c r="E48" s="906"/>
      <c r="F48" s="906"/>
      <c r="G48" s="906"/>
      <c r="H48" s="954"/>
      <c r="I48" s="1068" t="str">
        <f>INDEX(TEMPLATE_NUMBER_POINT_FHD,B48,MATCH(TEMPLATE_SPHERE,TEMPLATE_SPHERE_LIST_FOR_NOTE,0))</f>
        <v>2.11</v>
      </c>
      <c r="J48" s="106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7" t="str">
        <f>IF(I48=0,"",I48)</f>
        <v>2.11</v>
      </c>
      <c r="M48" s="90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0"/>
      <c r="P48" s="1020" t="s">
        <v>2103</v>
      </c>
      <c r="Q48" s="1020" t="s">
        <v>2121</v>
      </c>
      <c r="R48" s="1020" t="s">
        <v>2103</v>
      </c>
      <c r="S48" s="1020"/>
      <c r="T48" s="906"/>
      <c r="U48" s="906" t="s">
        <v>2122</v>
      </c>
      <c r="V48" s="906" t="s">
        <v>2123</v>
      </c>
      <c r="W48" s="906" t="s">
        <v>2123</v>
      </c>
      <c r="X48" s="906"/>
      <c r="Y48" s="1063"/>
      <c r="Z48" s="909"/>
      <c r="AA48" s="912" t="s">
        <v>2117</v>
      </c>
      <c r="AB48" s="912" t="s">
        <v>2117</v>
      </c>
      <c r="AC48" s="912" t="s">
        <v>2117</v>
      </c>
      <c r="AD48" s="909"/>
    </row>
    <row customHeight="1" ht="54">
      <c r="A49" s="908"/>
      <c r="B49" s="962">
        <v>32</v>
      </c>
      <c r="C49" s="906" t="s">
        <v>2124</v>
      </c>
      <c r="D49" s="1030"/>
      <c r="E49" s="906"/>
      <c r="F49" s="906"/>
      <c r="G49" s="906"/>
      <c r="H49" s="954"/>
      <c r="I49" s="1068" t="str">
        <f>INDEX(TEMPLATE_NUMBER_POINT_FHD,B49,MATCH(TEMPLATE_SPHERE,TEMPLATE_SPHERE_LIST_FOR_NOTE,0))</f>
        <v>2.11.1</v>
      </c>
      <c r="J49" s="106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8">
        <f>INDEX(TEMPLATE_NOTE_POINT_FHD,B49,MATCH(TEMPLATE_SPHERE,TEMPLATE_SPHERE_LIST_FOR_NOTE,0))</f>
        <v>0</v>
      </c>
      <c r="L49" s="907" t="str">
        <f>IF(I49=0,"",I49)</f>
        <v>2.11.1</v>
      </c>
      <c r="M49" s="90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7" t="str">
        <f>IF(K49=0,"",K49)</f>
        <v/>
      </c>
      <c r="O49" s="1020"/>
      <c r="P49" s="1020" t="s">
        <v>2107</v>
      </c>
      <c r="Q49" s="1020" t="s">
        <v>2125</v>
      </c>
      <c r="R49" s="1020" t="s">
        <v>2107</v>
      </c>
      <c r="S49" s="1020"/>
      <c r="T49" s="906"/>
      <c r="U49" s="906" t="s">
        <v>2120</v>
      </c>
      <c r="V49" s="906" t="s">
        <v>2120</v>
      </c>
      <c r="W49" s="906" t="s">
        <v>2120</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2.12</v>
      </c>
      <c r="J50" s="106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7" t="str">
        <f>IF(I50=0,"",I50)</f>
        <v>2.12</v>
      </c>
      <c r="M50" s="90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0" t="s">
        <v>2121</v>
      </c>
      <c r="P50" s="1020" t="s">
        <v>2114</v>
      </c>
      <c r="Q50" s="1020" t="s">
        <v>2126</v>
      </c>
      <c r="R50" s="1020" t="s">
        <v>2114</v>
      </c>
      <c r="S50" s="1020"/>
      <c r="T50" s="906" t="s">
        <v>2127</v>
      </c>
      <c r="U50" s="906" t="s">
        <v>2128</v>
      </c>
      <c r="V50" s="906" t="s">
        <v>2129</v>
      </c>
      <c r="W50" s="906" t="s">
        <v>2130</v>
      </c>
      <c r="X50" s="906"/>
      <c r="Y50" s="1063"/>
      <c r="Z50" s="909" t="s">
        <v>2131</v>
      </c>
      <c r="AA50" s="912" t="s">
        <v>2132</v>
      </c>
      <c r="AB50" s="912" t="s">
        <v>2132</v>
      </c>
      <c r="AC50" s="912" t="s">
        <v>2132</v>
      </c>
      <c r="AD50" s="909"/>
    </row>
    <row customHeight="1" ht="27">
      <c r="A51" s="908"/>
      <c r="B51" s="962">
        <v>34</v>
      </c>
      <c r="C51" s="906" t="s">
        <v>2133</v>
      </c>
      <c r="D51" s="1030"/>
      <c r="E51" s="906"/>
      <c r="F51" s="906"/>
      <c r="G51" s="906"/>
      <c r="H51" s="954"/>
      <c r="I51" s="1068">
        <f>INDEX(TEMPLATE_NUMBER_POINT_FHD,B51,MATCH(TEMPLATE_SPHERE,TEMPLATE_SPHERE_LIST_FOR_NOTE,0))</f>
        <v>0</v>
      </c>
      <c r="J51" s="1068">
        <f>INDEX(TEMPLATE_DATA_POINT_FHD,B51,MATCH(TEMPLATE_SPHERE,TEMPLATE_SPHERE_LIST_FOR_NOTE,0))</f>
        <v>0</v>
      </c>
      <c r="K51" s="1068">
        <f>INDEX(TEMPLATE_NOTE_POINT_FHD,B51,MATCH(TEMPLATE_SPHERE,TEMPLATE_SPHERE_LIST_FOR_NOTE,0))</f>
        <v>0</v>
      </c>
      <c r="L51" s="907" t="str">
        <f>IF(I51=0,"",I51)</f>
        <v/>
      </c>
      <c r="M51" s="907" t="str">
        <f>IF(J51=0,"",J51)</f>
        <v/>
      </c>
      <c r="N51" s="907" t="str">
        <f>IF(K51=0,"",K51)</f>
        <v/>
      </c>
      <c r="O51" s="1020" t="s">
        <v>89</v>
      </c>
      <c r="P51" s="1020"/>
      <c r="Q51" s="1020"/>
      <c r="R51" s="1020"/>
      <c r="S51" s="1020"/>
      <c r="T51" s="906" t="s">
        <v>2134</v>
      </c>
      <c r="U51" s="906"/>
      <c r="V51" s="906"/>
      <c r="W51" s="906"/>
      <c r="X51" s="906"/>
      <c r="Y51" s="1063"/>
      <c r="Z51" s="909"/>
      <c r="AA51" s="912"/>
      <c r="AB51" s="912"/>
      <c r="AC51" s="912"/>
      <c r="AD51" s="909"/>
    </row>
    <row customHeight="1" ht="36">
      <c r="A52" s="908"/>
      <c r="B52" s="962">
        <v>35</v>
      </c>
      <c r="C52" s="906" t="s">
        <v>2027</v>
      </c>
      <c r="D52" s="1030" t="s">
        <v>2027</v>
      </c>
      <c r="E52" s="906" t="s">
        <v>2027</v>
      </c>
      <c r="F52" s="906" t="s">
        <v>2027</v>
      </c>
      <c r="G52" s="906"/>
      <c r="H52" s="954"/>
      <c r="I52" s="1068" t="str">
        <f>INDEX(TEMPLATE_NUMBER_POINT_FHD,B52,MATCH(TEMPLATE_SPHERE,TEMPLATE_SPHERE_LIST_FOR_NOTE,0))</f>
        <v>3</v>
      </c>
      <c r="J52" s="106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3</v>
      </c>
      <c r="M52" s="907" t="str">
        <f>IF(J52=0,"",J52)</f>
        <v>Чистая прибыль, полученная от регулируемого вида деятельности в сфере водоотведения, в том числе:</v>
      </c>
      <c r="N52" s="907" t="str">
        <f>IF(K52=0,"",K52)</f>
        <v>Указывается общая сумма чистой прибыли, полученной от регулируемого вида деятельности.</v>
      </c>
      <c r="O52" s="1020" t="s">
        <v>90</v>
      </c>
      <c r="P52" s="1020" t="s">
        <v>89</v>
      </c>
      <c r="Q52" s="1020" t="s">
        <v>89</v>
      </c>
      <c r="R52" s="1020" t="s">
        <v>89</v>
      </c>
      <c r="S52" s="1020"/>
      <c r="T52" s="906" t="s">
        <v>2135</v>
      </c>
      <c r="U52" s="906" t="s">
        <v>2136</v>
      </c>
      <c r="V52" s="906" t="s">
        <v>2137</v>
      </c>
      <c r="W52" s="906" t="s">
        <v>2138</v>
      </c>
      <c r="X52" s="906"/>
      <c r="Y52" s="1063"/>
      <c r="Z52" s="909" t="s">
        <v>747</v>
      </c>
      <c r="AA52" s="912" t="s">
        <v>747</v>
      </c>
      <c r="AB52" s="912" t="s">
        <v>747</v>
      </c>
      <c r="AC52" s="912" t="s">
        <v>747</v>
      </c>
      <c r="AD52" s="909"/>
    </row>
    <row customHeight="1" ht="36">
      <c r="A53" s="908"/>
      <c r="B53" s="962">
        <v>36</v>
      </c>
      <c r="C53" s="906">
        <v>1</v>
      </c>
      <c r="D53" s="1030"/>
      <c r="E53" s="906"/>
      <c r="F53" s="906"/>
      <c r="G53" s="906"/>
      <c r="H53" s="954"/>
      <c r="I53" s="1068" t="str">
        <f>INDEX(TEMPLATE_NUMBER_POINT_FHD,B53,MATCH(TEMPLATE_SPHERE,TEMPLATE_SPHERE_LIST_FOR_NOTE,0))</f>
        <v>3.1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3.1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751</v>
      </c>
      <c r="P53" s="1020" t="s">
        <v>321</v>
      </c>
      <c r="Q53" s="1020" t="s">
        <v>321</v>
      </c>
      <c r="R53" s="1020" t="s">
        <v>321</v>
      </c>
      <c r="S53" s="1020"/>
      <c r="T53" s="906" t="s">
        <v>2139</v>
      </c>
      <c r="U53" s="906" t="s">
        <v>2139</v>
      </c>
      <c r="V53" s="906" t="s">
        <v>2139</v>
      </c>
      <c r="W53" s="906" t="s">
        <v>2139</v>
      </c>
      <c r="X53" s="906"/>
      <c r="Y53" s="1063"/>
      <c r="Z53" s="909"/>
      <c r="AA53" s="912"/>
      <c r="AB53" s="909"/>
      <c r="AC53" s="909"/>
      <c r="AD53" s="909"/>
    </row>
    <row customHeight="1" ht="18">
      <c r="A54" s="908"/>
      <c r="B54" s="962">
        <v>37</v>
      </c>
      <c r="C54" s="906" t="s">
        <v>2033</v>
      </c>
      <c r="D54" s="1030" t="s">
        <v>2033</v>
      </c>
      <c r="E54" s="906" t="s">
        <v>2033</v>
      </c>
      <c r="F54" s="906" t="s">
        <v>2033</v>
      </c>
      <c r="G54" s="906"/>
      <c r="H54" s="954"/>
      <c r="I54" s="1068" t="str">
        <f>INDEX(TEMPLATE_NUMBER_POINT_FHD,B54,MATCH(TEMPLATE_SPHERE,TEMPLATE_SPHERE_LIST_FOR_NOTE,0))</f>
        <v>4</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4</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110</v>
      </c>
      <c r="P54" s="1020" t="s">
        <v>90</v>
      </c>
      <c r="Q54" s="1020" t="s">
        <v>90</v>
      </c>
      <c r="R54" s="1020" t="s">
        <v>90</v>
      </c>
      <c r="S54" s="1020"/>
      <c r="T54" s="906" t="s">
        <v>749</v>
      </c>
      <c r="U54" s="906" t="s">
        <v>749</v>
      </c>
      <c r="V54" s="906" t="s">
        <v>749</v>
      </c>
      <c r="W54" s="906" t="s">
        <v>749</v>
      </c>
      <c r="X54" s="906"/>
      <c r="Y54" s="1063"/>
      <c r="Z54" s="909" t="s">
        <v>750</v>
      </c>
      <c r="AA54" s="909" t="s">
        <v>750</v>
      </c>
      <c r="AB54" s="909" t="s">
        <v>750</v>
      </c>
      <c r="AC54" s="909" t="s">
        <v>750</v>
      </c>
      <c r="AD54" s="909"/>
    </row>
    <row customHeight="1" ht="36">
      <c r="A55" s="908"/>
      <c r="B55" s="962">
        <v>38</v>
      </c>
      <c r="C55" s="906">
        <v>1</v>
      </c>
      <c r="D55" s="1030"/>
      <c r="E55" s="906"/>
      <c r="F55" s="906"/>
      <c r="G55" s="906"/>
      <c r="H55" s="954"/>
      <c r="I55" s="1068" t="str">
        <f>INDEX(TEMPLATE_NUMBER_POINT_FHD,B55,MATCH(TEMPLATE_SPHERE,TEMPLATE_SPHERE_LIST_FOR_NOTE,0))</f>
        <v>4.1</v>
      </c>
      <c r="J55" s="1068" t="str">
        <f>INDEX(TEMPLATE_DATA_POINT_FHD,B55,MATCH(TEMPLATE_SPHERE,TEMPLATE_SPHERE_LIST_FOR_NOTE,0))</f>
        <v>Изменение стоимости основных фондов 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4.1</v>
      </c>
      <c r="M55" s="907" t="str">
        <f>IF(J55=0,"",J55)</f>
        <v>Изменение стоимости основных фондов 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310</v>
      </c>
      <c r="P55" s="1020" t="s">
        <v>751</v>
      </c>
      <c r="Q55" s="1020" t="s">
        <v>751</v>
      </c>
      <c r="R55" s="1020" t="s">
        <v>751</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2140</v>
      </c>
      <c r="V55" s="906" t="s">
        <v>2140</v>
      </c>
      <c r="W55" s="906" t="s">
        <v>2140</v>
      </c>
      <c r="X55" s="906"/>
      <c r="Y55" s="1063"/>
      <c r="Z55" s="909" t="s">
        <v>2141</v>
      </c>
      <c r="AA55" s="909" t="s">
        <v>2141</v>
      </c>
      <c r="AB55" s="909" t="s">
        <v>2141</v>
      </c>
      <c r="AC55" s="909" t="s">
        <v>2141</v>
      </c>
      <c r="AD55" s="909"/>
    </row>
    <row customHeight="1" ht="27">
      <c r="A56" s="908"/>
      <c r="B56" s="962">
        <v>39</v>
      </c>
      <c r="C56" s="906" t="s">
        <v>1019</v>
      </c>
      <c r="D56" s="1030"/>
      <c r="E56" s="906"/>
      <c r="F56" s="906"/>
      <c r="G56" s="906"/>
      <c r="H56" s="954"/>
      <c r="I56" s="1068" t="str">
        <f>INDEX(TEMPLATE_NUMBER_POINT_FHD,B56,MATCH(TEMPLATE_SPHERE,TEMPLATE_SPHERE_LIST_FOR_NOTE,0))</f>
        <v>4.1.1</v>
      </c>
      <c r="J56" s="1068" t="str">
        <f>INDEX(TEMPLATE_DATA_POINT_FHD,B56,MATCH(TEMPLATE_SPHERE,TEMPLATE_SPHERE_LIST_FOR_NOTE,0))</f>
        <v>Изменение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4.1.1</v>
      </c>
      <c r="M56" s="907" t="str">
        <f>IF(J56=0,"",J56)</f>
        <v>Изменение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1137</v>
      </c>
      <c r="P56" s="1020" t="s">
        <v>754</v>
      </c>
      <c r="Q56" s="1020" t="s">
        <v>754</v>
      </c>
      <c r="R56" s="1020" t="s">
        <v>754</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2142</v>
      </c>
      <c r="V56" s="906" t="s">
        <v>2142</v>
      </c>
      <c r="W56" s="906" t="s">
        <v>2142</v>
      </c>
      <c r="X56" s="906"/>
      <c r="Y56" s="1063"/>
      <c r="Z56" s="909" t="s">
        <v>756</v>
      </c>
      <c r="AA56" s="909" t="s">
        <v>756</v>
      </c>
      <c r="AB56" s="909" t="s">
        <v>756</v>
      </c>
      <c r="AC56" s="909" t="s">
        <v>756</v>
      </c>
      <c r="AD56" s="909"/>
    </row>
    <row customHeight="1" ht="27">
      <c r="A57" s="908"/>
      <c r="B57" s="962">
        <v>40</v>
      </c>
      <c r="C57" s="906" t="s">
        <v>1021</v>
      </c>
      <c r="D57" s="1030"/>
      <c r="E57" s="906"/>
      <c r="F57" s="906"/>
      <c r="G57" s="906"/>
      <c r="H57" s="954"/>
      <c r="I57" s="1068" t="str">
        <f>INDEX(TEMPLATE_NUMBER_POINT_FHD,B57,MATCH(TEMPLATE_SPHERE,TEMPLATE_SPHERE_LIST_FOR_NOTE,0))</f>
        <v>4.1.2</v>
      </c>
      <c r="J57" s="1068" t="str">
        <f>INDEX(TEMPLATE_DATA_POINT_FHD,B57,MATCH(TEMPLATE_SPHERE,TEMPLATE_SPHERE_LIST_FOR_NOTE,0))</f>
        <v>Изменение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4.1.2</v>
      </c>
      <c r="M57" s="907" t="str">
        <f>IF(J57=0,"",J57)</f>
        <v>Изменение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2143</v>
      </c>
      <c r="P57" s="1020" t="s">
        <v>757</v>
      </c>
      <c r="Q57" s="1020" t="s">
        <v>757</v>
      </c>
      <c r="R57" s="1020" t="s">
        <v>757</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2144</v>
      </c>
      <c r="V57" s="906" t="s">
        <v>2144</v>
      </c>
      <c r="W57" s="906" t="s">
        <v>2144</v>
      </c>
      <c r="X57" s="906"/>
      <c r="Y57" s="1063"/>
      <c r="Z57" s="909" t="s">
        <v>759</v>
      </c>
      <c r="AA57" s="909" t="s">
        <v>759</v>
      </c>
      <c r="AB57" s="909" t="s">
        <v>759</v>
      </c>
      <c r="AC57" s="909" t="s">
        <v>759</v>
      </c>
      <c r="AD57" s="909"/>
    </row>
    <row customHeight="1" ht="18">
      <c r="A58" s="908"/>
      <c r="B58" s="962">
        <v>41</v>
      </c>
      <c r="C58" s="906">
        <v>2</v>
      </c>
      <c r="D58" s="1030"/>
      <c r="E58" s="906"/>
      <c r="F58" s="906"/>
      <c r="G58" s="906"/>
      <c r="H58" s="954"/>
      <c r="I58" s="1068" t="str">
        <f>INDEX(TEMPLATE_NUMBER_POINT_FHD,B58,MATCH(TEMPLATE_SPHERE,TEMPLATE_SPHERE_LIST_FOR_NOTE,0))</f>
        <v>4.2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4.2</v>
      </c>
      <c r="M58" s="907" t="str">
        <f>IF(J58=0,"",J58)</f>
        <v>Изменение стоимости основных фондов за счет их переоценки</v>
      </c>
      <c r="N58" s="907" t="str">
        <f>IF(K58=0,"",K58)</f>
        <v/>
      </c>
      <c r="O58" s="1020" t="s">
        <v>879</v>
      </c>
      <c r="P58" s="1020" t="s">
        <v>793</v>
      </c>
      <c r="Q58" s="1020" t="s">
        <v>793</v>
      </c>
      <c r="R58" s="1020" t="s">
        <v>793</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2145</v>
      </c>
      <c r="V58" s="906" t="s">
        <v>2145</v>
      </c>
      <c r="W58" s="906" t="s">
        <v>2145</v>
      </c>
      <c r="X58" s="906"/>
      <c r="Y58" s="1063"/>
      <c r="Z58" s="909"/>
      <c r="AA58" s="912"/>
      <c r="AB58" s="909"/>
      <c r="AC58" s="909"/>
      <c r="AD58" s="909"/>
    </row>
    <row customHeight="1" ht="36">
      <c r="A59" s="908"/>
      <c r="B59" s="962">
        <v>42</v>
      </c>
      <c r="C59" s="906">
        <v>3</v>
      </c>
      <c r="D59" s="1030" t="s">
        <v>2133</v>
      </c>
      <c r="E59" s="906" t="s">
        <v>2133</v>
      </c>
      <c r="F59" s="906" t="s">
        <v>2133</v>
      </c>
      <c r="G59" s="906"/>
      <c r="H59" s="954"/>
      <c r="I59" s="1068" t="str">
        <f>INDEX(TEMPLATE_NUMBER_POINT_FHD,B59,MATCH(TEMPLATE_SPHERE,TEMPLATE_SPHERE_LIST_FOR_NOTE,0))</f>
        <v>5</v>
      </c>
      <c r="J59" s="106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8">
        <f>INDEX(TEMPLATE_NOTE_POINT_FHD,B59,MATCH(TEMPLATE_SPHERE,TEMPLATE_SPHERE_LIST_FOR_NOTE,0))</f>
        <v>0</v>
      </c>
      <c r="L59" s="907" t="str">
        <f>IF(I59=0,"",I59)</f>
        <v>5</v>
      </c>
      <c r="M59" s="907" t="str">
        <f>IF(J59=0,"",J59)</f>
        <v>Валовая прибыль (убытки) от продажи товаров и услуг по регулируемым видам деятельности в сфере водоотведения</v>
      </c>
      <c r="N59" s="907" t="str">
        <f>IF(K59=0,"",K59)</f>
        <v/>
      </c>
      <c r="O59" s="1020"/>
      <c r="P59" s="1020" t="s">
        <v>110</v>
      </c>
      <c r="Q59" s="1020" t="s">
        <v>110</v>
      </c>
      <c r="R59" s="1020" t="s">
        <v>110</v>
      </c>
      <c r="S59" s="1020"/>
      <c r="T59" s="906"/>
      <c r="U59" s="906" t="s">
        <v>2146</v>
      </c>
      <c r="V59" s="906" t="s">
        <v>2147</v>
      </c>
      <c r="W59" s="906" t="s">
        <v>2148</v>
      </c>
      <c r="X59" s="906"/>
      <c r="Y59" s="1063"/>
      <c r="Z59" s="909"/>
      <c r="AA59" s="912"/>
      <c r="AB59" s="909"/>
      <c r="AC59" s="909"/>
      <c r="AD59" s="909"/>
    </row>
    <row customHeight="1" ht="81">
      <c r="A60" s="908"/>
      <c r="B60" s="962">
        <v>43</v>
      </c>
      <c r="C60" s="906" t="s">
        <v>2149</v>
      </c>
      <c r="D60" s="1030" t="s">
        <v>2149</v>
      </c>
      <c r="E60" s="906" t="s">
        <v>2149</v>
      </c>
      <c r="F60" s="906" t="s">
        <v>2149</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0" t="s">
        <v>91</v>
      </c>
      <c r="P60" s="1020" t="s">
        <v>91</v>
      </c>
      <c r="Q60" s="1020" t="s">
        <v>91</v>
      </c>
      <c r="R60" s="1020" t="s">
        <v>91</v>
      </c>
      <c r="S60" s="1020"/>
      <c r="T60" s="906" t="s">
        <v>626</v>
      </c>
      <c r="U60" s="906" t="s">
        <v>626</v>
      </c>
      <c r="V60" s="906" t="s">
        <v>626</v>
      </c>
      <c r="W60" s="906" t="s">
        <v>626</v>
      </c>
      <c r="X60" s="906"/>
      <c r="Y60" s="1063"/>
      <c r="Z60" s="909" t="s">
        <v>2150</v>
      </c>
      <c r="AA60" s="912" t="s">
        <v>2151</v>
      </c>
      <c r="AB60" s="909" t="s">
        <v>2152</v>
      </c>
      <c r="AC60" s="909" t="s">
        <v>2151</v>
      </c>
      <c r="AD60" s="909"/>
    </row>
    <row customHeight="1" ht="9">
      <c r="A61" s="908"/>
      <c r="B61" s="962">
        <v>44</v>
      </c>
      <c r="C61" s="906"/>
      <c r="D61" s="1030" t="s">
        <v>2153</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92</v>
      </c>
      <c r="Q61" s="1020"/>
      <c r="R61" s="1020"/>
      <c r="S61" s="1020"/>
      <c r="T61" s="906"/>
      <c r="U61" s="906" t="s">
        <v>2154</v>
      </c>
      <c r="V61" s="906"/>
      <c r="W61" s="906"/>
      <c r="X61" s="906"/>
      <c r="Y61" s="1063"/>
      <c r="Z61" s="909"/>
      <c r="AA61" s="912"/>
      <c r="AB61" s="909"/>
      <c r="AC61" s="909"/>
      <c r="AD61" s="909"/>
    </row>
    <row customHeight="1" ht="9">
      <c r="A62" s="908"/>
      <c r="B62" s="962">
        <v>45</v>
      </c>
      <c r="C62" s="906"/>
      <c r="D62" s="1030" t="s">
        <v>2155</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111</v>
      </c>
      <c r="Q62" s="1020"/>
      <c r="R62" s="1020"/>
      <c r="S62" s="1020"/>
      <c r="T62" s="906"/>
      <c r="U62" s="906" t="s">
        <v>2156</v>
      </c>
      <c r="V62" s="906"/>
      <c r="W62" s="906"/>
      <c r="X62" s="906"/>
      <c r="Y62" s="1063"/>
      <c r="Z62" s="909"/>
      <c r="AA62" s="912"/>
      <c r="AB62" s="909"/>
      <c r="AC62" s="909"/>
      <c r="AD62" s="909"/>
    </row>
    <row customHeight="1" ht="18">
      <c r="A63" s="908"/>
      <c r="B63" s="962">
        <v>46</v>
      </c>
      <c r="C63" s="906"/>
      <c r="D63" s="1030" t="s">
        <v>2157</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148</v>
      </c>
      <c r="Q63" s="1020"/>
      <c r="R63" s="1020"/>
      <c r="S63" s="1020"/>
      <c r="T63" s="906"/>
      <c r="U63" s="906" t="s">
        <v>2158</v>
      </c>
      <c r="V63" s="906"/>
      <c r="W63" s="906"/>
      <c r="X63" s="906"/>
      <c r="Y63" s="1063"/>
      <c r="Z63" s="909"/>
      <c r="AA63" s="912"/>
      <c r="AB63" s="909"/>
      <c r="AC63" s="909"/>
      <c r="AD63" s="909"/>
    </row>
    <row customHeight="1" ht="18">
      <c r="A64" s="908"/>
      <c r="B64" s="962">
        <v>47</v>
      </c>
      <c r="C64" s="906"/>
      <c r="D64" s="1030" t="s">
        <v>2159</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149</v>
      </c>
      <c r="Q64" s="1020"/>
      <c r="R64" s="1020"/>
      <c r="S64" s="1020"/>
      <c r="T64" s="906"/>
      <c r="U64" s="906" t="s">
        <v>2160</v>
      </c>
      <c r="V64" s="906"/>
      <c r="W64" s="906"/>
      <c r="X64" s="906"/>
      <c r="Y64" s="1063"/>
      <c r="Z64" s="909"/>
      <c r="AA64" s="912" t="s">
        <v>2161</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2074</v>
      </c>
      <c r="Q65" s="1020"/>
      <c r="R65" s="1020"/>
      <c r="S65" s="1020"/>
      <c r="T65" s="906"/>
      <c r="U65" s="906" t="s">
        <v>2162</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2078</v>
      </c>
      <c r="Q66" s="1020"/>
      <c r="R66" s="1020"/>
      <c r="S66" s="1020"/>
      <c r="T66" s="906"/>
      <c r="U66" s="906" t="s">
        <v>2163</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2164</v>
      </c>
      <c r="Q67" s="1020"/>
      <c r="R67" s="1020"/>
      <c r="S67" s="1020"/>
      <c r="T67" s="906"/>
      <c r="U67" s="906" t="s">
        <v>2165</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2166</v>
      </c>
      <c r="Q68" s="1020"/>
      <c r="R68" s="1020"/>
      <c r="S68" s="1020"/>
      <c r="T68" s="906"/>
      <c r="U68" s="906" t="s">
        <v>2167</v>
      </c>
      <c r="V68" s="906"/>
      <c r="W68" s="906"/>
      <c r="X68" s="906"/>
      <c r="Y68" s="1063"/>
      <c r="Z68" s="909"/>
      <c r="AA68" s="912"/>
      <c r="AB68" s="909"/>
      <c r="AC68" s="909"/>
      <c r="AD68" s="909"/>
    </row>
    <row customHeight="1" ht="9">
      <c r="A69" s="908"/>
      <c r="B69" s="962">
        <v>52</v>
      </c>
      <c r="C69" s="906"/>
      <c r="D69" s="1030" t="s">
        <v>2168</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98</v>
      </c>
      <c r="Q69" s="1020"/>
      <c r="R69" s="1020"/>
      <c r="S69" s="1020"/>
      <c r="T69" s="906"/>
      <c r="U69" s="906" t="s">
        <v>2169</v>
      </c>
      <c r="V69" s="906"/>
      <c r="W69" s="906"/>
      <c r="X69" s="906"/>
      <c r="Y69" s="1063"/>
      <c r="Z69" s="909"/>
      <c r="AA69" s="912"/>
      <c r="AB69" s="909"/>
      <c r="AC69" s="909"/>
      <c r="AD69" s="909"/>
    </row>
    <row customHeight="1" ht="27">
      <c r="A70" s="908"/>
      <c r="B70" s="962">
        <v>53</v>
      </c>
      <c r="C70" s="906"/>
      <c r="D70" s="1030"/>
      <c r="E70" s="906" t="s">
        <v>2153</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92</v>
      </c>
      <c r="R70" s="1020"/>
      <c r="S70" s="1020"/>
      <c r="T70" s="906"/>
      <c r="U70" s="906"/>
      <c r="V70" s="906" t="s">
        <v>2170</v>
      </c>
      <c r="W70" s="906"/>
      <c r="X70" s="906"/>
      <c r="Y70" s="1063"/>
      <c r="Z70" s="909"/>
      <c r="AA70" s="912"/>
      <c r="AB70" s="909"/>
      <c r="AC70" s="909"/>
      <c r="AD70" s="909"/>
    </row>
    <row customHeight="1" ht="36">
      <c r="A71" s="908"/>
      <c r="B71" s="962">
        <v>54</v>
      </c>
      <c r="C71" s="906"/>
      <c r="D71" s="1030"/>
      <c r="E71" s="906" t="s">
        <v>2155</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111</v>
      </c>
      <c r="R71" s="1020"/>
      <c r="S71" s="1020"/>
      <c r="T71" s="906"/>
      <c r="U71" s="906"/>
      <c r="V71" s="906" t="s">
        <v>2171</v>
      </c>
      <c r="W71" s="906"/>
      <c r="X71" s="906"/>
      <c r="Y71" s="1063"/>
      <c r="Z71" s="909"/>
      <c r="AA71" s="912"/>
      <c r="AB71" s="909"/>
      <c r="AC71" s="909"/>
      <c r="AD71" s="909"/>
    </row>
    <row customHeight="1" ht="27">
      <c r="A72" s="908"/>
      <c r="B72" s="962">
        <v>55</v>
      </c>
      <c r="C72" s="906"/>
      <c r="D72" s="1030"/>
      <c r="E72" s="906" t="s">
        <v>2157</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148</v>
      </c>
      <c r="R72" s="1020"/>
      <c r="S72" s="1020"/>
      <c r="T72" s="906"/>
      <c r="U72" s="906"/>
      <c r="V72" s="906" t="s">
        <v>2172</v>
      </c>
      <c r="W72" s="906"/>
      <c r="X72" s="906"/>
      <c r="Y72" s="1063"/>
      <c r="Z72" s="909"/>
      <c r="AA72" s="912"/>
      <c r="AB72" s="909"/>
      <c r="AC72" s="909"/>
      <c r="AD72" s="909"/>
    </row>
    <row customHeight="1" ht="36">
      <c r="A73" s="908"/>
      <c r="B73" s="962">
        <v>56</v>
      </c>
      <c r="C73" s="906"/>
      <c r="D73" s="1030"/>
      <c r="E73" s="906" t="s">
        <v>2159</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149</v>
      </c>
      <c r="R73" s="1020"/>
      <c r="S73" s="1020"/>
      <c r="T73" s="906"/>
      <c r="U73" s="906"/>
      <c r="V73" s="906" t="s">
        <v>2173</v>
      </c>
      <c r="W73" s="906"/>
      <c r="X73" s="906"/>
      <c r="Y73" s="1063"/>
      <c r="Z73" s="909"/>
      <c r="AA73" s="912"/>
      <c r="AB73" s="909"/>
      <c r="AC73" s="909"/>
      <c r="AD73" s="909"/>
    </row>
    <row customHeight="1" ht="18">
      <c r="A74" s="908"/>
      <c r="B74" s="962">
        <v>57</v>
      </c>
      <c r="C74" s="906"/>
      <c r="D74" s="1030"/>
      <c r="E74" s="906" t="s">
        <v>2168</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98</v>
      </c>
      <c r="R74" s="1020"/>
      <c r="S74" s="1020"/>
      <c r="T74" s="906"/>
      <c r="U74" s="906"/>
      <c r="V74" s="906" t="s">
        <v>2174</v>
      </c>
      <c r="W74" s="906"/>
      <c r="X74" s="906"/>
      <c r="Y74" s="1063"/>
      <c r="Z74" s="909"/>
      <c r="AA74" s="912"/>
      <c r="AB74" s="909"/>
      <c r="AC74" s="909"/>
      <c r="AD74" s="909"/>
    </row>
    <row customHeight="1" ht="18">
      <c r="A75" s="908"/>
      <c r="B75" s="962">
        <v>58</v>
      </c>
      <c r="C75" s="906"/>
      <c r="D75" s="1030"/>
      <c r="E75" s="906"/>
      <c r="F75" s="906" t="s">
        <v>2153</v>
      </c>
      <c r="G75" s="906"/>
      <c r="H75" s="954"/>
      <c r="I75" s="1068" t="str">
        <f>INDEX(TEMPLATE_NUMBER_POINT_FHD,B75,MATCH(TEMPLATE_SPHERE,TEMPLATE_SPHERE_LIST_FOR_NOTE,0))</f>
        <v>7</v>
      </c>
      <c r="J75" s="1068" t="str">
        <f>INDEX(TEMPLATE_DATA_POINT_FHD,B75,MATCH(TEMPLATE_SPHERE,TEMPLATE_SPHERE_LIST_FOR_NOTE,0))</f>
        <v>Объём сточных вод, принятых от потребителей</v>
      </c>
      <c r="K75" s="1068">
        <f>INDEX(TEMPLATE_NOTE_POINT_FHD,B75,MATCH(TEMPLATE_SPHERE,TEMPLATE_SPHERE_LIST_FOR_NOTE,0))</f>
        <v>0</v>
      </c>
      <c r="L75" s="907" t="str">
        <f>IF(I75=0,"",I75)</f>
        <v>7</v>
      </c>
      <c r="M75" s="907" t="str">
        <f>IF(J75=0,"",J75)</f>
        <v>Объём сточных вод, принятых от потребителей</v>
      </c>
      <c r="N75" s="907" t="str">
        <f>IF(K75=0,"",K75)</f>
        <v/>
      </c>
      <c r="O75" s="1020"/>
      <c r="P75" s="1020"/>
      <c r="Q75" s="1020"/>
      <c r="R75" s="1020" t="s">
        <v>92</v>
      </c>
      <c r="S75" s="1020"/>
      <c r="T75" s="906"/>
      <c r="U75" s="906"/>
      <c r="V75" s="906"/>
      <c r="W75" s="906" t="s">
        <v>2175</v>
      </c>
      <c r="X75" s="906"/>
      <c r="Y75" s="1063"/>
      <c r="Z75" s="909"/>
      <c r="AA75" s="912"/>
      <c r="AB75" s="909"/>
      <c r="AC75" s="909"/>
      <c r="AD75" s="909"/>
    </row>
    <row customHeight="1" ht="36">
      <c r="A76" s="908"/>
      <c r="B76" s="962">
        <v>59</v>
      </c>
      <c r="C76" s="906"/>
      <c r="D76" s="1030"/>
      <c r="E76" s="906"/>
      <c r="F76" s="906" t="s">
        <v>2155</v>
      </c>
      <c r="G76" s="906"/>
      <c r="H76" s="954"/>
      <c r="I76" s="1068" t="str">
        <f>INDEX(TEMPLATE_NUMBER_POINT_FHD,B76,MATCH(TEMPLATE_SPHERE,TEMPLATE_SPHERE_LIST_FOR_NOTE,0))</f>
        <v>8</v>
      </c>
      <c r="J76" s="106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8">
        <f>INDEX(TEMPLATE_NOTE_POINT_FHD,B76,MATCH(TEMPLATE_SPHERE,TEMPLATE_SPHERE_LIST_FOR_NOTE,0))</f>
        <v>0</v>
      </c>
      <c r="L76" s="907" t="str">
        <f>IF(I76=0,"",I76)</f>
        <v>8</v>
      </c>
      <c r="M76" s="907" t="str">
        <f>IF(J76=0,"",J76)</f>
        <v>Объём сточных вод, принятых от других регулируемых организаций, осуществляющих водоотведение и (или) очистку сточных вод</v>
      </c>
      <c r="N76" s="907" t="str">
        <f>IF(K76=0,"",K76)</f>
        <v/>
      </c>
      <c r="O76" s="1020"/>
      <c r="P76" s="1020"/>
      <c r="Q76" s="1020"/>
      <c r="R76" s="1020" t="s">
        <v>111</v>
      </c>
      <c r="S76" s="1020"/>
      <c r="T76" s="906"/>
      <c r="U76" s="906"/>
      <c r="V76" s="906"/>
      <c r="W76" s="906" t="s">
        <v>2176</v>
      </c>
      <c r="X76" s="906"/>
      <c r="Y76" s="1063"/>
      <c r="Z76" s="909"/>
      <c r="AA76" s="912"/>
      <c r="AB76" s="909"/>
      <c r="AC76" s="909"/>
      <c r="AD76" s="909"/>
    </row>
    <row customHeight="1" ht="18">
      <c r="A77" s="908"/>
      <c r="B77" s="962">
        <v>60</v>
      </c>
      <c r="C77" s="906"/>
      <c r="D77" s="1030"/>
      <c r="E77" s="906"/>
      <c r="F77" s="906" t="s">
        <v>2157</v>
      </c>
      <c r="G77" s="906"/>
      <c r="H77" s="954"/>
      <c r="I77" s="1068" t="str">
        <f>INDEX(TEMPLATE_NUMBER_POINT_FHD,B77,MATCH(TEMPLATE_SPHERE,TEMPLATE_SPHERE_LIST_FOR_NOTE,0))</f>
        <v>9</v>
      </c>
      <c r="J77" s="1068" t="str">
        <f>INDEX(TEMPLATE_DATA_POINT_FHD,B77,MATCH(TEMPLATE_SPHERE,TEMPLATE_SPHERE_LIST_FOR_NOTE,0))</f>
        <v>Объём сточных вод, пропущенных через очистные сооружения</v>
      </c>
      <c r="K77" s="1068">
        <f>INDEX(TEMPLATE_NOTE_POINT_FHD,B77,MATCH(TEMPLATE_SPHERE,TEMPLATE_SPHERE_LIST_FOR_NOTE,0))</f>
        <v>0</v>
      </c>
      <c r="L77" s="907" t="str">
        <f>IF(I77=0,"",I77)</f>
        <v>9</v>
      </c>
      <c r="M77" s="907" t="str">
        <f>IF(J77=0,"",J77)</f>
        <v>Объём сточных вод, пропущенных через очистные сооружения</v>
      </c>
      <c r="N77" s="907" t="str">
        <f>IF(K77=0,"",K77)</f>
        <v/>
      </c>
      <c r="O77" s="1020"/>
      <c r="P77" s="1020"/>
      <c r="Q77" s="1020"/>
      <c r="R77" s="1020" t="s">
        <v>148</v>
      </c>
      <c r="S77" s="1020"/>
      <c r="T77" s="906"/>
      <c r="U77" s="906"/>
      <c r="V77" s="906"/>
      <c r="W77" s="906" t="s">
        <v>2177</v>
      </c>
      <c r="X77" s="906"/>
      <c r="Y77" s="1063"/>
      <c r="Z77" s="909"/>
      <c r="AA77" s="912"/>
      <c r="AB77" s="909"/>
      <c r="AC77" s="909"/>
      <c r="AD77" s="909"/>
    </row>
    <row customHeight="1" ht="72">
      <c r="A78" s="908"/>
      <c r="B78" s="962">
        <v>61</v>
      </c>
      <c r="C78" s="906" t="s">
        <v>2153</v>
      </c>
      <c r="D78" s="1030"/>
      <c r="E78" s="906"/>
      <c r="F78" s="906"/>
      <c r="G78" s="906"/>
      <c r="H78" s="954"/>
      <c r="I78" s="1068">
        <f>INDEX(TEMPLATE_NUMBER_POINT_FHD,B78,MATCH(TEMPLATE_SPHERE,TEMPLATE_SPHERE_LIST_FOR_NOTE,0))</f>
        <v>0</v>
      </c>
      <c r="J78" s="1068">
        <f>INDEX(TEMPLATE_DATA_POINT_FHD,B78,MATCH(TEMPLATE_SPHERE,TEMPLATE_SPHERE_LIST_FOR_NOTE,0))</f>
        <v>0</v>
      </c>
      <c r="K78" s="1068">
        <f>INDEX(TEMPLATE_NOTE_POINT_FHD,B78,MATCH(TEMPLATE_SPHERE,TEMPLATE_SPHERE_LIST_FOR_NOTE,0))</f>
        <v>0</v>
      </c>
      <c r="L78" s="907" t="str">
        <f>IF(I78=0,"",I78)</f>
        <v/>
      </c>
      <c r="M78" s="907" t="str">
        <f>IF(J78=0,"",J78)</f>
        <v/>
      </c>
      <c r="N78" s="907" t="str">
        <f>IF(K78=0,"",K78)</f>
        <v/>
      </c>
      <c r="O78" s="1020" t="s">
        <v>92</v>
      </c>
      <c r="P78" s="1020"/>
      <c r="Q78" s="1020"/>
      <c r="R78" s="1020"/>
      <c r="S78" s="1020"/>
      <c r="T78" s="906" t="s">
        <v>631</v>
      </c>
      <c r="U78" s="906"/>
      <c r="V78" s="906"/>
      <c r="W78" s="906"/>
      <c r="X78" s="906"/>
      <c r="Y78" s="1063"/>
      <c r="Z78" s="909" t="s">
        <v>2178</v>
      </c>
      <c r="AA78" s="912"/>
      <c r="AB78" s="909"/>
      <c r="AC78" s="909"/>
      <c r="AD78" s="909"/>
    </row>
    <row customHeight="1" ht="36">
      <c r="A79" s="908"/>
      <c r="B79" s="962">
        <v>62</v>
      </c>
      <c r="C79" s="906" t="s">
        <v>2155</v>
      </c>
      <c r="D79" s="1030"/>
      <c r="E79" s="906"/>
      <c r="F79" s="906"/>
      <c r="G79" s="906"/>
      <c r="H79" s="954"/>
      <c r="I79" s="1068">
        <f>INDEX(TEMPLATE_NUMBER_POINT_FHD,B79,MATCH(TEMPLATE_SPHERE,TEMPLATE_SPHERE_LIST_FOR_NOTE,0))</f>
        <v>0</v>
      </c>
      <c r="J79" s="1068">
        <f>INDEX(TEMPLATE_DATA_POINT_FHD,B79,MATCH(TEMPLATE_SPHERE,TEMPLATE_SPHERE_LIST_FOR_NOTE,0))</f>
        <v>0</v>
      </c>
      <c r="K79" s="1068">
        <f>INDEX(TEMPLATE_NOTE_POINT_FHD,B79,MATCH(TEMPLATE_SPHERE,TEMPLATE_SPHERE_LIST_FOR_NOTE,0))</f>
        <v>0</v>
      </c>
      <c r="L79" s="907" t="str">
        <f>IF(I79=0,"",I79)</f>
        <v/>
      </c>
      <c r="M79" s="907" t="str">
        <f>IF(J79=0,"",J79)</f>
        <v/>
      </c>
      <c r="N79" s="907" t="str">
        <f>IF(K79=0,"",K79)</f>
        <v/>
      </c>
      <c r="O79" s="1020" t="s">
        <v>111</v>
      </c>
      <c r="P79" s="1020"/>
      <c r="Q79" s="1020"/>
      <c r="R79" s="1020"/>
      <c r="S79" s="1020"/>
      <c r="T79" s="906" t="s">
        <v>2179</v>
      </c>
      <c r="U79" s="906"/>
      <c r="V79" s="906"/>
      <c r="W79" s="906"/>
      <c r="X79" s="906"/>
      <c r="Y79" s="1063"/>
      <c r="Z79" s="909" t="s">
        <v>2180</v>
      </c>
      <c r="AA79" s="912"/>
      <c r="AB79" s="909"/>
      <c r="AC79" s="909"/>
      <c r="AD79" s="909"/>
    </row>
    <row customHeight="1" ht="45">
      <c r="A80" s="908"/>
      <c r="B80" s="962">
        <v>63</v>
      </c>
      <c r="C80" s="906" t="s">
        <v>2157</v>
      </c>
      <c r="D80" s="1030"/>
      <c r="E80" s="906"/>
      <c r="F80" s="906"/>
      <c r="G80" s="906"/>
      <c r="H80" s="954"/>
      <c r="I80" s="1068">
        <f>INDEX(TEMPLATE_NUMBER_POINT_FHD,B80,MATCH(TEMPLATE_SPHERE,TEMPLATE_SPHERE_LIST_FOR_NOTE,0))</f>
        <v>0</v>
      </c>
      <c r="J80" s="1068">
        <f>INDEX(TEMPLATE_DATA_POINT_FHD,B80,MATCH(TEMPLATE_SPHERE,TEMPLATE_SPHERE_LIST_FOR_NOTE,0))</f>
        <v>0</v>
      </c>
      <c r="K80" s="1068">
        <f>INDEX(TEMPLATE_NOTE_POINT_FHD,B80,MATCH(TEMPLATE_SPHERE,TEMPLATE_SPHERE_LIST_FOR_NOTE,0))</f>
        <v>0</v>
      </c>
      <c r="L80" s="907" t="str">
        <f>IF(I80=0,"",I80)</f>
        <v/>
      </c>
      <c r="M80" s="907" t="str">
        <f>IF(J80=0,"",J80)</f>
        <v/>
      </c>
      <c r="N80" s="907" t="str">
        <f>IF(K80=0,"",K80)</f>
        <v/>
      </c>
      <c r="O80" s="1020" t="s">
        <v>148</v>
      </c>
      <c r="P80" s="1020"/>
      <c r="Q80" s="1020"/>
      <c r="R80" s="1020"/>
      <c r="S80" s="1020"/>
      <c r="T80" s="906" t="s">
        <v>2181</v>
      </c>
      <c r="U80" s="906"/>
      <c r="V80" s="906"/>
      <c r="W80" s="906"/>
      <c r="X80" s="906"/>
      <c r="Y80" s="1063"/>
      <c r="Z80" s="909" t="s">
        <v>2182</v>
      </c>
      <c r="AA80" s="912"/>
      <c r="AB80" s="909"/>
      <c r="AC80" s="909"/>
      <c r="AD80" s="909"/>
    </row>
    <row customHeight="1" ht="36">
      <c r="A81" s="908"/>
      <c r="B81" s="962">
        <v>64</v>
      </c>
      <c r="C81" s="906" t="s">
        <v>2159</v>
      </c>
      <c r="D81" s="1030"/>
      <c r="E81" s="906"/>
      <c r="F81" s="906"/>
      <c r="G81" s="906"/>
      <c r="H81" s="954"/>
      <c r="I81" s="1068">
        <f>INDEX(TEMPLATE_NUMBER_POINT_FHD,B81,MATCH(TEMPLATE_SPHERE,TEMPLATE_SPHERE_LIST_FOR_NOTE,0))</f>
        <v>0</v>
      </c>
      <c r="J81" s="1068">
        <f>INDEX(TEMPLATE_DATA_POINT_FHD,B81,MATCH(TEMPLATE_SPHERE,TEMPLATE_SPHERE_LIST_FOR_NOTE,0))</f>
        <v>0</v>
      </c>
      <c r="K81" s="1068">
        <f>INDEX(TEMPLATE_NOTE_POINT_FHD,B81,MATCH(TEMPLATE_SPHERE,TEMPLATE_SPHERE_LIST_FOR_NOTE,0))</f>
        <v>0</v>
      </c>
      <c r="L81" s="907" t="str">
        <f>IF(I81=0,"",I81)</f>
        <v/>
      </c>
      <c r="M81" s="907" t="str">
        <f>IF(J81=0,"",J81)</f>
        <v/>
      </c>
      <c r="N81" s="907" t="str">
        <f>IF(K81=0,"",K81)</f>
        <v/>
      </c>
      <c r="O81" s="1020" t="s">
        <v>2065</v>
      </c>
      <c r="P81" s="1020"/>
      <c r="Q81" s="1020"/>
      <c r="R81" s="1020"/>
      <c r="S81" s="1020"/>
      <c r="T81" s="906" t="s">
        <v>2183</v>
      </c>
      <c r="U81" s="906"/>
      <c r="V81" s="906"/>
      <c r="W81" s="906"/>
      <c r="X81" s="906"/>
      <c r="Y81" s="1063"/>
      <c r="Z81" s="909" t="s">
        <v>2184</v>
      </c>
      <c r="AA81" s="912"/>
      <c r="AB81" s="909"/>
      <c r="AC81" s="909"/>
      <c r="AD81" s="909"/>
    </row>
    <row customHeight="1" ht="90">
      <c r="A82" s="908"/>
      <c r="B82" s="962">
        <v>65</v>
      </c>
      <c r="C82" s="906" t="s">
        <v>2168</v>
      </c>
      <c r="D82" s="1030"/>
      <c r="E82" s="906"/>
      <c r="F82" s="906"/>
      <c r="G82" s="906"/>
      <c r="H82" s="954"/>
      <c r="I82" s="1068">
        <f>INDEX(TEMPLATE_NUMBER_POINT_FHD,B82,MATCH(TEMPLATE_SPHERE,TEMPLATE_SPHERE_LIST_FOR_NOTE,0))</f>
        <v>0</v>
      </c>
      <c r="J82" s="1068">
        <f>INDEX(TEMPLATE_DATA_POINT_FHD,B82,MATCH(TEMPLATE_SPHERE,TEMPLATE_SPHERE_LIST_FOR_NOTE,0))</f>
        <v>0</v>
      </c>
      <c r="K82" s="1068">
        <f>INDEX(TEMPLATE_NOTE_POINT_FHD,B82,MATCH(TEMPLATE_SPHERE,TEMPLATE_SPHERE_LIST_FOR_NOTE,0))</f>
        <v>0</v>
      </c>
      <c r="L82" s="907" t="str">
        <f>IF(I82=0,"",I82)</f>
        <v/>
      </c>
      <c r="M82" s="907" t="str">
        <f>IF(J82=0,"",J82)</f>
        <v/>
      </c>
      <c r="N82" s="907" t="str">
        <f>IF(K82=0,"",K82)</f>
        <v/>
      </c>
      <c r="O82" s="1020" t="s">
        <v>149</v>
      </c>
      <c r="P82" s="1020"/>
      <c r="Q82" s="1020"/>
      <c r="R82" s="1020"/>
      <c r="S82" s="1020"/>
      <c r="T82" s="906" t="s">
        <v>2185</v>
      </c>
      <c r="U82" s="906"/>
      <c r="V82" s="906"/>
      <c r="W82" s="906"/>
      <c r="X82" s="906"/>
      <c r="Y82" s="1063"/>
      <c r="Z82" s="909" t="s">
        <v>2186</v>
      </c>
      <c r="AA82" s="912"/>
      <c r="AB82" s="909"/>
      <c r="AC82" s="909"/>
      <c r="AD82" s="909"/>
    </row>
    <row customHeight="1" ht="9">
      <c r="A83" s="908"/>
      <c r="B83" s="962">
        <v>66</v>
      </c>
      <c r="C83" s="906"/>
      <c r="D83" s="1030"/>
      <c r="E83" s="906"/>
      <c r="F83" s="906"/>
      <c r="G83" s="906"/>
      <c r="H83" s="954"/>
      <c r="I83" s="1068">
        <f>INDEX(TEMPLATE_NUMBER_POINT_FHD,B83,MATCH(TEMPLATE_SPHERE,TEMPLATE_SPHERE_LIST_FOR_NOTE,0))</f>
        <v>0</v>
      </c>
      <c r="J83" s="1068">
        <f>INDEX(TEMPLATE_DATA_POINT_FHD,B83,MATCH(TEMPLATE_SPHERE,TEMPLATE_SPHERE_LIST_FOR_NOTE,0))</f>
        <v>0</v>
      </c>
      <c r="K83" s="1068">
        <f>INDEX(TEMPLATE_NOTE_POINT_FHD,B83,MATCH(TEMPLATE_SPHERE,TEMPLATE_SPHERE_LIST_FOR_NOTE,0))</f>
        <v>0</v>
      </c>
      <c r="L83" s="907" t="str">
        <f>IF(I83=0,"",I83)</f>
        <v/>
      </c>
      <c r="M83" s="907" t="str">
        <f>IF(J83=0,"",J83)</f>
        <v/>
      </c>
      <c r="N83" s="907" t="str">
        <f>IF(K83=0,"",K83)</f>
        <v/>
      </c>
      <c r="O83" s="1020" t="s">
        <v>2074</v>
      </c>
      <c r="P83" s="1020"/>
      <c r="Q83" s="1020"/>
      <c r="R83" s="1020"/>
      <c r="S83" s="1020"/>
      <c r="T83" s="906" t="s">
        <v>2187</v>
      </c>
      <c r="U83" s="906"/>
      <c r="V83" s="906"/>
      <c r="W83" s="906"/>
      <c r="X83" s="906"/>
      <c r="Y83" s="1063"/>
      <c r="Z83" s="909"/>
      <c r="AA83" s="912"/>
      <c r="AB83" s="909"/>
      <c r="AC83" s="909"/>
      <c r="AD83" s="909"/>
    </row>
    <row customHeight="1" ht="54">
      <c r="A84" s="908"/>
      <c r="B84" s="962">
        <v>67</v>
      </c>
      <c r="C84" s="906"/>
      <c r="D84" s="1030"/>
      <c r="E84" s="906"/>
      <c r="F84" s="906"/>
      <c r="G84" s="906"/>
      <c r="H84" s="954"/>
      <c r="I84" s="1068">
        <f>INDEX(TEMPLATE_NUMBER_POINT_FHD,B84,MATCH(TEMPLATE_SPHERE,TEMPLATE_SPHERE_LIST_FOR_NOTE,0))</f>
        <v>0</v>
      </c>
      <c r="J84" s="1068">
        <f>INDEX(TEMPLATE_DATA_POINT_FHD,B84,MATCH(TEMPLATE_SPHERE,TEMPLATE_SPHERE_LIST_FOR_NOTE,0))</f>
        <v>0</v>
      </c>
      <c r="K84" s="1068">
        <f>INDEX(TEMPLATE_NOTE_POINT_FHD,B84,MATCH(TEMPLATE_SPHERE,TEMPLATE_SPHERE_LIST_FOR_NOTE,0))</f>
        <v>0</v>
      </c>
      <c r="L84" s="907" t="str">
        <f>IF(I84=0,"",I84)</f>
        <v/>
      </c>
      <c r="M84" s="907" t="str">
        <f>IF(J84=0,"",J84)</f>
        <v/>
      </c>
      <c r="N84" s="907" t="str">
        <f>IF(K84=0,"",K84)</f>
        <v/>
      </c>
      <c r="O84" s="1020" t="s">
        <v>2188</v>
      </c>
      <c r="P84" s="1020"/>
      <c r="Q84" s="1020"/>
      <c r="R84" s="1020"/>
      <c r="S84" s="1020"/>
      <c r="T84" s="906" t="s">
        <v>2189</v>
      </c>
      <c r="U84" s="906"/>
      <c r="V84" s="906"/>
      <c r="W84" s="906"/>
      <c r="X84" s="906"/>
      <c r="Y84" s="1063"/>
      <c r="Z84" s="909"/>
      <c r="AA84" s="912"/>
      <c r="AB84" s="909"/>
      <c r="AC84" s="909"/>
      <c r="AD84" s="909"/>
    </row>
    <row customHeight="1" ht="9">
      <c r="A85" s="908"/>
      <c r="B85" s="962">
        <v>68</v>
      </c>
      <c r="C85" s="906"/>
      <c r="D85" s="1030"/>
      <c r="E85" s="906"/>
      <c r="F85" s="906"/>
      <c r="G85" s="906"/>
      <c r="H85" s="954"/>
      <c r="I85" s="1068">
        <f>INDEX(TEMPLATE_NUMBER_POINT_FHD,B85,MATCH(TEMPLATE_SPHERE,TEMPLATE_SPHERE_LIST_FOR_NOTE,0))</f>
        <v>0</v>
      </c>
      <c r="J85" s="1068">
        <f>INDEX(TEMPLATE_DATA_POINT_FHD,B85,MATCH(TEMPLATE_SPHERE,TEMPLATE_SPHERE_LIST_FOR_NOTE,0))</f>
        <v>0</v>
      </c>
      <c r="K85" s="1068">
        <f>INDEX(TEMPLATE_NOTE_POINT_FHD,B85,MATCH(TEMPLATE_SPHERE,TEMPLATE_SPHERE_LIST_FOR_NOTE,0))</f>
        <v>0</v>
      </c>
      <c r="L85" s="907" t="str">
        <f>IF(I85=0,"",I85)</f>
        <v/>
      </c>
      <c r="M85" s="907" t="str">
        <f>IF(J85=0,"",J85)</f>
        <v/>
      </c>
      <c r="N85" s="907" t="str">
        <f>IF(K85=0,"",K85)</f>
        <v/>
      </c>
      <c r="O85" s="1020" t="s">
        <v>2078</v>
      </c>
      <c r="P85" s="1020"/>
      <c r="Q85" s="1020"/>
      <c r="R85" s="1020"/>
      <c r="S85" s="1020"/>
      <c r="T85" s="906" t="s">
        <v>2190</v>
      </c>
      <c r="U85" s="906"/>
      <c r="V85" s="906"/>
      <c r="W85" s="906"/>
      <c r="X85" s="906"/>
      <c r="Y85" s="1063"/>
      <c r="Z85" s="909"/>
      <c r="AA85" s="912"/>
      <c r="AB85" s="909"/>
      <c r="AC85" s="909"/>
      <c r="AD85" s="909"/>
    </row>
    <row customHeight="1" ht="27">
      <c r="A86" s="908"/>
      <c r="B86" s="962">
        <v>69</v>
      </c>
      <c r="C86" s="906"/>
      <c r="D86" s="1030"/>
      <c r="E86" s="906"/>
      <c r="F86" s="906"/>
      <c r="G86" s="906"/>
      <c r="H86" s="954"/>
      <c r="I86" s="1068">
        <f>INDEX(TEMPLATE_NUMBER_POINT_FHD,B86,MATCH(TEMPLATE_SPHERE,TEMPLATE_SPHERE_LIST_FOR_NOTE,0))</f>
        <v>0</v>
      </c>
      <c r="J86" s="1068">
        <f>INDEX(TEMPLATE_DATA_POINT_FHD,B86,MATCH(TEMPLATE_SPHERE,TEMPLATE_SPHERE_LIST_FOR_NOTE,0))</f>
        <v>0</v>
      </c>
      <c r="K86" s="1068">
        <f>INDEX(TEMPLATE_NOTE_POINT_FHD,B86,MATCH(TEMPLATE_SPHERE,TEMPLATE_SPHERE_LIST_FOR_NOTE,0))</f>
        <v>0</v>
      </c>
      <c r="L86" s="907" t="str">
        <f>IF(I86=0,"",I86)</f>
        <v/>
      </c>
      <c r="M86" s="907" t="str">
        <f>IF(J86=0,"",J86)</f>
        <v/>
      </c>
      <c r="N86" s="907" t="str">
        <f>IF(K86=0,"",K86)</f>
        <v/>
      </c>
      <c r="O86" s="1020" t="s">
        <v>2191</v>
      </c>
      <c r="P86" s="1020"/>
      <c r="Q86" s="1020"/>
      <c r="R86" s="1020"/>
      <c r="S86" s="1020"/>
      <c r="T86" s="906" t="s">
        <v>2192</v>
      </c>
      <c r="U86" s="906"/>
      <c r="V86" s="906"/>
      <c r="W86" s="906"/>
      <c r="X86" s="906"/>
      <c r="Y86" s="1063"/>
      <c r="Z86" s="909"/>
      <c r="AA86" s="912"/>
      <c r="AB86" s="909"/>
      <c r="AC86" s="909"/>
      <c r="AD86" s="909"/>
    </row>
    <row customHeight="1" ht="36">
      <c r="A87" s="908"/>
      <c r="B87" s="962">
        <v>70</v>
      </c>
      <c r="C87" s="906" t="s">
        <v>2193</v>
      </c>
      <c r="D87" s="1030"/>
      <c r="E87" s="906"/>
      <c r="F87" s="906"/>
      <c r="G87" s="906"/>
      <c r="H87" s="954"/>
      <c r="I87" s="1068">
        <f>INDEX(TEMPLATE_NUMBER_POINT_FHD,B87,MATCH(TEMPLATE_SPHERE,TEMPLATE_SPHERE_LIST_FOR_NOTE,0))</f>
        <v>0</v>
      </c>
      <c r="J87" s="1068">
        <f>INDEX(TEMPLATE_DATA_POINT_FHD,B87,MATCH(TEMPLATE_SPHERE,TEMPLATE_SPHERE_LIST_FOR_NOTE,0))</f>
        <v>0</v>
      </c>
      <c r="K87" s="1068">
        <f>INDEX(TEMPLATE_NOTE_POINT_FHD,B87,MATCH(TEMPLATE_SPHERE,TEMPLATE_SPHERE_LIST_FOR_NOTE,0))</f>
        <v>0</v>
      </c>
      <c r="L87" s="907" t="str">
        <f>IF(I87=0,"",I87)</f>
        <v/>
      </c>
      <c r="M87" s="907" t="str">
        <f>IF(J87=0,"",J87)</f>
        <v/>
      </c>
      <c r="N87" s="907" t="str">
        <f>IF(K87=0,"",K87)</f>
        <v/>
      </c>
      <c r="O87" s="1020" t="s">
        <v>98</v>
      </c>
      <c r="P87" s="1020"/>
      <c r="Q87" s="1020"/>
      <c r="R87" s="1020"/>
      <c r="S87" s="1020"/>
      <c r="T87" s="906" t="s">
        <v>2194</v>
      </c>
      <c r="U87" s="906"/>
      <c r="V87" s="906"/>
      <c r="W87" s="906"/>
      <c r="X87" s="906"/>
      <c r="Y87" s="1063"/>
      <c r="Z87" s="909"/>
      <c r="AA87" s="912"/>
      <c r="AB87" s="909"/>
      <c r="AC87" s="909"/>
      <c r="AD87" s="909"/>
    </row>
    <row customHeight="1" ht="18">
      <c r="A88" s="908"/>
      <c r="B88" s="962">
        <v>71</v>
      </c>
      <c r="C88" s="906" t="s">
        <v>2195</v>
      </c>
      <c r="D88" s="1030"/>
      <c r="E88" s="906"/>
      <c r="F88" s="906"/>
      <c r="G88" s="906"/>
      <c r="H88" s="954"/>
      <c r="I88" s="1068">
        <f>INDEX(TEMPLATE_NUMBER_POINT_FHD,B88,MATCH(TEMPLATE_SPHERE,TEMPLATE_SPHERE_LIST_FOR_NOTE,0))</f>
        <v>0</v>
      </c>
      <c r="J88" s="1068">
        <f>INDEX(TEMPLATE_DATA_POINT_FHD,B88,MATCH(TEMPLATE_SPHERE,TEMPLATE_SPHERE_LIST_FOR_NOTE,0))</f>
        <v>0</v>
      </c>
      <c r="K88" s="1068">
        <f>INDEX(TEMPLATE_NOTE_POINT_FHD,B88,MATCH(TEMPLATE_SPHERE,TEMPLATE_SPHERE_LIST_FOR_NOTE,0))</f>
        <v>0</v>
      </c>
      <c r="L88" s="907" t="str">
        <f>IF(I88=0,"",I88)</f>
        <v/>
      </c>
      <c r="M88" s="907" t="str">
        <f>IF(J88=0,"",J88)</f>
        <v/>
      </c>
      <c r="N88" s="907" t="str">
        <f>IF(K88=0,"",K88)</f>
        <v/>
      </c>
      <c r="O88" s="1020" t="s">
        <v>150</v>
      </c>
      <c r="P88" s="1020"/>
      <c r="Q88" s="1020"/>
      <c r="R88" s="1020"/>
      <c r="S88" s="1020"/>
      <c r="T88" s="906" t="s">
        <v>663</v>
      </c>
      <c r="U88" s="906"/>
      <c r="V88" s="906"/>
      <c r="W88" s="906"/>
      <c r="X88" s="906"/>
      <c r="Y88" s="1063"/>
      <c r="Z88" s="909"/>
      <c r="AA88" s="912"/>
      <c r="AB88" s="909"/>
      <c r="AC88" s="909"/>
      <c r="AD88" s="909"/>
    </row>
    <row customHeight="1" ht="18">
      <c r="A89" s="908"/>
      <c r="B89" s="962">
        <v>72</v>
      </c>
      <c r="C89" s="906" t="s">
        <v>2196</v>
      </c>
      <c r="D89" s="1030" t="s">
        <v>2193</v>
      </c>
      <c r="E89" s="906" t="s">
        <v>2193</v>
      </c>
      <c r="F89" s="906" t="s">
        <v>2159</v>
      </c>
      <c r="G89" s="906"/>
      <c r="H89" s="954"/>
      <c r="I89" s="1068" t="str">
        <f>INDEX(TEMPLATE_NUMBER_POINT_FHD,B89,MATCH(TEMPLATE_SPHERE,TEMPLATE_SPHERE_LIST_FOR_NOTE,0))</f>
        <v>10</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10</v>
      </c>
      <c r="M89" s="907" t="str">
        <f>IF(J89=0,"",J89)</f>
        <v>Среднесписочная численность основного производственного персонала</v>
      </c>
      <c r="N89" s="907" t="str">
        <f>IF(K89=0,"",K89)</f>
        <v/>
      </c>
      <c r="O89" s="1020" t="s">
        <v>151</v>
      </c>
      <c r="P89" s="1020" t="s">
        <v>150</v>
      </c>
      <c r="Q89" s="1020" t="s">
        <v>150</v>
      </c>
      <c r="R89" s="1020" t="s">
        <v>149</v>
      </c>
      <c r="S89" s="1020"/>
      <c r="T89" s="906" t="s">
        <v>671</v>
      </c>
      <c r="U89" s="906" t="s">
        <v>671</v>
      </c>
      <c r="V89" s="906" t="s">
        <v>671</v>
      </c>
      <c r="W89" s="906" t="s">
        <v>671</v>
      </c>
      <c r="X89" s="906"/>
      <c r="Y89" s="1063"/>
      <c r="Z89" s="909"/>
      <c r="AA89" s="912"/>
      <c r="AB89" s="909"/>
      <c r="AC89" s="909"/>
      <c r="AD89" s="909"/>
    </row>
    <row customHeight="1" ht="27">
      <c r="A90" s="908"/>
      <c r="B90" s="962">
        <v>73</v>
      </c>
      <c r="C90" s="906" t="s">
        <v>2197</v>
      </c>
      <c r="D90" s="1030"/>
      <c r="E90" s="906"/>
      <c r="F90" s="906"/>
      <c r="G90" s="906"/>
      <c r="H90" s="954"/>
      <c r="I90" s="1068">
        <f>INDEX(TEMPLATE_NUMBER_POINT_FHD,B90,MATCH(TEMPLATE_SPHERE,TEMPLATE_SPHERE_LIST_FOR_NOTE,0))</f>
        <v>0</v>
      </c>
      <c r="J90" s="1068">
        <f>INDEX(TEMPLATE_DATA_POINT_FHD,B90,MATCH(TEMPLATE_SPHERE,TEMPLATE_SPHERE_LIST_FOR_NOTE,0))</f>
        <v>0</v>
      </c>
      <c r="K90" s="1068">
        <f>INDEX(TEMPLATE_NOTE_POINT_FHD,B90,MATCH(TEMPLATE_SPHERE,TEMPLATE_SPHERE_LIST_FOR_NOTE,0))</f>
        <v>0</v>
      </c>
      <c r="L90" s="907" t="str">
        <f>IF(I90=0,"",I90)</f>
        <v/>
      </c>
      <c r="M90" s="907" t="str">
        <f>IF(J90=0,"",J90)</f>
        <v/>
      </c>
      <c r="N90" s="907" t="str">
        <f>IF(K90=0,"",K90)</f>
        <v/>
      </c>
      <c r="O90" s="1020" t="s">
        <v>152</v>
      </c>
      <c r="P90" s="1020"/>
      <c r="Q90" s="1020"/>
      <c r="R90" s="1020"/>
      <c r="S90" s="1020"/>
      <c r="T90" s="906" t="s">
        <v>673</v>
      </c>
      <c r="U90" s="906"/>
      <c r="V90" s="906"/>
      <c r="W90" s="906"/>
      <c r="X90" s="906"/>
      <c r="Y90" s="1063"/>
      <c r="Z90" s="909"/>
      <c r="AA90" s="912"/>
      <c r="AB90" s="909"/>
      <c r="AC90" s="909"/>
      <c r="AD90" s="909"/>
    </row>
    <row customHeight="1" ht="18">
      <c r="A91" s="908"/>
      <c r="B91" s="962">
        <v>74</v>
      </c>
      <c r="C91" s="906"/>
      <c r="D91" s="1030" t="s">
        <v>2195</v>
      </c>
      <c r="E91" s="906" t="s">
        <v>2195</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151</v>
      </c>
      <c r="Q91" s="1020" t="s">
        <v>151</v>
      </c>
      <c r="R91" s="1020"/>
      <c r="S91" s="1020"/>
      <c r="T91" s="906"/>
      <c r="U91" s="906" t="s">
        <v>2198</v>
      </c>
      <c r="V91" s="906" t="s">
        <v>2198</v>
      </c>
      <c r="W91" s="906"/>
      <c r="X91" s="906"/>
      <c r="Y91" s="1063"/>
      <c r="Z91" s="909"/>
      <c r="AA91" s="912"/>
      <c r="AB91" s="909"/>
      <c r="AC91" s="909"/>
      <c r="AD91" s="909"/>
    </row>
    <row customHeight="1" ht="27">
      <c r="A92" s="908"/>
      <c r="B92" s="962">
        <v>75</v>
      </c>
      <c r="C92" s="906"/>
      <c r="D92" s="1030" t="s">
        <v>2196</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152</v>
      </c>
      <c r="Q92" s="1020"/>
      <c r="R92" s="1020"/>
      <c r="S92" s="1020"/>
      <c r="T92" s="906"/>
      <c r="U92" s="906" t="s">
        <v>2199</v>
      </c>
      <c r="V92" s="906"/>
      <c r="W92" s="906"/>
      <c r="X92" s="906"/>
      <c r="Y92" s="1063"/>
      <c r="Z92" s="909"/>
      <c r="AA92" s="912" t="s">
        <v>2200</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2106</v>
      </c>
      <c r="Q93" s="1020"/>
      <c r="R93" s="1020"/>
      <c r="S93" s="1020"/>
      <c r="T93" s="906"/>
      <c r="U93" s="906" t="s">
        <v>2201</v>
      </c>
      <c r="V93" s="906"/>
      <c r="W93" s="906"/>
      <c r="X93" s="906"/>
      <c r="Y93" s="1063"/>
      <c r="Z93" s="909"/>
      <c r="AA93" s="912" t="s">
        <v>2202</v>
      </c>
      <c r="AB93" s="909"/>
      <c r="AC93" s="909"/>
      <c r="AD93" s="909"/>
    </row>
    <row customHeight="1" ht="45">
      <c r="A94" s="908"/>
      <c r="B94" s="962">
        <v>77</v>
      </c>
      <c r="C94" s="906"/>
      <c r="D94" s="1030" t="s">
        <v>2197</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1460</v>
      </c>
      <c r="Q94" s="1020"/>
      <c r="R94" s="1020"/>
      <c r="S94" s="1020"/>
      <c r="T94" s="906"/>
      <c r="U94" s="906" t="s">
        <v>2203</v>
      </c>
      <c r="V94" s="906"/>
      <c r="W94" s="906"/>
      <c r="X94" s="906"/>
      <c r="Y94" s="1063"/>
      <c r="Z94" s="909"/>
      <c r="AA94" s="912" t="s">
        <v>2204</v>
      </c>
      <c r="AB94" s="909"/>
      <c r="AC94" s="909"/>
      <c r="AD94" s="909"/>
    </row>
    <row customHeight="1" ht="99">
      <c r="A95" s="908"/>
      <c r="B95" s="962">
        <v>78</v>
      </c>
      <c r="C95" s="906" t="s">
        <v>2205</v>
      </c>
      <c r="D95" s="1030"/>
      <c r="E95" s="906"/>
      <c r="F95" s="906"/>
      <c r="G95" s="906"/>
      <c r="H95" s="954"/>
      <c r="I95" s="1068">
        <f>INDEX(TEMPLATE_NUMBER_POINT_FHD,B95,MATCH(TEMPLATE_SPHERE,TEMPLATE_SPHERE_LIST_FOR_NOTE,0))</f>
        <v>0</v>
      </c>
      <c r="J95" s="1068">
        <f>INDEX(TEMPLATE_DATA_POINT_FHD,B95,MATCH(TEMPLATE_SPHERE,TEMPLATE_SPHERE_LIST_FOR_NOTE,0))</f>
        <v>0</v>
      </c>
      <c r="K95" s="1068">
        <f>INDEX(TEMPLATE_NOTE_POINT_FHD,B95,MATCH(TEMPLATE_SPHERE,TEMPLATE_SPHERE_LIST_FOR_NOTE,0))</f>
        <v>0</v>
      </c>
      <c r="L95" s="907" t="str">
        <f>IF(I95=0,"",I95)</f>
        <v/>
      </c>
      <c r="M95" s="907" t="str">
        <f>IF(J95=0,"",J95)</f>
        <v/>
      </c>
      <c r="N95" s="907" t="str">
        <f>IF(K95=0,"",K95)</f>
        <v/>
      </c>
      <c r="O95" s="1020" t="s">
        <v>1460</v>
      </c>
      <c r="P95" s="1020"/>
      <c r="Q95" s="1020"/>
      <c r="R95" s="1020"/>
      <c r="S95" s="1020"/>
      <c r="T95" s="906" t="s">
        <v>2206</v>
      </c>
      <c r="U95" s="906"/>
      <c r="V95" s="906"/>
      <c r="W95" s="906"/>
      <c r="X95" s="906"/>
      <c r="Y95" s="1063"/>
      <c r="Z95" s="909"/>
      <c r="AA95" s="912"/>
      <c r="AB95" s="909"/>
      <c r="AC95" s="909"/>
      <c r="AD95" s="909"/>
    </row>
    <row customHeight="1" ht="99">
      <c r="A96" s="908"/>
      <c r="B96" s="962">
        <v>79</v>
      </c>
      <c r="C96" s="906" t="s">
        <v>1146</v>
      </c>
      <c r="D96" s="1030"/>
      <c r="E96" s="906"/>
      <c r="F96" s="906"/>
      <c r="G96" s="906"/>
      <c r="H96" s="954"/>
      <c r="I96" s="1068">
        <f>INDEX(TEMPLATE_NUMBER_POINT_FHD,B96,MATCH(TEMPLATE_SPHERE,TEMPLATE_SPHERE_LIST_FOR_NOTE,0))</f>
        <v>0</v>
      </c>
      <c r="J96" s="1068">
        <f>INDEX(TEMPLATE_DATA_POINT_FHD,B96,MATCH(TEMPLATE_SPHERE,TEMPLATE_SPHERE_LIST_FOR_NOTE,0))</f>
        <v>0</v>
      </c>
      <c r="K96" s="1068">
        <f>INDEX(TEMPLATE_NOTE_POINT_FHD,B96,MATCH(TEMPLATE_SPHERE,TEMPLATE_SPHERE_LIST_FOR_NOTE,0))</f>
        <v>0</v>
      </c>
      <c r="L96" s="907" t="str">
        <f>IF(I96=0,"",I96)</f>
        <v/>
      </c>
      <c r="M96" s="907" t="str">
        <f>IF(J96=0,"",J96)</f>
        <v/>
      </c>
      <c r="N96" s="907" t="str">
        <f>IF(K96=0,"",K96)</f>
        <v/>
      </c>
      <c r="O96" s="1020" t="s">
        <v>1466</v>
      </c>
      <c r="P96" s="1020"/>
      <c r="Q96" s="1020"/>
      <c r="R96" s="1020"/>
      <c r="S96" s="1020"/>
      <c r="T96" s="906" t="s">
        <v>2207</v>
      </c>
      <c r="U96" s="906"/>
      <c r="V96" s="906"/>
      <c r="W96" s="906"/>
      <c r="X96" s="906"/>
      <c r="Y96" s="1063"/>
      <c r="Z96" s="909" t="s">
        <v>2208</v>
      </c>
      <c r="AA96" s="912"/>
      <c r="AB96" s="909"/>
      <c r="AC96" s="909"/>
      <c r="AD96" s="909"/>
    </row>
    <row customHeight="1" ht="63">
      <c r="A97" s="908"/>
      <c r="B97" s="962">
        <v>80</v>
      </c>
      <c r="C97" s="906" t="s">
        <v>2209</v>
      </c>
      <c r="D97" s="1030"/>
      <c r="E97" s="906"/>
      <c r="F97" s="906"/>
      <c r="G97" s="906"/>
      <c r="H97" s="954"/>
      <c r="I97" s="1068">
        <f>INDEX(TEMPLATE_NUMBER_POINT_FHD,B97,MATCH(TEMPLATE_SPHERE,TEMPLATE_SPHERE_LIST_FOR_NOTE,0))</f>
        <v>0</v>
      </c>
      <c r="J97" s="1068">
        <f>INDEX(TEMPLATE_DATA_POINT_FHD,B97,MATCH(TEMPLATE_SPHERE,TEMPLATE_SPHERE_LIST_FOR_NOTE,0))</f>
        <v>0</v>
      </c>
      <c r="K97" s="1068">
        <f>INDEX(TEMPLATE_NOTE_POINT_FHD,B97,MATCH(TEMPLATE_SPHERE,TEMPLATE_SPHERE_LIST_FOR_NOTE,0))</f>
        <v>0</v>
      </c>
      <c r="L97" s="907" t="str">
        <f>IF(I97=0,"",I97)</f>
        <v/>
      </c>
      <c r="M97" s="907" t="str">
        <f>IF(J97=0,"",J97)</f>
        <v/>
      </c>
      <c r="N97" s="907" t="str">
        <f>IF(K97=0,"",K97)</f>
        <v/>
      </c>
      <c r="O97" s="1020" t="s">
        <v>1478</v>
      </c>
      <c r="P97" s="1020"/>
      <c r="Q97" s="1020"/>
      <c r="R97" s="1020"/>
      <c r="S97" s="1020"/>
      <c r="T97" s="906" t="s">
        <v>2210</v>
      </c>
      <c r="U97" s="906"/>
      <c r="V97" s="906"/>
      <c r="W97" s="906"/>
      <c r="X97" s="906"/>
      <c r="Y97" s="1063"/>
      <c r="Z97" s="909" t="s">
        <v>2211</v>
      </c>
      <c r="AA97" s="912"/>
      <c r="AB97" s="909"/>
      <c r="AC97" s="909"/>
      <c r="AD97" s="909"/>
    </row>
    <row customHeight="1" ht="63">
      <c r="A98" s="908"/>
      <c r="B98" s="962">
        <v>81</v>
      </c>
      <c r="C98" s="906" t="s">
        <v>2212</v>
      </c>
      <c r="D98" s="1030"/>
      <c r="E98" s="906"/>
      <c r="F98" s="906"/>
      <c r="G98" s="906"/>
      <c r="H98" s="954"/>
      <c r="I98" s="1068">
        <f>INDEX(TEMPLATE_NUMBER_POINT_FHD,B98,MATCH(TEMPLATE_SPHERE,TEMPLATE_SPHERE_LIST_FOR_NOTE,0))</f>
        <v>0</v>
      </c>
      <c r="J98" s="1068">
        <f>INDEX(TEMPLATE_DATA_POINT_FHD,B98,MATCH(TEMPLATE_SPHERE,TEMPLATE_SPHERE_LIST_FOR_NOTE,0))</f>
        <v>0</v>
      </c>
      <c r="K98" s="1068">
        <f>INDEX(TEMPLATE_NOTE_POINT_FHD,B98,MATCH(TEMPLATE_SPHERE,TEMPLATE_SPHERE_LIST_FOR_NOTE,0))</f>
        <v>0</v>
      </c>
      <c r="L98" s="907" t="str">
        <f>IF(I98=0,"",I98)</f>
        <v/>
      </c>
      <c r="M98" s="907" t="str">
        <f>IF(J98=0,"",J98)</f>
        <v/>
      </c>
      <c r="N98" s="907" t="str">
        <f>IF(K98=0,"",K98)</f>
        <v/>
      </c>
      <c r="O98" s="1020" t="s">
        <v>1492</v>
      </c>
      <c r="P98" s="1020"/>
      <c r="Q98" s="1020"/>
      <c r="R98" s="1020"/>
      <c r="S98" s="1020"/>
      <c r="T98" s="906" t="s">
        <v>2213</v>
      </c>
      <c r="U98" s="906"/>
      <c r="V98" s="906"/>
      <c r="W98" s="906"/>
      <c r="X98" s="906"/>
      <c r="Y98" s="1063"/>
      <c r="Z98" s="909" t="s">
        <v>2211</v>
      </c>
      <c r="AA98" s="912"/>
      <c r="AB98" s="909"/>
      <c r="AC98" s="909"/>
      <c r="AD98" s="909"/>
    </row>
    <row customHeight="1" ht="90">
      <c r="A99" s="908"/>
      <c r="B99" s="962">
        <v>82</v>
      </c>
      <c r="C99" s="906" t="s">
        <v>2214</v>
      </c>
      <c r="D99" s="1030"/>
      <c r="E99" s="906"/>
      <c r="F99" s="906"/>
      <c r="G99" s="906"/>
      <c r="H99" s="954"/>
      <c r="I99" s="1068">
        <f>INDEX(TEMPLATE_NUMBER_POINT_FHD,B99,MATCH(TEMPLATE_SPHERE,TEMPLATE_SPHERE_LIST_FOR_NOTE,0))</f>
        <v>0</v>
      </c>
      <c r="J99" s="1068">
        <f>INDEX(TEMPLATE_DATA_POINT_FHD,B99,MATCH(TEMPLATE_SPHERE,TEMPLATE_SPHERE_LIST_FOR_NOTE,0))</f>
        <v>0</v>
      </c>
      <c r="K99" s="1068">
        <f>INDEX(TEMPLATE_NOTE_POINT_FHD,B99,MATCH(TEMPLATE_SPHERE,TEMPLATE_SPHERE_LIST_FOR_NOTE,0))</f>
        <v>0</v>
      </c>
      <c r="L99" s="907" t="str">
        <f>IF(I99=0,"",I99)</f>
        <v/>
      </c>
      <c r="M99" s="907" t="str">
        <f>IF(J99=0,"",J99)</f>
        <v/>
      </c>
      <c r="N99" s="907" t="str">
        <f>IF(K99=0,"",K99)</f>
        <v/>
      </c>
      <c r="O99" s="1020" t="s">
        <v>1504</v>
      </c>
      <c r="P99" s="1020"/>
      <c r="Q99" s="1020"/>
      <c r="R99" s="1020"/>
      <c r="S99" s="1020"/>
      <c r="T99" s="906" t="s">
        <v>2215</v>
      </c>
      <c r="U99" s="906"/>
      <c r="V99" s="906"/>
      <c r="W99" s="906"/>
      <c r="X99" s="906"/>
      <c r="Y99" s="1063"/>
      <c r="Z99" s="909" t="s">
        <v>628</v>
      </c>
      <c r="AA99" s="912"/>
      <c r="AB99" s="909"/>
      <c r="AC99" s="909"/>
      <c r="AD99" s="909"/>
    </row>
    <row customHeight="1" ht="27">
      <c r="A100" s="908"/>
      <c r="B100" s="962">
        <v>83</v>
      </c>
      <c r="C100" s="906"/>
      <c r="D100" s="1030"/>
      <c r="E100" s="906"/>
      <c r="F100" s="906"/>
      <c r="G100" s="906"/>
      <c r="H100" s="954"/>
      <c r="I100" s="1068">
        <f>INDEX(TEMPLATE_NUMBER_POINT_FHD,B100,MATCH(TEMPLATE_SPHERE,TEMPLATE_SPHERE_LIST_FOR_NOTE,0))</f>
        <v>0</v>
      </c>
      <c r="J100" s="1068">
        <f>INDEX(TEMPLATE_DATA_POINT_FHD,B100,MATCH(TEMPLATE_SPHERE,TEMPLATE_SPHERE_LIST_FOR_NOTE,0))</f>
        <v>0</v>
      </c>
      <c r="K100" s="1068">
        <f>INDEX(TEMPLATE_NOTE_POINT_FHD,B100,MATCH(TEMPLATE_SPHERE,TEMPLATE_SPHERE_LIST_FOR_NOTE,0))</f>
        <v>0</v>
      </c>
      <c r="L100" s="907" t="str">
        <f>IF(I100=0,"",I100)</f>
        <v/>
      </c>
      <c r="M100" s="907" t="str">
        <f>IF(J100=0,"",J100)</f>
        <v/>
      </c>
      <c r="N100" s="907" t="str">
        <f>IF(K100=0,"",K100)</f>
        <v/>
      </c>
      <c r="O100" s="1020" t="s">
        <v>2216</v>
      </c>
      <c r="P100" s="1020"/>
      <c r="Q100" s="1020"/>
      <c r="R100" s="1020"/>
      <c r="S100" s="1020"/>
      <c r="T100" s="906" t="s">
        <v>2217</v>
      </c>
      <c r="U100" s="906"/>
      <c r="V100" s="906"/>
      <c r="W100" s="906"/>
      <c r="X100" s="906"/>
      <c r="Y100" s="1063"/>
      <c r="Z100" s="909" t="s">
        <v>628</v>
      </c>
      <c r="AA100" s="912"/>
      <c r="AB100" s="909"/>
      <c r="AC100" s="909"/>
      <c r="AD100" s="909"/>
    </row>
    <row customHeight="1" ht="27">
      <c r="A101" s="908"/>
      <c r="B101" s="962">
        <v>84</v>
      </c>
      <c r="C101" s="906"/>
      <c r="D101" s="1030"/>
      <c r="E101" s="906"/>
      <c r="F101" s="906"/>
      <c r="G101" s="906"/>
      <c r="H101" s="954"/>
      <c r="I101" s="1068">
        <f>INDEX(TEMPLATE_NUMBER_POINT_FHD,B101,MATCH(TEMPLATE_SPHERE,TEMPLATE_SPHERE_LIST_FOR_NOTE,0))</f>
        <v>0</v>
      </c>
      <c r="J101" s="1068">
        <f>INDEX(TEMPLATE_DATA_POINT_FHD,B101,MATCH(TEMPLATE_SPHERE,TEMPLATE_SPHERE_LIST_FOR_NOTE,0))</f>
        <v>0</v>
      </c>
      <c r="K101" s="1068">
        <f>INDEX(TEMPLATE_NOTE_POINT_FHD,B101,MATCH(TEMPLATE_SPHERE,TEMPLATE_SPHERE_LIST_FOR_NOTE,0))</f>
        <v>0</v>
      </c>
      <c r="L101" s="907" t="str">
        <f>IF(I101=0,"",I101)</f>
        <v/>
      </c>
      <c r="M101" s="907" t="str">
        <f>IF(J101=0,"",J101)</f>
        <v/>
      </c>
      <c r="N101" s="907" t="str">
        <f>IF(K101=0,"",K101)</f>
        <v/>
      </c>
      <c r="O101" s="1020" t="s">
        <v>2218</v>
      </c>
      <c r="P101" s="1020"/>
      <c r="Q101" s="1020"/>
      <c r="R101" s="1020"/>
      <c r="S101" s="1020"/>
      <c r="T101" s="906" t="s">
        <v>2219</v>
      </c>
      <c r="U101" s="906"/>
      <c r="V101" s="906"/>
      <c r="W101" s="906"/>
      <c r="X101" s="906"/>
      <c r="Y101" s="1063"/>
      <c r="Z101" s="909" t="s">
        <v>628</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1658</v>
      </c>
      <c r="B148" s="908"/>
      <c r="C148" s="906" t="s">
        <v>2220</v>
      </c>
      <c r="D148" s="906" t="s">
        <v>1560</v>
      </c>
      <c r="E148" s="906" t="s">
        <v>1660</v>
      </c>
      <c r="F148" s="906" t="s">
        <v>2221</v>
      </c>
      <c r="G148" s="906"/>
      <c r="H148" s="906"/>
      <c r="I148" s="1026"/>
      <c r="J148" s="1026"/>
      <c r="K148" s="1026"/>
      <c r="L148" s="1026"/>
      <c r="M148" s="95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1"/>
      <c r="O148" s="906"/>
      <c r="P148" s="907"/>
      <c r="Q148" s="907"/>
      <c r="R148" s="907"/>
      <c r="S148" s="906"/>
      <c r="T148" s="906" t="s">
        <v>2222</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7"/>
      <c r="W148" s="907"/>
      <c r="X148" s="906" t="s">
        <v>2223</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1662</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1665</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1670</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A55B5-EE26-5882-7CA3-BAEC7450EE3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2224</v>
      </c>
      <c r="M5" s="2666"/>
      <c r="N5" s="2666"/>
      <c r="O5" s="2666"/>
      <c r="P5" s="2666"/>
      <c r="Q5" s="2666"/>
      <c r="R5" s="2666"/>
      <c r="S5" s="2666"/>
      <c r="T5" s="2666"/>
      <c r="U5" s="2666"/>
      <c r="V5" s="1306"/>
      <c r="AD5" s="1218">
        <v>64</v>
      </c>
    </row>
    <row customHeight="1" ht="14.699999999999998">
      <c r="J6" s="439"/>
      <c r="K6" s="439"/>
      <c r="L6" s="2667" t="str">
        <f>IF(org=0,"Не определено",org)</f>
        <v>Филиал "Уренгойская ГРЭС" АО "Интер РАО - Электрогенерация"</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420</v>
      </c>
      <c r="N9" s="367"/>
      <c r="O9" s="2314" t="str">
        <f>IF(TITLE_DATE_CHANGE_PERIOD="",IF(TITLE_DATE_PR="","",TITLE_DATE_PR),TITLE_DATE_CHANGE_PERIOD)</f>
        <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421</v>
      </c>
      <c r="N10" s="367"/>
      <c r="O10" s="2314" t="str">
        <f>IF(TITLE_NUMBER_PR_CHANGE="",IF(TITLE_NUMBER_PR="","",TITLE_NUMBER_PR),TITLE_NUMBER_PR_CHANGE)</f>
        <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424</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297</v>
      </c>
      <c r="M14" s="2190"/>
      <c r="N14" s="2190"/>
      <c r="O14" s="2190"/>
      <c r="P14" s="2190"/>
      <c r="Q14" s="2190"/>
      <c r="R14" s="2190"/>
      <c r="S14" s="2190"/>
      <c r="T14" s="2190"/>
      <c r="U14" s="2190"/>
      <c r="V14" s="2190"/>
      <c r="W14" s="2190"/>
      <c r="X14" s="2190" t="s">
        <v>298</v>
      </c>
      <c r="AD14" s="1218">
        <v>14</v>
      </c>
    </row>
    <row customHeight="1" ht="14.699999999999998">
      <c r="J15" s="439"/>
      <c r="K15" s="439"/>
      <c r="L15" s="2336" t="s">
        <v>87</v>
      </c>
      <c r="M15" s="2272" t="s">
        <v>425</v>
      </c>
      <c r="N15" s="364"/>
      <c r="O15" s="2337" t="s">
        <v>2225</v>
      </c>
      <c r="P15" s="2338"/>
      <c r="Q15" s="2338"/>
      <c r="R15" s="2338"/>
      <c r="S15" s="2338"/>
      <c r="T15" s="2338"/>
      <c r="U15" s="2339"/>
      <c r="V15" s="2340" t="s">
        <v>427</v>
      </c>
      <c r="W15" s="2343" t="s">
        <v>1143</v>
      </c>
      <c r="X15" s="2190"/>
      <c r="AD15" s="1218">
        <v>14</v>
      </c>
    </row>
    <row customHeight="1" ht="35.699999999999996">
      <c r="J16" s="439"/>
      <c r="K16" s="439"/>
      <c r="L16" s="2336"/>
      <c r="M16" s="2272"/>
      <c r="N16" s="1094"/>
      <c r="O16" s="2323" t="s">
        <v>430</v>
      </c>
      <c r="P16" s="2323" t="s">
        <v>431</v>
      </c>
      <c r="Q16" s="2325" t="s">
        <v>432</v>
      </c>
      <c r="R16" s="2326"/>
      <c r="S16" s="2325" t="s">
        <v>446</v>
      </c>
      <c r="T16" s="2332"/>
      <c r="U16" s="2326"/>
      <c r="V16" s="2341"/>
      <c r="W16" s="2344"/>
      <c r="X16" s="2190"/>
      <c r="AD16" s="1218">
        <v>34</v>
      </c>
    </row>
    <row customHeight="1" ht="35.699999999999996">
      <c r="A17" s="1433" t="s">
        <v>134</v>
      </c>
      <c r="B17" s="1433" t="s">
        <v>135</v>
      </c>
      <c r="C17" s="1433" t="s">
        <v>136</v>
      </c>
      <c r="D17" s="1433" t="s">
        <v>137</v>
      </c>
      <c r="E17" s="1433"/>
      <c r="J17" s="439"/>
      <c r="K17" s="439"/>
      <c r="L17" s="2336"/>
      <c r="M17" s="2272"/>
      <c r="N17" s="365"/>
      <c r="O17" s="2324"/>
      <c r="P17" s="2324"/>
      <c r="Q17" s="1285" t="s">
        <v>441</v>
      </c>
      <c r="R17" s="1285" t="s">
        <v>442</v>
      </c>
      <c r="S17" s="1355" t="s">
        <v>443</v>
      </c>
      <c r="T17" s="2333" t="s">
        <v>444</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108</v>
      </c>
      <c r="M18" s="1318" t="s">
        <v>109</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167</v>
      </c>
      <c r="B19" s="1426" t="s">
        <v>168</v>
      </c>
      <c r="C19" s="1426" t="s">
        <v>169</v>
      </c>
      <c r="D19" s="1426" t="s">
        <v>170</v>
      </c>
      <c r="E19" s="1426"/>
      <c r="F19" s="1428"/>
      <c r="G19" s="1428"/>
      <c r="H19" s="1428"/>
      <c r="I19" s="424"/>
      <c r="J19" s="423"/>
      <c r="K19" s="418"/>
      <c r="L19" s="1356">
        <f>INDEX(PT_DIFFERENTIATION_NUM_NTAR,MATCH(A19,PT_DIFFERENTIATION_NTAR_ID,0))</f>
        <v>0</v>
      </c>
      <c r="M19" s="361" t="s">
        <v>123</v>
      </c>
      <c r="N19" s="363"/>
      <c r="O19" s="2669" t="str">
        <f>INDEX(PT_DIFFERENTIATION_NTAR,MATCH(A19,PT_DIFFERENTIATION_NTAR_ID,0))</f>
        <v/>
      </c>
      <c r="P19" s="2669"/>
      <c r="Q19" s="2669"/>
      <c r="R19" s="2669"/>
      <c r="S19" s="2669"/>
      <c r="T19" s="2669"/>
      <c r="U19" s="2669"/>
      <c r="V19" s="2669"/>
      <c r="W19" s="2669"/>
      <c r="X19" s="1321" t="s">
        <v>393</v>
      </c>
      <c r="Z19" s="563"/>
      <c r="AA19" s="563" t="str">
        <f>IF(M19="","",M19)</f>
        <v>Наименование тарифа</v>
      </c>
      <c r="AB19" s="563"/>
      <c r="AC19" s="563"/>
      <c r="AD19" s="1218">
        <v>20</v>
      </c>
    </row>
    <row customHeight="1" ht="21">
      <c r="A20" s="1426" t="s">
        <v>167</v>
      </c>
      <c r="B20" s="1426" t="s">
        <v>168</v>
      </c>
      <c r="C20" s="1426" t="s">
        <v>169</v>
      </c>
      <c r="D20" s="1426" t="s">
        <v>170</v>
      </c>
      <c r="E20" s="1426"/>
      <c r="F20" s="1428"/>
      <c r="G20" s="1428"/>
      <c r="H20" s="1428"/>
      <c r="I20" s="1353"/>
      <c r="J20" s="415"/>
      <c r="K20" s="416"/>
      <c r="L20" s="1356" t="str">
        <f>INDEX(PT_DIFFERENTIATION_NUM_TER,MATCH(B19,PT_DIFFERENTIATION_TER_ID,0))</f>
        <v>.</v>
      </c>
      <c r="M20" s="371" t="s">
        <v>394</v>
      </c>
      <c r="N20" s="363"/>
      <c r="O20" s="2669" t="str">
        <f>INDEX(PT_DIFFERENTIATION_TER,MATCH(B19,PT_DIFFERENTIATION_TER_ID,0))</f>
        <v/>
      </c>
      <c r="P20" s="2669"/>
      <c r="Q20" s="2669"/>
      <c r="R20" s="2669"/>
      <c r="S20" s="2669"/>
      <c r="T20" s="2669"/>
      <c r="U20" s="2669"/>
      <c r="V20" s="2669"/>
      <c r="W20" s="2669"/>
      <c r="X20" s="1321" t="s">
        <v>395</v>
      </c>
      <c r="Z20" s="563"/>
      <c r="AA20" s="563" t="str">
        <f>IF(M20="","",M20)</f>
        <v>Территория действия тарифа</v>
      </c>
      <c r="AB20" s="563"/>
      <c r="AC20" s="563"/>
      <c r="AD20" s="1218">
        <v>20</v>
      </c>
    </row>
    <row customHeight="1" ht="24">
      <c r="A21" s="1426" t="s">
        <v>167</v>
      </c>
      <c r="B21" s="1426" t="s">
        <v>168</v>
      </c>
      <c r="C21" s="1426" t="s">
        <v>169</v>
      </c>
      <c r="D21" s="1426" t="s">
        <v>170</v>
      </c>
      <c r="E21" s="1426"/>
      <c r="F21" s="1428"/>
      <c r="G21" s="1428"/>
      <c r="H21" s="1428"/>
      <c r="I21" s="417"/>
      <c r="J21" s="415"/>
      <c r="K21" s="416"/>
      <c r="L21" s="1356" t="str">
        <f>INDEX(PT_DIFFERENTIATION_NUM_CS,MATCH(C19,PT_DIFFERENTIATION_CS_ID,0))</f>
        <v>..</v>
      </c>
      <c r="M21" s="372" t="s">
        <v>396</v>
      </c>
      <c r="N21" s="363"/>
      <c r="O21" s="2669" t="str">
        <f>INDEX(PT_DIFFERENTIATION_CS,MATCH(C19,PT_DIFFERENTIATION_CS_ID,0))</f>
        <v/>
      </c>
      <c r="P21" s="2669"/>
      <c r="Q21" s="2669"/>
      <c r="R21" s="2669"/>
      <c r="S21" s="2669"/>
      <c r="T21" s="2669"/>
      <c r="U21" s="2669"/>
      <c r="V21" s="2669"/>
      <c r="W21" s="2669"/>
      <c r="X21" s="1321" t="s">
        <v>397</v>
      </c>
      <c r="Z21" s="563"/>
      <c r="AA21" s="563" t="str">
        <f>IF(M21="","",M21)</f>
        <v>Наименование системы теплоснабжения </v>
      </c>
      <c r="AB21" s="563"/>
      <c r="AC21" s="563"/>
      <c r="AD21" s="1218">
        <v>23</v>
      </c>
    </row>
    <row customHeight="1" ht="21">
      <c r="A22" s="1426" t="s">
        <v>167</v>
      </c>
      <c r="B22" s="1426" t="s">
        <v>168</v>
      </c>
      <c r="C22" s="1426" t="s">
        <v>169</v>
      </c>
      <c r="D22" s="1426" t="s">
        <v>170</v>
      </c>
      <c r="E22" s="1426"/>
      <c r="F22" s="1428"/>
      <c r="G22" s="1428"/>
      <c r="H22" s="1428"/>
      <c r="I22" s="417"/>
      <c r="J22" s="415"/>
      <c r="K22" s="416"/>
      <c r="L22" s="1356" t="str">
        <f>INDEX(PT_DIFFERENTIATION_NUM_IST_TE,MATCH(D19,PT_DIFFERENTIATION_IST_TE_ID,0))</f>
        <v>...</v>
      </c>
      <c r="M22" s="373" t="s">
        <v>398</v>
      </c>
      <c r="N22" s="363"/>
      <c r="O22" s="2669" t="str">
        <f>INDEX(PT_DIFFERENTIATION_IST_TE,MATCH(D19,PT_DIFFERENTIATION_IST_TE_ID,0))</f>
        <v/>
      </c>
      <c r="P22" s="2669"/>
      <c r="Q22" s="2669"/>
      <c r="R22" s="2669"/>
      <c r="S22" s="2669"/>
      <c r="T22" s="2669"/>
      <c r="U22" s="2669"/>
      <c r="V22" s="2669"/>
      <c r="W22" s="2669"/>
      <c r="X22" s="1321" t="s">
        <v>399</v>
      </c>
      <c r="Z22" s="563"/>
      <c r="AA22" s="563" t="str">
        <f>IF(M22="","",M22)</f>
        <v>Источник тепловой энергии  </v>
      </c>
      <c r="AB22" s="563"/>
      <c r="AC22" s="563"/>
      <c r="AD22" s="1218">
        <v>20</v>
      </c>
    </row>
    <row customHeight="1" ht="96.75">
      <c r="A23" s="1426" t="s">
        <v>167</v>
      </c>
      <c r="B23" s="1426" t="s">
        <v>168</v>
      </c>
      <c r="C23" s="1426" t="s">
        <v>169</v>
      </c>
      <c r="D23" s="1426" t="s">
        <v>170</v>
      </c>
      <c r="E23" s="1426"/>
      <c r="F23" s="2670" t="str">
        <f>L22&amp;".1"</f>
        <v>....1</v>
      </c>
      <c r="I23" s="2320">
        <v>1</v>
      </c>
      <c r="J23" s="1354"/>
      <c r="K23" s="419"/>
      <c r="L23" s="1356" t="str">
        <f>$F$23</f>
        <v>....1</v>
      </c>
      <c r="M23" s="348" t="s">
        <v>401</v>
      </c>
      <c r="N23" s="363"/>
      <c r="O23" s="2368"/>
      <c r="P23" s="2368"/>
      <c r="Q23" s="2368"/>
      <c r="R23" s="2368"/>
      <c r="S23" s="2368"/>
      <c r="T23" s="2368"/>
      <c r="U23" s="2368"/>
      <c r="V23" s="2368"/>
      <c r="W23" s="2368"/>
      <c r="X23" s="1321" t="s">
        <v>402</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167</v>
      </c>
      <c r="B24" s="1426" t="s">
        <v>168</v>
      </c>
      <c r="C24" s="1426" t="s">
        <v>169</v>
      </c>
      <c r="D24" s="1426" t="s">
        <v>170</v>
      </c>
      <c r="E24" s="1426"/>
      <c r="F24" s="2670"/>
      <c r="G24" s="2280" t="str">
        <f>F23&amp;".1"</f>
        <v>....1.1</v>
      </c>
      <c r="I24" s="2320"/>
      <c r="J24" s="2320">
        <v>1</v>
      </c>
      <c r="K24" s="420"/>
      <c r="L24" s="1356" t="str">
        <f>$G$24</f>
        <v>....1.1</v>
      </c>
      <c r="M24" s="349" t="s">
        <v>404</v>
      </c>
      <c r="N24" s="363"/>
      <c r="O24" s="2308"/>
      <c r="P24" s="2309"/>
      <c r="Q24" s="2309"/>
      <c r="R24" s="2309"/>
      <c r="S24" s="2309"/>
      <c r="T24" s="2309"/>
      <c r="U24" s="2309"/>
      <c r="V24" s="2309"/>
      <c r="W24" s="2310"/>
      <c r="X24" s="1321" t="s">
        <v>405</v>
      </c>
      <c r="Z24" s="563"/>
      <c r="AA24" s="563" t="str">
        <f>IF(M24="","",M24)</f>
        <v>Группа потребителей</v>
      </c>
      <c r="AB24" s="563"/>
      <c r="AC24" s="563"/>
      <c r="AD24" s="1218">
        <v>82</v>
      </c>
    </row>
    <row customHeight="1" ht="11.549999999999999">
      <c r="A25" s="1426" t="s">
        <v>167</v>
      </c>
      <c r="B25" s="1426" t="s">
        <v>168</v>
      </c>
      <c r="C25" s="1426" t="s">
        <v>169</v>
      </c>
      <c r="D25" s="1426" t="s">
        <v>170</v>
      </c>
      <c r="E25" s="1426"/>
      <c r="F25" s="2670"/>
      <c r="G25" s="2280"/>
      <c r="H25" s="2280" t="str">
        <f>G24&amp;".1"</f>
        <v>....1.1.1</v>
      </c>
      <c r="I25" s="2320"/>
      <c r="J25" s="2320"/>
      <c r="K25" s="420">
        <v>1</v>
      </c>
      <c r="L25" s="1356" t="str">
        <f>$H$25</f>
        <v>....1.1.1</v>
      </c>
      <c r="M25" s="1410"/>
      <c r="N25" s="363"/>
      <c r="O25" s="814"/>
      <c r="P25" s="388"/>
      <c r="Q25" s="814"/>
      <c r="R25" s="1320"/>
      <c r="S25" s="2665"/>
      <c r="T25" s="2170" t="s">
        <v>65</v>
      </c>
      <c r="U25" s="2665"/>
      <c r="V25" s="2170" t="s">
        <v>19</v>
      </c>
      <c r="W25" s="388"/>
      <c r="X25" s="2316" t="s">
        <v>407</v>
      </c>
      <c r="Y25" s="574">
        <f>STRCHECKDATE(O26:W26)</f>
      </c>
      <c r="Z25" s="563"/>
      <c r="AA25" s="563" t="str">
        <f>IF(M25="","",M25)</f>
        <v/>
      </c>
      <c r="AB25" s="563"/>
      <c r="AC25" s="563"/>
      <c r="AD25" s="1218">
        <v>11</v>
      </c>
    </row>
    <row customHeight="1" ht="11.549999999999999">
      <c r="A26" s="1426" t="s">
        <v>167</v>
      </c>
      <c r="B26" s="1426" t="s">
        <v>168</v>
      </c>
      <c r="C26" s="1426" t="s">
        <v>169</v>
      </c>
      <c r="D26" s="1426" t="s">
        <v>170</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167</v>
      </c>
      <c r="B27" s="1426" t="s">
        <v>168</v>
      </c>
      <c r="C27" s="1426" t="s">
        <v>169</v>
      </c>
      <c r="D27" s="1426" t="s">
        <v>170</v>
      </c>
      <c r="E27" s="1426"/>
      <c r="F27" s="2670"/>
      <c r="G27" s="2280"/>
      <c r="I27" s="2320"/>
      <c r="J27" s="2320"/>
      <c r="K27" s="419"/>
      <c r="L27" s="1341"/>
      <c r="M27" s="351" t="s">
        <v>408</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167</v>
      </c>
      <c r="B28" s="1426" t="s">
        <v>168</v>
      </c>
      <c r="C28" s="1426" t="s">
        <v>169</v>
      </c>
      <c r="D28" s="1426" t="s">
        <v>170</v>
      </c>
      <c r="E28" s="1426"/>
      <c r="F28" s="2670"/>
      <c r="I28" s="2320"/>
      <c r="J28" s="1354"/>
      <c r="K28" s="419"/>
      <c r="L28" s="1341"/>
      <c r="M28" s="350" t="s">
        <v>409</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167</v>
      </c>
      <c r="B29" s="1426" t="s">
        <v>168</v>
      </c>
      <c r="C29" s="1426" t="s">
        <v>169</v>
      </c>
      <c r="D29" s="1426" t="s">
        <v>170</v>
      </c>
      <c r="E29" s="1426"/>
      <c r="F29" s="1428"/>
      <c r="G29" s="1428"/>
      <c r="H29" s="600"/>
      <c r="I29" s="423"/>
      <c r="J29" s="438"/>
      <c r="K29" s="418"/>
      <c r="L29" s="1341"/>
      <c r="M29" s="428" t="s">
        <v>410</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167</v>
      </c>
      <c r="B30" s="1426" t="s">
        <v>168</v>
      </c>
      <c r="C30" s="1426" t="s">
        <v>169</v>
      </c>
      <c r="D30" s="1426"/>
      <c r="E30" s="1426" t="s">
        <v>583</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167</v>
      </c>
      <c r="B31" s="1426" t="s">
        <v>168</v>
      </c>
      <c r="C31" s="1426"/>
      <c r="D31" s="1426"/>
      <c r="E31" s="1426" t="s">
        <v>2226</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2227</v>
      </c>
      <c r="B32" s="1426"/>
      <c r="C32" s="1426"/>
      <c r="D32" s="1426"/>
      <c r="E32" s="1426" t="s">
        <v>103</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445</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801</v>
      </c>
      <c r="M35" s="2348" t="s">
        <v>2228</v>
      </c>
      <c r="N35" s="2348"/>
      <c r="O35" s="2348"/>
      <c r="P35" s="2348"/>
      <c r="Q35" s="2348"/>
      <c r="R35" s="2348"/>
      <c r="S35" s="2348"/>
      <c r="T35" s="2348"/>
      <c r="U35" s="2348"/>
      <c r="V35" s="2348"/>
      <c r="W35" s="2348"/>
      <c r="X35" s="2348"/>
      <c r="AD35" s="1218">
        <v>27</v>
      </c>
    </row>
    <row customHeight="1" ht="109.19999999999999">
      <c r="H36" s="600"/>
      <c r="I36" s="1366"/>
      <c r="M36" s="2348" t="s">
        <v>2229</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81</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1F80D-9CE5-86AF-D3AA-535514D3EA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1C954-C429-7DC1-5D67-9EDD7AC1E9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D057B-C163-E8FF-6B8B-AA2703BAF4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1799B-5A4A-BD9D-0BBD-A2E02B00C5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14519-6CE9-8F53-7501-3356F9E378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A844A-AA19-F846-B81F-69993A50F43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296</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об организации, осуществляющей водоотведение (общая информация)</v>
      </c>
      <c r="E4" s="2221"/>
      <c r="F4" s="2222"/>
      <c r="I4" s="778"/>
      <c r="J4" s="518">
        <v>26</v>
      </c>
    </row>
    <row customHeight="1" ht="18">
      <c r="D5" s="2239" t="str">
        <f>IF(org=0,"Не определено",org)</f>
        <v>Филиал "Уренгойская ГРЭС" АО "Интер РАО - Электрогенерация"</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297</v>
      </c>
      <c r="E8" s="2268"/>
      <c r="F8" s="2268"/>
      <c r="G8" s="2271" t="s">
        <v>298</v>
      </c>
      <c r="J8" s="518">
        <v>11</v>
      </c>
    </row>
    <row customHeight="1" ht="11.549999999999999">
      <c r="A9" s="520"/>
      <c r="B9" s="565"/>
      <c r="C9" s="520"/>
      <c r="D9" s="535" t="s">
        <v>87</v>
      </c>
      <c r="E9" s="509" t="s">
        <v>299</v>
      </c>
      <c r="F9" s="509" t="s">
        <v>300</v>
      </c>
      <c r="G9" s="2272"/>
      <c r="J9" s="518">
        <v>11</v>
      </c>
    </row>
    <row customHeight="1" ht="12" hidden="1">
      <c r="A10" s="520"/>
      <c r="B10" s="565"/>
      <c r="C10" s="520"/>
      <c r="D10" s="527"/>
      <c r="E10" s="527"/>
      <c r="F10" s="527"/>
      <c r="G10" s="527"/>
      <c r="J10" s="518">
        <v>0</v>
      </c>
    </row>
    <row customHeight="1" ht="22.5" hidden="1">
      <c r="A11" s="520"/>
      <c r="B11" s="565"/>
      <c r="C11" s="520"/>
      <c r="D11" s="1072" t="s">
        <v>108</v>
      </c>
      <c r="E11" s="1075" t="s">
        <v>301</v>
      </c>
      <c r="F11" s="1074" t="str">
        <f>IF(region_name="","",region_name)</f>
        <v>Ямало-Ненецкий автономный округ</v>
      </c>
      <c r="G11" s="1075" t="s">
        <v>302</v>
      </c>
      <c r="H11" s="538"/>
      <c r="J11" s="518">
        <v>0</v>
      </c>
    </row>
    <row customHeight="1" ht="22.5" hidden="1">
      <c r="A12" s="520"/>
      <c r="B12" s="565"/>
      <c r="C12" s="520"/>
      <c r="D12" s="508" t="s">
        <v>108</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6" t="s">
        <v>303</v>
      </c>
      <c r="G12" s="537"/>
      <c r="H12" s="538"/>
      <c r="J12" s="518">
        <v>0</v>
      </c>
    </row>
    <row customHeight="1" ht="23.25">
      <c r="A13" s="520"/>
      <c r="B13" s="565"/>
      <c r="C13" s="520"/>
      <c r="D13" s="508" t="s">
        <v>108</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8"/>
      <c r="J13" s="518">
        <v>22</v>
      </c>
    </row>
    <row customHeight="1" ht="22.5" hidden="1">
      <c r="A14" s="520"/>
      <c r="B14" s="565"/>
      <c r="C14" s="520"/>
      <c r="D14" s="1072" t="s">
        <v>304</v>
      </c>
      <c r="E14" s="1073" t="s">
        <v>305</v>
      </c>
      <c r="F14" s="1074" t="str">
        <f>IF(inn="","",inn)</f>
        <v>7704784450</v>
      </c>
      <c r="G14" s="1075" t="s">
        <v>306</v>
      </c>
      <c r="H14" s="538"/>
      <c r="J14" s="518">
        <v>0</v>
      </c>
    </row>
    <row customHeight="1" ht="22.5" hidden="1">
      <c r="A15" s="520"/>
      <c r="B15" s="565"/>
      <c r="C15" s="520"/>
      <c r="D15" s="1072" t="s">
        <v>307</v>
      </c>
      <c r="E15" s="1073" t="s">
        <v>308</v>
      </c>
      <c r="F15" s="1074" t="str">
        <f>IF(kpp="","",kpp)</f>
        <v>890443001</v>
      </c>
      <c r="G15" s="1075" t="s">
        <v>309</v>
      </c>
      <c r="H15" s="538"/>
      <c r="J15" s="518">
        <v>0</v>
      </c>
    </row>
    <row customHeight="1" ht="39">
      <c r="A16" s="520"/>
      <c r="B16" s="565"/>
      <c r="C16" s="520"/>
      <c r="D16" s="508" t="s">
        <v>109</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89</v>
      </c>
      <c r="E17" s="505" t="str">
        <f>"Дата присвоения ОГРН"&amp;IF(TEMPLATE_SPHERE="TKO",""," (ОГРНИП)")</f>
        <v>Дата присвоения ОГРН (ОГРНИП)</v>
      </c>
      <c r="F17" s="1795" t="s">
        <v>22</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90</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310</v>
      </c>
      <c r="B19" s="565"/>
      <c r="C19" s="2276"/>
      <c r="D19" s="508" t="str">
        <f>A19</f>
        <v>5.1</v>
      </c>
      <c r="E19" s="505" t="s">
        <v>311</v>
      </c>
      <c r="F19" s="506" t="s">
        <v>303</v>
      </c>
      <c r="G19" s="507" t="s">
        <v>312</v>
      </c>
      <c r="H19" s="538"/>
      <c r="I19" s="915"/>
      <c r="J19" s="518">
        <v>0</v>
      </c>
    </row>
    <row customHeight="1" ht="24" hidden="1">
      <c r="A20" s="2265"/>
      <c r="B20" s="565"/>
      <c r="C20" s="2276"/>
      <c r="D20" s="503" t="str">
        <f>D19&amp;".1"</f>
        <v>5.1.1</v>
      </c>
      <c r="E20" s="502" t="s">
        <v>313</v>
      </c>
      <c r="F20" s="944" t="s">
        <v>22</v>
      </c>
      <c r="G20" s="537"/>
      <c r="H20" s="538"/>
      <c r="I20" s="915"/>
      <c r="J20" s="518">
        <v>0</v>
      </c>
    </row>
    <row customHeight="1" ht="22.5" hidden="1">
      <c r="A21" s="2265"/>
      <c r="B21" s="565"/>
      <c r="C21" s="2276"/>
      <c r="D21" s="503" t="str">
        <f>D19&amp;".2"</f>
        <v>5.1.2</v>
      </c>
      <c r="E21" s="502" t="s">
        <v>314</v>
      </c>
      <c r="F21" s="1796" t="s">
        <v>22</v>
      </c>
      <c r="G21" s="507" t="s">
        <v>315</v>
      </c>
      <c r="H21" s="538"/>
      <c r="I21" s="915"/>
      <c r="J21" s="518">
        <v>0</v>
      </c>
    </row>
    <row customHeight="1" ht="22.5" hidden="1">
      <c r="A22" s="2265"/>
      <c r="B22" s="565"/>
      <c r="C22" s="2276"/>
      <c r="D22" s="503" t="str">
        <f>D19&amp;".3"</f>
        <v>5.1.3</v>
      </c>
      <c r="E22" s="502" t="s">
        <v>316</v>
      </c>
      <c r="F22" s="944" t="s">
        <v>22</v>
      </c>
      <c r="G22" s="537"/>
      <c r="H22" s="538"/>
      <c r="I22" s="915"/>
      <c r="J22" s="518">
        <v>0</v>
      </c>
    </row>
    <row customHeight="1" ht="22.5" hidden="1">
      <c r="A23" s="2265"/>
      <c r="B23" s="565"/>
      <c r="C23" s="2276"/>
      <c r="D23" s="503" t="str">
        <f>D19&amp;".4"</f>
        <v>5.1.4</v>
      </c>
      <c r="E23" s="502" t="s">
        <v>317</v>
      </c>
      <c r="F23" s="944" t="s">
        <v>22</v>
      </c>
      <c r="G23" s="507" t="s">
        <v>318</v>
      </c>
      <c r="H23" s="538"/>
      <c r="I23" s="915"/>
      <c r="J23" s="518">
        <v>0</v>
      </c>
    </row>
    <row customHeight="1" ht="22.5" hidden="1">
      <c r="A24" s="2041"/>
      <c r="B24" s="565"/>
      <c r="C24" s="555"/>
      <c r="D24" s="530"/>
      <c r="E24" s="1231" t="s">
        <v>319</v>
      </c>
      <c r="F24" s="531"/>
      <c r="G24" s="532"/>
      <c r="H24" s="538"/>
      <c r="I24" s="915"/>
      <c r="J24" s="518">
        <v>0</v>
      </c>
    </row>
    <row s="3233" customFormat="1" customHeight="1" ht="24.75" hidden="1">
      <c r="A25" s="520"/>
      <c r="B25" s="565"/>
      <c r="C25" s="565"/>
      <c r="D25" s="1069" t="s">
        <v>89</v>
      </c>
      <c r="E25" s="1071" t="s">
        <v>320</v>
      </c>
      <c r="F25" s="1076" t="s">
        <v>303</v>
      </c>
      <c r="G25" s="1071"/>
      <c r="J25" s="564">
        <v>0</v>
      </c>
    </row>
    <row s="3233" customFormat="1" customHeight="1" ht="11.25" hidden="1">
      <c r="A26" s="520"/>
      <c r="B26" s="565"/>
      <c r="C26" s="565"/>
      <c r="D26" s="1069" t="s">
        <v>321</v>
      </c>
      <c r="E26" s="1070" t="s">
        <v>322</v>
      </c>
      <c r="F26" s="1076" t="s">
        <v>303</v>
      </c>
      <c r="G26" s="1071"/>
      <c r="J26" s="564">
        <v>0</v>
      </c>
    </row>
    <row s="3233" customFormat="1" customHeight="1" ht="11.25" hidden="1">
      <c r="A27" s="520"/>
      <c r="B27" s="565"/>
      <c r="C27" s="565"/>
      <c r="D27" s="1069" t="s">
        <v>323</v>
      </c>
      <c r="E27" s="1077" t="s">
        <v>324</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325</v>
      </c>
      <c r="E28" s="1077" t="s">
        <v>326</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327</v>
      </c>
      <c r="E29" s="1077" t="s">
        <v>328</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329</v>
      </c>
      <c r="E30" s="1070" t="s">
        <v>330</v>
      </c>
      <c r="F30" s="1078"/>
      <c r="G30" s="1071"/>
      <c r="J30" s="564">
        <v>0</v>
      </c>
    </row>
    <row s="3233" customFormat="1" customHeight="1" ht="11.25" hidden="1">
      <c r="A31" s="520"/>
      <c r="B31" s="565"/>
      <c r="C31" s="565"/>
      <c r="D31" s="1069" t="s">
        <v>331</v>
      </c>
      <c r="E31" s="1070" t="s">
        <v>332</v>
      </c>
      <c r="F31" s="1078"/>
      <c r="G31" s="1071"/>
      <c r="J31" s="564">
        <v>0</v>
      </c>
    </row>
    <row s="3233" customFormat="1" customHeight="1" ht="11.25" hidden="1">
      <c r="A32" s="520"/>
      <c r="B32" s="565"/>
      <c r="C32" s="565"/>
      <c r="D32" s="1069" t="s">
        <v>333</v>
      </c>
      <c r="E32" s="1070" t="s">
        <v>334</v>
      </c>
      <c r="F32" s="1079"/>
      <c r="G32" s="1071"/>
      <c r="J32" s="564">
        <v>0</v>
      </c>
    </row>
    <row customHeight="1" ht="24">
      <c r="A33" s="520" t="str">
        <f>IF(TEMPLATE_SPHERE="HEAT","6","5")</f>
        <v>5</v>
      </c>
      <c r="B33" s="565"/>
      <c r="C33" s="520"/>
      <c r="D33" s="503" t="str">
        <f>A33</f>
        <v>5</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6" t="s">
        <v>303</v>
      </c>
      <c r="G33" s="537"/>
      <c r="H33" s="538"/>
      <c r="J33" s="518">
        <v>23</v>
      </c>
    </row>
    <row customHeight="1" ht="23.25">
      <c r="A34" s="520"/>
      <c r="B34" s="565"/>
      <c r="C34" s="520"/>
      <c r="D34" s="503" t="str">
        <f>D33&amp;".1"</f>
        <v>5.1</v>
      </c>
      <c r="E34" s="505" t="str">
        <f>"фамилия"&amp;IF(TEMPLATE_SPHERE&lt;&gt;"HEAT"," руководителя","")</f>
        <v>фамилия руководителя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8"/>
      <c r="J34" s="518">
        <v>22</v>
      </c>
    </row>
    <row customHeight="1" ht="23.25">
      <c r="A35" s="520"/>
      <c r="B35" s="565"/>
      <c r="C35" s="520"/>
      <c r="D35" s="503" t="str">
        <f>D33&amp;".2"</f>
        <v>5.2</v>
      </c>
      <c r="E35" s="505" t="str">
        <f>"имя"&amp;IF(TEMPLATE_SPHERE&lt;&gt;"HEAT"," руководителя","")</f>
        <v>имя руководителя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8"/>
      <c r="J35" s="518">
        <v>22</v>
      </c>
    </row>
    <row customHeight="1" ht="24">
      <c r="A36" s="520"/>
      <c r="B36" s="565"/>
      <c r="C36" s="520"/>
      <c r="D36" s="503" t="str">
        <f>D33&amp;".3"</f>
        <v>5.3</v>
      </c>
      <c r="E36" s="505" t="str">
        <f>"отчество"&amp;IF(TEMPLATE_SPHERE&lt;&gt;"HEAT"," руководителя","")</f>
        <v>отчество руководителя</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8"/>
      <c r="J36" s="518">
        <v>23</v>
      </c>
    </row>
    <row customHeight="1" ht="35.699999999999996">
      <c r="A37" s="520"/>
      <c r="B37" s="565"/>
      <c r="C37" s="520"/>
      <c r="D37" s="503">
        <f>D33+1</f>
        <v>6</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4"/>
      <c r="G37" s="507" t="s">
        <v>335</v>
      </c>
      <c r="H37" s="538"/>
      <c r="J37" s="518">
        <v>34</v>
      </c>
    </row>
    <row customHeight="1" ht="35.699999999999996">
      <c r="A38" s="520"/>
      <c r="B38" s="565"/>
      <c r="C38" s="520"/>
      <c r="D38" s="503">
        <f>D37+1</f>
        <v>7</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4"/>
      <c r="G38" s="507" t="s">
        <v>335</v>
      </c>
      <c r="H38" s="538"/>
      <c r="J38" s="518">
        <v>34</v>
      </c>
    </row>
    <row customHeight="1" ht="23.25">
      <c r="A39" s="520"/>
      <c r="B39" s="565"/>
      <c r="C39" s="520"/>
      <c r="D39" s="503">
        <f>D38+1</f>
        <v>8</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6" t="s">
        <v>303</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8.0</v>
      </c>
      <c r="E40" s="1668"/>
      <c r="F40" s="944"/>
      <c r="G40" s="2274"/>
      <c r="H40" s="538"/>
      <c r="J40" s="518">
        <v>0</v>
      </c>
    </row>
    <row customHeight="1" ht="23.25">
      <c r="A41" s="520"/>
      <c r="B41" s="520"/>
      <c r="C41" s="1751"/>
      <c r="D41" s="503" t="str">
        <f>D39&amp;".1"</f>
        <v>8.1</v>
      </c>
      <c r="E41" s="923"/>
      <c r="F41" s="924"/>
      <c r="G41" s="2274"/>
      <c r="H41" s="538"/>
      <c r="J41" s="518">
        <v>22</v>
      </c>
    </row>
    <row customHeight="1" ht="15.75">
      <c r="A42" s="520"/>
      <c r="B42" s="565"/>
      <c r="C42" s="520"/>
      <c r="D42" s="530"/>
      <c r="E42" s="478" t="s">
        <v>336</v>
      </c>
      <c r="F42" s="532"/>
      <c r="G42" s="2275"/>
      <c r="H42" s="539"/>
      <c r="J42" s="518">
        <v>15</v>
      </c>
    </row>
    <row customHeight="1" ht="27.299999999999997">
      <c r="A43" s="520"/>
      <c r="B43" s="565"/>
      <c r="C43" s="520"/>
      <c r="D43" s="503">
        <f>D39+1</f>
        <v>9</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10</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1"/>
      <c r="G44" s="537" t="s">
        <v>337</v>
      </c>
      <c r="H44" s="538"/>
      <c r="J44" s="518">
        <v>22</v>
      </c>
    </row>
    <row customHeight="1" ht="23.25">
      <c r="A45" s="520"/>
      <c r="B45" s="565"/>
      <c r="C45" s="520"/>
      <c r="D45" s="503">
        <f>D44+1</f>
        <v>11</v>
      </c>
      <c r="E45" s="501" t="s">
        <v>338</v>
      </c>
      <c r="F45" s="506" t="s">
        <v>303</v>
      </c>
      <c r="G45" s="500" t="str">
        <f>IF(TEMPLATE_SPHERE="TKO","Указывается режим работы организации.","")</f>
        <v/>
      </c>
      <c r="H45" s="538"/>
      <c r="J45" s="518">
        <v>22</v>
      </c>
    </row>
    <row customHeight="1" ht="24">
      <c r="A46" s="520"/>
      <c r="B46" s="565"/>
      <c r="C46" s="520"/>
      <c r="D46" s="503" t="str">
        <f>D45&amp;".1"</f>
        <v>11.1</v>
      </c>
      <c r="E46" s="505" t="str">
        <f>"режим работы регулируемой организации"&amp;IF(TEMPLATE_SPHERE="HEAT",", ЕТО, ТО","")</f>
        <v>режим работы регулируемой организации</v>
      </c>
      <c r="F46" s="1747"/>
      <c r="G46" s="500" t="s">
        <v>339</v>
      </c>
      <c r="H46" s="538"/>
      <c r="J46" s="518">
        <v>23</v>
      </c>
    </row>
    <row customHeight="1" ht="24">
      <c r="A47" s="2265"/>
      <c r="B47" s="565"/>
      <c r="C47" s="555"/>
      <c r="D47" s="503" t="str">
        <f>D45&amp;".2"</f>
        <v>11.2</v>
      </c>
      <c r="E47" s="505" t="s">
        <v>340</v>
      </c>
      <c r="F47" s="553"/>
      <c r="G47" s="500" t="s">
        <v>341</v>
      </c>
      <c r="H47" s="538"/>
      <c r="J47" s="518">
        <v>23</v>
      </c>
    </row>
    <row customHeight="1" ht="24">
      <c r="A48" s="2265"/>
      <c r="B48" s="565"/>
      <c r="C48" s="555"/>
      <c r="D48" s="503" t="str">
        <f>D45&amp;".3"</f>
        <v>11.3</v>
      </c>
      <c r="E48" s="505" t="s">
        <v>342</v>
      </c>
      <c r="F48" s="553"/>
      <c r="G48" s="500" t="s">
        <v>343</v>
      </c>
      <c r="H48" s="538"/>
      <c r="J48" s="518">
        <v>23</v>
      </c>
    </row>
    <row customHeight="1" ht="24">
      <c r="A49" s="2265"/>
      <c r="B49" s="565"/>
      <c r="C49" s="555"/>
      <c r="D49" s="503" t="str">
        <f>IF(TEMPLATE_SPHERE="TKO",D45&amp;".0",D45&amp;".4")</f>
        <v>11.4</v>
      </c>
      <c r="E49" s="499" t="s">
        <v>344</v>
      </c>
      <c r="F49" s="1748"/>
      <c r="G49" s="1825" t="s">
        <v>345</v>
      </c>
      <c r="H49" s="538"/>
      <c r="J49" s="518">
        <v>23</v>
      </c>
    </row>
    <row customHeight="1" ht="24">
      <c r="A50" s="520"/>
      <c r="B50" s="565"/>
      <c r="C50" s="520"/>
      <c r="D50" s="530"/>
      <c r="E50" s="478" t="s">
        <v>346</v>
      </c>
      <c r="F50" s="531"/>
      <c r="G50" s="1825" t="s">
        <v>347</v>
      </c>
      <c r="H50" s="539"/>
      <c r="J50" s="518">
        <v>23</v>
      </c>
    </row>
    <row customHeight="1" ht="24">
      <c r="A51" s="921"/>
      <c r="B51" s="565"/>
      <c r="C51" s="555"/>
      <c r="D51" s="503">
        <f>D45+1</f>
        <v>12</v>
      </c>
      <c r="E51" s="591" t="s">
        <v>348</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81</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BE026-8FFE-7358-D262-B7DE4A7C48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A6E04-4E91-D09F-7105-BE7BC165B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1EAE6-6BE9-6C52-074F-4E77FA0472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6590A-F8D5-987F-CBDE-20692F41E014}"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2230</v>
      </c>
      <c r="B1" s="2679" t="s">
        <v>2231</v>
      </c>
      <c r="C1" s="2680" t="s">
        <v>2232</v>
      </c>
      <c r="D1" s="2681"/>
      <c r="E1" s="899" t="s">
        <v>2233</v>
      </c>
    </row>
    <row customHeight="1" ht="11.25">
      <c r="A2" s="2682"/>
      <c r="B2" s="828" t="s">
        <v>27</v>
      </c>
      <c r="C2" s="816"/>
      <c r="D2" s="827"/>
      <c r="E2" s="899"/>
    </row>
    <row customHeight="1" ht="11.25">
      <c r="A3" s="2683"/>
      <c r="B3" s="2684" t="s">
        <v>33</v>
      </c>
      <c r="C3" s="816"/>
      <c r="D3" s="827"/>
      <c r="E3" s="899"/>
    </row>
    <row customHeight="1" ht="11.25">
      <c r="A4" s="2685"/>
      <c r="B4" s="829" t="s">
        <v>1658</v>
      </c>
      <c r="C4" s="816"/>
      <c r="D4" s="827"/>
      <c r="E4" s="899"/>
    </row>
    <row customHeight="1" ht="11.25">
      <c r="A5" s="2686"/>
      <c r="B5" s="829" t="s">
        <v>1652</v>
      </c>
      <c r="C5" s="2687" t="s">
        <v>1997</v>
      </c>
      <c r="D5" s="2688" t="s">
        <v>2234</v>
      </c>
      <c r="E5" s="899"/>
    </row>
    <row s="5235" customFormat="1" customHeight="1" ht="11.25">
      <c r="A6" s="2689"/>
      <c r="B6" s="829" t="s">
        <v>1662</v>
      </c>
      <c r="C6" s="816"/>
      <c r="D6" s="827"/>
      <c r="E6" s="899"/>
    </row>
    <row customHeight="1" ht="11.25">
      <c r="A7" s="2690"/>
      <c r="B7" s="829" t="s">
        <v>1670</v>
      </c>
      <c r="C7" s="816"/>
      <c r="D7" s="827"/>
      <c r="E7" s="899"/>
    </row>
    <row customHeight="1" ht="11.25">
      <c r="A8" s="819"/>
      <c r="B8" s="829" t="s">
        <v>1665</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0D08B-9E93-B1ED-57DC-DDCEC61223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5870F-B2ED-A136-6E0F-CA1759573C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A661F-522F-D9B1-0FBD-282E6BA3F2C5}"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2235</v>
      </c>
      <c r="B1" s="131" t="s">
        <v>2236</v>
      </c>
      <c r="C1" s="131" t="s">
        <v>2237</v>
      </c>
      <c r="D1" s="131" t="s">
        <v>2238</v>
      </c>
      <c r="E1" s="131" t="s">
        <v>2239</v>
      </c>
      <c r="F1" s="131" t="s">
        <v>2240</v>
      </c>
      <c r="G1" s="131" t="s">
        <v>2241</v>
      </c>
      <c r="H1" s="131" t="s">
        <v>2242</v>
      </c>
      <c r="I1" s="131" t="s">
        <v>2243</v>
      </c>
    </row>
    <row customHeight="1" ht="11.25">
      <c r="A2" s="5235" t="s">
        <v>2244</v>
      </c>
      <c r="B2" s="5235" t="s">
        <v>16</v>
      </c>
      <c r="C2" s="5235" t="s">
        <v>2245</v>
      </c>
      <c r="D2" s="5235" t="s">
        <v>2246</v>
      </c>
      <c r="E2" s="5235" t="s">
        <v>2247</v>
      </c>
      <c r="F2" s="5235" t="s">
        <v>2248</v>
      </c>
      <c r="G2" s="5235" t="s">
        <v>2249</v>
      </c>
      <c r="H2" s="5235" t="s">
        <v>22</v>
      </c>
      <c r="I2" s="5235" t="s">
        <v>805</v>
      </c>
    </row>
    <row customHeight="1" ht="11.25">
      <c r="A3" s="5235" t="s">
        <v>2244</v>
      </c>
      <c r="B3" s="5235" t="s">
        <v>16</v>
      </c>
      <c r="C3" s="5235" t="s">
        <v>2250</v>
      </c>
      <c r="D3" s="5235" t="s">
        <v>2251</v>
      </c>
      <c r="E3" s="5235" t="s">
        <v>2252</v>
      </c>
      <c r="F3" s="5235" t="s">
        <v>2253</v>
      </c>
      <c r="G3" s="5235" t="s">
        <v>2254</v>
      </c>
      <c r="H3" s="5235" t="s">
        <v>22</v>
      </c>
      <c r="I3" s="5235" t="s">
        <v>805</v>
      </c>
    </row>
    <row customHeight="1" ht="11.25">
      <c r="A4" s="5235" t="s">
        <v>2244</v>
      </c>
      <c r="B4" s="5235" t="s">
        <v>16</v>
      </c>
      <c r="C4" s="5235" t="s">
        <v>2255</v>
      </c>
      <c r="D4" s="5235" t="s">
        <v>2256</v>
      </c>
      <c r="E4" s="5235" t="s">
        <v>2257</v>
      </c>
      <c r="F4" s="5235" t="s">
        <v>2248</v>
      </c>
      <c r="G4" s="5235" t="s">
        <v>2258</v>
      </c>
      <c r="H4" s="5235" t="s">
        <v>22</v>
      </c>
      <c r="I4" s="5235" t="s">
        <v>805</v>
      </c>
    </row>
    <row customHeight="1" ht="11.25">
      <c r="A5" s="5235" t="s">
        <v>2244</v>
      </c>
      <c r="B5" s="5235" t="s">
        <v>16</v>
      </c>
      <c r="C5" s="5235" t="s">
        <v>2259</v>
      </c>
      <c r="D5" s="5235" t="s">
        <v>2260</v>
      </c>
      <c r="E5" s="5235" t="s">
        <v>2261</v>
      </c>
      <c r="F5" s="5235" t="s">
        <v>2262</v>
      </c>
      <c r="G5" s="5235" t="s">
        <v>22</v>
      </c>
      <c r="H5" s="5235" t="s">
        <v>22</v>
      </c>
      <c r="I5" s="5235" t="s">
        <v>805</v>
      </c>
    </row>
    <row customHeight="1" ht="11.25">
      <c r="A6" s="5235" t="s">
        <v>2244</v>
      </c>
      <c r="B6" s="5235" t="s">
        <v>16</v>
      </c>
      <c r="C6" s="5235" t="s">
        <v>2263</v>
      </c>
      <c r="D6" s="5235" t="s">
        <v>2264</v>
      </c>
      <c r="E6" s="5235" t="s">
        <v>2265</v>
      </c>
      <c r="F6" s="5235" t="s">
        <v>2266</v>
      </c>
      <c r="G6" s="5235" t="s">
        <v>22</v>
      </c>
      <c r="H6" s="5235" t="s">
        <v>22</v>
      </c>
      <c r="I6" s="5235" t="s">
        <v>805</v>
      </c>
    </row>
    <row customHeight="1" ht="11.25">
      <c r="A7" s="5235" t="s">
        <v>2244</v>
      </c>
      <c r="B7" s="5235" t="s">
        <v>16</v>
      </c>
      <c r="C7" s="5235" t="s">
        <v>2267</v>
      </c>
      <c r="D7" s="5235" t="s">
        <v>2268</v>
      </c>
      <c r="E7" s="5235" t="s">
        <v>2269</v>
      </c>
      <c r="F7" s="5235" t="s">
        <v>2270</v>
      </c>
      <c r="G7" s="5235" t="s">
        <v>22</v>
      </c>
      <c r="H7" s="5235" t="s">
        <v>22</v>
      </c>
      <c r="I7" s="5235" t="s">
        <v>805</v>
      </c>
    </row>
    <row customHeight="1" ht="11.25">
      <c r="A8" s="5235" t="s">
        <v>2244</v>
      </c>
      <c r="B8" s="5235" t="s">
        <v>16</v>
      </c>
      <c r="C8" s="5235" t="s">
        <v>2271</v>
      </c>
      <c r="D8" s="5235" t="s">
        <v>2272</v>
      </c>
      <c r="E8" s="5235" t="s">
        <v>2269</v>
      </c>
      <c r="F8" s="5235" t="s">
        <v>2273</v>
      </c>
      <c r="G8" s="5235" t="s">
        <v>22</v>
      </c>
      <c r="H8" s="5235" t="s">
        <v>22</v>
      </c>
      <c r="I8" s="5235" t="s">
        <v>805</v>
      </c>
    </row>
    <row customHeight="1" ht="11.25">
      <c r="A9" s="5235" t="s">
        <v>2244</v>
      </c>
      <c r="B9" s="5235" t="s">
        <v>16</v>
      </c>
      <c r="C9" s="5235" t="s">
        <v>2274</v>
      </c>
      <c r="D9" s="5235" t="s">
        <v>2275</v>
      </c>
      <c r="E9" s="5235" t="s">
        <v>2276</v>
      </c>
      <c r="F9" s="5235" t="s">
        <v>2277</v>
      </c>
      <c r="G9" s="5235" t="s">
        <v>22</v>
      </c>
      <c r="H9" s="5235" t="s">
        <v>22</v>
      </c>
      <c r="I9" s="5235" t="s">
        <v>805</v>
      </c>
    </row>
    <row customHeight="1" ht="11.25">
      <c r="A10" s="5235" t="s">
        <v>2244</v>
      </c>
      <c r="B10" s="5235" t="s">
        <v>16</v>
      </c>
      <c r="C10" s="5235" t="s">
        <v>2278</v>
      </c>
      <c r="D10" s="5235" t="s">
        <v>2279</v>
      </c>
      <c r="E10" s="5235" t="s">
        <v>2280</v>
      </c>
      <c r="F10" s="5235" t="s">
        <v>2266</v>
      </c>
      <c r="G10" s="5235" t="s">
        <v>22</v>
      </c>
      <c r="H10" s="5235" t="s">
        <v>22</v>
      </c>
      <c r="I10" s="5235" t="s">
        <v>805</v>
      </c>
    </row>
    <row customHeight="1" ht="11.25">
      <c r="A11" s="5235" t="s">
        <v>2244</v>
      </c>
      <c r="B11" s="5235" t="s">
        <v>16</v>
      </c>
      <c r="C11" s="5235" t="s">
        <v>2281</v>
      </c>
      <c r="D11" s="5235" t="s">
        <v>2282</v>
      </c>
      <c r="E11" s="5235" t="s">
        <v>2283</v>
      </c>
      <c r="F11" s="5235" t="s">
        <v>2266</v>
      </c>
      <c r="G11" s="5235" t="s">
        <v>22</v>
      </c>
      <c r="H11" s="5235" t="s">
        <v>22</v>
      </c>
      <c r="I11" s="5235" t="s">
        <v>805</v>
      </c>
    </row>
    <row customHeight="1" ht="11.25">
      <c r="A12" s="5235" t="s">
        <v>2244</v>
      </c>
      <c r="B12" s="5235" t="s">
        <v>16</v>
      </c>
      <c r="C12" s="5235" t="s">
        <v>2284</v>
      </c>
      <c r="D12" s="5235" t="s">
        <v>2285</v>
      </c>
      <c r="E12" s="5235" t="s">
        <v>2286</v>
      </c>
      <c r="F12" s="5235" t="s">
        <v>2287</v>
      </c>
      <c r="G12" s="5235" t="s">
        <v>22</v>
      </c>
      <c r="H12" s="5235" t="s">
        <v>22</v>
      </c>
      <c r="I12" s="5235" t="s">
        <v>805</v>
      </c>
    </row>
    <row customHeight="1" ht="11.25">
      <c r="A13" s="5235" t="s">
        <v>2244</v>
      </c>
      <c r="B13" s="5235" t="s">
        <v>16</v>
      </c>
      <c r="C13" s="5235" t="s">
        <v>2288</v>
      </c>
      <c r="D13" s="5235" t="s">
        <v>2289</v>
      </c>
      <c r="E13" s="5235" t="s">
        <v>2290</v>
      </c>
      <c r="F13" s="5235" t="s">
        <v>2253</v>
      </c>
      <c r="G13" s="5235" t="s">
        <v>2291</v>
      </c>
      <c r="H13" s="5235" t="s">
        <v>22</v>
      </c>
      <c r="I13" s="5235" t="s">
        <v>805</v>
      </c>
    </row>
    <row customHeight="1" ht="11.25">
      <c r="A14" s="5235" t="s">
        <v>2244</v>
      </c>
      <c r="B14" s="5235" t="s">
        <v>16</v>
      </c>
      <c r="C14" s="5235" t="s">
        <v>2292</v>
      </c>
      <c r="D14" s="5235" t="s">
        <v>2293</v>
      </c>
      <c r="E14" s="5235" t="s">
        <v>2294</v>
      </c>
      <c r="F14" s="5235" t="s">
        <v>2277</v>
      </c>
      <c r="G14" s="5235" t="s">
        <v>22</v>
      </c>
      <c r="H14" s="5235" t="s">
        <v>22</v>
      </c>
      <c r="I14" s="5235" t="s">
        <v>805</v>
      </c>
    </row>
    <row customHeight="1" ht="11.25">
      <c r="A15" s="5235" t="s">
        <v>2244</v>
      </c>
      <c r="B15" s="5235" t="s">
        <v>16</v>
      </c>
      <c r="C15" s="5235" t="s">
        <v>2295</v>
      </c>
      <c r="D15" s="5235" t="s">
        <v>2296</v>
      </c>
      <c r="E15" s="5235" t="s">
        <v>2294</v>
      </c>
      <c r="F15" s="5235" t="s">
        <v>2297</v>
      </c>
      <c r="G15" s="5235" t="s">
        <v>2298</v>
      </c>
      <c r="H15" s="5235" t="s">
        <v>22</v>
      </c>
      <c r="I15" s="5235" t="s">
        <v>805</v>
      </c>
    </row>
    <row customHeight="1" ht="11.25">
      <c r="A16" s="5235" t="s">
        <v>2244</v>
      </c>
      <c r="B16" s="5235" t="s">
        <v>16</v>
      </c>
      <c r="C16" s="5235" t="s">
        <v>2299</v>
      </c>
      <c r="D16" s="5235" t="s">
        <v>2300</v>
      </c>
      <c r="E16" s="5235" t="s">
        <v>2294</v>
      </c>
      <c r="F16" s="5235" t="s">
        <v>2287</v>
      </c>
      <c r="G16" s="5235" t="s">
        <v>22</v>
      </c>
      <c r="H16" s="5235" t="s">
        <v>22</v>
      </c>
      <c r="I16" s="5235" t="s">
        <v>805</v>
      </c>
    </row>
    <row customHeight="1" ht="11.25">
      <c r="A17" s="5235" t="s">
        <v>2244</v>
      </c>
      <c r="B17" s="5235" t="s">
        <v>16</v>
      </c>
      <c r="C17" s="5235" t="s">
        <v>2301</v>
      </c>
      <c r="D17" s="5235" t="s">
        <v>2302</v>
      </c>
      <c r="E17" s="5235" t="s">
        <v>2294</v>
      </c>
      <c r="F17" s="5235" t="s">
        <v>2303</v>
      </c>
      <c r="G17" s="5235" t="s">
        <v>2304</v>
      </c>
      <c r="H17" s="5235" t="s">
        <v>22</v>
      </c>
      <c r="I17" s="5235" t="s">
        <v>805</v>
      </c>
    </row>
    <row customHeight="1" ht="11.25">
      <c r="A18" s="5235" t="s">
        <v>2244</v>
      </c>
      <c r="B18" s="5235" t="s">
        <v>16</v>
      </c>
      <c r="C18" s="5235" t="s">
        <v>2305</v>
      </c>
      <c r="D18" s="5235" t="s">
        <v>2306</v>
      </c>
      <c r="E18" s="5235" t="s">
        <v>2294</v>
      </c>
      <c r="F18" s="5235" t="s">
        <v>2307</v>
      </c>
      <c r="G18" s="5235" t="s">
        <v>2308</v>
      </c>
      <c r="H18" s="5235" t="s">
        <v>22</v>
      </c>
      <c r="I18" s="5235" t="s">
        <v>805</v>
      </c>
    </row>
    <row customHeight="1" ht="11.25">
      <c r="A19" s="5235" t="s">
        <v>2244</v>
      </c>
      <c r="B19" s="5235" t="s">
        <v>16</v>
      </c>
      <c r="C19" s="5235" t="s">
        <v>2309</v>
      </c>
      <c r="D19" s="5235" t="s">
        <v>2310</v>
      </c>
      <c r="E19" s="5235" t="s">
        <v>2294</v>
      </c>
      <c r="F19" s="5235" t="s">
        <v>2311</v>
      </c>
      <c r="G19" s="5235" t="s">
        <v>22</v>
      </c>
      <c r="H19" s="5235" t="s">
        <v>22</v>
      </c>
      <c r="I19" s="5235" t="s">
        <v>805</v>
      </c>
    </row>
    <row customHeight="1" ht="11.25">
      <c r="A20" s="5235" t="s">
        <v>2244</v>
      </c>
      <c r="B20" s="5235" t="s">
        <v>16</v>
      </c>
      <c r="C20" s="5235" t="s">
        <v>2312</v>
      </c>
      <c r="D20" s="5235" t="s">
        <v>2313</v>
      </c>
      <c r="E20" s="5235" t="s">
        <v>2294</v>
      </c>
      <c r="F20" s="5235" t="s">
        <v>2314</v>
      </c>
      <c r="G20" s="5235" t="s">
        <v>22</v>
      </c>
      <c r="H20" s="5235" t="s">
        <v>22</v>
      </c>
      <c r="I20" s="5235" t="s">
        <v>805</v>
      </c>
    </row>
    <row customHeight="1" ht="11.25">
      <c r="A21" s="5235" t="s">
        <v>2244</v>
      </c>
      <c r="B21" s="5235" t="s">
        <v>16</v>
      </c>
      <c r="C21" s="5235" t="s">
        <v>2315</v>
      </c>
      <c r="D21" s="5235" t="s">
        <v>2316</v>
      </c>
      <c r="E21" s="5235" t="s">
        <v>2294</v>
      </c>
      <c r="F21" s="5235" t="s">
        <v>2317</v>
      </c>
      <c r="G21" s="5235" t="s">
        <v>22</v>
      </c>
      <c r="H21" s="5235" t="s">
        <v>22</v>
      </c>
      <c r="I21" s="5235" t="s">
        <v>805</v>
      </c>
    </row>
    <row customHeight="1" ht="11.25">
      <c r="A22" s="5235" t="s">
        <v>2244</v>
      </c>
      <c r="B22" s="5235" t="s">
        <v>16</v>
      </c>
      <c r="C22" s="5235" t="s">
        <v>2318</v>
      </c>
      <c r="D22" s="5235" t="s">
        <v>2319</v>
      </c>
      <c r="E22" s="5235" t="s">
        <v>2294</v>
      </c>
      <c r="F22" s="5235" t="s">
        <v>2320</v>
      </c>
      <c r="G22" s="5235" t="s">
        <v>2321</v>
      </c>
      <c r="H22" s="5235" t="s">
        <v>22</v>
      </c>
      <c r="I22" s="5235" t="s">
        <v>805</v>
      </c>
    </row>
    <row customHeight="1" ht="11.25">
      <c r="A23" s="5235" t="s">
        <v>2244</v>
      </c>
      <c r="B23" s="5235" t="s">
        <v>16</v>
      </c>
      <c r="C23" s="5235" t="s">
        <v>2322</v>
      </c>
      <c r="D23" s="5235" t="s">
        <v>2323</v>
      </c>
      <c r="E23" s="5235" t="s">
        <v>2324</v>
      </c>
      <c r="F23" s="5235" t="s">
        <v>2325</v>
      </c>
      <c r="G23" s="5235" t="s">
        <v>22</v>
      </c>
      <c r="H23" s="5235" t="s">
        <v>22</v>
      </c>
      <c r="I23" s="5235" t="s">
        <v>805</v>
      </c>
    </row>
    <row customHeight="1" ht="11.25">
      <c r="A24" s="5235" t="s">
        <v>2244</v>
      </c>
      <c r="B24" s="5235" t="s">
        <v>16</v>
      </c>
      <c r="C24" s="5235" t="s">
        <v>2326</v>
      </c>
      <c r="D24" s="5235" t="s">
        <v>2327</v>
      </c>
      <c r="E24" s="5235" t="s">
        <v>2328</v>
      </c>
      <c r="F24" s="5235" t="s">
        <v>2277</v>
      </c>
      <c r="G24" s="5235" t="s">
        <v>22</v>
      </c>
      <c r="H24" s="5235" t="s">
        <v>22</v>
      </c>
      <c r="I24" s="5235" t="s">
        <v>805</v>
      </c>
    </row>
    <row customHeight="1" ht="11.25">
      <c r="A25" s="5235" t="s">
        <v>2244</v>
      </c>
      <c r="B25" s="5235" t="s">
        <v>16</v>
      </c>
      <c r="C25" s="5235" t="s">
        <v>2329</v>
      </c>
      <c r="D25" s="5235" t="s">
        <v>2330</v>
      </c>
      <c r="E25" s="5235" t="s">
        <v>2324</v>
      </c>
      <c r="F25" s="5235" t="s">
        <v>2331</v>
      </c>
      <c r="G25" s="5235" t="s">
        <v>22</v>
      </c>
      <c r="H25" s="5235" t="s">
        <v>22</v>
      </c>
      <c r="I25" s="5235" t="s">
        <v>805</v>
      </c>
    </row>
    <row customHeight="1" ht="11.25">
      <c r="A26" s="5235" t="s">
        <v>2244</v>
      </c>
      <c r="B26" s="5235" t="s">
        <v>16</v>
      </c>
      <c r="C26" s="5235" t="s">
        <v>22</v>
      </c>
      <c r="D26" s="5235" t="s">
        <v>2332</v>
      </c>
      <c r="E26" s="5235" t="s">
        <v>2333</v>
      </c>
      <c r="F26" s="5235" t="s">
        <v>2277</v>
      </c>
      <c r="G26" s="5235" t="s">
        <v>22</v>
      </c>
      <c r="H26" s="5235" t="s">
        <v>22</v>
      </c>
      <c r="I26" s="5235" t="s">
        <v>805</v>
      </c>
    </row>
    <row customHeight="1" ht="11.25">
      <c r="A27" s="5235" t="s">
        <v>2244</v>
      </c>
      <c r="B27" s="5235" t="s">
        <v>16</v>
      </c>
      <c r="C27" s="5235" t="s">
        <v>2334</v>
      </c>
      <c r="D27" s="5235" t="s">
        <v>2335</v>
      </c>
      <c r="E27" s="5235" t="s">
        <v>2336</v>
      </c>
      <c r="F27" s="5235" t="s">
        <v>2287</v>
      </c>
      <c r="G27" s="5235" t="s">
        <v>2337</v>
      </c>
      <c r="H27" s="5235" t="s">
        <v>22</v>
      </c>
      <c r="I27" s="5235" t="s">
        <v>805</v>
      </c>
    </row>
    <row customHeight="1" ht="11.25">
      <c r="A28" s="5235" t="s">
        <v>2244</v>
      </c>
      <c r="B28" s="5235" t="s">
        <v>16</v>
      </c>
      <c r="C28" s="5235" t="s">
        <v>2338</v>
      </c>
      <c r="D28" s="5235" t="s">
        <v>2339</v>
      </c>
      <c r="E28" s="5235" t="s">
        <v>2340</v>
      </c>
      <c r="F28" s="5235" t="s">
        <v>2341</v>
      </c>
      <c r="G28" s="5235" t="s">
        <v>22</v>
      </c>
      <c r="H28" s="5235" t="s">
        <v>22</v>
      </c>
      <c r="I28" s="5235" t="s">
        <v>805</v>
      </c>
    </row>
    <row customHeight="1" ht="11.25">
      <c r="A29" s="5235" t="s">
        <v>2244</v>
      </c>
      <c r="B29" s="5235" t="s">
        <v>16</v>
      </c>
      <c r="C29" s="5235" t="s">
        <v>2342</v>
      </c>
      <c r="D29" s="5235" t="s">
        <v>2343</v>
      </c>
      <c r="E29" s="5235" t="s">
        <v>2344</v>
      </c>
      <c r="F29" s="5235" t="s">
        <v>2345</v>
      </c>
      <c r="G29" s="5235" t="s">
        <v>22</v>
      </c>
      <c r="H29" s="5235" t="s">
        <v>22</v>
      </c>
      <c r="I29" s="5235" t="s">
        <v>805</v>
      </c>
    </row>
    <row customHeight="1" ht="11.25">
      <c r="A30" s="5235" t="s">
        <v>2244</v>
      </c>
      <c r="B30" s="5235" t="s">
        <v>16</v>
      </c>
      <c r="C30" s="5235" t="s">
        <v>2346</v>
      </c>
      <c r="D30" s="5235" t="s">
        <v>2347</v>
      </c>
      <c r="E30" s="5235" t="s">
        <v>2348</v>
      </c>
      <c r="F30" s="5235" t="s">
        <v>2349</v>
      </c>
      <c r="G30" s="5235" t="s">
        <v>2350</v>
      </c>
      <c r="H30" s="5235" t="s">
        <v>22</v>
      </c>
      <c r="I30" s="5235" t="s">
        <v>805</v>
      </c>
    </row>
    <row customHeight="1" ht="11.25">
      <c r="A31" s="5235" t="s">
        <v>2244</v>
      </c>
      <c r="B31" s="5235" t="s">
        <v>16</v>
      </c>
      <c r="C31" s="5235" t="s">
        <v>2351</v>
      </c>
      <c r="D31" s="5235" t="s">
        <v>2352</v>
      </c>
      <c r="E31" s="5235" t="s">
        <v>2353</v>
      </c>
      <c r="F31" s="5235" t="s">
        <v>2354</v>
      </c>
      <c r="G31" s="5235" t="s">
        <v>2355</v>
      </c>
      <c r="H31" s="5235" t="s">
        <v>22</v>
      </c>
      <c r="I31" s="5235" t="s">
        <v>805</v>
      </c>
    </row>
    <row customHeight="1" ht="11.25">
      <c r="A32" s="5235" t="s">
        <v>2244</v>
      </c>
      <c r="B32" s="5235" t="s">
        <v>16</v>
      </c>
      <c r="C32" s="5235" t="s">
        <v>2356</v>
      </c>
      <c r="D32" s="5235" t="s">
        <v>2357</v>
      </c>
      <c r="E32" s="5235" t="s">
        <v>2324</v>
      </c>
      <c r="F32" s="5235" t="s">
        <v>2358</v>
      </c>
      <c r="G32" s="5235" t="s">
        <v>22</v>
      </c>
      <c r="H32" s="5235" t="s">
        <v>22</v>
      </c>
      <c r="I32" s="5235" t="s">
        <v>805</v>
      </c>
    </row>
    <row customHeight="1" ht="11.25">
      <c r="A33" s="5235" t="s">
        <v>2244</v>
      </c>
      <c r="B33" s="5235" t="s">
        <v>16</v>
      </c>
      <c r="C33" s="5235" t="s">
        <v>2359</v>
      </c>
      <c r="D33" s="5235" t="s">
        <v>2360</v>
      </c>
      <c r="E33" s="5235" t="s">
        <v>2247</v>
      </c>
      <c r="F33" s="5235" t="s">
        <v>2320</v>
      </c>
      <c r="G33" s="5235" t="s">
        <v>22</v>
      </c>
      <c r="H33" s="5235" t="s">
        <v>22</v>
      </c>
      <c r="I33" s="5235" t="s">
        <v>805</v>
      </c>
    </row>
    <row customHeight="1" ht="11.25">
      <c r="A34" s="5235" t="s">
        <v>2244</v>
      </c>
      <c r="B34" s="5235" t="s">
        <v>16</v>
      </c>
      <c r="C34" s="5235" t="s">
        <v>2361</v>
      </c>
      <c r="D34" s="5235" t="s">
        <v>2362</v>
      </c>
      <c r="E34" s="5235" t="s">
        <v>2363</v>
      </c>
      <c r="F34" s="5235" t="s">
        <v>2364</v>
      </c>
      <c r="G34" s="5235" t="s">
        <v>22</v>
      </c>
      <c r="H34" s="5235" t="s">
        <v>22</v>
      </c>
      <c r="I34" s="5235" t="s">
        <v>805</v>
      </c>
    </row>
    <row customHeight="1" ht="11.25">
      <c r="A35" s="5235" t="s">
        <v>2244</v>
      </c>
      <c r="B35" s="5235" t="s">
        <v>16</v>
      </c>
      <c r="C35" s="5235" t="s">
        <v>2365</v>
      </c>
      <c r="D35" s="5235" t="s">
        <v>2366</v>
      </c>
      <c r="E35" s="5235" t="s">
        <v>2340</v>
      </c>
      <c r="F35" s="5235" t="s">
        <v>2354</v>
      </c>
      <c r="G35" s="5235" t="s">
        <v>22</v>
      </c>
      <c r="H35" s="5235" t="s">
        <v>22</v>
      </c>
      <c r="I35" s="5235" t="s">
        <v>805</v>
      </c>
    </row>
    <row customHeight="1" ht="11.25">
      <c r="A36" s="5235" t="s">
        <v>2244</v>
      </c>
      <c r="B36" s="5235" t="s">
        <v>16</v>
      </c>
      <c r="C36" s="5235" t="s">
        <v>2367</v>
      </c>
      <c r="D36" s="5235" t="s">
        <v>2368</v>
      </c>
      <c r="E36" s="5235" t="s">
        <v>2369</v>
      </c>
      <c r="F36" s="5235" t="s">
        <v>2345</v>
      </c>
      <c r="G36" s="5235" t="s">
        <v>22</v>
      </c>
      <c r="H36" s="5235" t="s">
        <v>22</v>
      </c>
      <c r="I36" s="5235" t="s">
        <v>805</v>
      </c>
    </row>
    <row customHeight="1" ht="11.25">
      <c r="A37" s="5235" t="s">
        <v>2244</v>
      </c>
      <c r="B37" s="5235" t="s">
        <v>16</v>
      </c>
      <c r="C37" s="5235" t="s">
        <v>2370</v>
      </c>
      <c r="D37" s="5235" t="s">
        <v>2371</v>
      </c>
      <c r="E37" s="5235" t="s">
        <v>2372</v>
      </c>
      <c r="F37" s="5235" t="s">
        <v>2373</v>
      </c>
      <c r="G37" s="5235" t="s">
        <v>2374</v>
      </c>
      <c r="H37" s="5235" t="s">
        <v>22</v>
      </c>
      <c r="I37" s="5235" t="s">
        <v>805</v>
      </c>
    </row>
    <row customHeight="1" ht="11.25">
      <c r="A38" s="5235" t="s">
        <v>2244</v>
      </c>
      <c r="B38" s="5235" t="s">
        <v>16</v>
      </c>
      <c r="C38" s="5235" t="s">
        <v>2375</v>
      </c>
      <c r="D38" s="5235" t="s">
        <v>2376</v>
      </c>
      <c r="E38" s="5235" t="s">
        <v>2377</v>
      </c>
      <c r="F38" s="5235" t="s">
        <v>2345</v>
      </c>
      <c r="G38" s="5235" t="s">
        <v>22</v>
      </c>
      <c r="H38" s="5235" t="s">
        <v>22</v>
      </c>
      <c r="I38" s="5235" t="s">
        <v>805</v>
      </c>
    </row>
    <row customHeight="1" ht="11.25">
      <c r="A39" s="5235" t="s">
        <v>2244</v>
      </c>
      <c r="B39" s="5235" t="s">
        <v>16</v>
      </c>
      <c r="C39" s="5235" t="s">
        <v>2378</v>
      </c>
      <c r="D39" s="5235" t="s">
        <v>2379</v>
      </c>
      <c r="E39" s="5235" t="s">
        <v>2380</v>
      </c>
      <c r="F39" s="5235" t="s">
        <v>2266</v>
      </c>
      <c r="G39" s="5235" t="s">
        <v>22</v>
      </c>
      <c r="H39" s="5235" t="s">
        <v>22</v>
      </c>
      <c r="I39" s="5235" t="s">
        <v>805</v>
      </c>
    </row>
    <row customHeight="1" ht="11.25">
      <c r="A40" s="5235" t="s">
        <v>2244</v>
      </c>
      <c r="B40" s="5235" t="s">
        <v>16</v>
      </c>
      <c r="C40" s="5235" t="s">
        <v>2381</v>
      </c>
      <c r="D40" s="5235" t="s">
        <v>2382</v>
      </c>
      <c r="E40" s="5235" t="s">
        <v>2383</v>
      </c>
      <c r="F40" s="5235" t="s">
        <v>2384</v>
      </c>
      <c r="G40" s="5235" t="s">
        <v>22</v>
      </c>
      <c r="H40" s="5235" t="s">
        <v>22</v>
      </c>
      <c r="I40" s="5235" t="s">
        <v>805</v>
      </c>
    </row>
    <row customHeight="1" ht="11.25">
      <c r="A41" s="5235" t="s">
        <v>2244</v>
      </c>
      <c r="B41" s="5235" t="s">
        <v>16</v>
      </c>
      <c r="C41" s="5235" t="s">
        <v>2385</v>
      </c>
      <c r="D41" s="5235" t="s">
        <v>2386</v>
      </c>
      <c r="E41" s="5235" t="s">
        <v>2387</v>
      </c>
      <c r="F41" s="5235" t="s">
        <v>2266</v>
      </c>
      <c r="G41" s="5235" t="s">
        <v>22</v>
      </c>
      <c r="H41" s="5235" t="s">
        <v>22</v>
      </c>
      <c r="I41" s="5235" t="s">
        <v>805</v>
      </c>
    </row>
    <row customHeight="1" ht="11.25">
      <c r="A42" s="5235" t="s">
        <v>2244</v>
      </c>
      <c r="B42" s="5235" t="s">
        <v>16</v>
      </c>
      <c r="C42" s="5235" t="s">
        <v>2388</v>
      </c>
      <c r="D42" s="5235" t="s">
        <v>2389</v>
      </c>
      <c r="E42" s="5235" t="s">
        <v>2390</v>
      </c>
      <c r="F42" s="5235" t="s">
        <v>2391</v>
      </c>
      <c r="G42" s="5235" t="s">
        <v>22</v>
      </c>
      <c r="H42" s="5235" t="s">
        <v>22</v>
      </c>
      <c r="I42" s="5235" t="s">
        <v>805</v>
      </c>
    </row>
    <row customHeight="1" ht="11.25">
      <c r="A43" s="5235" t="s">
        <v>2244</v>
      </c>
      <c r="B43" s="5235" t="s">
        <v>16</v>
      </c>
      <c r="C43" s="5235" t="s">
        <v>2392</v>
      </c>
      <c r="D43" s="5235" t="s">
        <v>2393</v>
      </c>
      <c r="E43" s="5235" t="s">
        <v>2324</v>
      </c>
      <c r="F43" s="5235" t="s">
        <v>2384</v>
      </c>
      <c r="G43" s="5235" t="s">
        <v>2394</v>
      </c>
      <c r="H43" s="5235" t="s">
        <v>22</v>
      </c>
      <c r="I43" s="5235" t="s">
        <v>805</v>
      </c>
    </row>
    <row customHeight="1" ht="11.25">
      <c r="A44" s="5235" t="s">
        <v>2244</v>
      </c>
      <c r="B44" s="5235" t="s">
        <v>16</v>
      </c>
      <c r="C44" s="5235" t="s">
        <v>2395</v>
      </c>
      <c r="D44" s="5235" t="s">
        <v>2396</v>
      </c>
      <c r="E44" s="5235" t="s">
        <v>2397</v>
      </c>
      <c r="F44" s="5235" t="s">
        <v>2253</v>
      </c>
      <c r="G44" s="5235" t="s">
        <v>2398</v>
      </c>
      <c r="H44" s="5235" t="s">
        <v>22</v>
      </c>
      <c r="I44" s="5235" t="s">
        <v>805</v>
      </c>
    </row>
    <row customHeight="1" ht="11.25">
      <c r="A45" s="5235" t="s">
        <v>2244</v>
      </c>
      <c r="B45" s="5235" t="s">
        <v>16</v>
      </c>
      <c r="C45" s="5235" t="s">
        <v>2399</v>
      </c>
      <c r="D45" s="5235" t="s">
        <v>2400</v>
      </c>
      <c r="E45" s="5235" t="s">
        <v>2401</v>
      </c>
      <c r="F45" s="5235" t="s">
        <v>2402</v>
      </c>
      <c r="G45" s="5235" t="s">
        <v>22</v>
      </c>
      <c r="H45" s="5235" t="s">
        <v>22</v>
      </c>
      <c r="I45" s="5235" t="s">
        <v>805</v>
      </c>
    </row>
    <row customHeight="1" ht="11.25">
      <c r="A46" s="5235" t="s">
        <v>2244</v>
      </c>
      <c r="B46" s="5235" t="s">
        <v>16</v>
      </c>
      <c r="C46" s="5235" t="s">
        <v>2403</v>
      </c>
      <c r="D46" s="5235" t="s">
        <v>2404</v>
      </c>
      <c r="E46" s="5235" t="s">
        <v>2405</v>
      </c>
      <c r="F46" s="5235" t="s">
        <v>2406</v>
      </c>
      <c r="G46" s="5235" t="s">
        <v>2407</v>
      </c>
      <c r="H46" s="5235" t="s">
        <v>22</v>
      </c>
      <c r="I46" s="5235" t="s">
        <v>805</v>
      </c>
    </row>
    <row customHeight="1" ht="11.25">
      <c r="A47" s="5235" t="s">
        <v>2244</v>
      </c>
      <c r="B47" s="5235" t="s">
        <v>16</v>
      </c>
      <c r="C47" s="5235" t="s">
        <v>2408</v>
      </c>
      <c r="D47" s="5235" t="s">
        <v>2409</v>
      </c>
      <c r="E47" s="5235" t="s">
        <v>2410</v>
      </c>
      <c r="F47" s="5235" t="s">
        <v>2262</v>
      </c>
      <c r="G47" s="5235" t="s">
        <v>2298</v>
      </c>
      <c r="H47" s="5235" t="s">
        <v>22</v>
      </c>
      <c r="I47" s="5235" t="s">
        <v>805</v>
      </c>
    </row>
    <row customHeight="1" ht="11.25">
      <c r="A48" s="5235" t="s">
        <v>2244</v>
      </c>
      <c r="B48" s="5235" t="s">
        <v>16</v>
      </c>
      <c r="C48" s="5235" t="s">
        <v>2411</v>
      </c>
      <c r="D48" s="5235" t="s">
        <v>2412</v>
      </c>
      <c r="E48" s="5235" t="s">
        <v>2413</v>
      </c>
      <c r="F48" s="5235" t="s">
        <v>2266</v>
      </c>
      <c r="G48" s="5235" t="s">
        <v>22</v>
      </c>
      <c r="H48" s="5235" t="s">
        <v>22</v>
      </c>
      <c r="I48" s="5235" t="s">
        <v>805</v>
      </c>
    </row>
    <row customHeight="1" ht="11.25">
      <c r="A49" s="5235" t="s">
        <v>2244</v>
      </c>
      <c r="B49" s="5235" t="s">
        <v>16</v>
      </c>
      <c r="C49" s="5235" t="s">
        <v>2414</v>
      </c>
      <c r="D49" s="5235" t="s">
        <v>2415</v>
      </c>
      <c r="E49" s="5235" t="s">
        <v>2416</v>
      </c>
      <c r="F49" s="5235" t="s">
        <v>2266</v>
      </c>
      <c r="G49" s="5235" t="s">
        <v>2417</v>
      </c>
      <c r="H49" s="5235" t="s">
        <v>22</v>
      </c>
      <c r="I49" s="5235" t="s">
        <v>805</v>
      </c>
    </row>
    <row customHeight="1" ht="11.25">
      <c r="A50" s="5235" t="s">
        <v>2244</v>
      </c>
      <c r="B50" s="5235" t="s">
        <v>16</v>
      </c>
      <c r="C50" s="5235" t="s">
        <v>2418</v>
      </c>
      <c r="D50" s="5235" t="s">
        <v>2419</v>
      </c>
      <c r="E50" s="5235" t="s">
        <v>2420</v>
      </c>
      <c r="F50" s="5235" t="s">
        <v>2253</v>
      </c>
      <c r="G50" s="5235" t="s">
        <v>2421</v>
      </c>
      <c r="H50" s="5235" t="s">
        <v>22</v>
      </c>
      <c r="I50" s="5235" t="s">
        <v>805</v>
      </c>
    </row>
    <row customHeight="1" ht="11.25">
      <c r="A51" s="5235" t="s">
        <v>2244</v>
      </c>
      <c r="B51" s="5235" t="s">
        <v>16</v>
      </c>
      <c r="C51" s="5235" t="s">
        <v>2422</v>
      </c>
      <c r="D51" s="5235" t="s">
        <v>2423</v>
      </c>
      <c r="E51" s="5235" t="s">
        <v>2424</v>
      </c>
      <c r="F51" s="5235" t="s">
        <v>2253</v>
      </c>
      <c r="G51" s="5235" t="s">
        <v>22</v>
      </c>
      <c r="H51" s="5235" t="s">
        <v>22</v>
      </c>
      <c r="I51" s="5235" t="s">
        <v>805</v>
      </c>
    </row>
    <row customHeight="1" ht="11.25">
      <c r="A52" s="5235" t="s">
        <v>2244</v>
      </c>
      <c r="B52" s="5235" t="s">
        <v>16</v>
      </c>
      <c r="C52" s="5235" t="s">
        <v>2425</v>
      </c>
      <c r="D52" s="5235" t="s">
        <v>2426</v>
      </c>
      <c r="E52" s="5235" t="s">
        <v>2427</v>
      </c>
      <c r="F52" s="5235" t="s">
        <v>2277</v>
      </c>
      <c r="G52" s="5235" t="s">
        <v>2428</v>
      </c>
      <c r="H52" s="5235" t="s">
        <v>22</v>
      </c>
      <c r="I52" s="5235" t="s">
        <v>805</v>
      </c>
    </row>
    <row customHeight="1" ht="11.25">
      <c r="A53" s="5235" t="s">
        <v>2244</v>
      </c>
      <c r="B53" s="5235" t="s">
        <v>16</v>
      </c>
      <c r="C53" s="5235" t="s">
        <v>2429</v>
      </c>
      <c r="D53" s="5235" t="s">
        <v>2430</v>
      </c>
      <c r="E53" s="5235" t="s">
        <v>2431</v>
      </c>
      <c r="F53" s="5235" t="s">
        <v>2384</v>
      </c>
      <c r="G53" s="5235" t="s">
        <v>22</v>
      </c>
      <c r="H53" s="5235" t="s">
        <v>22</v>
      </c>
      <c r="I53" s="5235" t="s">
        <v>805</v>
      </c>
    </row>
    <row customHeight="1" ht="11.25">
      <c r="A54" s="5235" t="s">
        <v>2244</v>
      </c>
      <c r="B54" s="5235" t="s">
        <v>16</v>
      </c>
      <c r="C54" s="5235" t="s">
        <v>2432</v>
      </c>
      <c r="D54" s="5235" t="s">
        <v>2433</v>
      </c>
      <c r="E54" s="5235" t="s">
        <v>2434</v>
      </c>
      <c r="F54" s="5235" t="s">
        <v>2262</v>
      </c>
      <c r="G54" s="5235" t="s">
        <v>22</v>
      </c>
      <c r="H54" s="5235" t="s">
        <v>22</v>
      </c>
      <c r="I54" s="5235" t="s">
        <v>805</v>
      </c>
    </row>
    <row customHeight="1" ht="11.25">
      <c r="A55" s="5235" t="s">
        <v>2244</v>
      </c>
      <c r="B55" s="5235" t="s">
        <v>16</v>
      </c>
      <c r="C55" s="5235" t="s">
        <v>2435</v>
      </c>
      <c r="D55" s="5235" t="s">
        <v>2436</v>
      </c>
      <c r="E55" s="5235" t="s">
        <v>2437</v>
      </c>
      <c r="F55" s="5235" t="s">
        <v>2438</v>
      </c>
      <c r="G55" s="5235" t="s">
        <v>22</v>
      </c>
      <c r="H55" s="5235" t="s">
        <v>22</v>
      </c>
      <c r="I55" s="5235" t="s">
        <v>805</v>
      </c>
    </row>
    <row customHeight="1" ht="11.25">
      <c r="A56" s="5235" t="s">
        <v>2244</v>
      </c>
      <c r="B56" s="5235" t="s">
        <v>16</v>
      </c>
      <c r="C56" s="5235" t="s">
        <v>2439</v>
      </c>
      <c r="D56" s="5235" t="s">
        <v>2440</v>
      </c>
      <c r="E56" s="5235" t="s">
        <v>2441</v>
      </c>
      <c r="F56" s="5235" t="s">
        <v>2262</v>
      </c>
      <c r="G56" s="5235" t="s">
        <v>22</v>
      </c>
      <c r="H56" s="5235" t="s">
        <v>22</v>
      </c>
      <c r="I56" s="5235" t="s">
        <v>805</v>
      </c>
    </row>
    <row customHeight="1" ht="11.25">
      <c r="A57" s="5235" t="s">
        <v>2244</v>
      </c>
      <c r="B57" s="5235" t="s">
        <v>16</v>
      </c>
      <c r="C57" s="5235" t="s">
        <v>2442</v>
      </c>
      <c r="D57" s="5235" t="s">
        <v>2443</v>
      </c>
      <c r="E57" s="5235" t="s">
        <v>2444</v>
      </c>
      <c r="F57" s="5235" t="s">
        <v>2266</v>
      </c>
      <c r="G57" s="5235" t="s">
        <v>22</v>
      </c>
      <c r="H57" s="5235" t="s">
        <v>22</v>
      </c>
      <c r="I57" s="5235" t="s">
        <v>805</v>
      </c>
    </row>
    <row customHeight="1" ht="11.25">
      <c r="A58" s="5235" t="s">
        <v>2244</v>
      </c>
      <c r="B58" s="5235" t="s">
        <v>16</v>
      </c>
      <c r="C58" s="5235" t="s">
        <v>2445</v>
      </c>
      <c r="D58" s="5235" t="s">
        <v>2446</v>
      </c>
      <c r="E58" s="5235" t="s">
        <v>2447</v>
      </c>
      <c r="F58" s="5235" t="s">
        <v>2438</v>
      </c>
      <c r="G58" s="5235" t="s">
        <v>22</v>
      </c>
      <c r="H58" s="5235" t="s">
        <v>22</v>
      </c>
      <c r="I58" s="5235" t="s">
        <v>805</v>
      </c>
    </row>
    <row customHeight="1" ht="11.25">
      <c r="A59" s="5235" t="s">
        <v>2244</v>
      </c>
      <c r="B59" s="5235" t="s">
        <v>16</v>
      </c>
      <c r="C59" s="5235" t="s">
        <v>2448</v>
      </c>
      <c r="D59" s="5235" t="s">
        <v>2449</v>
      </c>
      <c r="E59" s="5235" t="s">
        <v>2450</v>
      </c>
      <c r="F59" s="5235" t="s">
        <v>2451</v>
      </c>
      <c r="G59" s="5235" t="s">
        <v>2452</v>
      </c>
      <c r="H59" s="5235" t="s">
        <v>22</v>
      </c>
      <c r="I59" s="5235" t="s">
        <v>805</v>
      </c>
    </row>
    <row customHeight="1" ht="11.25">
      <c r="A60" s="5235" t="s">
        <v>2244</v>
      </c>
      <c r="B60" s="5235" t="s">
        <v>16</v>
      </c>
      <c r="C60" s="5235" t="s">
        <v>2453</v>
      </c>
      <c r="D60" s="5235" t="s">
        <v>2454</v>
      </c>
      <c r="E60" s="5235" t="s">
        <v>2455</v>
      </c>
      <c r="F60" s="5235" t="s">
        <v>2456</v>
      </c>
      <c r="G60" s="5235" t="s">
        <v>2457</v>
      </c>
      <c r="H60" s="5235" t="s">
        <v>22</v>
      </c>
      <c r="I60" s="5235" t="s">
        <v>805</v>
      </c>
    </row>
    <row customHeight="1" ht="11.25">
      <c r="A61" s="5235" t="s">
        <v>2244</v>
      </c>
      <c r="B61" s="5235" t="s">
        <v>16</v>
      </c>
      <c r="C61" s="5235" t="s">
        <v>2458</v>
      </c>
      <c r="D61" s="5235" t="s">
        <v>2459</v>
      </c>
      <c r="E61" s="5235" t="s">
        <v>2460</v>
      </c>
      <c r="F61" s="5235" t="s">
        <v>2461</v>
      </c>
      <c r="G61" s="5235" t="s">
        <v>22</v>
      </c>
      <c r="H61" s="5235" t="s">
        <v>22</v>
      </c>
      <c r="I61" s="5235" t="s">
        <v>805</v>
      </c>
    </row>
    <row customHeight="1" ht="11.25">
      <c r="A62" s="5235" t="s">
        <v>2244</v>
      </c>
      <c r="B62" s="5235" t="s">
        <v>16</v>
      </c>
      <c r="C62" s="5235" t="s">
        <v>2462</v>
      </c>
      <c r="D62" s="5235" t="s">
        <v>2463</v>
      </c>
      <c r="E62" s="5235" t="s">
        <v>2390</v>
      </c>
      <c r="F62" s="5235" t="s">
        <v>2248</v>
      </c>
      <c r="G62" s="5235" t="s">
        <v>22</v>
      </c>
      <c r="H62" s="5235" t="s">
        <v>22</v>
      </c>
      <c r="I62" s="5235" t="s">
        <v>805</v>
      </c>
    </row>
    <row customHeight="1" ht="11.25">
      <c r="A63" s="5235" t="s">
        <v>2244</v>
      </c>
      <c r="B63" s="5235" t="s">
        <v>16</v>
      </c>
      <c r="C63" s="5235" t="s">
        <v>2464</v>
      </c>
      <c r="D63" s="5235" t="s">
        <v>2465</v>
      </c>
      <c r="E63" s="5235" t="s">
        <v>2353</v>
      </c>
      <c r="F63" s="5235" t="s">
        <v>2466</v>
      </c>
      <c r="G63" s="5235" t="s">
        <v>2467</v>
      </c>
      <c r="H63" s="5235" t="s">
        <v>22</v>
      </c>
      <c r="I63" s="5235" t="s">
        <v>805</v>
      </c>
    </row>
    <row customHeight="1" ht="11.25">
      <c r="A64" s="5235" t="s">
        <v>2244</v>
      </c>
      <c r="B64" s="5235" t="s">
        <v>16</v>
      </c>
      <c r="C64" s="5235" t="s">
        <v>2468</v>
      </c>
      <c r="D64" s="5235" t="s">
        <v>2469</v>
      </c>
      <c r="E64" s="5235" t="s">
        <v>2470</v>
      </c>
      <c r="F64" s="5235" t="s">
        <v>2461</v>
      </c>
      <c r="G64" s="5235" t="s">
        <v>22</v>
      </c>
      <c r="H64" s="5235" t="s">
        <v>22</v>
      </c>
      <c r="I64" s="5235" t="s">
        <v>805</v>
      </c>
    </row>
    <row customHeight="1" ht="11.25">
      <c r="A65" s="5235" t="s">
        <v>2244</v>
      </c>
      <c r="B65" s="5235" t="s">
        <v>16</v>
      </c>
      <c r="C65" s="5235" t="s">
        <v>2471</v>
      </c>
      <c r="D65" s="5235" t="s">
        <v>2472</v>
      </c>
      <c r="E65" s="5235" t="s">
        <v>2473</v>
      </c>
      <c r="F65" s="5235" t="s">
        <v>2262</v>
      </c>
      <c r="G65" s="5235" t="s">
        <v>22</v>
      </c>
      <c r="H65" s="5235" t="s">
        <v>22</v>
      </c>
      <c r="I65" s="5235" t="s">
        <v>805</v>
      </c>
    </row>
    <row customHeight="1" ht="11.25">
      <c r="A66" s="5235" t="s">
        <v>2244</v>
      </c>
      <c r="B66" s="5235" t="s">
        <v>16</v>
      </c>
      <c r="C66" s="5235" t="s">
        <v>2474</v>
      </c>
      <c r="D66" s="5235" t="s">
        <v>2475</v>
      </c>
      <c r="E66" s="5235" t="s">
        <v>2476</v>
      </c>
      <c r="F66" s="5235" t="s">
        <v>2477</v>
      </c>
      <c r="G66" s="5235" t="s">
        <v>22</v>
      </c>
      <c r="H66" s="5235" t="s">
        <v>22</v>
      </c>
      <c r="I66" s="5235" t="s">
        <v>805</v>
      </c>
    </row>
    <row customHeight="1" ht="11.25">
      <c r="A67" s="5235" t="s">
        <v>2244</v>
      </c>
      <c r="B67" s="5235" t="s">
        <v>16</v>
      </c>
      <c r="C67" s="5235" t="s">
        <v>2478</v>
      </c>
      <c r="D67" s="5235" t="s">
        <v>2479</v>
      </c>
      <c r="E67" s="5235" t="s">
        <v>2476</v>
      </c>
      <c r="F67" s="5235" t="s">
        <v>2480</v>
      </c>
      <c r="G67" s="5235" t="s">
        <v>22</v>
      </c>
      <c r="H67" s="5235" t="s">
        <v>22</v>
      </c>
      <c r="I67" s="5235" t="s">
        <v>805</v>
      </c>
    </row>
    <row customHeight="1" ht="11.25">
      <c r="A68" s="5235" t="s">
        <v>2244</v>
      </c>
      <c r="B68" s="5235" t="s">
        <v>16</v>
      </c>
      <c r="C68" s="5235" t="s">
        <v>2481</v>
      </c>
      <c r="D68" s="5235" t="s">
        <v>2482</v>
      </c>
      <c r="E68" s="5235" t="s">
        <v>2340</v>
      </c>
      <c r="F68" s="5235" t="s">
        <v>2483</v>
      </c>
      <c r="G68" s="5235" t="s">
        <v>22</v>
      </c>
      <c r="H68" s="5235" t="s">
        <v>22</v>
      </c>
      <c r="I68" s="5235" t="s">
        <v>805</v>
      </c>
    </row>
    <row customHeight="1" ht="11.25">
      <c r="A69" s="5235" t="s">
        <v>2244</v>
      </c>
      <c r="B69" s="5235" t="s">
        <v>16</v>
      </c>
      <c r="C69" s="5235" t="s">
        <v>2484</v>
      </c>
      <c r="D69" s="5235" t="s">
        <v>2485</v>
      </c>
      <c r="E69" s="5235" t="s">
        <v>2340</v>
      </c>
      <c r="F69" s="5235" t="s">
        <v>2486</v>
      </c>
      <c r="G69" s="5235" t="s">
        <v>22</v>
      </c>
      <c r="H69" s="5235" t="s">
        <v>22</v>
      </c>
      <c r="I69" s="5235" t="s">
        <v>805</v>
      </c>
    </row>
    <row customHeight="1" ht="11.25">
      <c r="A70" s="5235" t="s">
        <v>2244</v>
      </c>
      <c r="B70" s="5235" t="s">
        <v>16</v>
      </c>
      <c r="C70" s="5235" t="s">
        <v>2487</v>
      </c>
      <c r="D70" s="5235" t="s">
        <v>2488</v>
      </c>
      <c r="E70" s="5235" t="s">
        <v>2324</v>
      </c>
      <c r="F70" s="5235" t="s">
        <v>2391</v>
      </c>
      <c r="G70" s="5235" t="s">
        <v>22</v>
      </c>
      <c r="H70" s="5235" t="s">
        <v>22</v>
      </c>
      <c r="I70" s="5235" t="s">
        <v>805</v>
      </c>
    </row>
    <row customHeight="1" ht="11.25">
      <c r="A71" s="5235" t="s">
        <v>2244</v>
      </c>
      <c r="B71" s="5235" t="s">
        <v>16</v>
      </c>
      <c r="C71" s="5235" t="s">
        <v>2489</v>
      </c>
      <c r="D71" s="5235" t="s">
        <v>2490</v>
      </c>
      <c r="E71" s="5235" t="s">
        <v>2491</v>
      </c>
      <c r="F71" s="5235" t="s">
        <v>2492</v>
      </c>
      <c r="G71" s="5235" t="s">
        <v>22</v>
      </c>
      <c r="H71" s="5235" t="s">
        <v>22</v>
      </c>
      <c r="I71" s="5235" t="s">
        <v>805</v>
      </c>
    </row>
    <row customHeight="1" ht="11.25">
      <c r="A72" s="5235" t="s">
        <v>2244</v>
      </c>
      <c r="B72" s="5235" t="s">
        <v>16</v>
      </c>
      <c r="C72" s="5235" t="s">
        <v>2493</v>
      </c>
      <c r="D72" s="5235" t="s">
        <v>2494</v>
      </c>
      <c r="E72" s="5235" t="s">
        <v>2495</v>
      </c>
      <c r="F72" s="5235" t="s">
        <v>2496</v>
      </c>
      <c r="G72" s="5235" t="s">
        <v>22</v>
      </c>
      <c r="H72" s="5235" t="s">
        <v>22</v>
      </c>
      <c r="I72" s="5235" t="s">
        <v>805</v>
      </c>
    </row>
    <row customHeight="1" ht="11.25">
      <c r="A73" s="5235" t="s">
        <v>2244</v>
      </c>
      <c r="B73" s="5235" t="s">
        <v>16</v>
      </c>
      <c r="C73" s="5235" t="s">
        <v>2497</v>
      </c>
      <c r="D73" s="5235" t="s">
        <v>2498</v>
      </c>
      <c r="E73" s="5235" t="s">
        <v>2353</v>
      </c>
      <c r="F73" s="5235" t="s">
        <v>2480</v>
      </c>
      <c r="G73" s="5235" t="s">
        <v>2467</v>
      </c>
      <c r="H73" s="5235" t="s">
        <v>22</v>
      </c>
      <c r="I73" s="5235" t="s">
        <v>805</v>
      </c>
    </row>
    <row customHeight="1" ht="11.25">
      <c r="A74" s="5235" t="s">
        <v>2244</v>
      </c>
      <c r="B74" s="5235" t="s">
        <v>16</v>
      </c>
      <c r="C74" s="5235" t="s">
        <v>13</v>
      </c>
      <c r="D74" s="5235" t="s">
        <v>46</v>
      </c>
      <c r="E74" s="5235" t="s">
        <v>49</v>
      </c>
      <c r="F74" s="5235" t="s">
        <v>51</v>
      </c>
      <c r="G74" s="5235" t="s">
        <v>2499</v>
      </c>
      <c r="H74" s="5235" t="s">
        <v>22</v>
      </c>
      <c r="I74" s="5235" t="s">
        <v>805</v>
      </c>
    </row>
    <row customHeight="1" ht="11.25">
      <c r="A75" s="5235" t="s">
        <v>2244</v>
      </c>
      <c r="B75" s="5235" t="s">
        <v>16</v>
      </c>
      <c r="C75" s="5235" t="s">
        <v>2500</v>
      </c>
      <c r="D75" s="5235" t="s">
        <v>2501</v>
      </c>
      <c r="E75" s="5235" t="s">
        <v>2269</v>
      </c>
      <c r="F75" s="5235" t="s">
        <v>2364</v>
      </c>
      <c r="G75" s="5235" t="s">
        <v>22</v>
      </c>
      <c r="H75" s="5235" t="s">
        <v>22</v>
      </c>
      <c r="I75" s="5235" t="s">
        <v>805</v>
      </c>
    </row>
    <row customHeight="1" ht="11.25">
      <c r="A76" s="5235" t="s">
        <v>2244</v>
      </c>
      <c r="B76" s="5235" t="s">
        <v>16</v>
      </c>
      <c r="C76" s="5235" t="s">
        <v>2502</v>
      </c>
      <c r="D76" s="5235" t="s">
        <v>2503</v>
      </c>
      <c r="E76" s="5235" t="s">
        <v>2504</v>
      </c>
      <c r="F76" s="5235" t="s">
        <v>2505</v>
      </c>
      <c r="G76" s="5235" t="s">
        <v>22</v>
      </c>
      <c r="H76" s="5235" t="s">
        <v>22</v>
      </c>
      <c r="I76" s="5235" t="s">
        <v>805</v>
      </c>
    </row>
    <row customHeight="1" ht="11.25">
      <c r="A77" s="5235" t="s">
        <v>2244</v>
      </c>
      <c r="B77" s="5235" t="s">
        <v>16</v>
      </c>
      <c r="C77" s="5235" t="s">
        <v>2506</v>
      </c>
      <c r="D77" s="5235" t="s">
        <v>2507</v>
      </c>
      <c r="E77" s="5235" t="s">
        <v>2340</v>
      </c>
      <c r="F77" s="5235" t="s">
        <v>2508</v>
      </c>
      <c r="G77" s="5235" t="s">
        <v>22</v>
      </c>
      <c r="H77" s="5235" t="s">
        <v>22</v>
      </c>
      <c r="I77" s="5235" t="s">
        <v>805</v>
      </c>
    </row>
    <row customHeight="1" ht="11.25">
      <c r="A78" s="5235" t="s">
        <v>2244</v>
      </c>
      <c r="B78" s="5235" t="s">
        <v>16</v>
      </c>
      <c r="C78" s="5235" t="s">
        <v>2509</v>
      </c>
      <c r="D78" s="5235" t="s">
        <v>2510</v>
      </c>
      <c r="E78" s="5235" t="s">
        <v>2495</v>
      </c>
      <c r="F78" s="5235" t="s">
        <v>2511</v>
      </c>
      <c r="G78" s="5235" t="s">
        <v>22</v>
      </c>
      <c r="H78" s="5235" t="s">
        <v>22</v>
      </c>
      <c r="I78" s="5235" t="s">
        <v>805</v>
      </c>
    </row>
    <row customHeight="1" ht="11.25">
      <c r="A79" s="5235" t="s">
        <v>2244</v>
      </c>
      <c r="B79" s="5235" t="s">
        <v>16</v>
      </c>
      <c r="C79" s="5235" t="s">
        <v>2250</v>
      </c>
      <c r="D79" s="5235" t="s">
        <v>2251</v>
      </c>
      <c r="E79" s="5235" t="s">
        <v>2252</v>
      </c>
      <c r="F79" s="5235" t="s">
        <v>2253</v>
      </c>
      <c r="G79" s="5235" t="s">
        <v>2254</v>
      </c>
      <c r="H79" s="5235" t="s">
        <v>22</v>
      </c>
      <c r="I79" s="5235" t="s">
        <v>891</v>
      </c>
    </row>
    <row customHeight="1" ht="11.25">
      <c r="A80" s="5235" t="s">
        <v>2244</v>
      </c>
      <c r="B80" s="5235" t="s">
        <v>16</v>
      </c>
      <c r="C80" s="5235" t="s">
        <v>2274</v>
      </c>
      <c r="D80" s="5235" t="s">
        <v>2275</v>
      </c>
      <c r="E80" s="5235" t="s">
        <v>2276</v>
      </c>
      <c r="F80" s="5235" t="s">
        <v>2277</v>
      </c>
      <c r="G80" s="5235" t="s">
        <v>22</v>
      </c>
      <c r="H80" s="5235" t="s">
        <v>22</v>
      </c>
      <c r="I80" s="5235" t="s">
        <v>891</v>
      </c>
    </row>
    <row customHeight="1" ht="11.25">
      <c r="A81" s="5235" t="s">
        <v>2244</v>
      </c>
      <c r="B81" s="5235" t="s">
        <v>16</v>
      </c>
      <c r="C81" s="5235" t="s">
        <v>2281</v>
      </c>
      <c r="D81" s="5235" t="s">
        <v>2282</v>
      </c>
      <c r="E81" s="5235" t="s">
        <v>2283</v>
      </c>
      <c r="F81" s="5235" t="s">
        <v>2266</v>
      </c>
      <c r="G81" s="5235" t="s">
        <v>22</v>
      </c>
      <c r="H81" s="5235" t="s">
        <v>22</v>
      </c>
      <c r="I81" s="5235" t="s">
        <v>891</v>
      </c>
    </row>
    <row customHeight="1" ht="11.25">
      <c r="A82" s="5235" t="s">
        <v>2244</v>
      </c>
      <c r="B82" s="5235" t="s">
        <v>16</v>
      </c>
      <c r="C82" s="5235" t="s">
        <v>2284</v>
      </c>
      <c r="D82" s="5235" t="s">
        <v>2285</v>
      </c>
      <c r="E82" s="5235" t="s">
        <v>2286</v>
      </c>
      <c r="F82" s="5235" t="s">
        <v>2287</v>
      </c>
      <c r="G82" s="5235" t="s">
        <v>22</v>
      </c>
      <c r="H82" s="5235" t="s">
        <v>22</v>
      </c>
      <c r="I82" s="5235" t="s">
        <v>891</v>
      </c>
    </row>
    <row customHeight="1" ht="11.25">
      <c r="A83" s="5235" t="s">
        <v>2244</v>
      </c>
      <c r="B83" s="5235" t="s">
        <v>16</v>
      </c>
      <c r="C83" s="5235" t="s">
        <v>2288</v>
      </c>
      <c r="D83" s="5235" t="s">
        <v>2289</v>
      </c>
      <c r="E83" s="5235" t="s">
        <v>2290</v>
      </c>
      <c r="F83" s="5235" t="s">
        <v>2253</v>
      </c>
      <c r="G83" s="5235" t="s">
        <v>2291</v>
      </c>
      <c r="H83" s="5235" t="s">
        <v>22</v>
      </c>
      <c r="I83" s="5235" t="s">
        <v>891</v>
      </c>
    </row>
    <row customHeight="1" ht="11.25">
      <c r="A84" s="5235" t="s">
        <v>2244</v>
      </c>
      <c r="B84" s="5235" t="s">
        <v>16</v>
      </c>
      <c r="C84" s="5235" t="s">
        <v>2295</v>
      </c>
      <c r="D84" s="5235" t="s">
        <v>2296</v>
      </c>
      <c r="E84" s="5235" t="s">
        <v>2294</v>
      </c>
      <c r="F84" s="5235" t="s">
        <v>2297</v>
      </c>
      <c r="G84" s="5235" t="s">
        <v>2298</v>
      </c>
      <c r="H84" s="5235" t="s">
        <v>22</v>
      </c>
      <c r="I84" s="5235" t="s">
        <v>891</v>
      </c>
    </row>
    <row customHeight="1" ht="11.25">
      <c r="A85" s="5235" t="s">
        <v>2244</v>
      </c>
      <c r="B85" s="5235" t="s">
        <v>16</v>
      </c>
      <c r="C85" s="5235" t="s">
        <v>2301</v>
      </c>
      <c r="D85" s="5235" t="s">
        <v>2302</v>
      </c>
      <c r="E85" s="5235" t="s">
        <v>2294</v>
      </c>
      <c r="F85" s="5235" t="s">
        <v>2303</v>
      </c>
      <c r="G85" s="5235" t="s">
        <v>2304</v>
      </c>
      <c r="H85" s="5235" t="s">
        <v>22</v>
      </c>
      <c r="I85" s="5235" t="s">
        <v>891</v>
      </c>
    </row>
    <row customHeight="1" ht="11.25">
      <c r="A86" s="5235" t="s">
        <v>2244</v>
      </c>
      <c r="B86" s="5235" t="s">
        <v>16</v>
      </c>
      <c r="C86" s="5235" t="s">
        <v>2305</v>
      </c>
      <c r="D86" s="5235" t="s">
        <v>2306</v>
      </c>
      <c r="E86" s="5235" t="s">
        <v>2294</v>
      </c>
      <c r="F86" s="5235" t="s">
        <v>2307</v>
      </c>
      <c r="G86" s="5235" t="s">
        <v>2308</v>
      </c>
      <c r="H86" s="5235" t="s">
        <v>22</v>
      </c>
      <c r="I86" s="5235" t="s">
        <v>891</v>
      </c>
    </row>
    <row customHeight="1" ht="11.25">
      <c r="A87" s="5235" t="s">
        <v>2244</v>
      </c>
      <c r="B87" s="5235" t="s">
        <v>16</v>
      </c>
      <c r="C87" s="5235" t="s">
        <v>2315</v>
      </c>
      <c r="D87" s="5235" t="s">
        <v>2316</v>
      </c>
      <c r="E87" s="5235" t="s">
        <v>2294</v>
      </c>
      <c r="F87" s="5235" t="s">
        <v>2317</v>
      </c>
      <c r="G87" s="5235" t="s">
        <v>22</v>
      </c>
      <c r="H87" s="5235" t="s">
        <v>22</v>
      </c>
      <c r="I87" s="5235" t="s">
        <v>891</v>
      </c>
    </row>
    <row customHeight="1" ht="11.25">
      <c r="A88" s="5235" t="s">
        <v>2244</v>
      </c>
      <c r="B88" s="5235" t="s">
        <v>16</v>
      </c>
      <c r="C88" s="5235" t="s">
        <v>2318</v>
      </c>
      <c r="D88" s="5235" t="s">
        <v>2319</v>
      </c>
      <c r="E88" s="5235" t="s">
        <v>2294</v>
      </c>
      <c r="F88" s="5235" t="s">
        <v>2320</v>
      </c>
      <c r="G88" s="5235" t="s">
        <v>2321</v>
      </c>
      <c r="H88" s="5235" t="s">
        <v>22</v>
      </c>
      <c r="I88" s="5235" t="s">
        <v>891</v>
      </c>
    </row>
    <row customHeight="1" ht="11.25">
      <c r="A89" s="5235" t="s">
        <v>2244</v>
      </c>
      <c r="B89" s="5235" t="s">
        <v>16</v>
      </c>
      <c r="C89" s="5235" t="s">
        <v>2322</v>
      </c>
      <c r="D89" s="5235" t="s">
        <v>2323</v>
      </c>
      <c r="E89" s="5235" t="s">
        <v>2324</v>
      </c>
      <c r="F89" s="5235" t="s">
        <v>2325</v>
      </c>
      <c r="G89" s="5235" t="s">
        <v>22</v>
      </c>
      <c r="H89" s="5235" t="s">
        <v>22</v>
      </c>
      <c r="I89" s="5235" t="s">
        <v>891</v>
      </c>
    </row>
    <row customHeight="1" ht="11.25">
      <c r="A90" s="5235" t="s">
        <v>2244</v>
      </c>
      <c r="B90" s="5235" t="s">
        <v>16</v>
      </c>
      <c r="C90" s="5235" t="s">
        <v>22</v>
      </c>
      <c r="D90" s="5235" t="s">
        <v>2332</v>
      </c>
      <c r="E90" s="5235" t="s">
        <v>2333</v>
      </c>
      <c r="F90" s="5235" t="s">
        <v>2277</v>
      </c>
      <c r="G90" s="5235" t="s">
        <v>22</v>
      </c>
      <c r="H90" s="5235" t="s">
        <v>22</v>
      </c>
      <c r="I90" s="5235" t="s">
        <v>891</v>
      </c>
    </row>
    <row customHeight="1" ht="11.25">
      <c r="A91" s="5235" t="s">
        <v>2244</v>
      </c>
      <c r="B91" s="5235" t="s">
        <v>16</v>
      </c>
      <c r="C91" s="5235" t="s">
        <v>2338</v>
      </c>
      <c r="D91" s="5235" t="s">
        <v>2339</v>
      </c>
      <c r="E91" s="5235" t="s">
        <v>2340</v>
      </c>
      <c r="F91" s="5235" t="s">
        <v>2341</v>
      </c>
      <c r="G91" s="5235" t="s">
        <v>22</v>
      </c>
      <c r="H91" s="5235" t="s">
        <v>22</v>
      </c>
      <c r="I91" s="5235" t="s">
        <v>891</v>
      </c>
    </row>
    <row customHeight="1" ht="11.25">
      <c r="A92" s="5235" t="s">
        <v>2244</v>
      </c>
      <c r="B92" s="5235" t="s">
        <v>16</v>
      </c>
      <c r="C92" s="5235" t="s">
        <v>2346</v>
      </c>
      <c r="D92" s="5235" t="s">
        <v>2347</v>
      </c>
      <c r="E92" s="5235" t="s">
        <v>2348</v>
      </c>
      <c r="F92" s="5235" t="s">
        <v>2349</v>
      </c>
      <c r="G92" s="5235" t="s">
        <v>2350</v>
      </c>
      <c r="H92" s="5235" t="s">
        <v>22</v>
      </c>
      <c r="I92" s="5235" t="s">
        <v>891</v>
      </c>
    </row>
    <row customHeight="1" ht="11.25">
      <c r="A93" s="5235" t="s">
        <v>2244</v>
      </c>
      <c r="B93" s="5235" t="s">
        <v>16</v>
      </c>
      <c r="C93" s="5235" t="s">
        <v>2351</v>
      </c>
      <c r="D93" s="5235" t="s">
        <v>2352</v>
      </c>
      <c r="E93" s="5235" t="s">
        <v>2353</v>
      </c>
      <c r="F93" s="5235" t="s">
        <v>2354</v>
      </c>
      <c r="G93" s="5235" t="s">
        <v>2355</v>
      </c>
      <c r="H93" s="5235" t="s">
        <v>22</v>
      </c>
      <c r="I93" s="5235" t="s">
        <v>891</v>
      </c>
    </row>
    <row customHeight="1" ht="11.25">
      <c r="A94" s="5235" t="s">
        <v>2244</v>
      </c>
      <c r="B94" s="5235" t="s">
        <v>16</v>
      </c>
      <c r="C94" s="5235" t="s">
        <v>2359</v>
      </c>
      <c r="D94" s="5235" t="s">
        <v>2360</v>
      </c>
      <c r="E94" s="5235" t="s">
        <v>2247</v>
      </c>
      <c r="F94" s="5235" t="s">
        <v>2320</v>
      </c>
      <c r="G94" s="5235" t="s">
        <v>22</v>
      </c>
      <c r="H94" s="5235" t="s">
        <v>22</v>
      </c>
      <c r="I94" s="5235" t="s">
        <v>891</v>
      </c>
    </row>
    <row customHeight="1" ht="11.25">
      <c r="A95" s="5235" t="s">
        <v>2244</v>
      </c>
      <c r="B95" s="5235" t="s">
        <v>16</v>
      </c>
      <c r="C95" s="5235" t="s">
        <v>2370</v>
      </c>
      <c r="D95" s="5235" t="s">
        <v>2371</v>
      </c>
      <c r="E95" s="5235" t="s">
        <v>2372</v>
      </c>
      <c r="F95" s="5235" t="s">
        <v>2373</v>
      </c>
      <c r="G95" s="5235" t="s">
        <v>2374</v>
      </c>
      <c r="H95" s="5235" t="s">
        <v>22</v>
      </c>
      <c r="I95" s="5235" t="s">
        <v>891</v>
      </c>
    </row>
    <row customHeight="1" ht="11.25">
      <c r="A96" s="5235" t="s">
        <v>2244</v>
      </c>
      <c r="B96" s="5235" t="s">
        <v>16</v>
      </c>
      <c r="C96" s="5235" t="s">
        <v>2378</v>
      </c>
      <c r="D96" s="5235" t="s">
        <v>2379</v>
      </c>
      <c r="E96" s="5235" t="s">
        <v>2380</v>
      </c>
      <c r="F96" s="5235" t="s">
        <v>2266</v>
      </c>
      <c r="G96" s="5235" t="s">
        <v>22</v>
      </c>
      <c r="H96" s="5235" t="s">
        <v>22</v>
      </c>
      <c r="I96" s="5235" t="s">
        <v>891</v>
      </c>
    </row>
    <row customHeight="1" ht="11.25">
      <c r="A97" s="5235" t="s">
        <v>2244</v>
      </c>
      <c r="B97" s="5235" t="s">
        <v>16</v>
      </c>
      <c r="C97" s="5235" t="s">
        <v>2408</v>
      </c>
      <c r="D97" s="5235" t="s">
        <v>2409</v>
      </c>
      <c r="E97" s="5235" t="s">
        <v>2410</v>
      </c>
      <c r="F97" s="5235" t="s">
        <v>2262</v>
      </c>
      <c r="G97" s="5235" t="s">
        <v>2298</v>
      </c>
      <c r="H97" s="5235" t="s">
        <v>22</v>
      </c>
      <c r="I97" s="5235" t="s">
        <v>891</v>
      </c>
    </row>
    <row customHeight="1" ht="11.25">
      <c r="A98" s="5235" t="s">
        <v>2244</v>
      </c>
      <c r="B98" s="5235" t="s">
        <v>16</v>
      </c>
      <c r="C98" s="5235" t="s">
        <v>2422</v>
      </c>
      <c r="D98" s="5235" t="s">
        <v>2423</v>
      </c>
      <c r="E98" s="5235" t="s">
        <v>2424</v>
      </c>
      <c r="F98" s="5235" t="s">
        <v>2253</v>
      </c>
      <c r="G98" s="5235" t="s">
        <v>22</v>
      </c>
      <c r="H98" s="5235" t="s">
        <v>22</v>
      </c>
      <c r="I98" s="5235" t="s">
        <v>891</v>
      </c>
    </row>
    <row customHeight="1" ht="11.25">
      <c r="A99" s="5235" t="s">
        <v>2244</v>
      </c>
      <c r="B99" s="5235" t="s">
        <v>16</v>
      </c>
      <c r="C99" s="5235" t="s">
        <v>2425</v>
      </c>
      <c r="D99" s="5235" t="s">
        <v>2426</v>
      </c>
      <c r="E99" s="5235" t="s">
        <v>2427</v>
      </c>
      <c r="F99" s="5235" t="s">
        <v>2277</v>
      </c>
      <c r="G99" s="5235" t="s">
        <v>2428</v>
      </c>
      <c r="H99" s="5235" t="s">
        <v>22</v>
      </c>
      <c r="I99" s="5235" t="s">
        <v>891</v>
      </c>
    </row>
    <row customHeight="1" ht="11.25">
      <c r="A100" s="5235" t="s">
        <v>2244</v>
      </c>
      <c r="B100" s="5235" t="s">
        <v>16</v>
      </c>
      <c r="C100" s="5235" t="s">
        <v>2458</v>
      </c>
      <c r="D100" s="5235" t="s">
        <v>2459</v>
      </c>
      <c r="E100" s="5235" t="s">
        <v>2460</v>
      </c>
      <c r="F100" s="5235" t="s">
        <v>2461</v>
      </c>
      <c r="G100" s="5235" t="s">
        <v>22</v>
      </c>
      <c r="H100" s="5235" t="s">
        <v>22</v>
      </c>
      <c r="I100" s="5235" t="s">
        <v>891</v>
      </c>
    </row>
    <row customHeight="1" ht="11.25">
      <c r="A101" s="5235" t="s">
        <v>2244</v>
      </c>
      <c r="B101" s="5235" t="s">
        <v>16</v>
      </c>
      <c r="C101" s="5235" t="s">
        <v>2468</v>
      </c>
      <c r="D101" s="5235" t="s">
        <v>2469</v>
      </c>
      <c r="E101" s="5235" t="s">
        <v>2470</v>
      </c>
      <c r="F101" s="5235" t="s">
        <v>2461</v>
      </c>
      <c r="G101" s="5235" t="s">
        <v>22</v>
      </c>
      <c r="H101" s="5235" t="s">
        <v>22</v>
      </c>
      <c r="I101" s="5235" t="s">
        <v>891</v>
      </c>
    </row>
    <row customHeight="1" ht="11.25">
      <c r="A102" s="5235" t="s">
        <v>2244</v>
      </c>
      <c r="B102" s="5235" t="s">
        <v>16</v>
      </c>
      <c r="C102" s="5235" t="s">
        <v>2471</v>
      </c>
      <c r="D102" s="5235" t="s">
        <v>2472</v>
      </c>
      <c r="E102" s="5235" t="s">
        <v>2473</v>
      </c>
      <c r="F102" s="5235" t="s">
        <v>2262</v>
      </c>
      <c r="G102" s="5235" t="s">
        <v>22</v>
      </c>
      <c r="H102" s="5235" t="s">
        <v>22</v>
      </c>
      <c r="I102" s="5235" t="s">
        <v>891</v>
      </c>
    </row>
    <row customHeight="1" ht="11.25">
      <c r="A103" s="5235" t="s">
        <v>2244</v>
      </c>
      <c r="B103" s="5235" t="s">
        <v>16</v>
      </c>
      <c r="C103" s="5235" t="s">
        <v>2484</v>
      </c>
      <c r="D103" s="5235" t="s">
        <v>2485</v>
      </c>
      <c r="E103" s="5235" t="s">
        <v>2340</v>
      </c>
      <c r="F103" s="5235" t="s">
        <v>2486</v>
      </c>
      <c r="G103" s="5235" t="s">
        <v>22</v>
      </c>
      <c r="H103" s="5235" t="s">
        <v>22</v>
      </c>
      <c r="I103" s="5235" t="s">
        <v>891</v>
      </c>
    </row>
    <row customHeight="1" ht="11.25">
      <c r="A104" s="5235" t="s">
        <v>2244</v>
      </c>
      <c r="B104" s="5235" t="s">
        <v>16</v>
      </c>
      <c r="C104" s="5235" t="s">
        <v>2487</v>
      </c>
      <c r="D104" s="5235" t="s">
        <v>2488</v>
      </c>
      <c r="E104" s="5235" t="s">
        <v>2324</v>
      </c>
      <c r="F104" s="5235" t="s">
        <v>2391</v>
      </c>
      <c r="G104" s="5235" t="s">
        <v>22</v>
      </c>
      <c r="H104" s="5235" t="s">
        <v>22</v>
      </c>
      <c r="I104" s="5235" t="s">
        <v>891</v>
      </c>
    </row>
    <row customHeight="1" ht="11.25">
      <c r="A105" s="5235" t="s">
        <v>2244</v>
      </c>
      <c r="B105" s="5235" t="s">
        <v>16</v>
      </c>
      <c r="C105" s="5235" t="s">
        <v>2489</v>
      </c>
      <c r="D105" s="5235" t="s">
        <v>2490</v>
      </c>
      <c r="E105" s="5235" t="s">
        <v>2491</v>
      </c>
      <c r="F105" s="5235" t="s">
        <v>2492</v>
      </c>
      <c r="G105" s="5235" t="s">
        <v>22</v>
      </c>
      <c r="H105" s="5235" t="s">
        <v>22</v>
      </c>
      <c r="I105" s="5235" t="s">
        <v>891</v>
      </c>
    </row>
    <row customHeight="1" ht="11.25">
      <c r="A106" s="5235" t="s">
        <v>2244</v>
      </c>
      <c r="B106" s="5235" t="s">
        <v>16</v>
      </c>
      <c r="C106" s="5235" t="s">
        <v>2506</v>
      </c>
      <c r="D106" s="5235" t="s">
        <v>2507</v>
      </c>
      <c r="E106" s="5235" t="s">
        <v>2340</v>
      </c>
      <c r="F106" s="5235" t="s">
        <v>2508</v>
      </c>
      <c r="G106" s="5235" t="s">
        <v>22</v>
      </c>
      <c r="H106" s="5235" t="s">
        <v>22</v>
      </c>
      <c r="I106" s="5235" t="s">
        <v>891</v>
      </c>
    </row>
    <row customHeight="1" ht="11.25">
      <c r="A107" s="5235" t="s">
        <v>2244</v>
      </c>
      <c r="B107" s="5235" t="s">
        <v>16</v>
      </c>
      <c r="C107" s="5235" t="s">
        <v>2245</v>
      </c>
      <c r="D107" s="5235" t="s">
        <v>2246</v>
      </c>
      <c r="E107" s="5235" t="s">
        <v>2247</v>
      </c>
      <c r="F107" s="5235" t="s">
        <v>2248</v>
      </c>
      <c r="G107" s="5235" t="s">
        <v>2249</v>
      </c>
      <c r="H107" s="5235" t="s">
        <v>22</v>
      </c>
      <c r="I107" s="5235" t="s">
        <v>851</v>
      </c>
    </row>
    <row customHeight="1" ht="11.25">
      <c r="A108" s="5235" t="s">
        <v>2244</v>
      </c>
      <c r="B108" s="5235" t="s">
        <v>16</v>
      </c>
      <c r="C108" s="5235" t="s">
        <v>2250</v>
      </c>
      <c r="D108" s="5235" t="s">
        <v>2251</v>
      </c>
      <c r="E108" s="5235" t="s">
        <v>2252</v>
      </c>
      <c r="F108" s="5235" t="s">
        <v>2253</v>
      </c>
      <c r="G108" s="5235" t="s">
        <v>2254</v>
      </c>
      <c r="H108" s="5235" t="s">
        <v>22</v>
      </c>
      <c r="I108" s="5235" t="s">
        <v>851</v>
      </c>
    </row>
    <row customHeight="1" ht="11.25">
      <c r="A109" s="5235" t="s">
        <v>2244</v>
      </c>
      <c r="B109" s="5235" t="s">
        <v>16</v>
      </c>
      <c r="C109" s="5235" t="s">
        <v>2259</v>
      </c>
      <c r="D109" s="5235" t="s">
        <v>2260</v>
      </c>
      <c r="E109" s="5235" t="s">
        <v>2261</v>
      </c>
      <c r="F109" s="5235" t="s">
        <v>2262</v>
      </c>
      <c r="G109" s="5235" t="s">
        <v>22</v>
      </c>
      <c r="H109" s="5235" t="s">
        <v>22</v>
      </c>
      <c r="I109" s="5235" t="s">
        <v>851</v>
      </c>
    </row>
    <row customHeight="1" ht="11.25">
      <c r="A110" s="5235" t="s">
        <v>2244</v>
      </c>
      <c r="B110" s="5235" t="s">
        <v>16</v>
      </c>
      <c r="C110" s="5235" t="s">
        <v>2263</v>
      </c>
      <c r="D110" s="5235" t="s">
        <v>2264</v>
      </c>
      <c r="E110" s="5235" t="s">
        <v>2265</v>
      </c>
      <c r="F110" s="5235" t="s">
        <v>2266</v>
      </c>
      <c r="G110" s="5235" t="s">
        <v>22</v>
      </c>
      <c r="H110" s="5235" t="s">
        <v>22</v>
      </c>
      <c r="I110" s="5235" t="s">
        <v>851</v>
      </c>
    </row>
    <row customHeight="1" ht="11.25">
      <c r="A111" s="5235" t="s">
        <v>2244</v>
      </c>
      <c r="B111" s="5235" t="s">
        <v>16</v>
      </c>
      <c r="C111" s="5235" t="s">
        <v>2274</v>
      </c>
      <c r="D111" s="5235" t="s">
        <v>2275</v>
      </c>
      <c r="E111" s="5235" t="s">
        <v>2276</v>
      </c>
      <c r="F111" s="5235" t="s">
        <v>2277</v>
      </c>
      <c r="G111" s="5235" t="s">
        <v>22</v>
      </c>
      <c r="H111" s="5235" t="s">
        <v>22</v>
      </c>
      <c r="I111" s="5235" t="s">
        <v>851</v>
      </c>
    </row>
    <row customHeight="1" ht="11.25">
      <c r="A112" s="5235" t="s">
        <v>2244</v>
      </c>
      <c r="B112" s="5235" t="s">
        <v>16</v>
      </c>
      <c r="C112" s="5235" t="s">
        <v>2278</v>
      </c>
      <c r="D112" s="5235" t="s">
        <v>2279</v>
      </c>
      <c r="E112" s="5235" t="s">
        <v>2280</v>
      </c>
      <c r="F112" s="5235" t="s">
        <v>2266</v>
      </c>
      <c r="G112" s="5235" t="s">
        <v>22</v>
      </c>
      <c r="H112" s="5235" t="s">
        <v>22</v>
      </c>
      <c r="I112" s="5235" t="s">
        <v>851</v>
      </c>
    </row>
    <row customHeight="1" ht="11.25">
      <c r="A113" s="5235" t="s">
        <v>2244</v>
      </c>
      <c r="B113" s="5235" t="s">
        <v>16</v>
      </c>
      <c r="C113" s="5235" t="s">
        <v>2512</v>
      </c>
      <c r="D113" s="5235" t="s">
        <v>2513</v>
      </c>
      <c r="E113" s="5235" t="s">
        <v>2514</v>
      </c>
      <c r="F113" s="5235" t="s">
        <v>2266</v>
      </c>
      <c r="G113" s="5235" t="s">
        <v>22</v>
      </c>
      <c r="H113" s="5235" t="s">
        <v>22</v>
      </c>
      <c r="I113" s="5235" t="s">
        <v>851</v>
      </c>
    </row>
    <row customHeight="1" ht="11.25">
      <c r="A114" s="5235" t="s">
        <v>2244</v>
      </c>
      <c r="B114" s="5235" t="s">
        <v>16</v>
      </c>
      <c r="C114" s="5235" t="s">
        <v>2281</v>
      </c>
      <c r="D114" s="5235" t="s">
        <v>2282</v>
      </c>
      <c r="E114" s="5235" t="s">
        <v>2283</v>
      </c>
      <c r="F114" s="5235" t="s">
        <v>2266</v>
      </c>
      <c r="G114" s="5235" t="s">
        <v>22</v>
      </c>
      <c r="H114" s="5235" t="s">
        <v>22</v>
      </c>
      <c r="I114" s="5235" t="s">
        <v>851</v>
      </c>
    </row>
    <row customHeight="1" ht="11.25">
      <c r="A115" s="5235" t="s">
        <v>2244</v>
      </c>
      <c r="B115" s="5235" t="s">
        <v>16</v>
      </c>
      <c r="C115" s="5235" t="s">
        <v>2284</v>
      </c>
      <c r="D115" s="5235" t="s">
        <v>2285</v>
      </c>
      <c r="E115" s="5235" t="s">
        <v>2286</v>
      </c>
      <c r="F115" s="5235" t="s">
        <v>2287</v>
      </c>
      <c r="G115" s="5235" t="s">
        <v>22</v>
      </c>
      <c r="H115" s="5235" t="s">
        <v>22</v>
      </c>
      <c r="I115" s="5235" t="s">
        <v>851</v>
      </c>
    </row>
    <row customHeight="1" ht="11.25">
      <c r="A116" s="5235" t="s">
        <v>2244</v>
      </c>
      <c r="B116" s="5235" t="s">
        <v>16</v>
      </c>
      <c r="C116" s="5235" t="s">
        <v>2288</v>
      </c>
      <c r="D116" s="5235" t="s">
        <v>2289</v>
      </c>
      <c r="E116" s="5235" t="s">
        <v>2290</v>
      </c>
      <c r="F116" s="5235" t="s">
        <v>2253</v>
      </c>
      <c r="G116" s="5235" t="s">
        <v>2291</v>
      </c>
      <c r="H116" s="5235" t="s">
        <v>22</v>
      </c>
      <c r="I116" s="5235" t="s">
        <v>851</v>
      </c>
    </row>
    <row customHeight="1" ht="11.25">
      <c r="A117" s="5235" t="s">
        <v>2244</v>
      </c>
      <c r="B117" s="5235" t="s">
        <v>16</v>
      </c>
      <c r="C117" s="5235" t="s">
        <v>2295</v>
      </c>
      <c r="D117" s="5235" t="s">
        <v>2296</v>
      </c>
      <c r="E117" s="5235" t="s">
        <v>2294</v>
      </c>
      <c r="F117" s="5235" t="s">
        <v>2297</v>
      </c>
      <c r="G117" s="5235" t="s">
        <v>2298</v>
      </c>
      <c r="H117" s="5235" t="s">
        <v>22</v>
      </c>
      <c r="I117" s="5235" t="s">
        <v>851</v>
      </c>
    </row>
    <row customHeight="1" ht="11.25">
      <c r="A118" s="5235" t="s">
        <v>2244</v>
      </c>
      <c r="B118" s="5235" t="s">
        <v>16</v>
      </c>
      <c r="C118" s="5235" t="s">
        <v>2299</v>
      </c>
      <c r="D118" s="5235" t="s">
        <v>2300</v>
      </c>
      <c r="E118" s="5235" t="s">
        <v>2294</v>
      </c>
      <c r="F118" s="5235" t="s">
        <v>2287</v>
      </c>
      <c r="G118" s="5235" t="s">
        <v>22</v>
      </c>
      <c r="H118" s="5235" t="s">
        <v>22</v>
      </c>
      <c r="I118" s="5235" t="s">
        <v>851</v>
      </c>
    </row>
    <row customHeight="1" ht="11.25">
      <c r="A119" s="5235" t="s">
        <v>2244</v>
      </c>
      <c r="B119" s="5235" t="s">
        <v>16</v>
      </c>
      <c r="C119" s="5235" t="s">
        <v>2301</v>
      </c>
      <c r="D119" s="5235" t="s">
        <v>2302</v>
      </c>
      <c r="E119" s="5235" t="s">
        <v>2294</v>
      </c>
      <c r="F119" s="5235" t="s">
        <v>2303</v>
      </c>
      <c r="G119" s="5235" t="s">
        <v>2304</v>
      </c>
      <c r="H119" s="5235" t="s">
        <v>22</v>
      </c>
      <c r="I119" s="5235" t="s">
        <v>851</v>
      </c>
    </row>
    <row customHeight="1" ht="11.25">
      <c r="A120" s="5235" t="s">
        <v>2244</v>
      </c>
      <c r="B120" s="5235" t="s">
        <v>16</v>
      </c>
      <c r="C120" s="5235" t="s">
        <v>2305</v>
      </c>
      <c r="D120" s="5235" t="s">
        <v>2306</v>
      </c>
      <c r="E120" s="5235" t="s">
        <v>2294</v>
      </c>
      <c r="F120" s="5235" t="s">
        <v>2307</v>
      </c>
      <c r="G120" s="5235" t="s">
        <v>2308</v>
      </c>
      <c r="H120" s="5235" t="s">
        <v>22</v>
      </c>
      <c r="I120" s="5235" t="s">
        <v>851</v>
      </c>
    </row>
    <row customHeight="1" ht="11.25">
      <c r="A121" s="5235" t="s">
        <v>2244</v>
      </c>
      <c r="B121" s="5235" t="s">
        <v>16</v>
      </c>
      <c r="C121" s="5235" t="s">
        <v>2309</v>
      </c>
      <c r="D121" s="5235" t="s">
        <v>2310</v>
      </c>
      <c r="E121" s="5235" t="s">
        <v>2294</v>
      </c>
      <c r="F121" s="5235" t="s">
        <v>2311</v>
      </c>
      <c r="G121" s="5235" t="s">
        <v>22</v>
      </c>
      <c r="H121" s="5235" t="s">
        <v>22</v>
      </c>
      <c r="I121" s="5235" t="s">
        <v>851</v>
      </c>
    </row>
    <row customHeight="1" ht="11.25">
      <c r="A122" s="5235" t="s">
        <v>2244</v>
      </c>
      <c r="B122" s="5235" t="s">
        <v>16</v>
      </c>
      <c r="C122" s="5235" t="s">
        <v>2312</v>
      </c>
      <c r="D122" s="5235" t="s">
        <v>2313</v>
      </c>
      <c r="E122" s="5235" t="s">
        <v>2294</v>
      </c>
      <c r="F122" s="5235" t="s">
        <v>2314</v>
      </c>
      <c r="G122" s="5235" t="s">
        <v>22</v>
      </c>
      <c r="H122" s="5235" t="s">
        <v>22</v>
      </c>
      <c r="I122" s="5235" t="s">
        <v>851</v>
      </c>
    </row>
    <row customHeight="1" ht="11.25">
      <c r="A123" s="5235" t="s">
        <v>2244</v>
      </c>
      <c r="B123" s="5235" t="s">
        <v>16</v>
      </c>
      <c r="C123" s="5235" t="s">
        <v>2315</v>
      </c>
      <c r="D123" s="5235" t="s">
        <v>2316</v>
      </c>
      <c r="E123" s="5235" t="s">
        <v>2294</v>
      </c>
      <c r="F123" s="5235" t="s">
        <v>2317</v>
      </c>
      <c r="G123" s="5235" t="s">
        <v>22</v>
      </c>
      <c r="H123" s="5235" t="s">
        <v>22</v>
      </c>
      <c r="I123" s="5235" t="s">
        <v>851</v>
      </c>
    </row>
    <row customHeight="1" ht="11.25">
      <c r="A124" s="5235" t="s">
        <v>2244</v>
      </c>
      <c r="B124" s="5235" t="s">
        <v>16</v>
      </c>
      <c r="C124" s="5235" t="s">
        <v>2318</v>
      </c>
      <c r="D124" s="5235" t="s">
        <v>2319</v>
      </c>
      <c r="E124" s="5235" t="s">
        <v>2294</v>
      </c>
      <c r="F124" s="5235" t="s">
        <v>2320</v>
      </c>
      <c r="G124" s="5235" t="s">
        <v>2321</v>
      </c>
      <c r="H124" s="5235" t="s">
        <v>22</v>
      </c>
      <c r="I124" s="5235" t="s">
        <v>851</v>
      </c>
    </row>
    <row customHeight="1" ht="11.25">
      <c r="A125" s="5235" t="s">
        <v>2244</v>
      </c>
      <c r="B125" s="5235" t="s">
        <v>16</v>
      </c>
      <c r="C125" s="5235" t="s">
        <v>2322</v>
      </c>
      <c r="D125" s="5235" t="s">
        <v>2323</v>
      </c>
      <c r="E125" s="5235" t="s">
        <v>2324</v>
      </c>
      <c r="F125" s="5235" t="s">
        <v>2325</v>
      </c>
      <c r="G125" s="5235" t="s">
        <v>22</v>
      </c>
      <c r="H125" s="5235" t="s">
        <v>22</v>
      </c>
      <c r="I125" s="5235" t="s">
        <v>851</v>
      </c>
    </row>
    <row customHeight="1" ht="11.25">
      <c r="A126" s="5235" t="s">
        <v>2244</v>
      </c>
      <c r="B126" s="5235" t="s">
        <v>16</v>
      </c>
      <c r="C126" s="5235" t="s">
        <v>2329</v>
      </c>
      <c r="D126" s="5235" t="s">
        <v>2330</v>
      </c>
      <c r="E126" s="5235" t="s">
        <v>2324</v>
      </c>
      <c r="F126" s="5235" t="s">
        <v>2331</v>
      </c>
      <c r="G126" s="5235" t="s">
        <v>22</v>
      </c>
      <c r="H126" s="5235" t="s">
        <v>22</v>
      </c>
      <c r="I126" s="5235" t="s">
        <v>851</v>
      </c>
    </row>
    <row customHeight="1" ht="11.25">
      <c r="A127" s="5235" t="s">
        <v>2244</v>
      </c>
      <c r="B127" s="5235" t="s">
        <v>16</v>
      </c>
      <c r="C127" s="5235" t="s">
        <v>22</v>
      </c>
      <c r="D127" s="5235" t="s">
        <v>2332</v>
      </c>
      <c r="E127" s="5235" t="s">
        <v>2333</v>
      </c>
      <c r="F127" s="5235" t="s">
        <v>2277</v>
      </c>
      <c r="G127" s="5235" t="s">
        <v>22</v>
      </c>
      <c r="H127" s="5235" t="s">
        <v>22</v>
      </c>
      <c r="I127" s="5235" t="s">
        <v>851</v>
      </c>
    </row>
    <row customHeight="1" ht="11.25">
      <c r="A128" s="5235" t="s">
        <v>2244</v>
      </c>
      <c r="B128" s="5235" t="s">
        <v>16</v>
      </c>
      <c r="C128" s="5235" t="s">
        <v>2334</v>
      </c>
      <c r="D128" s="5235" t="s">
        <v>2335</v>
      </c>
      <c r="E128" s="5235" t="s">
        <v>2336</v>
      </c>
      <c r="F128" s="5235" t="s">
        <v>2287</v>
      </c>
      <c r="G128" s="5235" t="s">
        <v>2337</v>
      </c>
      <c r="H128" s="5235" t="s">
        <v>22</v>
      </c>
      <c r="I128" s="5235" t="s">
        <v>851</v>
      </c>
    </row>
    <row customHeight="1" ht="11.25">
      <c r="A129" s="5235" t="s">
        <v>2244</v>
      </c>
      <c r="B129" s="5235" t="s">
        <v>16</v>
      </c>
      <c r="C129" s="5235" t="s">
        <v>2515</v>
      </c>
      <c r="D129" s="5235" t="s">
        <v>2516</v>
      </c>
      <c r="E129" s="5235" t="s">
        <v>2517</v>
      </c>
      <c r="F129" s="5235" t="s">
        <v>572</v>
      </c>
      <c r="G129" s="5235" t="s">
        <v>22</v>
      </c>
      <c r="H129" s="5235" t="s">
        <v>22</v>
      </c>
      <c r="I129" s="5235" t="s">
        <v>851</v>
      </c>
    </row>
    <row customHeight="1" ht="11.25">
      <c r="A130" s="5235" t="s">
        <v>2244</v>
      </c>
      <c r="B130" s="5235" t="s">
        <v>16</v>
      </c>
      <c r="C130" s="5235" t="s">
        <v>2338</v>
      </c>
      <c r="D130" s="5235" t="s">
        <v>2339</v>
      </c>
      <c r="E130" s="5235" t="s">
        <v>2340</v>
      </c>
      <c r="F130" s="5235" t="s">
        <v>2341</v>
      </c>
      <c r="G130" s="5235" t="s">
        <v>22</v>
      </c>
      <c r="H130" s="5235" t="s">
        <v>22</v>
      </c>
      <c r="I130" s="5235" t="s">
        <v>851</v>
      </c>
    </row>
    <row customHeight="1" ht="11.25">
      <c r="A131" s="5235" t="s">
        <v>2244</v>
      </c>
      <c r="B131" s="5235" t="s">
        <v>16</v>
      </c>
      <c r="C131" s="5235" t="s">
        <v>2342</v>
      </c>
      <c r="D131" s="5235" t="s">
        <v>2343</v>
      </c>
      <c r="E131" s="5235" t="s">
        <v>2344</v>
      </c>
      <c r="F131" s="5235" t="s">
        <v>2345</v>
      </c>
      <c r="G131" s="5235" t="s">
        <v>22</v>
      </c>
      <c r="H131" s="5235" t="s">
        <v>22</v>
      </c>
      <c r="I131" s="5235" t="s">
        <v>851</v>
      </c>
    </row>
    <row customHeight="1" ht="11.25">
      <c r="A132" s="5235" t="s">
        <v>2244</v>
      </c>
      <c r="B132" s="5235" t="s">
        <v>16</v>
      </c>
      <c r="C132" s="5235" t="s">
        <v>2518</v>
      </c>
      <c r="D132" s="5235" t="s">
        <v>2519</v>
      </c>
      <c r="E132" s="5235" t="s">
        <v>2520</v>
      </c>
      <c r="F132" s="5235" t="s">
        <v>2311</v>
      </c>
      <c r="G132" s="5235" t="s">
        <v>2521</v>
      </c>
      <c r="H132" s="5235" t="s">
        <v>22</v>
      </c>
      <c r="I132" s="5235" t="s">
        <v>851</v>
      </c>
    </row>
    <row customHeight="1" ht="11.25">
      <c r="A133" s="5235" t="s">
        <v>2244</v>
      </c>
      <c r="B133" s="5235" t="s">
        <v>16</v>
      </c>
      <c r="C133" s="5235" t="s">
        <v>2346</v>
      </c>
      <c r="D133" s="5235" t="s">
        <v>2347</v>
      </c>
      <c r="E133" s="5235" t="s">
        <v>2348</v>
      </c>
      <c r="F133" s="5235" t="s">
        <v>2349</v>
      </c>
      <c r="G133" s="5235" t="s">
        <v>2350</v>
      </c>
      <c r="H133" s="5235" t="s">
        <v>22</v>
      </c>
      <c r="I133" s="5235" t="s">
        <v>851</v>
      </c>
    </row>
    <row customHeight="1" ht="11.25">
      <c r="A134" s="5235" t="s">
        <v>2244</v>
      </c>
      <c r="B134" s="5235" t="s">
        <v>16</v>
      </c>
      <c r="C134" s="5235" t="s">
        <v>2522</v>
      </c>
      <c r="D134" s="5235" t="s">
        <v>2523</v>
      </c>
      <c r="E134" s="5235" t="s">
        <v>2524</v>
      </c>
      <c r="F134" s="5235" t="s">
        <v>2311</v>
      </c>
      <c r="G134" s="5235" t="s">
        <v>22</v>
      </c>
      <c r="H134" s="5235" t="s">
        <v>22</v>
      </c>
      <c r="I134" s="5235" t="s">
        <v>851</v>
      </c>
    </row>
    <row customHeight="1" ht="11.25">
      <c r="A135" s="5235" t="s">
        <v>2244</v>
      </c>
      <c r="B135" s="5235" t="s">
        <v>16</v>
      </c>
      <c r="C135" s="5235" t="s">
        <v>2525</v>
      </c>
      <c r="D135" s="5235" t="s">
        <v>2526</v>
      </c>
      <c r="E135" s="5235" t="s">
        <v>2527</v>
      </c>
      <c r="F135" s="5235" t="s">
        <v>2266</v>
      </c>
      <c r="G135" s="5235" t="s">
        <v>22</v>
      </c>
      <c r="H135" s="5235" t="s">
        <v>22</v>
      </c>
      <c r="I135" s="5235" t="s">
        <v>851</v>
      </c>
    </row>
    <row customHeight="1" ht="11.25">
      <c r="A136" s="5235" t="s">
        <v>2244</v>
      </c>
      <c r="B136" s="5235" t="s">
        <v>16</v>
      </c>
      <c r="C136" s="5235" t="s">
        <v>2351</v>
      </c>
      <c r="D136" s="5235" t="s">
        <v>2352</v>
      </c>
      <c r="E136" s="5235" t="s">
        <v>2353</v>
      </c>
      <c r="F136" s="5235" t="s">
        <v>2354</v>
      </c>
      <c r="G136" s="5235" t="s">
        <v>2355</v>
      </c>
      <c r="H136" s="5235" t="s">
        <v>22</v>
      </c>
      <c r="I136" s="5235" t="s">
        <v>851</v>
      </c>
    </row>
    <row customHeight="1" ht="11.25">
      <c r="A137" s="5235" t="s">
        <v>2244</v>
      </c>
      <c r="B137" s="5235" t="s">
        <v>16</v>
      </c>
      <c r="C137" s="5235" t="s">
        <v>2356</v>
      </c>
      <c r="D137" s="5235" t="s">
        <v>2357</v>
      </c>
      <c r="E137" s="5235" t="s">
        <v>2324</v>
      </c>
      <c r="F137" s="5235" t="s">
        <v>2358</v>
      </c>
      <c r="G137" s="5235" t="s">
        <v>22</v>
      </c>
      <c r="H137" s="5235" t="s">
        <v>22</v>
      </c>
      <c r="I137" s="5235" t="s">
        <v>851</v>
      </c>
    </row>
    <row customHeight="1" ht="11.25">
      <c r="A138" s="5235" t="s">
        <v>2244</v>
      </c>
      <c r="B138" s="5235" t="s">
        <v>16</v>
      </c>
      <c r="C138" s="5235" t="s">
        <v>2359</v>
      </c>
      <c r="D138" s="5235" t="s">
        <v>2360</v>
      </c>
      <c r="E138" s="5235" t="s">
        <v>2247</v>
      </c>
      <c r="F138" s="5235" t="s">
        <v>2320</v>
      </c>
      <c r="G138" s="5235" t="s">
        <v>22</v>
      </c>
      <c r="H138" s="5235" t="s">
        <v>22</v>
      </c>
      <c r="I138" s="5235" t="s">
        <v>851</v>
      </c>
    </row>
    <row customHeight="1" ht="11.25">
      <c r="A139" s="5235" t="s">
        <v>2244</v>
      </c>
      <c r="B139" s="5235" t="s">
        <v>16</v>
      </c>
      <c r="C139" s="5235" t="s">
        <v>2367</v>
      </c>
      <c r="D139" s="5235" t="s">
        <v>2368</v>
      </c>
      <c r="E139" s="5235" t="s">
        <v>2369</v>
      </c>
      <c r="F139" s="5235" t="s">
        <v>2345</v>
      </c>
      <c r="G139" s="5235" t="s">
        <v>22</v>
      </c>
      <c r="H139" s="5235" t="s">
        <v>22</v>
      </c>
      <c r="I139" s="5235" t="s">
        <v>851</v>
      </c>
    </row>
    <row customHeight="1" ht="11.25">
      <c r="A140" s="5235" t="s">
        <v>2244</v>
      </c>
      <c r="B140" s="5235" t="s">
        <v>16</v>
      </c>
      <c r="C140" s="5235" t="s">
        <v>2370</v>
      </c>
      <c r="D140" s="5235" t="s">
        <v>2371</v>
      </c>
      <c r="E140" s="5235" t="s">
        <v>2372</v>
      </c>
      <c r="F140" s="5235" t="s">
        <v>2373</v>
      </c>
      <c r="G140" s="5235" t="s">
        <v>2374</v>
      </c>
      <c r="H140" s="5235" t="s">
        <v>22</v>
      </c>
      <c r="I140" s="5235" t="s">
        <v>851</v>
      </c>
    </row>
    <row customHeight="1" ht="11.25">
      <c r="A141" s="5235" t="s">
        <v>2244</v>
      </c>
      <c r="B141" s="5235" t="s">
        <v>16</v>
      </c>
      <c r="C141" s="5235" t="s">
        <v>2528</v>
      </c>
      <c r="D141" s="5235" t="s">
        <v>2529</v>
      </c>
      <c r="E141" s="5235" t="s">
        <v>2530</v>
      </c>
      <c r="F141" s="5235" t="s">
        <v>2311</v>
      </c>
      <c r="G141" s="5235" t="s">
        <v>2531</v>
      </c>
      <c r="H141" s="5235" t="s">
        <v>22</v>
      </c>
      <c r="I141" s="5235" t="s">
        <v>851</v>
      </c>
    </row>
    <row customHeight="1" ht="11.25">
      <c r="A142" s="5235" t="s">
        <v>2244</v>
      </c>
      <c r="B142" s="5235" t="s">
        <v>16</v>
      </c>
      <c r="C142" s="5235" t="s">
        <v>2378</v>
      </c>
      <c r="D142" s="5235" t="s">
        <v>2379</v>
      </c>
      <c r="E142" s="5235" t="s">
        <v>2380</v>
      </c>
      <c r="F142" s="5235" t="s">
        <v>2266</v>
      </c>
      <c r="G142" s="5235" t="s">
        <v>22</v>
      </c>
      <c r="H142" s="5235" t="s">
        <v>22</v>
      </c>
      <c r="I142" s="5235" t="s">
        <v>851</v>
      </c>
    </row>
    <row customHeight="1" ht="11.25">
      <c r="A143" s="5235" t="s">
        <v>2244</v>
      </c>
      <c r="B143" s="5235" t="s">
        <v>16</v>
      </c>
      <c r="C143" s="5235" t="s">
        <v>2388</v>
      </c>
      <c r="D143" s="5235" t="s">
        <v>2389</v>
      </c>
      <c r="E143" s="5235" t="s">
        <v>2390</v>
      </c>
      <c r="F143" s="5235" t="s">
        <v>2391</v>
      </c>
      <c r="G143" s="5235" t="s">
        <v>22</v>
      </c>
      <c r="H143" s="5235" t="s">
        <v>22</v>
      </c>
      <c r="I143" s="5235" t="s">
        <v>851</v>
      </c>
    </row>
    <row customHeight="1" ht="11.25">
      <c r="A144" s="5235" t="s">
        <v>2244</v>
      </c>
      <c r="B144" s="5235" t="s">
        <v>16</v>
      </c>
      <c r="C144" s="5235" t="s">
        <v>2392</v>
      </c>
      <c r="D144" s="5235" t="s">
        <v>2393</v>
      </c>
      <c r="E144" s="5235" t="s">
        <v>2324</v>
      </c>
      <c r="F144" s="5235" t="s">
        <v>2384</v>
      </c>
      <c r="G144" s="5235" t="s">
        <v>2394</v>
      </c>
      <c r="H144" s="5235" t="s">
        <v>22</v>
      </c>
      <c r="I144" s="5235" t="s">
        <v>851</v>
      </c>
    </row>
    <row customHeight="1" ht="11.25">
      <c r="A145" s="5235" t="s">
        <v>2244</v>
      </c>
      <c r="B145" s="5235" t="s">
        <v>16</v>
      </c>
      <c r="C145" s="5235" t="s">
        <v>2403</v>
      </c>
      <c r="D145" s="5235" t="s">
        <v>2404</v>
      </c>
      <c r="E145" s="5235" t="s">
        <v>2405</v>
      </c>
      <c r="F145" s="5235" t="s">
        <v>2406</v>
      </c>
      <c r="G145" s="5235" t="s">
        <v>2407</v>
      </c>
      <c r="H145" s="5235" t="s">
        <v>22</v>
      </c>
      <c r="I145" s="5235" t="s">
        <v>851</v>
      </c>
    </row>
    <row customHeight="1" ht="11.25">
      <c r="A146" s="5235" t="s">
        <v>2244</v>
      </c>
      <c r="B146" s="5235" t="s">
        <v>16</v>
      </c>
      <c r="C146" s="5235" t="s">
        <v>2532</v>
      </c>
      <c r="D146" s="5235" t="s">
        <v>2533</v>
      </c>
      <c r="E146" s="5235" t="s">
        <v>2534</v>
      </c>
      <c r="F146" s="5235" t="s">
        <v>2505</v>
      </c>
      <c r="G146" s="5235" t="s">
        <v>22</v>
      </c>
      <c r="H146" s="5235" t="s">
        <v>22</v>
      </c>
      <c r="I146" s="5235" t="s">
        <v>851</v>
      </c>
    </row>
    <row customHeight="1" ht="11.25">
      <c r="A147" s="5235" t="s">
        <v>2244</v>
      </c>
      <c r="B147" s="5235" t="s">
        <v>16</v>
      </c>
      <c r="C147" s="5235" t="s">
        <v>2408</v>
      </c>
      <c r="D147" s="5235" t="s">
        <v>2409</v>
      </c>
      <c r="E147" s="5235" t="s">
        <v>2410</v>
      </c>
      <c r="F147" s="5235" t="s">
        <v>2262</v>
      </c>
      <c r="G147" s="5235" t="s">
        <v>2298</v>
      </c>
      <c r="H147" s="5235" t="s">
        <v>22</v>
      </c>
      <c r="I147" s="5235" t="s">
        <v>851</v>
      </c>
    </row>
    <row customHeight="1" ht="11.25">
      <c r="A148" s="5235" t="s">
        <v>2244</v>
      </c>
      <c r="B148" s="5235" t="s">
        <v>16</v>
      </c>
      <c r="C148" s="5235" t="s">
        <v>2535</v>
      </c>
      <c r="D148" s="5235" t="s">
        <v>2536</v>
      </c>
      <c r="E148" s="5235" t="s">
        <v>2537</v>
      </c>
      <c r="F148" s="5235" t="s">
        <v>2311</v>
      </c>
      <c r="G148" s="5235" t="s">
        <v>2531</v>
      </c>
      <c r="H148" s="5235" t="s">
        <v>22</v>
      </c>
      <c r="I148" s="5235" t="s">
        <v>851</v>
      </c>
    </row>
    <row customHeight="1" ht="11.25">
      <c r="A149" s="5235" t="s">
        <v>2244</v>
      </c>
      <c r="B149" s="5235" t="s">
        <v>16</v>
      </c>
      <c r="C149" s="5235" t="s">
        <v>2422</v>
      </c>
      <c r="D149" s="5235" t="s">
        <v>2423</v>
      </c>
      <c r="E149" s="5235" t="s">
        <v>2424</v>
      </c>
      <c r="F149" s="5235" t="s">
        <v>2253</v>
      </c>
      <c r="G149" s="5235" t="s">
        <v>22</v>
      </c>
      <c r="H149" s="5235" t="s">
        <v>22</v>
      </c>
      <c r="I149" s="5235" t="s">
        <v>851</v>
      </c>
    </row>
    <row customHeight="1" ht="11.25">
      <c r="A150" s="5235" t="s">
        <v>2244</v>
      </c>
      <c r="B150" s="5235" t="s">
        <v>16</v>
      </c>
      <c r="C150" s="5235" t="s">
        <v>2429</v>
      </c>
      <c r="D150" s="5235" t="s">
        <v>2430</v>
      </c>
      <c r="E150" s="5235" t="s">
        <v>2431</v>
      </c>
      <c r="F150" s="5235" t="s">
        <v>2384</v>
      </c>
      <c r="G150" s="5235" t="s">
        <v>22</v>
      </c>
      <c r="H150" s="5235" t="s">
        <v>22</v>
      </c>
      <c r="I150" s="5235" t="s">
        <v>851</v>
      </c>
    </row>
    <row customHeight="1" ht="11.25">
      <c r="A151" s="5235" t="s">
        <v>2244</v>
      </c>
      <c r="B151" s="5235" t="s">
        <v>16</v>
      </c>
      <c r="C151" s="5235" t="s">
        <v>2432</v>
      </c>
      <c r="D151" s="5235" t="s">
        <v>2433</v>
      </c>
      <c r="E151" s="5235" t="s">
        <v>2434</v>
      </c>
      <c r="F151" s="5235" t="s">
        <v>2262</v>
      </c>
      <c r="G151" s="5235" t="s">
        <v>22</v>
      </c>
      <c r="H151" s="5235" t="s">
        <v>22</v>
      </c>
      <c r="I151" s="5235" t="s">
        <v>851</v>
      </c>
    </row>
    <row customHeight="1" ht="11.25">
      <c r="A152" s="5235" t="s">
        <v>2244</v>
      </c>
      <c r="B152" s="5235" t="s">
        <v>16</v>
      </c>
      <c r="C152" s="5235" t="s">
        <v>2538</v>
      </c>
      <c r="D152" s="5235" t="s">
        <v>2539</v>
      </c>
      <c r="E152" s="5235" t="s">
        <v>2540</v>
      </c>
      <c r="F152" s="5235" t="s">
        <v>2266</v>
      </c>
      <c r="G152" s="5235" t="s">
        <v>22</v>
      </c>
      <c r="H152" s="5235" t="s">
        <v>22</v>
      </c>
      <c r="I152" s="5235" t="s">
        <v>851</v>
      </c>
    </row>
    <row customHeight="1" ht="11.25">
      <c r="A153" s="5235" t="s">
        <v>2244</v>
      </c>
      <c r="B153" s="5235" t="s">
        <v>16</v>
      </c>
      <c r="C153" s="5235" t="s">
        <v>2445</v>
      </c>
      <c r="D153" s="5235" t="s">
        <v>2446</v>
      </c>
      <c r="E153" s="5235" t="s">
        <v>2447</v>
      </c>
      <c r="F153" s="5235" t="s">
        <v>2438</v>
      </c>
      <c r="G153" s="5235" t="s">
        <v>22</v>
      </c>
      <c r="H153" s="5235" t="s">
        <v>22</v>
      </c>
      <c r="I153" s="5235" t="s">
        <v>851</v>
      </c>
    </row>
    <row customHeight="1" ht="11.25">
      <c r="A154" s="5235" t="s">
        <v>2244</v>
      </c>
      <c r="B154" s="5235" t="s">
        <v>16</v>
      </c>
      <c r="C154" s="5235" t="s">
        <v>2453</v>
      </c>
      <c r="D154" s="5235" t="s">
        <v>2454</v>
      </c>
      <c r="E154" s="5235" t="s">
        <v>2455</v>
      </c>
      <c r="F154" s="5235" t="s">
        <v>2456</v>
      </c>
      <c r="G154" s="5235" t="s">
        <v>2457</v>
      </c>
      <c r="H154" s="5235" t="s">
        <v>22</v>
      </c>
      <c r="I154" s="5235" t="s">
        <v>851</v>
      </c>
    </row>
    <row customHeight="1" ht="11.25">
      <c r="A155" s="5235" t="s">
        <v>2244</v>
      </c>
      <c r="B155" s="5235" t="s">
        <v>16</v>
      </c>
      <c r="C155" s="5235" t="s">
        <v>2458</v>
      </c>
      <c r="D155" s="5235" t="s">
        <v>2459</v>
      </c>
      <c r="E155" s="5235" t="s">
        <v>2460</v>
      </c>
      <c r="F155" s="5235" t="s">
        <v>2461</v>
      </c>
      <c r="G155" s="5235" t="s">
        <v>22</v>
      </c>
      <c r="H155" s="5235" t="s">
        <v>22</v>
      </c>
      <c r="I155" s="5235" t="s">
        <v>851</v>
      </c>
    </row>
    <row customHeight="1" ht="11.25">
      <c r="A156" s="5235" t="s">
        <v>2244</v>
      </c>
      <c r="B156" s="5235" t="s">
        <v>16</v>
      </c>
      <c r="C156" s="5235" t="s">
        <v>2462</v>
      </c>
      <c r="D156" s="5235" t="s">
        <v>2463</v>
      </c>
      <c r="E156" s="5235" t="s">
        <v>2390</v>
      </c>
      <c r="F156" s="5235" t="s">
        <v>2248</v>
      </c>
      <c r="G156" s="5235" t="s">
        <v>22</v>
      </c>
      <c r="H156" s="5235" t="s">
        <v>22</v>
      </c>
      <c r="I156" s="5235" t="s">
        <v>851</v>
      </c>
    </row>
    <row customHeight="1" ht="11.25">
      <c r="A157" s="5235" t="s">
        <v>2244</v>
      </c>
      <c r="B157" s="5235" t="s">
        <v>16</v>
      </c>
      <c r="C157" s="5235" t="s">
        <v>2468</v>
      </c>
      <c r="D157" s="5235" t="s">
        <v>2469</v>
      </c>
      <c r="E157" s="5235" t="s">
        <v>2470</v>
      </c>
      <c r="F157" s="5235" t="s">
        <v>2461</v>
      </c>
      <c r="G157" s="5235" t="s">
        <v>22</v>
      </c>
      <c r="H157" s="5235" t="s">
        <v>22</v>
      </c>
      <c r="I157" s="5235" t="s">
        <v>851</v>
      </c>
    </row>
    <row customHeight="1" ht="11.25">
      <c r="A158" s="5235" t="s">
        <v>2244</v>
      </c>
      <c r="B158" s="5235" t="s">
        <v>16</v>
      </c>
      <c r="C158" s="5235" t="s">
        <v>2471</v>
      </c>
      <c r="D158" s="5235" t="s">
        <v>2472</v>
      </c>
      <c r="E158" s="5235" t="s">
        <v>2473</v>
      </c>
      <c r="F158" s="5235" t="s">
        <v>2262</v>
      </c>
      <c r="G158" s="5235" t="s">
        <v>22</v>
      </c>
      <c r="H158" s="5235" t="s">
        <v>22</v>
      </c>
      <c r="I158" s="5235" t="s">
        <v>851</v>
      </c>
    </row>
    <row customHeight="1" ht="11.25">
      <c r="A159" s="5235" t="s">
        <v>2244</v>
      </c>
      <c r="B159" s="5235" t="s">
        <v>16</v>
      </c>
      <c r="C159" s="5235" t="s">
        <v>2481</v>
      </c>
      <c r="D159" s="5235" t="s">
        <v>2482</v>
      </c>
      <c r="E159" s="5235" t="s">
        <v>2340</v>
      </c>
      <c r="F159" s="5235" t="s">
        <v>2483</v>
      </c>
      <c r="G159" s="5235" t="s">
        <v>22</v>
      </c>
      <c r="H159" s="5235" t="s">
        <v>22</v>
      </c>
      <c r="I159" s="5235" t="s">
        <v>851</v>
      </c>
    </row>
    <row customHeight="1" ht="11.25">
      <c r="A160" s="5235" t="s">
        <v>2244</v>
      </c>
      <c r="B160" s="5235" t="s">
        <v>16</v>
      </c>
      <c r="C160" s="5235" t="s">
        <v>2484</v>
      </c>
      <c r="D160" s="5235" t="s">
        <v>2485</v>
      </c>
      <c r="E160" s="5235" t="s">
        <v>2340</v>
      </c>
      <c r="F160" s="5235" t="s">
        <v>2486</v>
      </c>
      <c r="G160" s="5235" t="s">
        <v>22</v>
      </c>
      <c r="H160" s="5235" t="s">
        <v>22</v>
      </c>
      <c r="I160" s="5235" t="s">
        <v>851</v>
      </c>
    </row>
    <row customHeight="1" ht="11.25">
      <c r="A161" s="5235" t="s">
        <v>2244</v>
      </c>
      <c r="B161" s="5235" t="s">
        <v>16</v>
      </c>
      <c r="C161" s="5235" t="s">
        <v>2487</v>
      </c>
      <c r="D161" s="5235" t="s">
        <v>2488</v>
      </c>
      <c r="E161" s="5235" t="s">
        <v>2324</v>
      </c>
      <c r="F161" s="5235" t="s">
        <v>2391</v>
      </c>
      <c r="G161" s="5235" t="s">
        <v>22</v>
      </c>
      <c r="H161" s="5235" t="s">
        <v>22</v>
      </c>
      <c r="I161" s="5235" t="s">
        <v>851</v>
      </c>
    </row>
    <row customHeight="1" ht="11.25">
      <c r="A162" s="5235" t="s">
        <v>2244</v>
      </c>
      <c r="B162" s="5235" t="s">
        <v>16</v>
      </c>
      <c r="C162" s="5235" t="s">
        <v>2489</v>
      </c>
      <c r="D162" s="5235" t="s">
        <v>2490</v>
      </c>
      <c r="E162" s="5235" t="s">
        <v>2491</v>
      </c>
      <c r="F162" s="5235" t="s">
        <v>2492</v>
      </c>
      <c r="G162" s="5235" t="s">
        <v>22</v>
      </c>
      <c r="H162" s="5235" t="s">
        <v>22</v>
      </c>
      <c r="I162" s="5235" t="s">
        <v>851</v>
      </c>
    </row>
    <row customHeight="1" ht="11.25">
      <c r="A163" s="5235" t="s">
        <v>2244</v>
      </c>
      <c r="B163" s="5235" t="s">
        <v>16</v>
      </c>
      <c r="C163" s="5235" t="s">
        <v>2493</v>
      </c>
      <c r="D163" s="5235" t="s">
        <v>2494</v>
      </c>
      <c r="E163" s="5235" t="s">
        <v>2495</v>
      </c>
      <c r="F163" s="5235" t="s">
        <v>2496</v>
      </c>
      <c r="G163" s="5235" t="s">
        <v>22</v>
      </c>
      <c r="H163" s="5235" t="s">
        <v>22</v>
      </c>
      <c r="I163" s="5235" t="s">
        <v>851</v>
      </c>
    </row>
    <row customHeight="1" ht="11.25">
      <c r="A164" s="5235" t="s">
        <v>2244</v>
      </c>
      <c r="B164" s="5235" t="s">
        <v>16</v>
      </c>
      <c r="C164" s="5235" t="s">
        <v>2497</v>
      </c>
      <c r="D164" s="5235" t="s">
        <v>2498</v>
      </c>
      <c r="E164" s="5235" t="s">
        <v>2353</v>
      </c>
      <c r="F164" s="5235" t="s">
        <v>2480</v>
      </c>
      <c r="G164" s="5235" t="s">
        <v>2467</v>
      </c>
      <c r="H164" s="5235" t="s">
        <v>22</v>
      </c>
      <c r="I164" s="5235" t="s">
        <v>851</v>
      </c>
    </row>
    <row customHeight="1" ht="11.25">
      <c r="A165" s="5235" t="s">
        <v>2244</v>
      </c>
      <c r="B165" s="5235" t="s">
        <v>16</v>
      </c>
      <c r="C165" s="5235" t="s">
        <v>2506</v>
      </c>
      <c r="D165" s="5235" t="s">
        <v>2507</v>
      </c>
      <c r="E165" s="5235" t="s">
        <v>2340</v>
      </c>
      <c r="F165" s="5235" t="s">
        <v>2508</v>
      </c>
      <c r="G165" s="5235" t="s">
        <v>22</v>
      </c>
      <c r="H165" s="5235" t="s">
        <v>22</v>
      </c>
      <c r="I165" s="5235" t="s">
        <v>851</v>
      </c>
    </row>
    <row customHeight="1" ht="11.25">
      <c r="A166" s="5235" t="s">
        <v>2244</v>
      </c>
      <c r="B166" s="5235" t="s">
        <v>16</v>
      </c>
      <c r="C166" s="5235" t="s">
        <v>2509</v>
      </c>
      <c r="D166" s="5235" t="s">
        <v>2510</v>
      </c>
      <c r="E166" s="5235" t="s">
        <v>2495</v>
      </c>
      <c r="F166" s="5235" t="s">
        <v>2511</v>
      </c>
      <c r="G166" s="5235" t="s">
        <v>22</v>
      </c>
      <c r="H166" s="5235" t="s">
        <v>22</v>
      </c>
      <c r="I166" s="5235" t="s">
        <v>851</v>
      </c>
    </row>
    <row customHeight="1" ht="11.25">
      <c r="A167" s="5235" t="s">
        <v>2244</v>
      </c>
      <c r="B167" s="5235" t="s">
        <v>16</v>
      </c>
      <c r="C167" s="5235" t="s">
        <v>2245</v>
      </c>
      <c r="D167" s="5235" t="s">
        <v>2246</v>
      </c>
      <c r="E167" s="5235" t="s">
        <v>2247</v>
      </c>
      <c r="F167" s="5235" t="s">
        <v>2248</v>
      </c>
      <c r="G167" s="5235" t="s">
        <v>2249</v>
      </c>
      <c r="H167" s="5235" t="s">
        <v>22</v>
      </c>
      <c r="I167" s="5235" t="s">
        <v>904</v>
      </c>
    </row>
    <row customHeight="1" ht="11.25">
      <c r="A168" s="5235" t="s">
        <v>2244</v>
      </c>
      <c r="B168" s="5235" t="s">
        <v>16</v>
      </c>
      <c r="C168" s="5235" t="s">
        <v>2250</v>
      </c>
      <c r="D168" s="5235" t="s">
        <v>2251</v>
      </c>
      <c r="E168" s="5235" t="s">
        <v>2252</v>
      </c>
      <c r="F168" s="5235" t="s">
        <v>2253</v>
      </c>
      <c r="G168" s="5235" t="s">
        <v>2254</v>
      </c>
      <c r="H168" s="5235" t="s">
        <v>22</v>
      </c>
      <c r="I168" s="5235" t="s">
        <v>904</v>
      </c>
    </row>
    <row customHeight="1" ht="11.25">
      <c r="A169" s="5235" t="s">
        <v>2244</v>
      </c>
      <c r="B169" s="5235" t="s">
        <v>16</v>
      </c>
      <c r="C169" s="5235" t="s">
        <v>2274</v>
      </c>
      <c r="D169" s="5235" t="s">
        <v>2275</v>
      </c>
      <c r="E169" s="5235" t="s">
        <v>2276</v>
      </c>
      <c r="F169" s="5235" t="s">
        <v>2277</v>
      </c>
      <c r="G169" s="5235" t="s">
        <v>22</v>
      </c>
      <c r="H169" s="5235" t="s">
        <v>22</v>
      </c>
      <c r="I169" s="5235" t="s">
        <v>904</v>
      </c>
    </row>
    <row customHeight="1" ht="11.25">
      <c r="A170" s="5235" t="s">
        <v>2244</v>
      </c>
      <c r="B170" s="5235" t="s">
        <v>16</v>
      </c>
      <c r="C170" s="5235" t="s">
        <v>2278</v>
      </c>
      <c r="D170" s="5235" t="s">
        <v>2279</v>
      </c>
      <c r="E170" s="5235" t="s">
        <v>2280</v>
      </c>
      <c r="F170" s="5235" t="s">
        <v>2266</v>
      </c>
      <c r="G170" s="5235" t="s">
        <v>22</v>
      </c>
      <c r="H170" s="5235" t="s">
        <v>22</v>
      </c>
      <c r="I170" s="5235" t="s">
        <v>904</v>
      </c>
    </row>
    <row customHeight="1" ht="11.25">
      <c r="A171" s="5235" t="s">
        <v>2244</v>
      </c>
      <c r="B171" s="5235" t="s">
        <v>16</v>
      </c>
      <c r="C171" s="5235" t="s">
        <v>2284</v>
      </c>
      <c r="D171" s="5235" t="s">
        <v>2285</v>
      </c>
      <c r="E171" s="5235" t="s">
        <v>2286</v>
      </c>
      <c r="F171" s="5235" t="s">
        <v>2287</v>
      </c>
      <c r="G171" s="5235" t="s">
        <v>22</v>
      </c>
      <c r="H171" s="5235" t="s">
        <v>22</v>
      </c>
      <c r="I171" s="5235" t="s">
        <v>904</v>
      </c>
    </row>
    <row customHeight="1" ht="11.25">
      <c r="A172" s="5235" t="s">
        <v>2244</v>
      </c>
      <c r="B172" s="5235" t="s">
        <v>16</v>
      </c>
      <c r="C172" s="5235" t="s">
        <v>2288</v>
      </c>
      <c r="D172" s="5235" t="s">
        <v>2289</v>
      </c>
      <c r="E172" s="5235" t="s">
        <v>2290</v>
      </c>
      <c r="F172" s="5235" t="s">
        <v>2253</v>
      </c>
      <c r="G172" s="5235" t="s">
        <v>2291</v>
      </c>
      <c r="H172" s="5235" t="s">
        <v>22</v>
      </c>
      <c r="I172" s="5235" t="s">
        <v>904</v>
      </c>
    </row>
    <row customHeight="1" ht="11.25">
      <c r="A173" s="5235" t="s">
        <v>2244</v>
      </c>
      <c r="B173" s="5235" t="s">
        <v>16</v>
      </c>
      <c r="C173" s="5235" t="s">
        <v>2295</v>
      </c>
      <c r="D173" s="5235" t="s">
        <v>2296</v>
      </c>
      <c r="E173" s="5235" t="s">
        <v>2294</v>
      </c>
      <c r="F173" s="5235" t="s">
        <v>2297</v>
      </c>
      <c r="G173" s="5235" t="s">
        <v>2298</v>
      </c>
      <c r="H173" s="5235" t="s">
        <v>22</v>
      </c>
      <c r="I173" s="5235" t="s">
        <v>904</v>
      </c>
    </row>
    <row customHeight="1" ht="11.25">
      <c r="A174" s="5235" t="s">
        <v>2244</v>
      </c>
      <c r="B174" s="5235" t="s">
        <v>16</v>
      </c>
      <c r="C174" s="5235" t="s">
        <v>2301</v>
      </c>
      <c r="D174" s="5235" t="s">
        <v>2302</v>
      </c>
      <c r="E174" s="5235" t="s">
        <v>2294</v>
      </c>
      <c r="F174" s="5235" t="s">
        <v>2303</v>
      </c>
      <c r="G174" s="5235" t="s">
        <v>2304</v>
      </c>
      <c r="H174" s="5235" t="s">
        <v>22</v>
      </c>
      <c r="I174" s="5235" t="s">
        <v>904</v>
      </c>
    </row>
    <row customHeight="1" ht="11.25">
      <c r="A175" s="5235" t="s">
        <v>2244</v>
      </c>
      <c r="B175" s="5235" t="s">
        <v>16</v>
      </c>
      <c r="C175" s="5235" t="s">
        <v>2305</v>
      </c>
      <c r="D175" s="5235" t="s">
        <v>2306</v>
      </c>
      <c r="E175" s="5235" t="s">
        <v>2294</v>
      </c>
      <c r="F175" s="5235" t="s">
        <v>2307</v>
      </c>
      <c r="G175" s="5235" t="s">
        <v>2308</v>
      </c>
      <c r="H175" s="5235" t="s">
        <v>22</v>
      </c>
      <c r="I175" s="5235" t="s">
        <v>904</v>
      </c>
    </row>
    <row customHeight="1" ht="11.25">
      <c r="A176" s="5235" t="s">
        <v>2244</v>
      </c>
      <c r="B176" s="5235" t="s">
        <v>16</v>
      </c>
      <c r="C176" s="5235" t="s">
        <v>2315</v>
      </c>
      <c r="D176" s="5235" t="s">
        <v>2316</v>
      </c>
      <c r="E176" s="5235" t="s">
        <v>2294</v>
      </c>
      <c r="F176" s="5235" t="s">
        <v>2317</v>
      </c>
      <c r="G176" s="5235" t="s">
        <v>22</v>
      </c>
      <c r="H176" s="5235" t="s">
        <v>22</v>
      </c>
      <c r="I176" s="5235" t="s">
        <v>904</v>
      </c>
    </row>
    <row customHeight="1" ht="11.25">
      <c r="A177" s="5235" t="s">
        <v>2244</v>
      </c>
      <c r="B177" s="5235" t="s">
        <v>16</v>
      </c>
      <c r="C177" s="5235" t="s">
        <v>2318</v>
      </c>
      <c r="D177" s="5235" t="s">
        <v>2319</v>
      </c>
      <c r="E177" s="5235" t="s">
        <v>2294</v>
      </c>
      <c r="F177" s="5235" t="s">
        <v>2320</v>
      </c>
      <c r="G177" s="5235" t="s">
        <v>2321</v>
      </c>
      <c r="H177" s="5235" t="s">
        <v>22</v>
      </c>
      <c r="I177" s="5235" t="s">
        <v>904</v>
      </c>
    </row>
    <row customHeight="1" ht="11.25">
      <c r="A178" s="5235" t="s">
        <v>2244</v>
      </c>
      <c r="B178" s="5235" t="s">
        <v>16</v>
      </c>
      <c r="C178" s="5235" t="s">
        <v>2322</v>
      </c>
      <c r="D178" s="5235" t="s">
        <v>2323</v>
      </c>
      <c r="E178" s="5235" t="s">
        <v>2324</v>
      </c>
      <c r="F178" s="5235" t="s">
        <v>2325</v>
      </c>
      <c r="G178" s="5235" t="s">
        <v>22</v>
      </c>
      <c r="H178" s="5235" t="s">
        <v>22</v>
      </c>
      <c r="I178" s="5235" t="s">
        <v>904</v>
      </c>
    </row>
    <row customHeight="1" ht="11.25">
      <c r="A179" s="5235" t="s">
        <v>2244</v>
      </c>
      <c r="B179" s="5235" t="s">
        <v>16</v>
      </c>
      <c r="C179" s="5235" t="s">
        <v>2329</v>
      </c>
      <c r="D179" s="5235" t="s">
        <v>2330</v>
      </c>
      <c r="E179" s="5235" t="s">
        <v>2324</v>
      </c>
      <c r="F179" s="5235" t="s">
        <v>2331</v>
      </c>
      <c r="G179" s="5235" t="s">
        <v>22</v>
      </c>
      <c r="H179" s="5235" t="s">
        <v>22</v>
      </c>
      <c r="I179" s="5235" t="s">
        <v>904</v>
      </c>
    </row>
    <row customHeight="1" ht="11.25">
      <c r="A180" s="5235" t="s">
        <v>2244</v>
      </c>
      <c r="B180" s="5235" t="s">
        <v>16</v>
      </c>
      <c r="C180" s="5235" t="s">
        <v>22</v>
      </c>
      <c r="D180" s="5235" t="s">
        <v>2332</v>
      </c>
      <c r="E180" s="5235" t="s">
        <v>2333</v>
      </c>
      <c r="F180" s="5235" t="s">
        <v>2277</v>
      </c>
      <c r="G180" s="5235" t="s">
        <v>22</v>
      </c>
      <c r="H180" s="5235" t="s">
        <v>22</v>
      </c>
      <c r="I180" s="5235" t="s">
        <v>904</v>
      </c>
    </row>
    <row customHeight="1" ht="11.25">
      <c r="A181" s="5235" t="s">
        <v>2244</v>
      </c>
      <c r="B181" s="5235" t="s">
        <v>16</v>
      </c>
      <c r="C181" s="5235" t="s">
        <v>2334</v>
      </c>
      <c r="D181" s="5235" t="s">
        <v>2335</v>
      </c>
      <c r="E181" s="5235" t="s">
        <v>2336</v>
      </c>
      <c r="F181" s="5235" t="s">
        <v>2287</v>
      </c>
      <c r="G181" s="5235" t="s">
        <v>2337</v>
      </c>
      <c r="H181" s="5235" t="s">
        <v>22</v>
      </c>
      <c r="I181" s="5235" t="s">
        <v>904</v>
      </c>
    </row>
    <row customHeight="1" ht="11.25">
      <c r="A182" s="5235" t="s">
        <v>2244</v>
      </c>
      <c r="B182" s="5235" t="s">
        <v>16</v>
      </c>
      <c r="C182" s="5235" t="s">
        <v>2338</v>
      </c>
      <c r="D182" s="5235" t="s">
        <v>2339</v>
      </c>
      <c r="E182" s="5235" t="s">
        <v>2340</v>
      </c>
      <c r="F182" s="5235" t="s">
        <v>2341</v>
      </c>
      <c r="G182" s="5235" t="s">
        <v>22</v>
      </c>
      <c r="H182" s="5235" t="s">
        <v>22</v>
      </c>
      <c r="I182" s="5235" t="s">
        <v>904</v>
      </c>
    </row>
    <row customHeight="1" ht="11.25">
      <c r="A183" s="5235" t="s">
        <v>2244</v>
      </c>
      <c r="B183" s="5235" t="s">
        <v>16</v>
      </c>
      <c r="C183" s="5235" t="s">
        <v>2342</v>
      </c>
      <c r="D183" s="5235" t="s">
        <v>2343</v>
      </c>
      <c r="E183" s="5235" t="s">
        <v>2344</v>
      </c>
      <c r="F183" s="5235" t="s">
        <v>2345</v>
      </c>
      <c r="G183" s="5235" t="s">
        <v>22</v>
      </c>
      <c r="H183" s="5235" t="s">
        <v>22</v>
      </c>
      <c r="I183" s="5235" t="s">
        <v>904</v>
      </c>
    </row>
    <row customHeight="1" ht="11.25">
      <c r="A184" s="5235" t="s">
        <v>2244</v>
      </c>
      <c r="B184" s="5235" t="s">
        <v>16</v>
      </c>
      <c r="C184" s="5235" t="s">
        <v>2346</v>
      </c>
      <c r="D184" s="5235" t="s">
        <v>2347</v>
      </c>
      <c r="E184" s="5235" t="s">
        <v>2348</v>
      </c>
      <c r="F184" s="5235" t="s">
        <v>2349</v>
      </c>
      <c r="G184" s="5235" t="s">
        <v>2350</v>
      </c>
      <c r="H184" s="5235" t="s">
        <v>22</v>
      </c>
      <c r="I184" s="5235" t="s">
        <v>904</v>
      </c>
    </row>
    <row customHeight="1" ht="11.25">
      <c r="A185" s="5235" t="s">
        <v>2244</v>
      </c>
      <c r="B185" s="5235" t="s">
        <v>16</v>
      </c>
      <c r="C185" s="5235" t="s">
        <v>2351</v>
      </c>
      <c r="D185" s="5235" t="s">
        <v>2352</v>
      </c>
      <c r="E185" s="5235" t="s">
        <v>2353</v>
      </c>
      <c r="F185" s="5235" t="s">
        <v>2354</v>
      </c>
      <c r="G185" s="5235" t="s">
        <v>2355</v>
      </c>
      <c r="H185" s="5235" t="s">
        <v>22</v>
      </c>
      <c r="I185" s="5235" t="s">
        <v>904</v>
      </c>
    </row>
    <row customHeight="1" ht="11.25">
      <c r="A186" s="5235" t="s">
        <v>2244</v>
      </c>
      <c r="B186" s="5235" t="s">
        <v>16</v>
      </c>
      <c r="C186" s="5235" t="s">
        <v>2356</v>
      </c>
      <c r="D186" s="5235" t="s">
        <v>2357</v>
      </c>
      <c r="E186" s="5235" t="s">
        <v>2324</v>
      </c>
      <c r="F186" s="5235" t="s">
        <v>2358</v>
      </c>
      <c r="G186" s="5235" t="s">
        <v>22</v>
      </c>
      <c r="H186" s="5235" t="s">
        <v>22</v>
      </c>
      <c r="I186" s="5235" t="s">
        <v>904</v>
      </c>
    </row>
    <row customHeight="1" ht="11.25">
      <c r="A187" s="5235" t="s">
        <v>2244</v>
      </c>
      <c r="B187" s="5235" t="s">
        <v>16</v>
      </c>
      <c r="C187" s="5235" t="s">
        <v>2359</v>
      </c>
      <c r="D187" s="5235" t="s">
        <v>2360</v>
      </c>
      <c r="E187" s="5235" t="s">
        <v>2247</v>
      </c>
      <c r="F187" s="5235" t="s">
        <v>2320</v>
      </c>
      <c r="G187" s="5235" t="s">
        <v>22</v>
      </c>
      <c r="H187" s="5235" t="s">
        <v>22</v>
      </c>
      <c r="I187" s="5235" t="s">
        <v>904</v>
      </c>
    </row>
    <row customHeight="1" ht="11.25">
      <c r="A188" s="5235" t="s">
        <v>2244</v>
      </c>
      <c r="B188" s="5235" t="s">
        <v>16</v>
      </c>
      <c r="C188" s="5235" t="s">
        <v>2367</v>
      </c>
      <c r="D188" s="5235" t="s">
        <v>2368</v>
      </c>
      <c r="E188" s="5235" t="s">
        <v>2369</v>
      </c>
      <c r="F188" s="5235" t="s">
        <v>2345</v>
      </c>
      <c r="G188" s="5235" t="s">
        <v>22</v>
      </c>
      <c r="H188" s="5235" t="s">
        <v>22</v>
      </c>
      <c r="I188" s="5235" t="s">
        <v>904</v>
      </c>
    </row>
    <row customHeight="1" ht="11.25">
      <c r="A189" s="5235" t="s">
        <v>2244</v>
      </c>
      <c r="B189" s="5235" t="s">
        <v>16</v>
      </c>
      <c r="C189" s="5235" t="s">
        <v>2370</v>
      </c>
      <c r="D189" s="5235" t="s">
        <v>2371</v>
      </c>
      <c r="E189" s="5235" t="s">
        <v>2372</v>
      </c>
      <c r="F189" s="5235" t="s">
        <v>2373</v>
      </c>
      <c r="G189" s="5235" t="s">
        <v>2374</v>
      </c>
      <c r="H189" s="5235" t="s">
        <v>22</v>
      </c>
      <c r="I189" s="5235" t="s">
        <v>904</v>
      </c>
    </row>
    <row customHeight="1" ht="11.25">
      <c r="A190" s="5235" t="s">
        <v>2244</v>
      </c>
      <c r="B190" s="5235" t="s">
        <v>16</v>
      </c>
      <c r="C190" s="5235" t="s">
        <v>2378</v>
      </c>
      <c r="D190" s="5235" t="s">
        <v>2379</v>
      </c>
      <c r="E190" s="5235" t="s">
        <v>2380</v>
      </c>
      <c r="F190" s="5235" t="s">
        <v>2266</v>
      </c>
      <c r="G190" s="5235" t="s">
        <v>22</v>
      </c>
      <c r="H190" s="5235" t="s">
        <v>22</v>
      </c>
      <c r="I190" s="5235" t="s">
        <v>904</v>
      </c>
    </row>
    <row customHeight="1" ht="11.25">
      <c r="A191" s="5235" t="s">
        <v>2244</v>
      </c>
      <c r="B191" s="5235" t="s">
        <v>16</v>
      </c>
      <c r="C191" s="5235" t="s">
        <v>2385</v>
      </c>
      <c r="D191" s="5235" t="s">
        <v>2386</v>
      </c>
      <c r="E191" s="5235" t="s">
        <v>2387</v>
      </c>
      <c r="F191" s="5235" t="s">
        <v>2266</v>
      </c>
      <c r="G191" s="5235" t="s">
        <v>22</v>
      </c>
      <c r="H191" s="5235" t="s">
        <v>22</v>
      </c>
      <c r="I191" s="5235" t="s">
        <v>904</v>
      </c>
    </row>
    <row customHeight="1" ht="11.25">
      <c r="A192" s="5235" t="s">
        <v>2244</v>
      </c>
      <c r="B192" s="5235" t="s">
        <v>16</v>
      </c>
      <c r="C192" s="5235" t="s">
        <v>2388</v>
      </c>
      <c r="D192" s="5235" t="s">
        <v>2389</v>
      </c>
      <c r="E192" s="5235" t="s">
        <v>2390</v>
      </c>
      <c r="F192" s="5235" t="s">
        <v>2391</v>
      </c>
      <c r="G192" s="5235" t="s">
        <v>22</v>
      </c>
      <c r="H192" s="5235" t="s">
        <v>22</v>
      </c>
      <c r="I192" s="5235" t="s">
        <v>904</v>
      </c>
    </row>
    <row customHeight="1" ht="11.25">
      <c r="A193" s="5235" t="s">
        <v>2244</v>
      </c>
      <c r="B193" s="5235" t="s">
        <v>16</v>
      </c>
      <c r="C193" s="5235" t="s">
        <v>2392</v>
      </c>
      <c r="D193" s="5235" t="s">
        <v>2393</v>
      </c>
      <c r="E193" s="5235" t="s">
        <v>2324</v>
      </c>
      <c r="F193" s="5235" t="s">
        <v>2384</v>
      </c>
      <c r="G193" s="5235" t="s">
        <v>2394</v>
      </c>
      <c r="H193" s="5235" t="s">
        <v>22</v>
      </c>
      <c r="I193" s="5235" t="s">
        <v>904</v>
      </c>
    </row>
    <row customHeight="1" ht="11.25">
      <c r="A194" s="5235" t="s">
        <v>2244</v>
      </c>
      <c r="B194" s="5235" t="s">
        <v>16</v>
      </c>
      <c r="C194" s="5235" t="s">
        <v>2403</v>
      </c>
      <c r="D194" s="5235" t="s">
        <v>2404</v>
      </c>
      <c r="E194" s="5235" t="s">
        <v>2405</v>
      </c>
      <c r="F194" s="5235" t="s">
        <v>2406</v>
      </c>
      <c r="G194" s="5235" t="s">
        <v>2407</v>
      </c>
      <c r="H194" s="5235" t="s">
        <v>22</v>
      </c>
      <c r="I194" s="5235" t="s">
        <v>904</v>
      </c>
    </row>
    <row customHeight="1" ht="11.25">
      <c r="A195" s="5235" t="s">
        <v>2244</v>
      </c>
      <c r="B195" s="5235" t="s">
        <v>16</v>
      </c>
      <c r="C195" s="5235" t="s">
        <v>2408</v>
      </c>
      <c r="D195" s="5235" t="s">
        <v>2409</v>
      </c>
      <c r="E195" s="5235" t="s">
        <v>2410</v>
      </c>
      <c r="F195" s="5235" t="s">
        <v>2262</v>
      </c>
      <c r="G195" s="5235" t="s">
        <v>2298</v>
      </c>
      <c r="H195" s="5235" t="s">
        <v>22</v>
      </c>
      <c r="I195" s="5235" t="s">
        <v>904</v>
      </c>
    </row>
    <row customHeight="1" ht="11.25">
      <c r="A196" s="5235" t="s">
        <v>2244</v>
      </c>
      <c r="B196" s="5235" t="s">
        <v>16</v>
      </c>
      <c r="C196" s="5235" t="s">
        <v>2422</v>
      </c>
      <c r="D196" s="5235" t="s">
        <v>2423</v>
      </c>
      <c r="E196" s="5235" t="s">
        <v>2424</v>
      </c>
      <c r="F196" s="5235" t="s">
        <v>2253</v>
      </c>
      <c r="G196" s="5235" t="s">
        <v>22</v>
      </c>
      <c r="H196" s="5235" t="s">
        <v>22</v>
      </c>
      <c r="I196" s="5235" t="s">
        <v>904</v>
      </c>
    </row>
    <row customHeight="1" ht="11.25">
      <c r="A197" s="5235" t="s">
        <v>2244</v>
      </c>
      <c r="B197" s="5235" t="s">
        <v>16</v>
      </c>
      <c r="C197" s="5235" t="s">
        <v>2445</v>
      </c>
      <c r="D197" s="5235" t="s">
        <v>2446</v>
      </c>
      <c r="E197" s="5235" t="s">
        <v>2447</v>
      </c>
      <c r="F197" s="5235" t="s">
        <v>2438</v>
      </c>
      <c r="G197" s="5235" t="s">
        <v>22</v>
      </c>
      <c r="H197" s="5235" t="s">
        <v>22</v>
      </c>
      <c r="I197" s="5235" t="s">
        <v>904</v>
      </c>
    </row>
    <row customHeight="1" ht="11.25">
      <c r="A198" s="5235" t="s">
        <v>2244</v>
      </c>
      <c r="B198" s="5235" t="s">
        <v>16</v>
      </c>
      <c r="C198" s="5235" t="s">
        <v>2453</v>
      </c>
      <c r="D198" s="5235" t="s">
        <v>2454</v>
      </c>
      <c r="E198" s="5235" t="s">
        <v>2455</v>
      </c>
      <c r="F198" s="5235" t="s">
        <v>2456</v>
      </c>
      <c r="G198" s="5235" t="s">
        <v>2457</v>
      </c>
      <c r="H198" s="5235" t="s">
        <v>22</v>
      </c>
      <c r="I198" s="5235" t="s">
        <v>904</v>
      </c>
    </row>
    <row customHeight="1" ht="11.25">
      <c r="A199" s="5235" t="s">
        <v>2244</v>
      </c>
      <c r="B199" s="5235" t="s">
        <v>16</v>
      </c>
      <c r="C199" s="5235" t="s">
        <v>2458</v>
      </c>
      <c r="D199" s="5235" t="s">
        <v>2459</v>
      </c>
      <c r="E199" s="5235" t="s">
        <v>2460</v>
      </c>
      <c r="F199" s="5235" t="s">
        <v>2461</v>
      </c>
      <c r="G199" s="5235" t="s">
        <v>22</v>
      </c>
      <c r="H199" s="5235" t="s">
        <v>22</v>
      </c>
      <c r="I199" s="5235" t="s">
        <v>904</v>
      </c>
    </row>
    <row customHeight="1" ht="11.25">
      <c r="A200" s="5235" t="s">
        <v>2244</v>
      </c>
      <c r="B200" s="5235" t="s">
        <v>16</v>
      </c>
      <c r="C200" s="5235" t="s">
        <v>2468</v>
      </c>
      <c r="D200" s="5235" t="s">
        <v>2469</v>
      </c>
      <c r="E200" s="5235" t="s">
        <v>2470</v>
      </c>
      <c r="F200" s="5235" t="s">
        <v>2461</v>
      </c>
      <c r="G200" s="5235" t="s">
        <v>22</v>
      </c>
      <c r="H200" s="5235" t="s">
        <v>22</v>
      </c>
      <c r="I200" s="5235" t="s">
        <v>904</v>
      </c>
    </row>
    <row customHeight="1" ht="11.25">
      <c r="A201" s="5235" t="s">
        <v>2244</v>
      </c>
      <c r="B201" s="5235" t="s">
        <v>16</v>
      </c>
      <c r="C201" s="5235" t="s">
        <v>2481</v>
      </c>
      <c r="D201" s="5235" t="s">
        <v>2482</v>
      </c>
      <c r="E201" s="5235" t="s">
        <v>2340</v>
      </c>
      <c r="F201" s="5235" t="s">
        <v>2483</v>
      </c>
      <c r="G201" s="5235" t="s">
        <v>22</v>
      </c>
      <c r="H201" s="5235" t="s">
        <v>22</v>
      </c>
      <c r="I201" s="5235" t="s">
        <v>904</v>
      </c>
    </row>
    <row customHeight="1" ht="11.25">
      <c r="A202" s="5235" t="s">
        <v>2244</v>
      </c>
      <c r="B202" s="5235" t="s">
        <v>16</v>
      </c>
      <c r="C202" s="5235" t="s">
        <v>2484</v>
      </c>
      <c r="D202" s="5235" t="s">
        <v>2485</v>
      </c>
      <c r="E202" s="5235" t="s">
        <v>2340</v>
      </c>
      <c r="F202" s="5235" t="s">
        <v>2486</v>
      </c>
      <c r="G202" s="5235" t="s">
        <v>22</v>
      </c>
      <c r="H202" s="5235" t="s">
        <v>22</v>
      </c>
      <c r="I202" s="5235" t="s">
        <v>904</v>
      </c>
    </row>
    <row customHeight="1" ht="11.25">
      <c r="A203" s="5235" t="s">
        <v>2244</v>
      </c>
      <c r="B203" s="5235" t="s">
        <v>16</v>
      </c>
      <c r="C203" s="5235" t="s">
        <v>2487</v>
      </c>
      <c r="D203" s="5235" t="s">
        <v>2488</v>
      </c>
      <c r="E203" s="5235" t="s">
        <v>2324</v>
      </c>
      <c r="F203" s="5235" t="s">
        <v>2391</v>
      </c>
      <c r="G203" s="5235" t="s">
        <v>22</v>
      </c>
      <c r="H203" s="5235" t="s">
        <v>22</v>
      </c>
      <c r="I203" s="5235" t="s">
        <v>904</v>
      </c>
    </row>
    <row customHeight="1" ht="11.25">
      <c r="A204" s="5235" t="s">
        <v>2244</v>
      </c>
      <c r="B204" s="5235" t="s">
        <v>16</v>
      </c>
      <c r="C204" s="5235" t="s">
        <v>2489</v>
      </c>
      <c r="D204" s="5235" t="s">
        <v>2490</v>
      </c>
      <c r="E204" s="5235" t="s">
        <v>2491</v>
      </c>
      <c r="F204" s="5235" t="s">
        <v>2492</v>
      </c>
      <c r="G204" s="5235" t="s">
        <v>22</v>
      </c>
      <c r="H204" s="5235" t="s">
        <v>22</v>
      </c>
      <c r="I204" s="5235" t="s">
        <v>904</v>
      </c>
    </row>
    <row customHeight="1" ht="11.25">
      <c r="A205" s="5235" t="s">
        <v>2244</v>
      </c>
      <c r="B205" s="5235" t="s">
        <v>16</v>
      </c>
      <c r="C205" s="5235" t="s">
        <v>2493</v>
      </c>
      <c r="D205" s="5235" t="s">
        <v>2494</v>
      </c>
      <c r="E205" s="5235" t="s">
        <v>2495</v>
      </c>
      <c r="F205" s="5235" t="s">
        <v>2496</v>
      </c>
      <c r="G205" s="5235" t="s">
        <v>22</v>
      </c>
      <c r="H205" s="5235" t="s">
        <v>22</v>
      </c>
      <c r="I205" s="5235" t="s">
        <v>904</v>
      </c>
    </row>
    <row customHeight="1" ht="11.25">
      <c r="A206" s="5235" t="s">
        <v>2244</v>
      </c>
      <c r="B206" s="5235" t="s">
        <v>16</v>
      </c>
      <c r="C206" s="5235" t="s">
        <v>2497</v>
      </c>
      <c r="D206" s="5235" t="s">
        <v>2498</v>
      </c>
      <c r="E206" s="5235" t="s">
        <v>2353</v>
      </c>
      <c r="F206" s="5235" t="s">
        <v>2480</v>
      </c>
      <c r="G206" s="5235" t="s">
        <v>2467</v>
      </c>
      <c r="H206" s="5235" t="s">
        <v>22</v>
      </c>
      <c r="I206" s="5235" t="s">
        <v>904</v>
      </c>
    </row>
    <row customHeight="1" ht="11.25">
      <c r="A207" s="5235" t="s">
        <v>2244</v>
      </c>
      <c r="B207" s="5235" t="s">
        <v>16</v>
      </c>
      <c r="C207" s="5235" t="s">
        <v>13</v>
      </c>
      <c r="D207" s="5235" t="s">
        <v>46</v>
      </c>
      <c r="E207" s="5235" t="s">
        <v>49</v>
      </c>
      <c r="F207" s="5235" t="s">
        <v>51</v>
      </c>
      <c r="G207" s="5235" t="s">
        <v>2499</v>
      </c>
      <c r="H207" s="5235" t="s">
        <v>22</v>
      </c>
      <c r="I207" s="5235" t="s">
        <v>904</v>
      </c>
    </row>
    <row customHeight="1" ht="11.25">
      <c r="A208" s="5235" t="s">
        <v>2244</v>
      </c>
      <c r="B208" s="5235" t="s">
        <v>16</v>
      </c>
      <c r="C208" s="5235" t="s">
        <v>2506</v>
      </c>
      <c r="D208" s="5235" t="s">
        <v>2507</v>
      </c>
      <c r="E208" s="5235" t="s">
        <v>2340</v>
      </c>
      <c r="F208" s="5235" t="s">
        <v>2508</v>
      </c>
      <c r="G208" s="5235" t="s">
        <v>22</v>
      </c>
      <c r="H208" s="5235" t="s">
        <v>22</v>
      </c>
      <c r="I208" s="5235" t="s">
        <v>904</v>
      </c>
    </row>
    <row customHeight="1" ht="11.25">
      <c r="A209" s="5235" t="s">
        <v>2244</v>
      </c>
      <c r="B209" s="5235" t="s">
        <v>16</v>
      </c>
      <c r="C209" s="5235" t="s">
        <v>2509</v>
      </c>
      <c r="D209" s="5235" t="s">
        <v>2510</v>
      </c>
      <c r="E209" s="5235" t="s">
        <v>2495</v>
      </c>
      <c r="F209" s="5235" t="s">
        <v>2511</v>
      </c>
      <c r="G209" s="5235" t="s">
        <v>22</v>
      </c>
      <c r="H209" s="5235" t="s">
        <v>22</v>
      </c>
      <c r="I209" s="5235" t="s">
        <v>904</v>
      </c>
    </row>
    <row customHeight="1" ht="11.25">
      <c r="A210" s="5235" t="s">
        <v>2244</v>
      </c>
      <c r="B210" s="5235" t="s">
        <v>16</v>
      </c>
      <c r="C210" s="5235" t="s">
        <v>2541</v>
      </c>
      <c r="D210" s="5235" t="s">
        <v>2542</v>
      </c>
      <c r="E210" s="5235" t="s">
        <v>2543</v>
      </c>
      <c r="F210" s="5235" t="s">
        <v>2262</v>
      </c>
      <c r="G210" s="5235" t="s">
        <v>22</v>
      </c>
      <c r="H210" s="5235" t="s">
        <v>22</v>
      </c>
      <c r="I210" s="5235" t="s">
        <v>1617</v>
      </c>
    </row>
    <row customHeight="1" ht="11.25">
      <c r="A211" s="5235" t="s">
        <v>2244</v>
      </c>
      <c r="B211" s="5235" t="s">
        <v>16</v>
      </c>
      <c r="C211" s="5235" t="s">
        <v>2544</v>
      </c>
      <c r="D211" s="5235" t="s">
        <v>2545</v>
      </c>
      <c r="E211" s="5235" t="s">
        <v>2546</v>
      </c>
      <c r="F211" s="5235" t="s">
        <v>2266</v>
      </c>
      <c r="G211" s="5235" t="s">
        <v>2547</v>
      </c>
      <c r="H211" s="5235" t="s">
        <v>22</v>
      </c>
      <c r="I211" s="5235" t="s">
        <v>1617</v>
      </c>
    </row>
    <row customHeight="1" ht="11.25">
      <c r="A212" s="5235" t="s">
        <v>2244</v>
      </c>
      <c r="B212" s="5235" t="s">
        <v>16</v>
      </c>
      <c r="C212" s="5235" t="s">
        <v>2548</v>
      </c>
      <c r="D212" s="5235" t="s">
        <v>2549</v>
      </c>
      <c r="E212" s="5235" t="s">
        <v>2550</v>
      </c>
      <c r="F212" s="5235" t="s">
        <v>2277</v>
      </c>
      <c r="G212" s="5235" t="s">
        <v>22</v>
      </c>
      <c r="H212" s="5235" t="s">
        <v>22</v>
      </c>
      <c r="I212" s="5235" t="s">
        <v>1617</v>
      </c>
    </row>
    <row customHeight="1" ht="11.25">
      <c r="A213" s="5235" t="s">
        <v>2244</v>
      </c>
      <c r="B213" s="5235" t="s">
        <v>16</v>
      </c>
      <c r="C213" s="5235" t="s">
        <v>22</v>
      </c>
      <c r="D213" s="5235" t="s">
        <v>2332</v>
      </c>
      <c r="E213" s="5235" t="s">
        <v>2333</v>
      </c>
      <c r="F213" s="5235" t="s">
        <v>2277</v>
      </c>
      <c r="G213" s="5235" t="s">
        <v>22</v>
      </c>
      <c r="H213" s="5235" t="s">
        <v>22</v>
      </c>
      <c r="I213" s="5235" t="s">
        <v>1617</v>
      </c>
    </row>
    <row customHeight="1" ht="11.25">
      <c r="A214" s="5235" t="s">
        <v>2244</v>
      </c>
      <c r="B214" s="5235" t="s">
        <v>16</v>
      </c>
      <c r="C214" s="5235" t="s">
        <v>2551</v>
      </c>
      <c r="D214" s="5235" t="s">
        <v>2552</v>
      </c>
      <c r="E214" s="5235" t="s">
        <v>2553</v>
      </c>
      <c r="F214" s="5235" t="s">
        <v>2438</v>
      </c>
      <c r="G214" s="5235" t="s">
        <v>2554</v>
      </c>
      <c r="H214" s="5235" t="s">
        <v>22</v>
      </c>
      <c r="I214" s="5235" t="s">
        <v>1617</v>
      </c>
    </row>
    <row customHeight="1" ht="11.25">
      <c r="A215" s="5235" t="s">
        <v>2244</v>
      </c>
      <c r="B215" s="5235" t="s">
        <v>16</v>
      </c>
      <c r="C215" s="5235" t="s">
        <v>2555</v>
      </c>
      <c r="D215" s="5235" t="s">
        <v>2556</v>
      </c>
      <c r="E215" s="5235" t="s">
        <v>2557</v>
      </c>
      <c r="F215" s="5235" t="s">
        <v>2438</v>
      </c>
      <c r="G215" s="5235" t="s">
        <v>2558</v>
      </c>
      <c r="H215" s="5235" t="s">
        <v>22</v>
      </c>
      <c r="I215" s="5235" t="s">
        <v>1617</v>
      </c>
    </row>
    <row customHeight="1" ht="11.25">
      <c r="A216" s="5235" t="s">
        <v>2244</v>
      </c>
      <c r="B216" s="5235" t="s">
        <v>16</v>
      </c>
      <c r="C216" s="5235" t="s">
        <v>2346</v>
      </c>
      <c r="D216" s="5235" t="s">
        <v>2347</v>
      </c>
      <c r="E216" s="5235" t="s">
        <v>2348</v>
      </c>
      <c r="F216" s="5235" t="s">
        <v>2349</v>
      </c>
      <c r="G216" s="5235" t="s">
        <v>2350</v>
      </c>
      <c r="H216" s="5235" t="s">
        <v>22</v>
      </c>
      <c r="I216" s="5235" t="s">
        <v>1617</v>
      </c>
    </row>
    <row customHeight="1" ht="11.25">
      <c r="A217" s="5235" t="s">
        <v>2244</v>
      </c>
      <c r="B217" s="5235" t="s">
        <v>16</v>
      </c>
      <c r="C217" s="5235" t="s">
        <v>2559</v>
      </c>
      <c r="D217" s="5235" t="s">
        <v>2560</v>
      </c>
      <c r="E217" s="5235" t="s">
        <v>2561</v>
      </c>
      <c r="F217" s="5235" t="s">
        <v>2253</v>
      </c>
      <c r="G217" s="5235" t="s">
        <v>2407</v>
      </c>
      <c r="H217" s="5235" t="s">
        <v>22</v>
      </c>
      <c r="I217" s="5235" t="s">
        <v>1617</v>
      </c>
    </row>
    <row customHeight="1" ht="11.25">
      <c r="A218" s="5235" t="s">
        <v>2244</v>
      </c>
      <c r="B218" s="5235" t="s">
        <v>16</v>
      </c>
      <c r="C218" s="5235" t="s">
        <v>2525</v>
      </c>
      <c r="D218" s="5235" t="s">
        <v>2526</v>
      </c>
      <c r="E218" s="5235" t="s">
        <v>2527</v>
      </c>
      <c r="F218" s="5235" t="s">
        <v>2266</v>
      </c>
      <c r="G218" s="5235" t="s">
        <v>22</v>
      </c>
      <c r="H218" s="5235" t="s">
        <v>22</v>
      </c>
      <c r="I218" s="5235" t="s">
        <v>1617</v>
      </c>
    </row>
    <row customHeight="1" ht="11.25">
      <c r="A219" s="5235" t="s">
        <v>2244</v>
      </c>
      <c r="B219" s="5235" t="s">
        <v>16</v>
      </c>
      <c r="C219" s="5235" t="s">
        <v>2370</v>
      </c>
      <c r="D219" s="5235" t="s">
        <v>2371</v>
      </c>
      <c r="E219" s="5235" t="s">
        <v>2372</v>
      </c>
      <c r="F219" s="5235" t="s">
        <v>2373</v>
      </c>
      <c r="G219" s="5235" t="s">
        <v>2374</v>
      </c>
      <c r="H219" s="5235" t="s">
        <v>22</v>
      </c>
      <c r="I219" s="5235" t="s">
        <v>1617</v>
      </c>
    </row>
    <row customHeight="1" ht="11.25">
      <c r="A220" s="5235" t="s">
        <v>2244</v>
      </c>
      <c r="B220" s="5235" t="s">
        <v>16</v>
      </c>
      <c r="C220" s="5235" t="s">
        <v>2378</v>
      </c>
      <c r="D220" s="5235" t="s">
        <v>2379</v>
      </c>
      <c r="E220" s="5235" t="s">
        <v>2380</v>
      </c>
      <c r="F220" s="5235" t="s">
        <v>2266</v>
      </c>
      <c r="G220" s="5235" t="s">
        <v>22</v>
      </c>
      <c r="H220" s="5235" t="s">
        <v>22</v>
      </c>
      <c r="I220" s="5235" t="s">
        <v>1617</v>
      </c>
    </row>
    <row customHeight="1" ht="11.25">
      <c r="A221" s="5235" t="s">
        <v>2244</v>
      </c>
      <c r="B221" s="5235" t="s">
        <v>16</v>
      </c>
      <c r="C221" s="5235" t="s">
        <v>2562</v>
      </c>
      <c r="D221" s="5235" t="s">
        <v>2563</v>
      </c>
      <c r="E221" s="5235" t="s">
        <v>2564</v>
      </c>
      <c r="F221" s="5235" t="s">
        <v>2266</v>
      </c>
      <c r="G221" s="5235" t="s">
        <v>22</v>
      </c>
      <c r="H221" s="5235" t="s">
        <v>22</v>
      </c>
      <c r="I221" s="5235" t="s">
        <v>1617</v>
      </c>
    </row>
    <row customHeight="1" ht="11.25">
      <c r="A222" s="5235" t="s">
        <v>2244</v>
      </c>
      <c r="B222" s="5235" t="s">
        <v>16</v>
      </c>
      <c r="C222" s="5235" t="s">
        <v>2565</v>
      </c>
      <c r="D222" s="5235" t="s">
        <v>2566</v>
      </c>
      <c r="E222" s="5235" t="s">
        <v>2567</v>
      </c>
      <c r="F222" s="5235" t="s">
        <v>2568</v>
      </c>
      <c r="G222" s="5235" t="s">
        <v>2569</v>
      </c>
      <c r="H222" s="5235" t="s">
        <v>22</v>
      </c>
      <c r="I222" s="5235" t="s">
        <v>1617</v>
      </c>
    </row>
    <row customHeight="1" ht="11.25">
      <c r="A223" s="5235" t="s">
        <v>2244</v>
      </c>
      <c r="B223" s="5235" t="s">
        <v>16</v>
      </c>
      <c r="C223" s="5235" t="s">
        <v>2570</v>
      </c>
      <c r="D223" s="5235" t="s">
        <v>2571</v>
      </c>
      <c r="E223" s="5235" t="s">
        <v>2572</v>
      </c>
      <c r="F223" s="5235" t="s">
        <v>2277</v>
      </c>
      <c r="G223" s="5235" t="s">
        <v>2573</v>
      </c>
      <c r="H223" s="5235" t="s">
        <v>22</v>
      </c>
      <c r="I223" s="5235" t="s">
        <v>1617</v>
      </c>
    </row>
    <row customHeight="1" ht="11.25">
      <c r="A224" s="5235" t="s">
        <v>2244</v>
      </c>
      <c r="B224" s="5235" t="s">
        <v>16</v>
      </c>
      <c r="C224" s="5235" t="s">
        <v>2574</v>
      </c>
      <c r="D224" s="5235" t="s">
        <v>2575</v>
      </c>
      <c r="E224" s="5235" t="s">
        <v>2576</v>
      </c>
      <c r="F224" s="5235" t="s">
        <v>2568</v>
      </c>
      <c r="G224" s="5235" t="s">
        <v>22</v>
      </c>
      <c r="H224" s="5235" t="s">
        <v>22</v>
      </c>
      <c r="I224" s="5235" t="s">
        <v>1617</v>
      </c>
    </row>
    <row customHeight="1" ht="11.25">
      <c r="A225" s="5235" t="s">
        <v>2244</v>
      </c>
      <c r="B225" s="5235" t="s">
        <v>16</v>
      </c>
      <c r="C225" s="5235" t="s">
        <v>2577</v>
      </c>
      <c r="D225" s="5235" t="s">
        <v>2578</v>
      </c>
      <c r="E225" s="5235" t="s">
        <v>2495</v>
      </c>
      <c r="F225" s="5235" t="s">
        <v>2262</v>
      </c>
      <c r="G225" s="5235" t="s">
        <v>2579</v>
      </c>
      <c r="H225" s="5235" t="s">
        <v>22</v>
      </c>
      <c r="I225" s="5235"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3F191-4BA7-1CBE-4F5F-0C1AC75DCCCE}" mc:Ignorable="x14ac xr xr2 xr3">
  <sheetPr>
    <tabColor rgb="FFFFCC99"/>
  </sheetPr>
  <dimension ref="A1:G14"/>
  <sheetViews>
    <sheetView topLeftCell="A1" showGridLines="0" workbookViewId="0">
      <selection activeCell="A1" sqref="A1"/>
    </sheetView>
  </sheetViews>
  <sheetFormatPr customHeight="1" defaultRowHeight="11.25"/>
  <cols>
    <col min="1" max="1" style="5235" width="9.140625"/>
  </cols>
  <sheetData>
    <row customHeight="1" ht="11.25">
      <c r="A1" s="436" t="s">
        <v>2580</v>
      </c>
      <c r="B1" s="125" t="s">
        <v>2581</v>
      </c>
      <c r="C1" s="125" t="s">
        <v>2582</v>
      </c>
      <c r="D1" s="125" t="s">
        <v>2583</v>
      </c>
      <c r="E1" s="0" t="s">
        <v>2584</v>
      </c>
      <c r="F1" s="0" t="s">
        <v>2585</v>
      </c>
      <c r="G1" s="0" t="s">
        <v>2586</v>
      </c>
    </row>
    <row customHeight="1" ht="11.25">
      <c r="A2" s="436" t="s">
        <v>16</v>
      </c>
      <c r="B2" s="0" t="s">
        <v>2587</v>
      </c>
      <c r="C2" s="0" t="s">
        <v>2588</v>
      </c>
      <c r="D2" s="0" t="s">
        <v>2587</v>
      </c>
      <c r="E2" s="0" t="s">
        <v>2588</v>
      </c>
      <c r="F2" s="0" t="s">
        <v>2589</v>
      </c>
      <c r="G2" s="0" t="s">
        <v>108</v>
      </c>
    </row>
    <row customHeight="1" ht="11.25">
      <c r="A3" s="436" t="s">
        <v>16</v>
      </c>
      <c r="B3" s="0" t="s">
        <v>2590</v>
      </c>
      <c r="C3" s="0" t="s">
        <v>2591</v>
      </c>
      <c r="D3" s="0" t="s">
        <v>2590</v>
      </c>
      <c r="E3" s="0" t="s">
        <v>2591</v>
      </c>
      <c r="F3" s="0" t="s">
        <v>2589</v>
      </c>
      <c r="G3" s="0" t="s">
        <v>109</v>
      </c>
    </row>
    <row customHeight="1" ht="11.25">
      <c r="A4" s="436" t="s">
        <v>16</v>
      </c>
      <c r="B4" s="0" t="s">
        <v>2592</v>
      </c>
      <c r="C4" s="0" t="s">
        <v>2593</v>
      </c>
      <c r="D4" s="0" t="s">
        <v>2592</v>
      </c>
      <c r="E4" s="0" t="s">
        <v>2593</v>
      </c>
      <c r="F4" s="0" t="s">
        <v>2589</v>
      </c>
      <c r="G4" s="0" t="s">
        <v>89</v>
      </c>
    </row>
    <row customHeight="1" ht="11.25">
      <c r="A5" s="436" t="s">
        <v>16</v>
      </c>
      <c r="B5" s="0" t="s">
        <v>2594</v>
      </c>
      <c r="C5" s="0" t="s">
        <v>2595</v>
      </c>
      <c r="D5" s="0" t="s">
        <v>2594</v>
      </c>
      <c r="E5" s="0" t="s">
        <v>2595</v>
      </c>
      <c r="F5" s="0" t="s">
        <v>2589</v>
      </c>
      <c r="G5" s="0" t="s">
        <v>90</v>
      </c>
    </row>
    <row customHeight="1" ht="11.25">
      <c r="A6" s="436" t="s">
        <v>16</v>
      </c>
      <c r="B6" s="0" t="s">
        <v>2596</v>
      </c>
      <c r="C6" s="0" t="s">
        <v>2597</v>
      </c>
      <c r="D6" s="0" t="s">
        <v>2596</v>
      </c>
      <c r="E6" s="0" t="s">
        <v>2597</v>
      </c>
      <c r="F6" s="0" t="s">
        <v>2589</v>
      </c>
      <c r="G6" s="0" t="s">
        <v>110</v>
      </c>
    </row>
    <row customHeight="1" ht="11.25">
      <c r="A7" s="436" t="s">
        <v>16</v>
      </c>
      <c r="B7" s="0" t="s">
        <v>2598</v>
      </c>
      <c r="C7" s="0" t="s">
        <v>2599</v>
      </c>
      <c r="D7" s="0" t="s">
        <v>2598</v>
      </c>
      <c r="E7" s="0" t="s">
        <v>2599</v>
      </c>
      <c r="F7" s="0" t="s">
        <v>2589</v>
      </c>
      <c r="G7" s="0" t="s">
        <v>91</v>
      </c>
    </row>
    <row customHeight="1" ht="11.25">
      <c r="A8" s="436" t="s">
        <v>16</v>
      </c>
      <c r="B8" s="0" t="s">
        <v>2600</v>
      </c>
      <c r="C8" s="0" t="s">
        <v>2601</v>
      </c>
      <c r="D8" s="0" t="s">
        <v>2600</v>
      </c>
      <c r="E8" s="0" t="s">
        <v>2601</v>
      </c>
      <c r="F8" s="0" t="s">
        <v>2589</v>
      </c>
      <c r="G8" s="0" t="s">
        <v>92</v>
      </c>
    </row>
    <row customHeight="1" ht="11.25">
      <c r="A9" s="436" t="s">
        <v>16</v>
      </c>
      <c r="B9" s="0" t="s">
        <v>2602</v>
      </c>
      <c r="C9" s="0" t="s">
        <v>2603</v>
      </c>
      <c r="D9" s="0" t="s">
        <v>2602</v>
      </c>
      <c r="E9" s="0" t="s">
        <v>2603</v>
      </c>
      <c r="F9" s="0" t="s">
        <v>2604</v>
      </c>
      <c r="G9" s="0" t="s">
        <v>111</v>
      </c>
    </row>
    <row customHeight="1" ht="11.25">
      <c r="A10" s="436" t="s">
        <v>16</v>
      </c>
      <c r="B10" s="0" t="s">
        <v>2605</v>
      </c>
      <c r="C10" s="0" t="s">
        <v>2606</v>
      </c>
      <c r="D10" s="0" t="s">
        <v>2605</v>
      </c>
      <c r="E10" s="0" t="s">
        <v>2606</v>
      </c>
      <c r="F10" s="0" t="s">
        <v>2604</v>
      </c>
      <c r="G10" s="0" t="s">
        <v>148</v>
      </c>
    </row>
    <row customHeight="1" ht="11.25">
      <c r="A11" s="436" t="s">
        <v>16</v>
      </c>
      <c r="B11" s="0" t="s">
        <v>2607</v>
      </c>
      <c r="C11" s="0" t="s">
        <v>2608</v>
      </c>
      <c r="D11" s="0" t="s">
        <v>2607</v>
      </c>
      <c r="E11" s="0" t="s">
        <v>2608</v>
      </c>
      <c r="F11" s="0" t="s">
        <v>2604</v>
      </c>
      <c r="G11" s="0" t="s">
        <v>149</v>
      </c>
    </row>
    <row customHeight="1" ht="11.25">
      <c r="A12" s="436" t="s">
        <v>16</v>
      </c>
      <c r="B12" s="0" t="s">
        <v>99</v>
      </c>
      <c r="C12" s="0" t="s">
        <v>100</v>
      </c>
      <c r="D12" s="0" t="s">
        <v>99</v>
      </c>
      <c r="E12" s="0" t="s">
        <v>100</v>
      </c>
      <c r="F12" s="0" t="s">
        <v>2604</v>
      </c>
      <c r="G12" s="0" t="s">
        <v>98</v>
      </c>
    </row>
    <row customHeight="1" ht="11.25">
      <c r="A13" s="436" t="s">
        <v>16</v>
      </c>
      <c r="B13" s="0" t="s">
        <v>2609</v>
      </c>
      <c r="C13" s="0" t="s">
        <v>2610</v>
      </c>
      <c r="D13" s="0" t="s">
        <v>2609</v>
      </c>
      <c r="E13" s="0" t="s">
        <v>2610</v>
      </c>
      <c r="F13" s="0" t="s">
        <v>2604</v>
      </c>
      <c r="G13" s="0" t="s">
        <v>150</v>
      </c>
    </row>
    <row customHeight="1" ht="11.25">
      <c r="A14" s="436"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1F88-4DE7-621C-9459-85356096543D}"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2613</v>
      </c>
      <c r="B1" s="898" t="s">
        <v>2614</v>
      </c>
      <c r="C1" s="1222" t="s">
        <v>2615</v>
      </c>
      <c r="D1" s="898" t="s">
        <v>2616</v>
      </c>
      <c r="E1" s="898" t="s">
        <v>2617</v>
      </c>
      <c r="F1" s="1222" t="s">
        <v>2618</v>
      </c>
      <c r="G1" s="1222" t="s">
        <v>2619</v>
      </c>
      <c r="H1" s="1222" t="s">
        <v>2620</v>
      </c>
      <c r="I1" s="1222" t="s">
        <v>2621</v>
      </c>
    </row>
    <row customHeight="1" ht="11.25">
      <c r="A2" s="5231" t="s">
        <v>108</v>
      </c>
      <c r="B2" s="5231" t="s">
        <v>2622</v>
      </c>
      <c r="C2" s="5231" t="s">
        <v>22</v>
      </c>
      <c r="D2" s="5231" t="s">
        <v>2623</v>
      </c>
      <c r="E2" s="5231" t="s">
        <v>2624</v>
      </c>
      <c r="F2" s="5231" t="s">
        <v>22</v>
      </c>
      <c r="G2" s="5231" t="s">
        <v>22</v>
      </c>
      <c r="H2" s="5231" t="s">
        <v>22</v>
      </c>
      <c r="I2" s="523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B9296-9F5F-D0BF-1B83-A32E32F6606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70BEF-971E-8A6E-1BFB-9B6DF8607DC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hidden="1" customWidth="1"/>
    <col min="12" max="12" style="4517" width="9.7109375" hidden="1" customWidth="1"/>
    <col min="13" max="18" style="4517" width="19.8515625" hidden="1" customWidth="1"/>
    <col min="19" max="19" style="4517" width="1.7109375" hidden="1" customWidth="1"/>
    <col min="20" max="22" style="4517" width="19.8515625"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hidden="1" customWidth="1"/>
    <col min="32" max="32" style="4517" width="103.7109375" customWidth="1"/>
    <col min="33"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349</v>
      </c>
      <c r="I1" s="2280"/>
      <c r="J1" s="2280"/>
      <c r="K1" s="2280"/>
      <c r="L1" s="2280"/>
      <c r="M1" s="2280"/>
      <c r="N1" s="2280"/>
      <c r="O1" s="2280"/>
      <c r="P1" s="2280"/>
      <c r="Q1" s="2280"/>
      <c r="R1" s="2280"/>
      <c r="T1" s="2280" t="s">
        <v>350</v>
      </c>
      <c r="U1" s="2280"/>
      <c r="V1" s="2280"/>
      <c r="X1" s="2280" t="s">
        <v>351</v>
      </c>
      <c r="Y1" s="2280"/>
      <c r="Z1" s="2280"/>
      <c r="AB1" s="2280" t="s">
        <v>352</v>
      </c>
      <c r="AC1" s="2280"/>
      <c r="AT1" s="510" t="s">
        <v>14</v>
      </c>
    </row>
    <row customHeight="1" ht="14.25" hidden="1">
      <c r="AT2" s="510">
        <v>0</v>
      </c>
    </row>
    <row s="3318" customFormat="1" customHeight="1" ht="5.25">
      <c r="C3" s="764"/>
      <c r="D3" s="765"/>
      <c r="E3" s="765"/>
      <c r="F3" s="765"/>
      <c r="G3" s="765"/>
      <c r="H3" s="765" t="s">
        <v>353</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1. Информация об организации, осуществляющей водоотведение (общая информация)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Филиал "Уренгойская ГРЭС" АО "Интер РАО - Электрогенерация"</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297</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298</v>
      </c>
      <c r="AF7" s="2286" t="s">
        <v>298</v>
      </c>
      <c r="AG7" s="2286" t="s">
        <v>298</v>
      </c>
      <c r="AH7" s="2286" t="s">
        <v>298</v>
      </c>
      <c r="AT7" s="510">
        <v>14</v>
      </c>
    </row>
    <row customHeight="1" ht="27.299999999999997">
      <c r="C8" s="513"/>
      <c r="D8" s="2190" t="s">
        <v>87</v>
      </c>
      <c r="E8" s="2286" t="str">
        <f>"Наименование "&amp;IF(TEMPLATE_SPHERE&lt;&gt;"HEAT","централизованной ","")&amp;"системы "&amp;TEMPLATE_SPHERE_RUS</f>
        <v>Наименование централизованной системы водоотведения</v>
      </c>
      <c r="F8" s="2286" t="str">
        <f>IF(TEMPLATE_SPHERE&lt;&gt;"HEAT","Регулируемый вид деятельности","Вид регулируемой деятельности")</f>
        <v>Регулируемый вид деятельности</v>
      </c>
      <c r="G8" s="891"/>
      <c r="H8" s="2287" t="s">
        <v>354</v>
      </c>
      <c r="I8" s="2289" t="s">
        <v>355</v>
      </c>
      <c r="J8" s="2286" t="s">
        <v>356</v>
      </c>
      <c r="K8" s="2286"/>
      <c r="L8" s="2286"/>
      <c r="M8" s="2281"/>
      <c r="N8" s="2286" t="s">
        <v>357</v>
      </c>
      <c r="O8" s="2286"/>
      <c r="P8" s="2286" t="s">
        <v>358</v>
      </c>
      <c r="Q8" s="2286"/>
      <c r="R8" s="2293" t="s">
        <v>359</v>
      </c>
      <c r="S8" s="887"/>
      <c r="T8" s="2291" t="s">
        <v>360</v>
      </c>
      <c r="U8" s="2291" t="s">
        <v>361</v>
      </c>
      <c r="V8" s="2291" t="s">
        <v>362</v>
      </c>
      <c r="W8" s="889"/>
      <c r="X8" s="2291" t="s">
        <v>363</v>
      </c>
      <c r="Y8" s="2291" t="s">
        <v>364</v>
      </c>
      <c r="Z8" s="2291" t="s">
        <v>365</v>
      </c>
      <c r="AA8" s="889"/>
      <c r="AB8" s="2291" t="s">
        <v>366</v>
      </c>
      <c r="AC8" s="2291" t="s">
        <v>359</v>
      </c>
      <c r="AD8" s="889"/>
      <c r="AE8" s="2286"/>
      <c r="AF8" s="2286"/>
      <c r="AG8" s="2286"/>
      <c r="AH8" s="2286"/>
      <c r="AT8" s="510">
        <v>26</v>
      </c>
    </row>
    <row customHeight="1" ht="46.199999999999996">
      <c r="C9" s="513"/>
      <c r="D9" s="2190"/>
      <c r="E9" s="2286"/>
      <c r="F9" s="2286"/>
      <c r="G9" s="892"/>
      <c r="H9" s="2288"/>
      <c r="I9" s="2290"/>
      <c r="J9" s="488" t="s">
        <v>367</v>
      </c>
      <c r="K9" s="488" t="s">
        <v>368</v>
      </c>
      <c r="L9" s="488" t="s">
        <v>369</v>
      </c>
      <c r="M9" s="494" t="s">
        <v>370</v>
      </c>
      <c r="N9" s="488" t="s">
        <v>371</v>
      </c>
      <c r="O9" s="488" t="s">
        <v>370</v>
      </c>
      <c r="P9" s="488" t="s">
        <v>372</v>
      </c>
      <c r="Q9" s="488" t="s">
        <v>370</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373</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108</v>
      </c>
      <c r="E12" s="1840" t="s">
        <v>22</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374</v>
      </c>
      <c r="AF12" s="2284" t="s">
        <v>375</v>
      </c>
      <c r="AG12" s="2284" t="s">
        <v>376</v>
      </c>
      <c r="AH12" s="2284" t="s">
        <v>377</v>
      </c>
      <c r="AI12" s="510"/>
      <c r="AM12" s="574"/>
      <c r="AP12" s="563" t="s">
        <v>378</v>
      </c>
      <c r="AQ12" s="563" t="s">
        <v>378</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81</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0BAAD-0A8E-827A-41AD-722A9A39BEB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130</v>
      </c>
      <c r="B1" s="246" t="s">
        <v>2625</v>
      </c>
    </row>
    <row customHeight="1" ht="11.25">
      <c r="A2" s="5223" t="s">
        <v>97</v>
      </c>
      <c r="B2" s="5223"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05556-2285-72CB-595C-85E1ADF411A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2627</v>
      </c>
      <c r="B1" s="898" t="s">
        <v>2628</v>
      </c>
    </row>
    <row customHeight="1" ht="11.25">
      <c r="A2" s="898">
        <v>4213775</v>
      </c>
      <c r="B2" s="898" t="s">
        <v>1217</v>
      </c>
    </row>
    <row customHeight="1" ht="11.25">
      <c r="A3" s="898">
        <v>4213784</v>
      </c>
      <c r="B3" s="898" t="s">
        <v>1252</v>
      </c>
    </row>
    <row customHeight="1" ht="11.25">
      <c r="A4" s="898">
        <v>4213781</v>
      </c>
      <c r="B4" s="898" t="s">
        <v>1245</v>
      </c>
    </row>
    <row customHeight="1" ht="11.25">
      <c r="A5" s="898">
        <v>4213776</v>
      </c>
      <c r="B5" s="898" t="s">
        <v>165</v>
      </c>
    </row>
    <row customHeight="1" ht="11.25">
      <c r="A6" s="898">
        <v>4213777</v>
      </c>
      <c r="B6" s="898" t="s">
        <v>171</v>
      </c>
    </row>
    <row customHeight="1" ht="11.25">
      <c r="A7" s="898">
        <v>4213778</v>
      </c>
      <c r="B7" s="898" t="s">
        <v>177</v>
      </c>
    </row>
    <row customHeight="1" ht="11.25">
      <c r="A8" s="898">
        <v>4213780</v>
      </c>
      <c r="B8" s="898" t="s">
        <v>183</v>
      </c>
    </row>
    <row customHeight="1" ht="11.25">
      <c r="A9" s="898">
        <v>4213779</v>
      </c>
      <c r="B9" s="898" t="s">
        <v>1385</v>
      </c>
    </row>
    <row customHeight="1" ht="11.25">
      <c r="A10" s="898">
        <v>4213783</v>
      </c>
      <c r="B10" s="898" t="s">
        <v>1400</v>
      </c>
    </row>
    <row customHeight="1" ht="11.25">
      <c r="A11" s="898">
        <v>4213782</v>
      </c>
      <c r="B11" s="89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DB0C5-1D03-18FB-829D-16698C09245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2627</v>
      </c>
      <c r="B1" s="898" t="s">
        <v>2629</v>
      </c>
    </row>
    <row customHeight="1" ht="11.25">
      <c r="A2" s="898" t="s">
        <v>2630</v>
      </c>
      <c r="B2" s="898" t="s">
        <v>1501</v>
      </c>
    </row>
    <row customHeight="1" ht="11.25">
      <c r="A3" s="898" t="s">
        <v>117</v>
      </c>
      <c r="B3" s="898" t="s">
        <v>1510</v>
      </c>
    </row>
    <row customHeight="1" ht="11.25">
      <c r="A4" s="898" t="s">
        <v>2631</v>
      </c>
      <c r="B4" s="898"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7BDDD-D198-A1BA-7246-521A049D1BE9}"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6" t="s">
        <v>2580</v>
      </c>
      <c r="B1" s="436" t="s">
        <v>2581</v>
      </c>
      <c r="C1" s="436" t="s">
        <v>2582</v>
      </c>
      <c r="D1" s="436"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2A988-A0F1-FA5F-E76D-66653543AA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2632</v>
      </c>
      <c r="B1" s="898" t="s">
        <v>2633</v>
      </c>
      <c r="C1" s="898" t="s">
        <v>1162</v>
      </c>
    </row>
    <row customHeight="1" ht="11.25">
      <c r="A2" s="898">
        <v>4189678</v>
      </c>
      <c r="B2" s="898" t="s">
        <v>2634</v>
      </c>
      <c r="C2" s="898" t="s">
        <v>2635</v>
      </c>
    </row>
    <row customHeight="1" ht="11.25">
      <c r="A3" s="898">
        <v>4190415</v>
      </c>
      <c r="B3" s="898" t="s">
        <v>2636</v>
      </c>
      <c r="C3" s="898"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DB056-EF98-1489-6EA3-F7C3BF19000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2637</v>
      </c>
      <c r="B1" s="226" t="s">
        <v>2638</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AE7A1-14E7-25FC-2D5F-928170372D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D4673-B98A-1EBB-D6B4-E9A9F6F95D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05D1D-E50F-D92F-7EEC-D4EBBD27B24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2654</v>
      </c>
      <c r="B1" s="130" t="s">
        <v>2655</v>
      </c>
    </row>
    <row customHeight="1" ht="11.25">
      <c r="A2" s="125" t="s">
        <v>2656</v>
      </c>
      <c r="B2" s="125" t="s">
        <v>2657</v>
      </c>
    </row>
    <row customHeight="1" ht="11.25">
      <c r="A3" s="125" t="s">
        <v>2658</v>
      </c>
      <c r="B3" s="125" t="s">
        <v>2659</v>
      </c>
    </row>
    <row customHeight="1" ht="11.25">
      <c r="A4" s="125" t="s">
        <v>2660</v>
      </c>
      <c r="B4" s="125" t="s">
        <v>2661</v>
      </c>
    </row>
    <row customHeight="1" ht="11.25">
      <c r="A5" s="125" t="s">
        <v>2662</v>
      </c>
      <c r="B5" s="125" t="s">
        <v>2663</v>
      </c>
    </row>
    <row customHeight="1" ht="11.25">
      <c r="A6" s="125" t="s">
        <v>2664</v>
      </c>
      <c r="B6" s="125" t="s">
        <v>2665</v>
      </c>
    </row>
    <row customHeight="1" ht="11.25">
      <c r="A7" s="125" t="s">
        <v>2666</v>
      </c>
      <c r="B7" s="125" t="s">
        <v>2667</v>
      </c>
    </row>
    <row customHeight="1" ht="11.25">
      <c r="A8" s="125" t="s">
        <v>2668</v>
      </c>
      <c r="B8" s="125" t="s">
        <v>2669</v>
      </c>
    </row>
    <row customHeight="1" ht="11.25">
      <c r="A9" s="125" t="s">
        <v>2670</v>
      </c>
      <c r="B9" s="125" t="s">
        <v>2671</v>
      </c>
    </row>
    <row customHeight="1" ht="11.25">
      <c r="A10" s="125" t="s">
        <v>2672</v>
      </c>
      <c r="B10" s="125" t="s">
        <v>2673</v>
      </c>
    </row>
    <row customHeight="1" ht="11.25">
      <c r="A11" s="125" t="s">
        <v>2674</v>
      </c>
      <c r="B11" s="125" t="s">
        <v>2675</v>
      </c>
    </row>
    <row customHeight="1" ht="11.25">
      <c r="A12" s="125" t="s">
        <v>2676</v>
      </c>
      <c r="B12" s="125" t="s">
        <v>2677</v>
      </c>
    </row>
    <row customHeight="1" ht="11.25">
      <c r="A13" s="125" t="s">
        <v>2678</v>
      </c>
      <c r="B13" s="125" t="s">
        <v>2679</v>
      </c>
    </row>
    <row customHeight="1" ht="11.25">
      <c r="A14" s="125" t="s">
        <v>2680</v>
      </c>
      <c r="B14" s="125" t="s">
        <v>2681</v>
      </c>
    </row>
    <row customHeight="1" ht="11.25">
      <c r="A15" s="125" t="s">
        <v>2682</v>
      </c>
      <c r="B15" s="125" t="s">
        <v>2683</v>
      </c>
    </row>
    <row customHeight="1" ht="11.25">
      <c r="A16" s="125" t="s">
        <v>2684</v>
      </c>
      <c r="B16" s="125" t="s">
        <v>2685</v>
      </c>
    </row>
    <row customHeight="1" ht="11.25">
      <c r="A17" s="125" t="s">
        <v>2686</v>
      </c>
      <c r="B17" s="125" t="s">
        <v>2687</v>
      </c>
    </row>
    <row customHeight="1" ht="11.25">
      <c r="A18" s="125" t="s">
        <v>2688</v>
      </c>
      <c r="B18" s="125" t="s">
        <v>2689</v>
      </c>
    </row>
    <row customHeight="1" ht="11.25">
      <c r="A19" s="125" t="s">
        <v>2690</v>
      </c>
      <c r="B19" s="125" t="s">
        <v>2691</v>
      </c>
    </row>
    <row customHeight="1" ht="11.25">
      <c r="A20" s="125" t="s">
        <v>2692</v>
      </c>
      <c r="B20" s="125" t="s">
        <v>2693</v>
      </c>
    </row>
    <row customHeight="1" ht="11.25">
      <c r="A21" s="125" t="s">
        <v>2694</v>
      </c>
      <c r="B21" s="125" t="s">
        <v>2695</v>
      </c>
    </row>
    <row customHeight="1" ht="11.25">
      <c r="A22" s="125" t="s">
        <v>2696</v>
      </c>
      <c r="B22" s="125" t="s">
        <v>2697</v>
      </c>
    </row>
    <row customHeight="1" ht="11.25">
      <c r="A23" s="125" t="s">
        <v>2698</v>
      </c>
      <c r="B23" s="125" t="s">
        <v>2699</v>
      </c>
    </row>
    <row customHeight="1" ht="11.25">
      <c r="A24" s="125" t="s">
        <v>2700</v>
      </c>
      <c r="B24" s="125" t="s">
        <v>2701</v>
      </c>
    </row>
    <row customHeight="1" ht="11.25">
      <c r="A25" s="125" t="s">
        <v>2702</v>
      </c>
      <c r="B25" s="125" t="s">
        <v>2703</v>
      </c>
    </row>
    <row customHeight="1" ht="11.25">
      <c r="A26" s="125" t="s">
        <v>2704</v>
      </c>
      <c r="B26" s="125" t="s">
        <v>2705</v>
      </c>
    </row>
    <row customHeight="1" ht="11.25">
      <c r="A27" s="125" t="s">
        <v>2706</v>
      </c>
      <c r="B27" s="125" t="s">
        <v>2707</v>
      </c>
    </row>
    <row customHeight="1" ht="11.25">
      <c r="A28" s="125" t="s">
        <v>2708</v>
      </c>
      <c r="B28" s="125" t="s">
        <v>2709</v>
      </c>
    </row>
    <row customHeight="1" ht="11.25">
      <c r="A29" s="125" t="s">
        <v>2710</v>
      </c>
      <c r="B29" s="125" t="s">
        <v>2711</v>
      </c>
    </row>
    <row customHeight="1" ht="11.25">
      <c r="A30" s="125" t="s">
        <v>2712</v>
      </c>
      <c r="B30" s="125" t="s">
        <v>2713</v>
      </c>
    </row>
    <row customHeight="1" ht="11.25">
      <c r="A31" s="125" t="s">
        <v>2714</v>
      </c>
      <c r="B31" s="125" t="s">
        <v>2715</v>
      </c>
    </row>
    <row customHeight="1" ht="11.25">
      <c r="A32" s="125" t="s">
        <v>2716</v>
      </c>
      <c r="B32" s="125" t="s">
        <v>2717</v>
      </c>
    </row>
    <row customHeight="1" ht="11.25">
      <c r="A33" s="125" t="s">
        <v>2718</v>
      </c>
      <c r="B33" s="125" t="s">
        <v>2719</v>
      </c>
    </row>
    <row customHeight="1" ht="11.25">
      <c r="A34" s="125" t="s">
        <v>2720</v>
      </c>
      <c r="B34" s="125" t="s">
        <v>2721</v>
      </c>
    </row>
    <row customHeight="1" ht="11.25">
      <c r="A35" s="125" t="s">
        <v>2722</v>
      </c>
      <c r="B35" s="125" t="s">
        <v>2723</v>
      </c>
    </row>
    <row customHeight="1" ht="11.25">
      <c r="A36" s="125" t="s">
        <v>2724</v>
      </c>
      <c r="B36" s="125" t="s">
        <v>2725</v>
      </c>
    </row>
    <row customHeight="1" ht="11.25">
      <c r="A37" s="125" t="s">
        <v>2726</v>
      </c>
      <c r="B37" s="125" t="s">
        <v>2727</v>
      </c>
    </row>
    <row customHeight="1" ht="11.25">
      <c r="A38" s="125" t="s">
        <v>2728</v>
      </c>
      <c r="B38" s="125" t="s">
        <v>2729</v>
      </c>
    </row>
    <row customHeight="1" ht="11.25">
      <c r="A39" s="125" t="s">
        <v>2730</v>
      </c>
      <c r="B39" s="125" t="s">
        <v>2731</v>
      </c>
    </row>
    <row customHeight="1" ht="11.25">
      <c r="A40" s="125" t="s">
        <v>2732</v>
      </c>
      <c r="B40" s="125" t="s">
        <v>2733</v>
      </c>
    </row>
    <row customHeight="1" ht="11.25">
      <c r="A41" s="125" t="s">
        <v>2734</v>
      </c>
      <c r="B41" s="125" t="s">
        <v>2735</v>
      </c>
    </row>
    <row customHeight="1" ht="11.25">
      <c r="A42" s="125" t="s">
        <v>2736</v>
      </c>
      <c r="B42" s="125" t="s">
        <v>2737</v>
      </c>
    </row>
    <row customHeight="1" ht="11.25">
      <c r="A43" s="125" t="s">
        <v>2738</v>
      </c>
      <c r="B43" s="125" t="s">
        <v>2739</v>
      </c>
    </row>
    <row customHeight="1" ht="11.25">
      <c r="A44" s="125" t="s">
        <v>2740</v>
      </c>
      <c r="B44" s="125" t="s">
        <v>2741</v>
      </c>
    </row>
    <row customHeight="1" ht="11.25">
      <c r="A45" s="125" t="s">
        <v>2742</v>
      </c>
      <c r="B45" s="125" t="s">
        <v>2743</v>
      </c>
    </row>
    <row customHeight="1" ht="11.25">
      <c r="A46" s="125" t="s">
        <v>2744</v>
      </c>
      <c r="B46" s="125" t="s">
        <v>2745</v>
      </c>
    </row>
    <row customHeight="1" ht="11.25">
      <c r="A47" s="125" t="s">
        <v>2746</v>
      </c>
      <c r="B47" s="125" t="s">
        <v>2747</v>
      </c>
    </row>
    <row customHeight="1" ht="11.25">
      <c r="A48" s="125" t="s">
        <v>2748</v>
      </c>
      <c r="B48" s="125" t="s">
        <v>2749</v>
      </c>
    </row>
    <row customHeight="1" ht="11.25">
      <c r="A49" s="125" t="s">
        <v>2750</v>
      </c>
      <c r="B49" s="125" t="s">
        <v>2751</v>
      </c>
    </row>
    <row customHeight="1" ht="11.25">
      <c r="A50" s="125" t="s">
        <v>2752</v>
      </c>
      <c r="B50" s="125" t="s">
        <v>2753</v>
      </c>
    </row>
    <row customHeight="1" ht="11.25">
      <c r="A51" s="125" t="s">
        <v>2754</v>
      </c>
      <c r="B51" s="125" t="s">
        <v>2755</v>
      </c>
    </row>
    <row customHeight="1" ht="11.25">
      <c r="A52" s="125" t="s">
        <v>2756</v>
      </c>
      <c r="B52" s="125" t="s">
        <v>2757</v>
      </c>
    </row>
    <row customHeight="1" ht="11.25">
      <c r="A53" s="125" t="s">
        <v>2758</v>
      </c>
      <c r="B53" s="125" t="s">
        <v>2759</v>
      </c>
    </row>
    <row customHeight="1" ht="11.25">
      <c r="A54" s="125" t="s">
        <v>2760</v>
      </c>
      <c r="B54" s="125" t="s">
        <v>2761</v>
      </c>
    </row>
    <row customHeight="1" ht="11.25">
      <c r="A55" s="125" t="s">
        <v>2762</v>
      </c>
      <c r="B55" s="125" t="s">
        <v>2763</v>
      </c>
    </row>
    <row customHeight="1" ht="11.25">
      <c r="A56" s="125" t="s">
        <v>2764</v>
      </c>
      <c r="B56" s="125" t="s">
        <v>2765</v>
      </c>
    </row>
    <row customHeight="1" ht="11.25">
      <c r="A57" s="125" t="s">
        <v>2766</v>
      </c>
      <c r="B57" s="125" t="s">
        <v>2767</v>
      </c>
    </row>
    <row customHeight="1" ht="11.25">
      <c r="A58" s="125" t="s">
        <v>2768</v>
      </c>
      <c r="B58" s="125" t="s">
        <v>2769</v>
      </c>
    </row>
    <row customHeight="1" ht="11.25">
      <c r="A59" s="125" t="s">
        <v>2770</v>
      </c>
      <c r="B59" s="125" t="s">
        <v>2771</v>
      </c>
    </row>
    <row customHeight="1" ht="11.25">
      <c r="A60" s="125" t="s">
        <v>2772</v>
      </c>
      <c r="B60" s="125" t="s">
        <v>2773</v>
      </c>
    </row>
    <row customHeight="1" ht="11.25">
      <c r="A61" s="125"/>
      <c r="B61" s="125" t="s">
        <v>2774</v>
      </c>
    </row>
    <row customHeight="1" ht="11.25">
      <c r="A62" s="125"/>
      <c r="B62" s="125" t="s">
        <v>2775</v>
      </c>
    </row>
    <row customHeight="1" ht="11.25">
      <c r="A63" s="125"/>
      <c r="B63" s="125" t="s">
        <v>2776</v>
      </c>
    </row>
    <row customHeight="1" ht="11.25">
      <c r="A64" s="125"/>
      <c r="B64" s="125" t="s">
        <v>2777</v>
      </c>
    </row>
    <row customHeight="1" ht="11.25">
      <c r="A65" s="125"/>
      <c r="B65" s="125" t="s">
        <v>2778</v>
      </c>
    </row>
    <row customHeight="1" ht="11.25">
      <c r="A66" s="125"/>
      <c r="B66" s="125" t="s">
        <v>2779</v>
      </c>
    </row>
    <row customHeight="1" ht="11.25">
      <c r="A67" s="125"/>
      <c r="B67" s="125" t="s">
        <v>2780</v>
      </c>
    </row>
    <row customHeight="1" ht="11.25">
      <c r="A68" s="125"/>
      <c r="B68" s="125" t="s">
        <v>2781</v>
      </c>
    </row>
    <row customHeight="1" ht="11.25">
      <c r="A69" s="125"/>
      <c r="B69" s="125" t="s">
        <v>2782</v>
      </c>
    </row>
    <row customHeight="1" ht="11.25">
      <c r="A70" s="125"/>
      <c r="B70" s="125" t="s">
        <v>2783</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B1C78-6314-BBF4-CCC1-9AF21C825D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2784</v>
      </c>
    </row>
    <row customHeight="1" ht="90">
      <c r="B2" s="157" t="s">
        <v>2785</v>
      </c>
    </row>
    <row customHeight="1" ht="67.5">
      <c r="B3" s="157" t="s">
        <v>2786</v>
      </c>
    </row>
    <row customHeight="1" ht="33.75">
      <c r="B4" s="157" t="s">
        <v>2787</v>
      </c>
    </row>
    <row customHeight="1" ht="11.25">
      <c r="B5" s="157" t="s">
        <v>2788</v>
      </c>
    </row>
    <row customHeight="1" ht="22.5">
      <c r="B6" s="157" t="s">
        <v>2789</v>
      </c>
    </row>
    <row customHeight="1" ht="22.5">
      <c r="B7" s="157" t="s">
        <v>2790</v>
      </c>
    </row>
    <row customHeight="1" ht="22.5">
      <c r="B8" s="157" t="s">
        <v>2791</v>
      </c>
    </row>
    <row customHeight="1" ht="22.5">
      <c r="B9" s="157" t="s">
        <v>2792</v>
      </c>
    </row>
    <row customHeight="1" ht="56.25">
      <c r="B10" s="157" t="s">
        <v>2793</v>
      </c>
    </row>
    <row customHeight="1" ht="12.75">
      <c r="B11" s="222" t="s">
        <v>2794</v>
      </c>
    </row>
    <row customHeight="1" ht="11.25">
      <c r="B12" s="156" t="s">
        <v>2795</v>
      </c>
    </row>
    <row customHeight="1" ht="22.5">
      <c r="B13" s="157" t="s">
        <v>2796</v>
      </c>
    </row>
    <row customHeight="1" ht="67.5">
      <c r="B14" s="157" t="s">
        <v>2797</v>
      </c>
    </row>
    <row customHeight="1" ht="22.5">
      <c r="B15" s="157" t="s">
        <v>2798</v>
      </c>
    </row>
    <row customHeight="1" ht="11.25">
      <c r="B16" s="156" t="s">
        <v>2799</v>
      </c>
      <c r="D16" s="163"/>
    </row>
    <row customHeight="1" ht="33.75">
      <c r="B17" s="157" t="s">
        <v>2800</v>
      </c>
    </row>
    <row customHeight="1" ht="33.75">
      <c r="B18" s="157" t="s">
        <v>2801</v>
      </c>
    </row>
    <row customHeight="1" ht="11.25">
      <c r="B19" s="157" t="s">
        <v>2802</v>
      </c>
    </row>
    <row customHeight="1" ht="33.75">
      <c r="B20" s="157" t="s">
        <v>2803</v>
      </c>
    </row>
    <row customHeight="1" ht="11.25">
      <c r="B21" s="156" t="s">
        <v>2804</v>
      </c>
    </row>
    <row customHeight="1" ht="11.25">
      <c r="B22" s="157" t="s">
        <v>2805</v>
      </c>
    </row>
    <row r="24" customHeight="1" ht="22.5">
      <c r="B24" s="224" t="s">
        <v>2806</v>
      </c>
    </row>
    <row r="26" customHeight="1" ht="11.25">
      <c r="B26" s="156" t="s">
        <v>2807</v>
      </c>
    </row>
    <row customHeight="1" ht="22.5">
      <c r="B27" s="223" t="s">
        <v>393</v>
      </c>
    </row>
    <row customHeight="1" ht="56.25">
      <c r="B28" s="223" t="s">
        <v>2808</v>
      </c>
    </row>
    <row customHeight="1" ht="11.25">
      <c r="B29" s="273" t="s">
        <v>2809</v>
      </c>
    </row>
    <row customHeight="1" ht="22.5">
      <c r="B30" s="223" t="s">
        <v>2810</v>
      </c>
    </row>
    <row r="32" customHeight="1" ht="11.25">
      <c r="A32" s="251"/>
      <c r="B32" s="252" t="s">
        <v>2811</v>
      </c>
    </row>
    <row customHeight="1" ht="14.25">
      <c r="A33" s="253">
        <v>1</v>
      </c>
      <c r="B33" s="254" t="s">
        <v>2812</v>
      </c>
    </row>
    <row customHeight="1" ht="14.25">
      <c r="A34" s="253">
        <v>2</v>
      </c>
      <c r="B34" s="254" t="s">
        <v>2813</v>
      </c>
    </row>
    <row customHeight="1" ht="11.25">
      <c r="B35" s="252" t="s">
        <v>2814</v>
      </c>
    </row>
    <row customHeight="1" ht="11.25">
      <c r="B36" s="254"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16564-EE9B-A0EC-76F2-0C7DF922C1C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349</v>
      </c>
      <c r="I1" s="2280"/>
      <c r="V1" s="1670" t="s">
        <v>14</v>
      </c>
    </row>
    <row s="4517" customFormat="1" customHeight="1" ht="14.25" hidden="1">
      <c r="C2" s="1682"/>
      <c r="D2" s="2296" t="s">
        <v>108</v>
      </c>
      <c r="E2" s="2298"/>
      <c r="F2" s="1688"/>
      <c r="G2" s="1683" t="s">
        <v>108</v>
      </c>
      <c r="H2" s="1686"/>
      <c r="I2" s="1684"/>
      <c r="L2" s="1685"/>
      <c r="M2" s="1685"/>
      <c r="N2" s="1685"/>
      <c r="O2" s="1685" t="s">
        <v>379</v>
      </c>
      <c r="P2" s="1685"/>
      <c r="Q2" s="1685"/>
      <c r="R2" s="1687" t="s">
        <v>378</v>
      </c>
      <c r="S2" s="1687" t="s">
        <v>378</v>
      </c>
      <c r="T2" s="1685"/>
      <c r="U2" s="1685"/>
      <c r="V2" s="1681">
        <v>0</v>
      </c>
    </row>
    <row s="4517" customFormat="1" customHeight="1" ht="14.25" hidden="1">
      <c r="C3" s="1682"/>
      <c r="D3" s="2297"/>
      <c r="E3" s="2299"/>
      <c r="F3" s="468"/>
      <c r="G3" s="932"/>
      <c r="H3" s="932" t="s">
        <v>380</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353</v>
      </c>
      <c r="I5" s="765"/>
      <c r="J5" s="765"/>
      <c r="L5" s="1677"/>
      <c r="M5" s="1677"/>
      <c r="N5" s="1677"/>
      <c r="O5" s="1677"/>
      <c r="P5" s="1677"/>
      <c r="Q5" s="1677"/>
      <c r="R5" s="1677"/>
      <c r="S5" s="1677"/>
      <c r="T5" s="1677"/>
      <c r="U5" s="1677"/>
      <c r="V5" s="1676">
        <v>5</v>
      </c>
    </row>
    <row customHeight="1" ht="29.25">
      <c r="C6" s="1579"/>
      <c r="D6" s="2300" t="s">
        <v>381</v>
      </c>
      <c r="E6" s="2300"/>
      <c r="F6" s="2300"/>
      <c r="G6" s="2300"/>
      <c r="H6" s="2300"/>
      <c r="I6" s="2300"/>
      <c r="J6" s="554"/>
      <c r="K6" s="1678"/>
      <c r="V6" s="1670">
        <v>28</v>
      </c>
    </row>
    <row customHeight="1" ht="18">
      <c r="C7" s="1579"/>
      <c r="D7" s="2239" t="str">
        <f>IF(org=0,"Не определено",org)</f>
        <v>Филиал "Уренгойская ГРЭС" АО "Интер РАО - Электрогенерация"</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297</v>
      </c>
      <c r="E10" s="2282"/>
      <c r="F10" s="2282"/>
      <c r="G10" s="2282"/>
      <c r="H10" s="2282"/>
      <c r="I10" s="2282"/>
      <c r="J10" s="2286" t="s">
        <v>298</v>
      </c>
      <c r="V10" s="1670">
        <v>14</v>
      </c>
    </row>
    <row customHeight="1" ht="27.299999999999997">
      <c r="C11" s="1579"/>
      <c r="D11" s="2190" t="s">
        <v>87</v>
      </c>
      <c r="E11" s="2286" t="s">
        <v>104</v>
      </c>
      <c r="F11" s="2255" t="s">
        <v>87</v>
      </c>
      <c r="G11" s="2256"/>
      <c r="H11" s="2238" t="s">
        <v>382</v>
      </c>
      <c r="I11" s="2238" t="s">
        <v>383</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373</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108</v>
      </c>
      <c r="E14" s="2298"/>
      <c r="F14" s="1680"/>
      <c r="G14" s="1679" t="s">
        <v>108</v>
      </c>
      <c r="H14" s="1686"/>
      <c r="I14" s="1684"/>
      <c r="J14" s="2232" t="s">
        <v>384</v>
      </c>
      <c r="K14" s="1670"/>
      <c r="R14" s="563" t="s">
        <v>378</v>
      </c>
      <c r="S14" s="563" t="s">
        <v>378</v>
      </c>
      <c r="V14" s="1670">
        <v>14</v>
      </c>
    </row>
    <row customHeight="1" ht="14.699999999999998">
      <c r="A15" s="1670"/>
      <c r="C15" s="1579"/>
      <c r="D15" s="2297"/>
      <c r="E15" s="2299"/>
      <c r="F15" s="468"/>
      <c r="G15" s="932"/>
      <c r="H15" s="932" t="s">
        <v>380</v>
      </c>
      <c r="I15" s="376"/>
      <c r="J15" s="2233"/>
      <c r="K15" s="1670"/>
      <c r="R15" s="563"/>
      <c r="S15" s="563"/>
      <c r="V15" s="1670">
        <v>14</v>
      </c>
    </row>
    <row customHeight="1" ht="14.699999999999998">
      <c r="A16" s="1670"/>
      <c r="C16" s="1579"/>
      <c r="D16" s="468"/>
      <c r="E16" s="932" t="s">
        <v>121</v>
      </c>
      <c r="F16" s="376"/>
      <c r="G16" s="376"/>
      <c r="H16" s="469"/>
      <c r="I16" s="469"/>
      <c r="J16" s="2234"/>
      <c r="K16" s="1670"/>
      <c r="V16" s="1670">
        <v>14</v>
      </c>
    </row>
    <row customHeight="1" ht="14.699999999999998">
      <c r="K17" s="1670"/>
      <c r="V17" s="1670">
        <v>14</v>
      </c>
    </row>
    <row customHeight="1" ht="22.5" hidden="1">
      <c r="A18" s="1671" t="s">
        <v>81</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