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<sst xmlns="http://schemas.openxmlformats.org/spreadsheetml/2006/main" count="11237" uniqueCount="2870">
  <si>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</si>
  <si>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</si>
  <si>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</si>
  <si>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</si>
  <si>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</si>
  <si>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</si>
  <si>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</si>
  <si>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</si>
  <si>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</si>
  <si>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</si>
  <si>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</si>
  <si>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</si>
  <si>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</si>
  <si>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</si>
  <si>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</si>
  <si>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</si>
  <si>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</si>
  <si>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</si>
  <si>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</si>
  <si>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</si>
  <si>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</si>
  <si>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</si>
  <si>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</si>
  <si>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</si>
  <si>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</si>
  <si>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</si>
  <si>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</si>
  <si>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</si>
  <si>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</si>
  <si>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</si>
  <si>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</si>
  <si>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</si>
  <si>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</si>
  <si>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</si>
  <si>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</si>
  <si>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</si>
  <si>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</si>
  <si>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</si>
  <si>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</si>
  <si>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</si>
  <si>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</si>
  <si>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541-т</t>
  </si>
  <si>
    <t>Наименование органа регулирования, принявшего решение об утверждении тарифов</t>
  </si>
  <si>
    <t>Департамент тарифной политики, энергетики и жилищно-коммунального комплекса ЯНАО</t>
  </si>
  <si>
    <t>Источник официального опубликования решения</t>
  </si>
  <si>
    <t>Официальный сайт Департамента тарифной политики, энергетики и ЖКК ЯНАО, https://rek-yamal.ru, 18.12.2023</t>
  </si>
  <si>
    <t>Открывается, если Тип отчёта "изменения в раскрытой ранее информации"</t>
  </si>
  <si>
    <t>447-т</t>
  </si>
  <si>
    <t>Наименование органа регулирования, принявшего решение об изменении тарифов</t>
  </si>
  <si>
    <t xml:space="preserve">Департамент тарифной политики, энергетики и ЖКК ЯНАО </t>
  </si>
  <si>
    <t>Официальный сайт Департамента тарифной политики, энергетики и ЖКК ЯНАО, https://rek-yamal.ru, 05.12.2024</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</si>
  <si>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</si>
  <si>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</si>
  <si>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</si>
  <si>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</si>
  <si>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</si>
  <si>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</si>
  <si>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</si>
  <si>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</si>
  <si>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</si>
  <si>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</si>
  <si>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</si>
  <si>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</si>
  <si>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</si>
  <si>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</si>
  <si>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</si>
  <si>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</si>
  <si>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</si>
  <si>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</si>
  <si>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</si>
  <si>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</si>
  <si>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</si>
  <si>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</si>
  <si>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</si>
  <si>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</si>
  <si>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</si>
  <si>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</si>
  <si>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</si>
  <si>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</si>
  <si>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</si>
  <si>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</si>
  <si>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</si>
  <si>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</si>
  <si>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</si>
  <si>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</si>
  <si>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</si>
  <si>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</si>
  <si>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</si>
  <si>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</si>
  <si>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</si>
  <si>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</si>
  <si>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</si>
  <si>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</si>
  <si>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</si>
  <si>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</si>
  <si>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</si>
  <si>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</si>
  <si>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</si>
  <si>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</si>
  <si>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</si>
  <si>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</si>
  <si>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</si>
  <si>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</si>
  <si>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</si>
  <si>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</si>
  <si>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</si>
  <si>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</si>
  <si>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</si>
  <si>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</si>
  <si>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</si>
  <si>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</si>
  <si>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</si>
  <si>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</si>
  <si>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</si>
  <si>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</si>
  <si>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</si>
  <si>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</si>
  <si>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</si>
  <si>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</si>
  <si>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</si>
  <si>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</si>
  <si>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</si>
  <si>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</si>
  <si>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</si>
  <si>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</si>
  <si>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</si>
  <si>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</si>
  <si>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</si>
  <si>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</si>
  <si>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</si>
  <si>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</si>
  <si>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</si>
  <si>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</si>
  <si>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</si>
  <si>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</si>
  <si>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</si>
  <si>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</si>
  <si>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</si>
  <si>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</si>
  <si>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</si>
  <si>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</si>
  <si>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</si>
  <si>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</si>
  <si>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</si>
  <si>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</si>
  <si>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</si>
  <si>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</si>
  <si>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</si>
  <si>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</si>
  <si>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</si>
  <si>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</si>
  <si>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</si>
  <si>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</si>
  <si>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</si>
  <si>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</si>
  <si>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</si>
  <si>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</si>
  <si>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</si>
  <si>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</si>
  <si>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</si>
  <si>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</si>
  <si>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</si>
  <si>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</si>
  <si>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</si>
  <si>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</si>
  <si>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т/э (мощность), поставляемую АО "Уренгойтеплогенерация-1", приобретающему т/э с целью компенсации потерь т/э</t>
  </si>
  <si>
    <t>для АО "Уренгойтеплогенерация-1"</t>
  </si>
  <si>
    <t>"4190066"; "4190068"</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</si>
  <si>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</si>
  <si>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</si>
  <si>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</si>
  <si>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</si>
  <si>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</si>
  <si>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</si>
  <si>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</si>
  <si>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</si>
  <si>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</si>
  <si>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</si>
  <si>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</si>
  <si>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</si>
  <si>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</si>
  <si>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</si>
  <si>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</si>
  <si>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</si>
  <si>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</si>
  <si>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</si>
  <si>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</si>
  <si>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</si>
  <si>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</si>
  <si>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</si>
  <si>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</si>
  <si>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</si>
  <si>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</si>
  <si>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</si>
  <si>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</si>
  <si>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</si>
  <si>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</si>
  <si>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</si>
  <si>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</si>
  <si>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</si>
  <si>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</si>
  <si>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</si>
  <si>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</si>
  <si>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</si>
  <si>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</si>
  <si>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</si>
  <si>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</si>
  <si>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</si>
  <si>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</si>
  <si>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</si>
  <si>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</si>
  <si>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</si>
  <si>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</si>
  <si>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</si>
  <si>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</si>
  <si>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</si>
  <si>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</si>
  <si>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</si>
  <si>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</si>
  <si>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</si>
  <si>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</si>
  <si>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</si>
  <si>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</si>
  <si>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</si>
  <si>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</si>
  <si>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</si>
  <si>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</si>
  <si>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</si>
  <si>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</si>
  <si>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</si>
  <si>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</si>
  <si>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</si>
  <si>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</si>
  <si>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</si>
  <si>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</si>
  <si>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</si>
  <si>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</si>
  <si>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</si>
  <si>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</si>
  <si>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</si>
  <si>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</si>
  <si>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</si>
  <si>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</si>
  <si>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</si>
  <si>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</si>
  <si>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</si>
  <si>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</si>
  <si>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</si>
  <si>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</si>
  <si>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</si>
  <si>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</si>
  <si>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</si>
  <si>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</si>
  <si>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</si>
  <si>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</si>
  <si>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</si>
  <si>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</si>
  <si>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</si>
  <si>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</si>
  <si>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</si>
  <si>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</si>
  <si>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</si>
  <si>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</si>
  <si>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</si>
  <si>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</si>
  <si>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</si>
  <si>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</si>
  <si>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</si>
  <si>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</si>
  <si>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</si>
  <si>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</si>
  <si>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</si>
  <si>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</si>
  <si>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</si>
  <si>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</si>
  <si>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</si>
  <si>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</si>
  <si>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</si>
  <si>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</si>
  <si>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</si>
  <si>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</si>
  <si>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</si>
  <si>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</si>
  <si>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</si>
  <si>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</si>
  <si>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</si>
  <si>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</si>
  <si>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</si>
  <si>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</si>
  <si>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</si>
  <si>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</si>
  <si>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</si>
  <si>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</si>
  <si>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</si>
  <si>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</si>
  <si>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</si>
  <si>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</si>
  <si>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</si>
  <si>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</si>
  <si>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</si>
  <si>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</si>
  <si>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</si>
  <si>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</si>
  <si>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</si>
  <si>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</si>
  <si>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</si>
  <si>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</si>
  <si>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</si>
  <si>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</si>
  <si>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</si>
  <si>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</si>
  <si>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</si>
  <si>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</si>
  <si>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</si>
  <si>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</si>
  <si>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</si>
  <si>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</si>
  <si>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</si>
  <si>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</si>
  <si>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</si>
  <si>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</si>
  <si>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</si>
  <si>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</si>
  <si>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</si>
  <si>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</si>
  <si>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</si>
  <si>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</si>
  <si>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</si>
  <si>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</si>
  <si>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</si>
  <si>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</si>
  <si>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</si>
  <si>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</si>
  <si>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</si>
  <si>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</si>
  <si>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</si>
  <si>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</si>
  <si>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</si>
  <si>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</si>
  <si>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</si>
  <si>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</si>
  <si>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</si>
  <si>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</si>
  <si>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</si>
  <si>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</si>
  <si>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</si>
  <si>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</si>
  <si>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</si>
  <si>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</si>
  <si>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</si>
  <si>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</si>
  <si>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</si>
  <si>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</si>
  <si>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</si>
  <si>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</si>
  <si>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</si>
  <si>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</si>
  <si>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</si>
  <si>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</si>
  <si>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</si>
  <si>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</si>
  <si>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</si>
  <si>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</si>
  <si>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</si>
  <si>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</si>
  <si>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</si>
  <si>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</si>
  <si>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</si>
  <si>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</si>
  <si>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</si>
  <si>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</si>
  <si>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</si>
  <si>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</si>
  <si>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</si>
  <si>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</si>
  <si>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</si>
  <si>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</si>
  <si>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</si>
  <si>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</si>
  <si>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</si>
  <si>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</si>
  <si>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</si>
  <si>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</si>
  <si>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</si>
  <si>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</si>
  <si>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</si>
  <si>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</si>
  <si>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</si>
  <si>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</si>
  <si>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</si>
  <si>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</si>
  <si>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</si>
  <si>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</si>
  <si>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</si>
  <si>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</si>
  <si>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</si>
  <si>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</si>
  <si>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</si>
  <si>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</si>
  <si>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</si>
  <si>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</si>
  <si>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</si>
  <si>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</si>
  <si>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</si>
  <si>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</si>
  <si>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</si>
  <si>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</si>
  <si>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</si>
  <si>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</si>
  <si>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</si>
  <si>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</si>
  <si>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</si>
  <si>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</si>
  <si>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</si>
  <si>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</si>
  <si>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</si>
  <si>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</si>
  <si>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</si>
  <si>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</si>
  <si>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</si>
  <si>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</si>
  <si>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</si>
  <si>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</si>
  <si>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</si>
  <si>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</si>
  <si>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</si>
  <si>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</si>
  <si>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</si>
  <si>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</si>
  <si>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</si>
  <si>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</si>
  <si>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</si>
  <si>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</si>
  <si>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</si>
  <si>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</si>
  <si>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</si>
  <si>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</si>
  <si>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</si>
  <si>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</si>
  <si>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</si>
  <si>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</si>
  <si>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</si>
  <si>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</si>
  <si>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</si>
  <si>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</si>
  <si>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</si>
  <si>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</si>
  <si>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</si>
  <si>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</si>
  <si>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</si>
  <si>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</si>
  <si>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</si>
  <si>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</si>
  <si>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</si>
  <si>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</si>
  <si>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</si>
  <si>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</si>
  <si>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</si>
  <si>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</si>
  <si>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</si>
  <si>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</si>
  <si>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</si>
  <si>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</si>
  <si>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</si>
  <si>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</si>
  <si>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</si>
  <si>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</si>
  <si>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</si>
  <si>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</si>
  <si>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</si>
  <si>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</si>
  <si>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</si>
  <si>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</si>
  <si>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</si>
  <si>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</si>
  <si>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</si>
  <si>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</si>
  <si>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</si>
  <si>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</si>
  <si>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</si>
  <si>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</si>
  <si>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</si>
  <si>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</si>
  <si>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</si>
  <si>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</si>
  <si>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</si>
  <si>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</si>
  <si>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</si>
  <si>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</si>
  <si>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</si>
  <si>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</si>
  <si>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</si>
  <si>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</si>
  <si>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</si>
  <si>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</si>
  <si>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</si>
  <si>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</si>
  <si>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</si>
  <si>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</si>
  <si>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</si>
  <si>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</si>
  <si>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</si>
  <si>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</si>
  <si>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</si>
  <si>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</si>
  <si>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</si>
  <si>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</si>
  <si>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</si>
  <si>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</si>
  <si>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</si>
  <si>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</si>
  <si>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</si>
  <si>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</si>
  <si>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</si>
  <si>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</si>
  <si>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</si>
  <si>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</si>
  <si>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</si>
  <si>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</si>
  <si>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</si>
  <si>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</si>
  <si>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</si>
  <si>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</si>
  <si>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</si>
  <si>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</si>
  <si>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</si>
  <si>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</si>
  <si>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</si>
  <si>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</si>
  <si>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</si>
  <si>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</si>
  <si>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</si>
  <si>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</si>
  <si>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</si>
  <si>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</si>
  <si>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</si>
  <si>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</si>
  <si>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</si>
  <si>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</si>
  <si>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</si>
  <si>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</si>
  <si>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</si>
  <si>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</si>
  <si>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</si>
  <si>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</si>
  <si>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</si>
  <si>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</si>
  <si>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</si>
  <si>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</si>
  <si>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</si>
  <si>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</si>
  <si>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</si>
  <si>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</si>
  <si>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</si>
  <si>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</si>
  <si>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</si>
  <si>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</si>
  <si>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</si>
  <si>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</si>
  <si>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</si>
  <si>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</si>
  <si>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</si>
  <si>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</si>
  <si>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</si>
  <si>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</si>
  <si>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</si>
  <si>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</si>
  <si>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</si>
  <si>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</si>
  <si>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</si>
  <si>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</si>
  <si>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</si>
  <si>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</si>
  <si>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</si>
  <si>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</si>
  <si>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</si>
  <si>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</si>
  <si>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</si>
  <si>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</si>
  <si>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</si>
  <si>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</si>
  <si>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</si>
  <si>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</si>
  <si>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</si>
  <si>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</si>
  <si>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</si>
  <si>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</si>
  <si>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</si>
  <si>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</si>
  <si>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</si>
  <si>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</si>
  <si>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</si>
  <si>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</si>
  <si>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</si>
  <si>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</si>
  <si>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</si>
  <si>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</si>
  <si>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</si>
  <si>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</si>
  <si>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</si>
  <si>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</si>
  <si>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</si>
  <si>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</si>
  <si>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</si>
  <si>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</si>
  <si>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</si>
  <si>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</si>
  <si>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</si>
  <si>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</si>
  <si>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</si>
  <si>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</si>
  <si>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</si>
  <si>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</si>
  <si>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</si>
  <si>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</si>
  <si>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</si>
  <si>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</si>
  <si>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</si>
  <si>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</si>
  <si>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</si>
  <si>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</si>
  <si>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</si>
  <si>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</si>
  <si>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</si>
  <si>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</si>
  <si>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</si>
  <si>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</si>
  <si>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</si>
  <si>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</si>
  <si>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</si>
  <si>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</si>
  <si>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</si>
  <si>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</si>
  <si>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</si>
  <si>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</si>
  <si>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</si>
  <si>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</si>
  <si>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</si>
  <si>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</si>
  <si>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</si>
  <si>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</si>
  <si>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</si>
  <si>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</si>
  <si>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</si>
  <si>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</si>
  <si>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</si>
  <si>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</si>
  <si>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</si>
  <si>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</si>
  <si>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</si>
  <si>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</si>
  <si>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</si>
  <si>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</si>
  <si>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</si>
  <si>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</si>
  <si>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</si>
  <si>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</si>
  <si>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</si>
  <si>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</si>
  <si>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</si>
  <si>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</si>
  <si>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</si>
  <si>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</si>
  <si>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</si>
  <si>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</si>
  <si>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</si>
  <si>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</si>
  <si>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</si>
  <si>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</si>
  <si>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</si>
  <si>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</si>
  <si>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</si>
  <si>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</si>
  <si>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</si>
  <si>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</si>
  <si>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</si>
  <si>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</si>
  <si>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</si>
  <si>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</si>
  <si>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</si>
  <si>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</si>
  <si>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</si>
  <si>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</si>
  <si>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</si>
  <si>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</si>
  <si>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</si>
  <si>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</si>
  <si>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</si>
  <si>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</si>
  <si>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</si>
  <si>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</si>
  <si>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</si>
  <si>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</si>
  <si>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</si>
  <si>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</si>
  <si>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</si>
  <si>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</si>
  <si>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</si>
  <si>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</si>
  <si>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</si>
  <si>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</si>
  <si>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</si>
  <si>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</si>
  <si>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</si>
  <si>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</si>
  <si>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</si>
  <si>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</si>
  <si>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</si>
  <si>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</si>
  <si>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</si>
  <si>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</si>
  <si>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</si>
  <si>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</si>
  <si>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</si>
  <si>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</si>
  <si>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</si>
  <si>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</si>
  <si>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</si>
  <si>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</si>
  <si>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</si>
  <si>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</si>
  <si>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</si>
  <si>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</si>
  <si>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</si>
  <si>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</si>
  <si>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</si>
  <si>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</si>
  <si>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</si>
  <si>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</si>
  <si>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</si>
  <si>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</si>
  <si>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</si>
  <si>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</si>
  <si>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</si>
  <si>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</si>
  <si>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</si>
  <si>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</si>
  <si>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</si>
  <si>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</si>
  <si>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</si>
  <si>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</si>
  <si>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</si>
  <si>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</si>
  <si>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</si>
  <si>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</si>
  <si>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</si>
  <si>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</si>
  <si>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</si>
  <si>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</si>
  <si>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</si>
  <si>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</si>
  <si>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</si>
  <si>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</si>
  <si>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</si>
  <si>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</si>
  <si>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</si>
  <si>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</si>
  <si>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</si>
  <si>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</si>
  <si>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</si>
  <si>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</si>
  <si>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</si>
  <si>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</si>
  <si>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</si>
  <si>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</si>
  <si>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</si>
  <si>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</si>
  <si>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</si>
  <si>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</si>
  <si>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</si>
  <si>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</si>
  <si>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</si>
  <si>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</si>
  <si>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</si>
  <si>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</si>
  <si>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</si>
  <si>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</si>
  <si>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</si>
  <si>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</si>
  <si>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</si>
  <si>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</si>
  <si>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</si>
  <si>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</si>
  <si>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</si>
  <si>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</si>
  <si>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</si>
  <si>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</si>
  <si>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</si>
  <si>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</si>
  <si>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</si>
  <si>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</si>
  <si>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</si>
  <si>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</si>
  <si>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</si>
  <si>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</si>
  <si>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</si>
  <si>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</si>
  <si>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</si>
  <si>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</si>
  <si>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</si>
  <si>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</si>
  <si>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</si>
  <si>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</si>
  <si>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</si>
  <si>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</si>
  <si>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</si>
  <si>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</si>
  <si>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</si>
  <si>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</si>
  <si>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</si>
  <si>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</si>
  <si>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</si>
  <si>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</si>
  <si>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</si>
  <si>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</si>
  <si>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</si>
  <si>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</si>
  <si>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</si>
  <si>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</si>
  <si>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</si>
  <si>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</si>
  <si>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</si>
  <si>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</si>
  <si>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</si>
  <si>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</si>
  <si>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</si>
  <si>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</si>
  <si>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</si>
  <si>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</si>
  <si>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</si>
  <si>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</si>
  <si>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</si>
  <si>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</si>
  <si>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</si>
  <si>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</si>
  <si>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</si>
  <si>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</si>
  <si>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</si>
  <si>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</si>
  <si>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</si>
  <si>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</si>
  <si>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</si>
  <si>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</si>
  <si>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</si>
  <si>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</si>
  <si>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</si>
  <si>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</si>
  <si>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</si>
  <si>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</si>
  <si>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</si>
  <si>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</si>
  <si>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</si>
  <si>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</si>
  <si>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</si>
  <si>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</si>
  <si>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</si>
  <si>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</si>
  <si>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</si>
  <si>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</si>
  <si>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</si>
  <si>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</si>
  <si>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</si>
  <si>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</si>
  <si>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</si>
  <si>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</si>
  <si>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</si>
  <si>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</si>
  <si>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</si>
  <si>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</si>
  <si>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</si>
  <si>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</si>
  <si>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</si>
  <si>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</si>
  <si>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</si>
  <si>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</si>
  <si>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</si>
  <si>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</si>
  <si>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</si>
  <si>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</si>
  <si>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</si>
  <si>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</si>
  <si>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</si>
  <si>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</si>
  <si>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</si>
  <si>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</si>
  <si>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</si>
  <si>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</si>
  <si>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</si>
  <si>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</si>
  <si>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</si>
  <si>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</si>
  <si>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</si>
  <si>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</si>
  <si>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</si>
  <si>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</si>
  <si>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</si>
  <si>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</si>
  <si>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</si>
  <si>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</si>
  <si>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</si>
  <si>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</si>
  <si>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</si>
  <si>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</si>
  <si>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</si>
  <si>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</si>
  <si>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</si>
  <si>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</si>
  <si>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</si>
  <si>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</si>
  <si>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</si>
  <si>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</si>
  <si>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</si>
  <si>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</si>
  <si>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</si>
  <si>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</si>
  <si>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</si>
  <si>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</si>
  <si>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</si>
  <si>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</si>
  <si>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</si>
  <si>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</si>
  <si>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</si>
  <si>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</si>
  <si>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</si>
  <si>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</si>
  <si>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</si>
  <si>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</si>
  <si>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</si>
  <si>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</si>
  <si>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</si>
  <si>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</si>
  <si>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</si>
  <si>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</si>
  <si>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</si>
  <si>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</si>
  <si>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</si>
  <si>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</si>
  <si>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</si>
  <si>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</si>
  <si>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</si>
  <si>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</si>
  <si>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</si>
  <si>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</si>
  <si>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</si>
  <si>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</si>
  <si>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</si>
  <si>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</si>
  <si>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</si>
  <si>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</si>
  <si>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</si>
  <si>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</si>
  <si>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</si>
  <si>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</si>
  <si>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</si>
  <si>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</si>
  <si>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</si>
  <si>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</si>
  <si>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</si>
  <si>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</si>
  <si>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</si>
  <si>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</si>
  <si>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</si>
  <si>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</si>
  <si>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</si>
  <si>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</si>
  <si>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</si>
  <si>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</si>
  <si>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</si>
  <si>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</si>
  <si>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</si>
  <si>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</si>
  <si>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</si>
  <si>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</si>
  <si>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</si>
  <si>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</si>
  <si>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</si>
  <si>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</si>
  <si>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</si>
  <si>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</si>
  <si>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</si>
  <si>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</si>
  <si>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</si>
  <si>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</si>
  <si>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</si>
  <si>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</si>
  <si>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</si>
  <si>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</si>
  <si>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</si>
  <si>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</si>
  <si>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</si>
  <si>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</si>
  <si>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</si>
  <si>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</si>
  <si>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</si>
  <si>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</si>
  <si>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</si>
  <si>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</si>
  <si>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</si>
  <si>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</si>
  <si>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</si>
  <si>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</si>
  <si>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</si>
  <si>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</si>
  <si>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</si>
  <si>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</si>
  <si>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</si>
  <si>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</si>
  <si>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</si>
  <si>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</si>
  <si>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</si>
  <si>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</si>
  <si>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</si>
  <si>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</si>
  <si>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</si>
  <si>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</si>
  <si>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</si>
  <si>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</si>
  <si>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</si>
  <si>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</si>
  <si>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</si>
  <si>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</si>
  <si>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</si>
  <si>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</si>
  <si>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</si>
  <si>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</si>
  <si>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</si>
  <si>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</si>
  <si>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</si>
  <si>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</si>
  <si>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</si>
  <si>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</si>
  <si>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</si>
  <si>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</si>
  <si>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</si>
  <si>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</si>
  <si>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</si>
  <si>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</si>
  <si>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</si>
  <si>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</si>
  <si>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</si>
  <si>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</si>
  <si>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</si>
  <si>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</si>
  <si>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</si>
  <si>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</si>
  <si>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</si>
  <si>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</si>
  <si>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</si>
  <si>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</si>
  <si>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</si>
  <si>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</si>
  <si>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</si>
  <si>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</si>
  <si>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</si>
  <si>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</si>
  <si>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</si>
  <si>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</si>
  <si>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</si>
  <si>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</si>
  <si>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</si>
  <si>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</si>
  <si>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</si>
  <si>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</si>
  <si>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</si>
  <si>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</si>
  <si>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</si>
  <si>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</si>
  <si>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</si>
  <si>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</si>
  <si>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</si>
  <si>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</si>
  <si>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</si>
  <si>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</si>
  <si>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</si>
  <si>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</si>
  <si>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</si>
  <si>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</si>
  <si>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</si>
  <si>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</si>
  <si>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</si>
  <si>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</si>
  <si>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</si>
  <si>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</si>
  <si>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</si>
  <si>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</si>
  <si>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</si>
  <si>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</si>
  <si>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</si>
  <si>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</si>
  <si>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</si>
  <si>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</si>
  <si>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</si>
  <si>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</si>
  <si>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</si>
  <si>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</si>
  <si>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</si>
  <si>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</si>
  <si>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</si>
  <si>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</si>
  <si>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</si>
  <si>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</si>
  <si>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</si>
  <si>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</si>
  <si>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</si>
  <si>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</si>
  <si>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</si>
  <si>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</si>
  <si>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</si>
  <si>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</si>
  <si>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</si>
  <si>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</si>
  <si>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</si>
  <si>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</si>
  <si>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</si>
  <si>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</si>
  <si>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</si>
  <si>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</si>
  <si>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</si>
  <si>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</si>
  <si>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</si>
  <si>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</si>
  <si>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</si>
  <si>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</si>
  <si>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</si>
  <si>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</si>
  <si>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</si>
  <si>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</si>
  <si>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</si>
  <si>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</si>
  <si>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</si>
  <si>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</si>
  <si>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</si>
  <si>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</si>
  <si>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</si>
  <si>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</si>
  <si>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</si>
  <si>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</si>
  <si>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</si>
  <si>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</si>
  <si>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</si>
  <si>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</si>
  <si>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</si>
  <si>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</si>
  <si>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</si>
  <si>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</si>
  <si>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</si>
  <si>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</si>
  <si>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</si>
  <si>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</si>
  <si>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</si>
  <si>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</si>
  <si>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</si>
  <si>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</si>
  <si>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</si>
  <si>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</si>
  <si>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</si>
  <si>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</si>
  <si>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</si>
  <si>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</si>
  <si>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</si>
  <si>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</si>
  <si>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</si>
  <si>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</si>
  <si>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</si>
  <si>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</si>
  <si>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</si>
  <si>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</si>
  <si>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</si>
  <si>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</si>
  <si>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</si>
  <si>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</si>
  <si>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</si>
  <si>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</si>
  <si>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</si>
  <si>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</si>
  <si>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</si>
  <si>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</si>
  <si>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</si>
  <si>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</si>
  <si>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</si>
  <si>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</si>
  <si>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</si>
  <si>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</si>
  <si>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</si>
  <si>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</si>
  <si>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</si>
  <si>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</si>
  <si>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</si>
  <si>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</si>
  <si>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</si>
  <si>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</si>
  <si>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</si>
  <si>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</si>
  <si>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</si>
  <si>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</si>
  <si>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</si>
  <si>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</si>
  <si>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</si>
  <si>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</si>
  <si>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</si>
  <si>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</si>
  <si>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</si>
  <si>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</si>
  <si>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</si>
  <si>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</si>
  <si>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</si>
  <si>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</si>
  <si>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</si>
  <si>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</si>
  <si>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</si>
  <si>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</si>
  <si>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</si>
  <si>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</si>
  <si>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</si>
  <si>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</si>
  <si>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</si>
  <si>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</si>
  <si>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</si>
  <si>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</si>
  <si>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</si>
  <si>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</si>
  <si>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</si>
  <si>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</si>
  <si>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</si>
  <si>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</si>
  <si>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</si>
  <si>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</si>
  <si>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</si>
  <si>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</si>
  <si>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</si>
  <si>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</si>
  <si>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</si>
  <si>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</si>
  <si>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</si>
  <si>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</si>
  <si>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</si>
  <si>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</si>
  <si>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</si>
  <si>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</si>
  <si>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</si>
  <si>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</si>
  <si>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</si>
  <si>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</si>
  <si>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</si>
  <si>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</si>
  <si>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</si>
  <si>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</si>
  <si>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</si>
  <si>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</si>
  <si>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</si>
  <si>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</si>
  <si>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</si>
  <si>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</si>
  <si>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</si>
  <si>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</si>
  <si>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</si>
  <si>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</si>
  <si>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</si>
  <si>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</si>
  <si>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</si>
  <si>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</si>
  <si>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</si>
  <si>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</si>
  <si>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</si>
  <si>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</si>
  <si>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</si>
  <si>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</si>
  <si>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</si>
  <si>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</si>
  <si>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</si>
  <si>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</si>
  <si>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</si>
  <si>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</si>
  <si>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</si>
  <si>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</si>
  <si>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</si>
  <si>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</si>
  <si>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</si>
  <si>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</si>
  <si>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</si>
  <si>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</si>
  <si>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</si>
  <si>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</si>
  <si>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</si>
  <si>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</si>
  <si>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</si>
  <si>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</si>
  <si>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</si>
  <si>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</si>
  <si>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</si>
  <si>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</si>
  <si>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</si>
  <si>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</si>
  <si>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</si>
  <si>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</si>
  <si>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</si>
  <si>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</si>
  <si>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</si>
  <si>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</si>
  <si>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</si>
  <si>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</si>
  <si>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</si>
  <si>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</si>
  <si>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</si>
  <si>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</si>
  <si>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</si>
  <si>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</si>
  <si>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</si>
  <si>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</si>
  <si>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</si>
  <si>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</si>
  <si>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</si>
  <si>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</si>
  <si>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</si>
  <si>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</si>
  <si>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</si>
  <si>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</si>
  <si>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</si>
  <si>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</si>
  <si>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</si>
  <si>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</si>
  <si>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</si>
  <si>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</si>
  <si>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</si>
  <si>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</si>
  <si>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</si>
  <si>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</si>
  <si>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</si>
  <si>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</si>
  <si>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</si>
  <si>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</si>
  <si>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</si>
  <si>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</si>
  <si>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</si>
  <si>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</si>
  <si>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</si>
  <si>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</si>
  <si>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</si>
  <si>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</si>
  <si>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</si>
  <si>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</si>
  <si>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</si>
  <si>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</si>
  <si>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</si>
  <si>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</si>
  <si>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</si>
  <si>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</si>
  <si>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</si>
  <si>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</si>
  <si>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</si>
  <si>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</si>
  <si>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</si>
  <si>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</si>
  <si>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</si>
  <si>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</si>
  <si>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</si>
  <si>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</si>
  <si>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</si>
  <si>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</si>
  <si>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</si>
  <si>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</si>
  <si>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</si>
  <si>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</si>
  <si>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</si>
  <si>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</si>
  <si>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</si>
  <si>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</si>
  <si>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</si>
  <si>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</si>
  <si>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</si>
  <si>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</si>
  <si>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</si>
  <si>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</si>
  <si>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</si>
  <si>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</si>
  <si>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</si>
  <si>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</si>
  <si>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</si>
  <si>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</si>
  <si>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</si>
  <si>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</si>
  <si>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</si>
  <si>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</si>
  <si>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</si>
  <si>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</si>
  <si>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</si>
  <si>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</si>
  <si>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</si>
  <si>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</si>
  <si>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</si>
  <si>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</si>
  <si>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</si>
  <si>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</si>
  <si>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</si>
  <si>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</si>
  <si>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</si>
  <si>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</si>
  <si>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</si>
  <si>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</si>
  <si>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</si>
  <si>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</si>
  <si>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</si>
  <si>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</si>
  <si>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</si>
  <si>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</si>
  <si>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</si>
  <si>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</si>
  <si>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</si>
  <si>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</si>
  <si>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</si>
  <si>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</si>
  <si>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</si>
  <si>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</si>
  <si>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</si>
  <si>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</si>
  <si>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</si>
  <si>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</si>
  <si>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</si>
  <si>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</si>
  <si>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</si>
  <si>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</si>
  <si>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</si>
  <si>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</si>
  <si>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</si>
  <si>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</si>
  <si>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</si>
  <si>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</si>
  <si>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</si>
  <si>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</si>
  <si>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</si>
  <si>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</si>
  <si>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</si>
  <si>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</si>
  <si>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</si>
  <si>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</si>
  <si>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</si>
  <si>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</si>
  <si>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</si>
  <si>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</si>
  <si>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</si>
  <si>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</si>
  <si>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</si>
  <si>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</si>
  <si>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</si>
  <si>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</si>
  <si>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</si>
  <si>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</si>
  <si>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</si>
  <si>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</si>
  <si>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</si>
  <si>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</si>
  <si>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</si>
  <si>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</si>
  <si>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</si>
  <si>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</si>
  <si>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</si>
  <si>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</si>
  <si>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</si>
  <si>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</si>
  <si>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</si>
  <si>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</si>
  <si>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</si>
  <si>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</si>
  <si>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</si>
  <si>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</si>
  <si>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</si>
  <si>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</si>
  <si>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</si>
  <si>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</si>
  <si>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</si>
  <si>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</si>
  <si>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</si>
  <si>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</si>
  <si>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</si>
  <si>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</si>
  <si>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</si>
  <si>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</si>
  <si>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</si>
  <si>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</si>
  <si>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</si>
  <si>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</si>
  <si>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</si>
  <si>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</si>
  <si>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</si>
  <si>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</si>
  <si>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</si>
  <si>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</si>
  <si>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</si>
  <si>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</si>
  <si>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</si>
  <si>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</si>
  <si>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</si>
  <si>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</si>
  <si>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</si>
  <si>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</si>
  <si>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</si>
  <si>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</si>
  <si>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</si>
  <si>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</si>
  <si>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</si>
  <si>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</si>
  <si>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</si>
  <si>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</si>
  <si>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</si>
  <si>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</si>
  <si>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</si>
  <si>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</si>
  <si>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</si>
  <si>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</si>
  <si>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</si>
  <si>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</si>
  <si>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</si>
  <si>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</si>
  <si>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</si>
  <si>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</si>
  <si>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</si>
  <si>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</si>
  <si>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</si>
  <si>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</si>
  <si>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</si>
  <si>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</si>
  <si>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</si>
  <si>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</si>
  <si>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</si>
  <si>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</si>
  <si>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</si>
  <si>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</si>
  <si>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</si>
  <si>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</si>
  <si>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</si>
  <si>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</si>
  <si>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</si>
  <si>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</si>
  <si>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</si>
  <si>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</si>
  <si>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</si>
  <si>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</si>
  <si>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</si>
  <si>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</si>
  <si>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</si>
  <si>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</si>
  <si>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</si>
  <si>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</si>
  <si>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</si>
  <si>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</si>
  <si>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</si>
  <si>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</si>
  <si>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</si>
  <si>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</si>
  <si>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</si>
  <si>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</si>
  <si>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</si>
  <si>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</si>
  <si>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</si>
  <si>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</si>
  <si>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</si>
  <si>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</si>
  <si>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</si>
  <si>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</si>
  <si>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</si>
  <si>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</si>
  <si>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</si>
  <si>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</si>
  <si>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</si>
  <si>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</si>
  <si>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</si>
  <si>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</si>
  <si>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</si>
  <si>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</si>
  <si>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</si>
  <si>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</si>
  <si>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</si>
  <si>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</si>
  <si>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</si>
  <si>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</si>
  <si>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</si>
  <si>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</si>
  <si>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</si>
  <si>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</si>
  <si>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</si>
  <si>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</si>
  <si>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</si>
  <si>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</si>
  <si>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</si>
  <si>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</si>
  <si>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</si>
  <si>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</si>
  <si>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</si>
  <si>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</si>
  <si>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</si>
  <si>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</si>
  <si>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</si>
  <si>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</si>
  <si>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</si>
  <si>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</si>
  <si>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</si>
  <si>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</si>
  <si>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</si>
  <si>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</si>
  <si>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</si>
  <si>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</si>
  <si>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</si>
  <si>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</si>
  <si>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</si>
  <si>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</si>
  <si>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</si>
  <si>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</si>
  <si>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</si>
  <si>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</si>
  <si>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</si>
  <si>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</si>
  <si>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</si>
  <si>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</si>
  <si>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</si>
  <si>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</si>
  <si>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</si>
  <si>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</si>
  <si>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</si>
  <si>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</si>
  <si>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</si>
  <si>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</si>
  <si>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</si>
  <si>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</si>
  <si>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</si>
  <si>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</si>
  <si>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</si>
  <si>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</si>
  <si>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</si>
  <si>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</si>
  <si>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</si>
  <si>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</si>
  <si>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</si>
  <si>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</si>
  <si>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</si>
  <si>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</si>
  <si>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</si>
  <si>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</si>
  <si>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</si>
  <si>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</si>
  <si>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</si>
  <si>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</si>
  <si>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</si>
  <si>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</si>
  <si>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</si>
  <si>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</si>
  <si>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</si>
  <si>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</si>
  <si>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</si>
  <si>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</si>
  <si>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</si>
  <si>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</si>
  <si>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</si>
  <si>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</si>
  <si>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</si>
  <si>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</si>
  <si>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</si>
  <si>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</si>
  <si>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</si>
  <si>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</si>
  <si>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</si>
  <si>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</si>
  <si>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</si>
  <si>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</si>
  <si>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</si>
  <si>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</si>
  <si>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</si>
  <si>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</si>
  <si>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</si>
  <si>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</si>
  <si>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</si>
  <si>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</si>
  <si>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</si>
  <si>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</si>
  <si>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</si>
  <si>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</si>
  <si>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</si>
  <si>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</si>
  <si>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</si>
  <si>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</si>
  <si>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</si>
  <si>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</si>
  <si>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</si>
  <si>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</si>
  <si>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</si>
  <si>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</si>
  <si>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</si>
  <si>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</si>
  <si>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</si>
  <si>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</si>
  <si>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</si>
  <si>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</si>
  <si>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</si>
  <si>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</si>
  <si>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</si>
  <si>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</si>
  <si>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</si>
  <si>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</si>
  <si>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</si>
  <si>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</si>
  <si>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</si>
  <si>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</si>
  <si>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</si>
  <si>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</si>
  <si>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</si>
  <si>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</si>
  <si>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</si>
  <si>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</si>
  <si>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</si>
  <si>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</si>
  <si>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</si>
  <si>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</si>
  <si>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</si>
  <si>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</si>
  <si>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</si>
  <si>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</si>
  <si>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</si>
  <si>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</si>
  <si>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</si>
  <si>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</si>
  <si>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</si>
  <si>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</si>
  <si>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</si>
  <si>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</si>
  <si>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</si>
  <si>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</si>
  <si>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</si>
  <si>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</si>
  <si>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</si>
  <si>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</si>
  <si>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</si>
  <si>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</si>
  <si>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</si>
  <si>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</si>
  <si>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</si>
  <si>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</si>
  <si>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</si>
  <si>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</si>
  <si>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</si>
  <si>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</si>
  <si>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</si>
  <si>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</si>
  <si>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</si>
  <si>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</si>
  <si>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</si>
  <si>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</si>
  <si>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</si>
  <si>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</si>
  <si>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</si>
  <si>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</si>
  <si>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</si>
  <si>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</si>
  <si>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</si>
  <si>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</si>
  <si>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</si>
  <si>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</si>
  <si>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</si>
  <si>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</si>
  <si>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</si>
  <si>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</si>
  <si>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</si>
  <si>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</si>
  <si>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</si>
  <si>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</si>
  <si>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</si>
  <si>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</si>
  <si>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</si>
  <si>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</si>
  <si>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</si>
  <si>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</si>
  <si>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</si>
  <si>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</si>
  <si>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</si>
  <si>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</si>
  <si>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</si>
  <si>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</si>
  <si>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</si>
  <si>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</si>
  <si>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</si>
  <si>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</si>
  <si>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</si>
  <si>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</si>
  <si>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</si>
  <si>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</si>
  <si>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</si>
  <si>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</si>
  <si>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</si>
  <si>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</si>
  <si>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</si>
  <si>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</si>
  <si>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</si>
  <si>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</si>
  <si>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</si>
  <si>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</si>
  <si>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</si>
  <si>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</si>
  <si>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</si>
  <si>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</si>
  <si>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</si>
  <si>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</si>
  <si>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</si>
  <si>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</si>
  <si>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</si>
  <si>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</si>
  <si>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</si>
  <si>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</si>
  <si>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</si>
  <si>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</si>
  <si>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</si>
  <si>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</si>
  <si>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</si>
  <si>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</si>
  <si>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</si>
  <si>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</si>
  <si>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</si>
  <si>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</si>
  <si>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</si>
  <si>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</si>
  <si>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</si>
  <si>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</si>
  <si>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</si>
  <si>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</si>
  <si>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</si>
  <si>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</si>
  <si>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</si>
  <si>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</si>
  <si>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</si>
  <si>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</si>
  <si>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</si>
  <si>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</si>
  <si>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</si>
  <si>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</si>
  <si>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</si>
  <si>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</si>
  <si>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</si>
  <si>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</si>
  <si>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</si>
  <si>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</si>
  <si>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</si>
  <si>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</si>
  <si>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</si>
  <si>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</si>
  <si>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</si>
  <si>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</si>
  <si>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</si>
  <si>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</si>
  <si>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</si>
  <si>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</si>
  <si>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</si>
  <si>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</si>
  <si>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</si>
  <si>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</si>
  <si>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</si>
  <si>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</si>
  <si>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</si>
  <si>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</si>
  <si>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</si>
  <si>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</si>
  <si>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</si>
  <si>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</si>
  <si>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</si>
  <si>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</si>
  <si>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</si>
  <si>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</si>
  <si>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</si>
  <si>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</si>
  <si>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</si>
  <si>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</si>
  <si>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</si>
  <si>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</si>
  <si>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</si>
  <si>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</si>
  <si>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</si>
  <si>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</si>
  <si>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</si>
  <si>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</si>
  <si>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</si>
  <si>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</si>
  <si>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</si>
  <si>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</si>
  <si>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</si>
  <si>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</si>
  <si>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</si>
  <si>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</si>
  <si>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</si>
  <si>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</si>
  <si>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</si>
  <si>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</si>
  <si>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</si>
  <si>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</si>
  <si>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</si>
  <si>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</si>
  <si>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</si>
  <si>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</si>
  <si>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</si>
  <si>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</si>
  <si>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</si>
  <si>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</si>
  <si>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</si>
  <si>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</si>
  <si>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</si>
  <si>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</si>
  <si>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тарифа с 01.01.2025 по 30.06.2025 и с 01.07.2025 по 31.12.2025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</si>
  <si>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</si>
  <si>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</si>
  <si>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</si>
  <si>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Перечень тарифов - «Дифференциация по централизованным системам» отражено - «для АО "Уренгойтеплогенерация-1"»</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</si>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</sst>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609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1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8" fillId="0" borderId="0" xfId="0" applyFont="1" applyNumberFormat="1">
      <alignment horizontal="center" vertical="center" wrapText="1"/>
    </xf>
    <xf numFmtId="212" fontId="48"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2"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212"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212"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210"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12"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34" borderId="14"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0" fillId="35" borderId="14"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22" fillId="0" borderId="2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EA216-926B-C15C-6BFF-A6F94B8E7EB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765" width="5.421875" customWidth="1"/>
    <col min="2" max="2" style="5765" width="9.140625" customWidth="1"/>
    <col min="3" max="3" style="5765" width="16.421875" customWidth="1"/>
    <col min="4" max="25" style="5765" width="6.28125" customWidth="1"/>
    <col min="26" max="28" style="5765" width="11.00390625"/>
  </cols>
  <sheetData>
    <row customHeight="1" ht="15.75">
      <c r="A1" s="1766"/>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8"/>
      <c r="Z1" s="1767"/>
      <c r="AA1" s="1769" t="s">
        <v>0</v>
      </c>
      <c r="AB1" s="1767"/>
    </row>
    <row customHeight="1" ht="17.25">
      <c r="A2" s="1767"/>
      <c r="B2" s="2143" t="s">
        <v>1</v>
      </c>
      <c r="C2" s="2143"/>
      <c r="D2" s="2143"/>
      <c r="E2" s="2143"/>
      <c r="F2" s="2143"/>
      <c r="G2" s="2143"/>
      <c r="H2" s="2143"/>
      <c r="I2" s="2143"/>
      <c r="J2" s="2143"/>
      <c r="K2" s="2143"/>
      <c r="L2" s="2143"/>
      <c r="M2" s="2143"/>
      <c r="N2" s="2143"/>
      <c r="O2" s="2143"/>
      <c r="P2" s="2143"/>
      <c r="Q2" s="1771"/>
      <c r="R2" s="1771"/>
      <c r="S2" s="1771"/>
      <c r="T2" s="1771"/>
      <c r="U2" s="1771"/>
      <c r="V2" s="1772"/>
      <c r="W2" s="1771"/>
      <c r="X2" s="1771"/>
      <c r="Y2" s="1768"/>
      <c r="Z2" s="1767"/>
      <c r="AA2" s="1769"/>
      <c r="AB2" s="1767"/>
    </row>
    <row customHeight="1" ht="15.75">
      <c r="A3" s="1767"/>
      <c r="B3" s="2144" t="s">
        <v>2</v>
      </c>
      <c r="C3" s="2144"/>
      <c r="D3" s="2144"/>
      <c r="E3" s="2144"/>
      <c r="F3" s="2144"/>
      <c r="G3" s="2144"/>
      <c r="H3" s="2144"/>
      <c r="I3" s="2144"/>
      <c r="J3" s="2144"/>
      <c r="K3" s="2144"/>
      <c r="L3" s="2144"/>
      <c r="M3" s="2144"/>
      <c r="N3" s="2144"/>
      <c r="O3" s="2144"/>
      <c r="P3" s="2144"/>
      <c r="Q3" s="1772"/>
      <c r="R3" s="1772"/>
      <c r="S3" s="1771"/>
      <c r="T3" s="1771"/>
      <c r="U3" s="1771"/>
      <c r="V3" s="1772"/>
      <c r="W3" s="1772"/>
      <c r="X3" s="1772"/>
      <c r="Y3" s="1772"/>
      <c r="Z3" s="1767"/>
      <c r="AA3" s="1769"/>
      <c r="AB3" s="1767"/>
    </row>
    <row customHeight="1" ht="17.25">
      <c r="A4" s="1767"/>
      <c r="B4" s="1773"/>
      <c r="C4" s="1767"/>
      <c r="D4" s="1772"/>
      <c r="E4" s="1772"/>
      <c r="F4" s="1772"/>
      <c r="G4" s="1772"/>
      <c r="H4" s="1772"/>
      <c r="I4" s="1772"/>
      <c r="J4" s="1772"/>
      <c r="K4" s="1772"/>
      <c r="L4" s="1772"/>
      <c r="M4" s="1772"/>
      <c r="N4" s="1772"/>
      <c r="O4" s="1772"/>
      <c r="P4" s="1772"/>
      <c r="Q4" s="1772"/>
      <c r="R4" s="1772"/>
      <c r="S4" s="1772"/>
      <c r="T4" s="1772"/>
      <c r="U4" s="1772"/>
      <c r="V4" s="1772"/>
      <c r="W4" s="1772"/>
      <c r="X4" s="1772"/>
      <c r="Y4" s="1772"/>
      <c r="Z4" s="1767"/>
      <c r="AA4" s="1769"/>
      <c r="AB4" s="1767"/>
    </row>
    <row customHeight="1" ht="22.5">
      <c r="A5" s="1774"/>
      <c r="B5" s="2145"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6"/>
      <c r="D5" s="2146"/>
      <c r="E5" s="2146"/>
      <c r="F5" s="2146"/>
      <c r="G5" s="2146"/>
      <c r="H5" s="2146"/>
      <c r="I5" s="2146"/>
      <c r="J5" s="2146"/>
      <c r="K5" s="2146"/>
      <c r="L5" s="2146"/>
      <c r="M5" s="2146"/>
      <c r="N5" s="2146"/>
      <c r="O5" s="2146"/>
      <c r="P5" s="2146"/>
      <c r="Q5" s="2146"/>
      <c r="R5" s="2146"/>
      <c r="S5" s="2146"/>
      <c r="T5" s="2146"/>
      <c r="U5" s="2146"/>
      <c r="V5" s="2146"/>
      <c r="W5" s="2146"/>
      <c r="X5" s="2146"/>
      <c r="Y5" s="2147"/>
      <c r="Z5" s="1774"/>
      <c r="AA5" s="1769"/>
      <c r="AB5" s="1774"/>
    </row>
    <row customHeight="1" ht="15">
      <c r="A6" s="1775"/>
      <c r="B6" s="2148" t="s">
        <v>3</v>
      </c>
      <c r="C6" s="2149"/>
      <c r="D6" s="1776"/>
      <c r="E6" s="1776"/>
      <c r="F6" s="1776"/>
      <c r="G6" s="1776"/>
      <c r="H6" s="1776"/>
      <c r="I6" s="1776"/>
      <c r="J6" s="1776"/>
      <c r="K6" s="1776"/>
      <c r="L6" s="1776"/>
      <c r="M6" s="1776"/>
      <c r="N6" s="1776"/>
      <c r="O6" s="1776"/>
      <c r="P6" s="1776"/>
      <c r="Q6" s="1776"/>
      <c r="R6" s="1776"/>
      <c r="S6" s="1776"/>
      <c r="T6" s="1776"/>
      <c r="U6" s="1776"/>
      <c r="V6" s="1776"/>
      <c r="W6" s="1776"/>
      <c r="X6" s="1776"/>
      <c r="Y6" s="1777"/>
      <c r="Z6" s="1778"/>
      <c r="AA6" s="1779"/>
      <c r="AB6" s="1779"/>
    </row>
    <row customHeight="1" ht="15">
      <c r="A7" s="1775"/>
      <c r="B7" s="2148"/>
      <c r="C7" s="2149"/>
      <c r="D7" s="1776"/>
      <c r="E7" s="1776"/>
      <c r="F7" s="1780"/>
      <c r="G7" s="1780"/>
      <c r="H7" s="1780"/>
      <c r="I7" s="1780"/>
      <c r="J7" s="1780"/>
      <c r="K7" s="1780"/>
      <c r="L7" s="1780"/>
      <c r="M7" s="1780"/>
      <c r="N7" s="1780"/>
      <c r="O7" s="1776"/>
      <c r="P7" s="1780"/>
      <c r="Q7" s="1780"/>
      <c r="R7" s="1780"/>
      <c r="S7" s="1780"/>
      <c r="T7" s="1780"/>
      <c r="U7" s="1780"/>
      <c r="V7" s="1780"/>
      <c r="W7" s="1780"/>
      <c r="X7" s="1780"/>
      <c r="Y7" s="1777"/>
      <c r="Z7" s="1778"/>
      <c r="AA7" s="1779"/>
      <c r="AB7" s="1779"/>
    </row>
    <row customHeight="1" ht="15">
      <c r="A8" s="1775"/>
      <c r="B8" s="2148"/>
      <c r="C8" s="2149"/>
      <c r="D8" s="1781"/>
      <c r="E8" s="1782" t="s">
        <v>4</v>
      </c>
      <c r="F8" s="2151" t="s">
        <v>5</v>
      </c>
      <c r="G8" s="2152"/>
      <c r="H8" s="2152"/>
      <c r="I8" s="2152"/>
      <c r="J8" s="2152"/>
      <c r="K8" s="2152"/>
      <c r="L8" s="2152"/>
      <c r="M8" s="2152"/>
      <c r="N8" s="1781"/>
      <c r="O8" s="1783" t="s">
        <v>4</v>
      </c>
      <c r="P8" s="2153" t="s">
        <v>6</v>
      </c>
      <c r="Q8" s="2154"/>
      <c r="R8" s="2154"/>
      <c r="S8" s="2154"/>
      <c r="T8" s="2154"/>
      <c r="U8" s="2154"/>
      <c r="V8" s="2154"/>
      <c r="W8" s="2154"/>
      <c r="X8" s="2154"/>
      <c r="Y8" s="1777"/>
      <c r="Z8" s="1778"/>
      <c r="AA8" s="1779"/>
      <c r="AB8" s="1779"/>
    </row>
    <row customHeight="1" ht="15">
      <c r="A9" s="1775"/>
      <c r="B9" s="2148"/>
      <c r="C9" s="2149"/>
      <c r="D9" s="1781"/>
      <c r="E9" s="1784" t="s">
        <v>4</v>
      </c>
      <c r="F9" s="2151" t="s">
        <v>7</v>
      </c>
      <c r="G9" s="2152"/>
      <c r="H9" s="2152"/>
      <c r="I9" s="2152"/>
      <c r="J9" s="2152"/>
      <c r="K9" s="2152"/>
      <c r="L9" s="2152"/>
      <c r="M9" s="2152"/>
      <c r="N9" s="1781"/>
      <c r="O9" s="1785" t="s">
        <v>4</v>
      </c>
      <c r="P9" s="2153" t="s">
        <v>8</v>
      </c>
      <c r="Q9" s="2154"/>
      <c r="R9" s="2154"/>
      <c r="S9" s="2154"/>
      <c r="T9" s="2154"/>
      <c r="U9" s="2154"/>
      <c r="V9" s="2154"/>
      <c r="W9" s="2154"/>
      <c r="X9" s="2154"/>
      <c r="Y9" s="1777"/>
      <c r="Z9" s="1778"/>
      <c r="AA9" s="1779"/>
      <c r="AB9" s="1779"/>
    </row>
    <row customHeight="1" ht="30">
      <c r="A10" s="1775"/>
      <c r="B10" s="2148"/>
      <c r="C10" s="2150"/>
      <c r="D10" s="1786"/>
      <c r="E10" s="1787"/>
      <c r="F10" s="1780"/>
      <c r="G10" s="1780"/>
      <c r="H10" s="1780"/>
      <c r="I10" s="1780"/>
      <c r="J10" s="1780"/>
      <c r="K10" s="1780"/>
      <c r="L10" s="1780"/>
      <c r="M10" s="1780"/>
      <c r="N10" s="1780"/>
      <c r="O10" s="1787"/>
      <c r="P10" s="1780"/>
      <c r="Q10" s="1780"/>
      <c r="R10" s="1780"/>
      <c r="S10" s="1780"/>
      <c r="T10" s="1780"/>
      <c r="U10" s="1780"/>
      <c r="V10" s="1780"/>
      <c r="W10" s="1780"/>
      <c r="X10" s="1780"/>
      <c r="Y10" s="1777"/>
      <c r="Z10" s="1778"/>
      <c r="AA10" s="1779"/>
      <c r="AB10" s="1779"/>
    </row>
    <row customHeight="1" ht="19.5">
      <c r="A11" s="1775"/>
      <c r="B11" s="2155" t="s">
        <v>9</v>
      </c>
      <c r="C11" s="2156"/>
      <c r="D11" s="1781"/>
      <c r="E11" s="1788"/>
      <c r="F11" s="1788"/>
      <c r="G11" s="1788"/>
      <c r="H11" s="1788"/>
      <c r="I11" s="1788"/>
      <c r="J11" s="1788"/>
      <c r="K11" s="1788"/>
      <c r="L11" s="1788"/>
      <c r="M11" s="1788"/>
      <c r="N11" s="1788"/>
      <c r="O11" s="1788"/>
      <c r="P11" s="1788"/>
      <c r="Q11" s="1788"/>
      <c r="R11" s="1788"/>
      <c r="S11" s="1788"/>
      <c r="T11" s="1788"/>
      <c r="U11" s="1788"/>
      <c r="V11" s="1788"/>
      <c r="W11" s="1788"/>
      <c r="X11" s="1788"/>
      <c r="Y11" s="1777"/>
      <c r="Z11" s="1778"/>
      <c r="AA11" s="1779"/>
      <c r="AB11" s="1779"/>
    </row>
    <row customHeight="1" ht="69">
      <c r="A12" s="1775"/>
      <c r="B12" s="2148"/>
      <c r="C12" s="2150"/>
      <c r="D12" s="1789"/>
      <c r="E12" s="2152" t="s">
        <v>10</v>
      </c>
      <c r="F12" s="2152"/>
      <c r="G12" s="2152"/>
      <c r="H12" s="2152"/>
      <c r="I12" s="2152"/>
      <c r="J12" s="2152"/>
      <c r="K12" s="2152"/>
      <c r="L12" s="2152"/>
      <c r="M12" s="2152"/>
      <c r="N12" s="2152"/>
      <c r="O12" s="2152"/>
      <c r="P12" s="2152"/>
      <c r="Q12" s="2152"/>
      <c r="R12" s="2152"/>
      <c r="S12" s="2152"/>
      <c r="T12" s="2152"/>
      <c r="U12" s="2152"/>
      <c r="V12" s="2152"/>
      <c r="W12" s="2152"/>
      <c r="X12" s="2152"/>
      <c r="Y12" s="1777"/>
      <c r="Z12" s="1778"/>
      <c r="AA12" s="1779"/>
      <c r="AB12" s="1779"/>
    </row>
    <row customHeight="1" ht="15">
      <c r="A13" s="1775"/>
      <c r="B13" s="2155" t="s">
        <v>11</v>
      </c>
      <c r="C13" s="2156"/>
      <c r="D13" s="1776"/>
      <c r="E13" s="1788"/>
      <c r="F13" s="1788"/>
      <c r="G13" s="1788"/>
      <c r="H13" s="1788"/>
      <c r="I13" s="1788"/>
      <c r="J13" s="1788"/>
      <c r="K13" s="1788"/>
      <c r="L13" s="1788"/>
      <c r="M13" s="1788"/>
      <c r="N13" s="1788"/>
      <c r="O13" s="1788"/>
      <c r="P13" s="1788"/>
      <c r="Q13" s="1788"/>
      <c r="R13" s="1788"/>
      <c r="S13" s="1788"/>
      <c r="T13" s="1788"/>
      <c r="U13" s="1788"/>
      <c r="V13" s="1788"/>
      <c r="W13" s="1788"/>
      <c r="X13" s="1788"/>
      <c r="Y13" s="1777"/>
      <c r="Z13" s="1778"/>
      <c r="AA13" s="1779"/>
      <c r="AB13" s="1779"/>
    </row>
    <row customHeight="1" ht="57">
      <c r="A14" s="1775"/>
      <c r="B14" s="2148"/>
      <c r="C14" s="2149"/>
      <c r="D14" s="1781"/>
      <c r="E14" s="2159" t="s">
        <v>12</v>
      </c>
      <c r="F14" s="2159"/>
      <c r="G14" s="2159"/>
      <c r="H14" s="2159"/>
      <c r="I14" s="2159"/>
      <c r="J14" s="2159"/>
      <c r="K14" s="2159"/>
      <c r="L14" s="2159"/>
      <c r="M14" s="2159"/>
      <c r="N14" s="2159"/>
      <c r="O14" s="2159"/>
      <c r="P14" s="2159"/>
      <c r="Q14" s="2159"/>
      <c r="R14" s="2159"/>
      <c r="S14" s="2159"/>
      <c r="T14" s="2159"/>
      <c r="U14" s="2159"/>
      <c r="V14" s="2159"/>
      <c r="W14" s="2159"/>
      <c r="X14" s="2159"/>
      <c r="Y14" s="1777"/>
      <c r="Z14" s="1778"/>
      <c r="AA14" s="1779"/>
      <c r="AB14" s="1779"/>
    </row>
    <row customHeight="1" ht="16.5">
      <c r="A15" s="1775"/>
      <c r="B15" s="2157"/>
      <c r="C15" s="2158"/>
      <c r="D15" s="1790"/>
      <c r="E15" s="1791"/>
      <c r="F15" s="1791"/>
      <c r="G15" s="1791"/>
      <c r="H15" s="1791"/>
      <c r="I15" s="1791"/>
      <c r="J15" s="1791"/>
      <c r="K15" s="1791"/>
      <c r="L15" s="1791"/>
      <c r="M15" s="1791"/>
      <c r="N15" s="1791"/>
      <c r="O15" s="1791"/>
      <c r="P15" s="1791"/>
      <c r="Q15" s="1791"/>
      <c r="R15" s="1791"/>
      <c r="S15" s="1791"/>
      <c r="T15" s="1791"/>
      <c r="U15" s="1791"/>
      <c r="V15" s="1791"/>
      <c r="W15" s="1791"/>
      <c r="X15" s="1791"/>
      <c r="Y15" s="1792"/>
      <c r="Z15" s="1778"/>
      <c r="AA15" s="1793"/>
      <c r="AB15" s="1779"/>
    </row>
    <row customHeight="1" ht="95.25">
      <c r="A16" s="1767"/>
      <c r="B16" s="2159"/>
      <c r="C16" s="2160"/>
      <c r="D16" s="2160"/>
      <c r="E16" s="2160"/>
      <c r="F16" s="2160"/>
      <c r="G16" s="2160"/>
      <c r="H16" s="2160"/>
      <c r="I16" s="2160"/>
      <c r="J16" s="2160"/>
      <c r="K16" s="2160"/>
      <c r="L16" s="2160"/>
      <c r="M16" s="2160"/>
      <c r="N16" s="2160"/>
      <c r="O16" s="2160"/>
      <c r="P16" s="2160"/>
      <c r="Q16" s="2160"/>
      <c r="R16" s="2160"/>
      <c r="S16" s="2160"/>
      <c r="T16" s="2160"/>
      <c r="U16" s="2160"/>
      <c r="V16" s="2160"/>
      <c r="W16" s="2160"/>
      <c r="X16" s="2160"/>
      <c r="Y16" s="2160"/>
      <c r="Z16" s="1767"/>
      <c r="AA16" s="1769"/>
      <c r="AB16" s="1767"/>
    </row>
    <row customHeight="1" ht="14.25">
      <c r="A17" s="1767"/>
      <c r="B17" s="1767"/>
      <c r="C17" s="1767"/>
      <c r="D17" s="1767"/>
      <c r="E17" s="1767"/>
      <c r="F17" s="1767"/>
      <c r="G17" s="1767"/>
      <c r="H17" s="1767"/>
      <c r="I17" s="1767"/>
      <c r="J17" s="1767"/>
      <c r="K17" s="1767"/>
      <c r="L17" s="1767"/>
      <c r="M17" s="1767"/>
      <c r="N17" s="1767"/>
      <c r="O17" s="1767"/>
      <c r="P17" s="1767"/>
      <c r="Q17" s="1767"/>
      <c r="R17" s="1767"/>
      <c r="S17" s="1767"/>
      <c r="T17" s="1767"/>
      <c r="U17" s="1767"/>
      <c r="V17" s="1767"/>
      <c r="W17" s="1767"/>
      <c r="X17" s="1767"/>
      <c r="Y17" s="1768"/>
      <c r="Z17" s="1767"/>
      <c r="AA17" s="1769"/>
      <c r="AB17" s="1767"/>
    </row>
    <row customHeight="1" ht="14.25">
      <c r="A18" s="1767"/>
      <c r="B18" s="1767"/>
      <c r="C18" s="1767"/>
      <c r="D18" s="1767"/>
      <c r="E18" s="1767"/>
      <c r="F18" s="1767"/>
      <c r="G18" s="1767"/>
      <c r="H18" s="1767"/>
      <c r="I18" s="1767"/>
      <c r="J18" s="1767"/>
      <c r="K18" s="1767"/>
      <c r="L18" s="1767"/>
      <c r="M18" s="1767"/>
      <c r="N18" s="1767"/>
      <c r="O18" s="1767"/>
      <c r="P18" s="1767"/>
      <c r="Q18" s="1767"/>
      <c r="R18" s="1767"/>
      <c r="S18" s="1767"/>
      <c r="T18" s="1767"/>
      <c r="U18" s="1767"/>
      <c r="V18" s="1767"/>
      <c r="W18" s="1767"/>
      <c r="X18" s="1767"/>
      <c r="Y18" s="1768"/>
      <c r="Z18" s="1767"/>
      <c r="AA18" s="1769"/>
      <c r="AB18" s="1767"/>
    </row>
    <row customHeight="1" ht="14.25">
      <c r="A19" s="1767"/>
      <c r="B19" s="1767"/>
      <c r="C19" s="1767"/>
      <c r="D19" s="1767"/>
      <c r="E19" s="1767"/>
      <c r="F19" s="1767"/>
      <c r="G19" s="1767"/>
      <c r="H19" s="1767"/>
      <c r="I19" s="1767"/>
      <c r="J19" s="1767"/>
      <c r="K19" s="1767"/>
      <c r="L19" s="1767"/>
      <c r="M19" s="1767"/>
      <c r="N19" s="1767"/>
      <c r="O19" s="1767"/>
      <c r="P19" s="1767"/>
      <c r="Q19" s="1767"/>
      <c r="R19" s="1767"/>
      <c r="S19" s="1767"/>
      <c r="T19" s="1767"/>
      <c r="U19" s="1767"/>
      <c r="V19" s="1767"/>
      <c r="W19" s="1767"/>
      <c r="X19" s="1767"/>
      <c r="Y19" s="1768"/>
      <c r="Z19" s="1767"/>
      <c r="AA19" s="1769"/>
      <c r="AB19" s="1767"/>
    </row>
    <row customHeight="1" ht="14.25">
      <c r="A20" s="1767"/>
      <c r="B20" s="1767"/>
      <c r="C20" s="1767"/>
      <c r="D20" s="1767"/>
      <c r="E20" s="1767"/>
      <c r="F20" s="1767"/>
      <c r="G20" s="1767"/>
      <c r="H20" s="1767"/>
      <c r="I20" s="1767"/>
      <c r="J20" s="1767"/>
      <c r="K20" s="1767"/>
      <c r="L20" s="1767"/>
      <c r="M20" s="1767"/>
      <c r="N20" s="1767"/>
      <c r="O20" s="1767"/>
      <c r="P20" s="1767"/>
      <c r="Q20" s="1767"/>
      <c r="R20" s="1767"/>
      <c r="S20" s="1767"/>
      <c r="T20" s="1767"/>
      <c r="U20" s="1767"/>
      <c r="V20" s="1767"/>
      <c r="W20" s="1767"/>
      <c r="X20" s="1767"/>
      <c r="Y20" s="1768"/>
      <c r="Z20" s="1767"/>
      <c r="AA20" s="1769"/>
      <c r="AB20" s="1767"/>
    </row>
    <row customHeight="1" ht="14.25">
      <c r="A21" s="1767"/>
      <c r="B21" s="1767"/>
      <c r="C21" s="1767"/>
      <c r="D21" s="1767"/>
      <c r="E21" s="1767"/>
      <c r="F21" s="1767"/>
      <c r="G21" s="1767"/>
      <c r="H21" s="1767"/>
      <c r="I21" s="1767"/>
      <c r="J21" s="1767"/>
      <c r="K21" s="1767"/>
      <c r="L21" s="1767"/>
      <c r="M21" s="1767"/>
      <c r="N21" s="1767"/>
      <c r="O21" s="1767"/>
      <c r="P21" s="1767"/>
      <c r="Q21" s="1767"/>
      <c r="R21" s="1767"/>
      <c r="S21" s="1767"/>
      <c r="T21" s="1767"/>
      <c r="U21" s="1767"/>
      <c r="V21" s="1767"/>
      <c r="W21" s="1767"/>
      <c r="X21" s="1767"/>
      <c r="Y21" s="1768"/>
      <c r="Z21" s="1767"/>
      <c r="AA21" s="1769"/>
      <c r="AB21" s="176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F62F2-3D42-5751-DA0E-66D348F0F74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5297" width="9.140625" hidden="1" customWidth="1"/>
    <col min="2" max="3" style="5053" width="9.140625" hidden="1" customWidth="1"/>
    <col min="4" max="4" style="5349" width="3.00390625" customWidth="1"/>
    <col min="5" max="5" style="5053" width="6.00390625" customWidth="1"/>
    <col min="6" max="6" style="5053" width="1.7109375" hidden="1" customWidth="1"/>
    <col min="7" max="8" style="5053" width="30.00390625" customWidth="1"/>
    <col min="9" max="9" style="5053" width="8.00390625" customWidth="1"/>
    <col min="10" max="10" style="5053" width="12.140625" customWidth="1"/>
    <col min="11" max="11" style="5053" width="46.00390625" customWidth="1"/>
    <col min="12" max="12" style="5053" width="100.00390625" customWidth="1"/>
    <col min="13" max="13" style="3439" width="7.00390625" customWidth="1"/>
    <col min="14" max="22" style="5053" width="10.00390625" customWidth="1"/>
    <col min="23" max="23" style="5053" width="10.57421875" hidden="1"/>
  </cols>
  <sheetData>
    <row s="4562" customFormat="1" customHeight="1" ht="5.25" hidden="1">
      <c r="C1" s="577"/>
      <c r="D1" s="560"/>
      <c r="F1" s="577"/>
      <c r="G1" s="555" t="s">
        <v>88</v>
      </c>
      <c r="H1" s="555" t="s">
        <v>89</v>
      </c>
      <c r="I1" s="555" t="s">
        <v>90</v>
      </c>
      <c r="P1" s="555" t="s">
        <v>88</v>
      </c>
      <c r="Q1" s="555" t="s">
        <v>89</v>
      </c>
      <c r="R1" s="555" t="s">
        <v>90</v>
      </c>
      <c r="W1" s="555" t="s">
        <v>14</v>
      </c>
    </row>
    <row s="4562" customFormat="1" customHeight="1" ht="5.25" hidden="1">
      <c r="C2" s="577"/>
      <c r="D2" s="560"/>
      <c r="F2" s="577"/>
      <c r="W2" s="555">
        <v>0</v>
      </c>
    </row>
    <row s="3392" customFormat="1" customHeight="1" ht="5.25">
      <c r="A3" s="545"/>
      <c r="D3" s="552"/>
      <c r="E3" s="547"/>
      <c r="F3" s="547"/>
      <c r="G3" s="547"/>
      <c r="H3" s="547"/>
      <c r="I3" s="548"/>
      <c r="J3" s="549"/>
      <c r="K3" s="549"/>
      <c r="L3" s="549"/>
      <c r="W3" s="546">
        <v>5</v>
      </c>
    </row>
    <row customHeight="1" ht="23.25">
      <c r="D4" s="516"/>
      <c r="E4" s="2304" t="s">
        <v>397</v>
      </c>
      <c r="F4" s="2304"/>
      <c r="G4" s="2305"/>
      <c r="H4" s="2305"/>
      <c r="I4" s="2306"/>
      <c r="J4" s="557"/>
      <c r="K4" s="519"/>
      <c r="L4" s="519"/>
      <c r="W4" s="513">
        <v>22</v>
      </c>
    </row>
    <row s="5053" customFormat="1" customHeight="1" ht="18">
      <c r="A5" s="825"/>
      <c r="D5" s="888"/>
      <c r="E5" s="2280" t="str">
        <f>IF(org=0,"Не определено",org)</f>
        <v>Филиал "Уренгойская ГРЭС" АО "Интер РАО - Электрогенерация"</v>
      </c>
      <c r="F5" s="2280"/>
      <c r="G5" s="2281"/>
      <c r="H5" s="2281"/>
      <c r="I5" s="2282"/>
      <c r="J5" s="557"/>
      <c r="K5" s="519"/>
      <c r="L5" s="519"/>
      <c r="M5" s="573"/>
      <c r="W5" s="824">
        <v>17</v>
      </c>
    </row>
    <row s="3392" customFormat="1" customHeight="1" ht="11.549999999999999">
      <c r="A6" s="545"/>
      <c r="D6" s="552"/>
      <c r="E6" s="547"/>
      <c r="F6" s="547"/>
      <c r="G6" s="550"/>
      <c r="H6" s="550"/>
      <c r="I6" s="551"/>
      <c r="J6" s="551"/>
      <c r="K6" s="818"/>
      <c r="L6" s="551"/>
      <c r="W6" s="546">
        <v>11</v>
      </c>
    </row>
    <row customHeight="1" ht="14.699999999999998">
      <c r="D7" s="516"/>
      <c r="E7" s="2274" t="s">
        <v>309</v>
      </c>
      <c r="F7" s="2274"/>
      <c r="G7" s="2275"/>
      <c r="H7" s="2275"/>
      <c r="I7" s="2275"/>
      <c r="J7" s="2275"/>
      <c r="K7" s="2275"/>
      <c r="L7" s="2289" t="s">
        <v>310</v>
      </c>
      <c r="W7" s="513">
        <v>14</v>
      </c>
    </row>
    <row customHeight="1" ht="48.29999999999999">
      <c r="D8" s="516"/>
      <c r="E8" s="539" t="s">
        <v>93</v>
      </c>
      <c r="F8" s="889"/>
      <c r="G8" s="531" t="s">
        <v>91</v>
      </c>
      <c r="H8" s="531" t="s">
        <v>92</v>
      </c>
      <c r="I8" s="480" t="s">
        <v>90</v>
      </c>
      <c r="J8" s="480" t="s">
        <v>398</v>
      </c>
      <c r="K8" s="480" t="s">
        <v>399</v>
      </c>
      <c r="L8" s="2289"/>
      <c r="W8" s="513">
        <v>46</v>
      </c>
    </row>
    <row customHeight="1" ht="12" hidden="1">
      <c r="D9" s="553"/>
      <c r="E9" s="559"/>
      <c r="F9" s="896"/>
      <c r="G9" s="559"/>
      <c r="H9" s="559"/>
      <c r="I9" s="559"/>
      <c r="J9" s="559"/>
      <c r="K9" s="559"/>
      <c r="L9" s="559"/>
      <c r="M9" s="513"/>
      <c r="W9" s="513">
        <v>0</v>
      </c>
    </row>
    <row customHeight="1" ht="14.25" hidden="1">
      <c r="A10" s="571"/>
      <c r="B10" s="571"/>
      <c r="D10" s="572"/>
      <c r="E10" s="578">
        <v>0</v>
      </c>
      <c r="F10" s="887"/>
      <c r="G10" s="574"/>
      <c r="H10" s="574"/>
      <c r="I10" s="574"/>
      <c r="J10" s="574"/>
      <c r="K10" s="574"/>
      <c r="L10" s="2287" t="s">
        <v>400</v>
      </c>
      <c r="M10" s="573"/>
      <c r="N10" s="571"/>
      <c r="O10" s="571"/>
      <c r="P10" s="571"/>
      <c r="Q10" s="571"/>
      <c r="R10" s="571"/>
      <c r="S10" s="571"/>
      <c r="T10" s="571"/>
      <c r="U10" s="571"/>
      <c r="V10" s="571"/>
      <c r="W10" s="513">
        <v>0</v>
      </c>
    </row>
    <row customHeight="1" ht="15" hidden="1">
      <c r="A11" s="2165"/>
      <c r="B11" s="570"/>
      <c r="C11" s="570"/>
      <c r="D11" s="931"/>
      <c r="E11" s="579"/>
      <c r="F11" s="579"/>
      <c r="G11" s="579"/>
      <c r="H11" s="579"/>
      <c r="I11" s="580"/>
      <c r="J11" s="581"/>
      <c r="K11" s="779"/>
      <c r="L11" s="2307"/>
      <c r="M11" s="577"/>
      <c r="N11" s="577"/>
      <c r="O11" s="577"/>
      <c r="P11" s="582"/>
      <c r="Q11" s="582"/>
      <c r="R11" s="583"/>
      <c r="S11" s="577"/>
      <c r="T11" s="577"/>
      <c r="U11" s="577"/>
      <c r="V11" s="577"/>
      <c r="W11" s="513">
        <v>0</v>
      </c>
    </row>
    <row s="3392" customFormat="1" customHeight="1" ht="15">
      <c r="A12" s="2165"/>
      <c r="B12" s="570"/>
      <c r="C12" s="570"/>
      <c r="D12" s="932"/>
      <c r="E12" s="889">
        <v>1</v>
      </c>
      <c r="F12" s="930">
        <v>23</v>
      </c>
      <c r="G12" s="929"/>
      <c r="H12" s="859"/>
      <c r="I12" s="857"/>
      <c r="J12" s="586" t="s">
        <v>71</v>
      </c>
      <c r="K12" s="1230" t="s">
        <v>28</v>
      </c>
      <c r="L12" s="2307"/>
      <c r="M12" s="577"/>
      <c r="N12" s="577"/>
      <c r="O12" s="577"/>
      <c r="P12" s="582" t="s">
        <v>401</v>
      </c>
      <c r="Q12" s="582" t="s">
        <v>402</v>
      </c>
      <c r="R12" s="583" t="s">
        <v>403</v>
      </c>
      <c r="S12" s="577" t="s">
        <v>404</v>
      </c>
      <c r="T12" s="577"/>
      <c r="U12" s="577"/>
      <c r="V12" s="577"/>
      <c r="W12" s="546">
        <v>14</v>
      </c>
    </row>
    <row customHeight="1" ht="15.75">
      <c r="A13" s="2165"/>
      <c r="B13" s="571"/>
      <c r="D13" s="572"/>
      <c r="E13" s="471"/>
      <c r="F13" s="595"/>
      <c r="G13" s="482" t="s">
        <v>107</v>
      </c>
      <c r="H13" s="470"/>
      <c r="I13" s="470"/>
      <c r="J13" s="470"/>
      <c r="K13" s="469"/>
      <c r="L13" s="2288"/>
      <c r="M13" s="575"/>
      <c r="N13" s="571"/>
      <c r="O13" s="571"/>
      <c r="P13" s="571"/>
      <c r="Q13" s="571"/>
      <c r="R13" s="571"/>
      <c r="S13" s="571"/>
      <c r="T13" s="571"/>
      <c r="U13" s="571"/>
      <c r="V13" s="571"/>
      <c r="W13" s="513">
        <v>15</v>
      </c>
    </row>
    <row customHeight="1" ht="11.549999999999999">
      <c r="A14" s="545"/>
      <c r="B14" s="546"/>
      <c r="C14" s="546"/>
      <c r="D14" s="561"/>
      <c r="E14" s="546"/>
      <c r="F14" s="546"/>
      <c r="G14" s="546"/>
      <c r="H14" s="546"/>
      <c r="I14" s="546"/>
      <c r="J14" s="546"/>
      <c r="K14" s="546"/>
      <c r="L14" s="546"/>
      <c r="M14" s="546"/>
      <c r="N14" s="546"/>
      <c r="O14" s="546"/>
      <c r="P14" s="546"/>
      <c r="Q14" s="546"/>
      <c r="R14" s="546"/>
      <c r="S14" s="546"/>
      <c r="T14" s="546"/>
      <c r="U14" s="546"/>
      <c r="V14" s="546"/>
      <c r="W14" s="513">
        <v>11</v>
      </c>
    </row>
    <row customHeight="1" ht="14.699999999999998">
      <c r="D15" s="532"/>
      <c r="E15" s="402"/>
      <c r="F15" s="402"/>
      <c r="G15" s="73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2"/>
      <c r="I15" s="532"/>
      <c r="J15" s="532"/>
      <c r="K15" s="532"/>
      <c r="L15" s="532"/>
      <c r="W15" s="513">
        <v>14</v>
      </c>
    </row>
    <row customHeight="1" ht="14.699999999999998">
      <c r="W16" s="513">
        <v>14</v>
      </c>
    </row>
    <row customHeight="1" ht="14.699999999999998">
      <c r="W17" s="513">
        <v>14</v>
      </c>
    </row>
    <row customHeight="1" ht="14.699999999999998">
      <c r="G18" s="571"/>
      <c r="W18" s="513">
        <v>14</v>
      </c>
    </row>
    <row customHeight="1" ht="22.5" hidden="1">
      <c r="A19" s="515" t="s">
        <v>87</v>
      </c>
      <c r="B19" s="513">
        <v>0</v>
      </c>
      <c r="C19" s="824">
        <v>0</v>
      </c>
      <c r="D19" s="517">
        <v>3</v>
      </c>
      <c r="E19" s="513">
        <v>6</v>
      </c>
      <c r="F19" s="824">
        <v>0</v>
      </c>
      <c r="G19" s="513">
        <v>30</v>
      </c>
      <c r="H19" s="513">
        <v>30</v>
      </c>
      <c r="I19" s="513">
        <v>8</v>
      </c>
      <c r="J19" s="513">
        <v>12</v>
      </c>
      <c r="K19" s="513">
        <v>46</v>
      </c>
      <c r="L19" s="513">
        <v>100</v>
      </c>
      <c r="M19" s="518">
        <v>7</v>
      </c>
      <c r="N19" s="513">
        <v>10</v>
      </c>
      <c r="O19" s="513">
        <v>10</v>
      </c>
      <c r="P19" s="513">
        <v>10</v>
      </c>
      <c r="Q19" s="513">
        <v>10</v>
      </c>
      <c r="R19" s="513">
        <v>10</v>
      </c>
      <c r="S19" s="513">
        <v>10</v>
      </c>
      <c r="T19" s="513">
        <v>10</v>
      </c>
      <c r="U19" s="513">
        <v>10</v>
      </c>
      <c r="V19" s="513">
        <v>10</v>
      </c>
      <c r="W19" s="51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EBB62-3E31-D55F-64F1-0089138D08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002" width="10.57421875" hidden="1"/>
    <col min="2" max="2" style="5002" width="11.00390625" hidden="1" customWidth="1"/>
    <col min="3" max="3" style="5002" width="10.57421875" hidden="1"/>
    <col min="4" max="4" style="5002" width="11.8515625" hidden="1" customWidth="1"/>
    <col min="5" max="5" style="5002" width="10.00390625" hidden="1" customWidth="1"/>
    <col min="6" max="6" style="5002" width="8.7109375" hidden="1" customWidth="1"/>
    <col min="7" max="7" style="5002" width="7.57421875" hidden="1" customWidth="1"/>
    <col min="8" max="8" style="5002" width="11.421875" hidden="1" customWidth="1"/>
    <col min="9" max="9" style="5002" width="12.00390625" hidden="1" customWidth="1"/>
    <col min="10" max="10" style="5002" width="9.8515625" hidden="1" customWidth="1"/>
    <col min="11" max="11" style="5002" width="11.421875" hidden="1" customWidth="1"/>
    <col min="12" max="12" style="5519" width="19.140625" hidden="1" customWidth="1"/>
    <col min="13" max="14" style="4246" width="12.28125" hidden="1" customWidth="1"/>
    <col min="15" max="15" style="4246" width="23.421875" hidden="1" customWidth="1"/>
    <col min="16" max="16" style="5737" width="3.00390625" customWidth="1"/>
    <col min="17" max="18" style="5023" width="3.00390625" customWidth="1"/>
    <col min="19" max="19" style="5711" width="12.00390625" customWidth="1"/>
    <col min="20" max="20" style="5053" width="35.00390625" customWidth="1"/>
    <col min="21" max="21" style="5053" width="0.140625" customWidth="1"/>
    <col min="22" max="22" style="5053" width="24.7109375" hidden="1" customWidth="1"/>
    <col min="23" max="23" style="5053" width="0.140625" hidden="1" customWidth="1"/>
    <col min="24" max="25" style="5053" width="24.7109375" hidden="1" customWidth="1"/>
    <col min="26" max="26" style="5053" width="11.7109375" hidden="1" customWidth="1"/>
    <col min="27" max="27" style="5053" width="3.7109375" hidden="1" customWidth="1"/>
    <col min="28" max="28" style="5053" width="11.7109375" hidden="1" customWidth="1"/>
    <col min="29" max="29" style="5053" width="8.57421875" hidden="1" customWidth="1"/>
    <col min="30" max="30" style="5053" width="24.7109375" customWidth="1"/>
    <col min="31" max="31" style="5053" width="0.140625" customWidth="1"/>
    <col min="32" max="33" style="5053" width="24.00390625" customWidth="1"/>
    <col min="34" max="34" style="5053" width="11.00390625" customWidth="1"/>
    <col min="35" max="35" style="5053" width="3.7109375" customWidth="1"/>
    <col min="36" max="36" style="5053" width="11.00390625" customWidth="1"/>
    <col min="37" max="37" style="5053" width="8.57421875" hidden="1" customWidth="1"/>
    <col min="38" max="38" style="5053" width="4.00390625" customWidth="1"/>
    <col min="39" max="39" style="5053" width="115.00390625" customWidth="1"/>
    <col min="40" max="44" style="4562" width="10.00390625" customWidth="1"/>
    <col min="45" max="45" style="5053"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375">
        <f>INDEX(PT_DIFFERENTIATION_NUM_NTAR,MATCH(A2,PT_DIFFERENTIATION_NTAR_ID,0))</f>
      </c>
      <c r="T2" s="364" t="s">
        <v>128</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70"/>
      <c r="Q3" s="418"/>
      <c r="R3" s="419"/>
      <c r="S3" s="1375">
        <f>INDEX(PT_DIFFERENTIATION_NUM_TER,MATCH(B3,PT_DIFFERENTIATION_TER_ID,0))</f>
      </c>
      <c r="T3" s="374"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375">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409</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375">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411</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412</v>
      </c>
      <c r="M6" s="603"/>
      <c r="P6" s="2323">
        <v>1</v>
      </c>
      <c r="Q6" s="1371"/>
      <c r="R6" s="422"/>
      <c r="S6" s="1375">
        <f>$I6</f>
      </c>
      <c r="T6" s="351" t="s">
        <v>413</v>
      </c>
      <c r="U6" s="366"/>
      <c r="V6" s="2311"/>
      <c r="W6" s="2312"/>
      <c r="X6" s="2312"/>
      <c r="Y6" s="2312"/>
      <c r="Z6" s="2312"/>
      <c r="AA6" s="2312"/>
      <c r="AB6" s="2312"/>
      <c r="AC6" s="2313"/>
      <c r="AD6" s="2311"/>
      <c r="AE6" s="2312"/>
      <c r="AF6" s="2312"/>
      <c r="AG6" s="2312"/>
      <c r="AH6" s="2312"/>
      <c r="AI6" s="2312"/>
      <c r="AJ6" s="2312"/>
      <c r="AK6" s="2312"/>
      <c r="AL6" s="2313"/>
      <c r="AM6" s="1324" t="s">
        <v>414</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415</v>
      </c>
      <c r="M7" s="603"/>
      <c r="N7" s="1432"/>
      <c r="P7" s="2323"/>
      <c r="Q7" s="2323">
        <v>1</v>
      </c>
      <c r="R7" s="423"/>
      <c r="S7" s="1375">
        <f>$J7</f>
      </c>
      <c r="T7" s="352" t="s">
        <v>416</v>
      </c>
      <c r="U7" s="366"/>
      <c r="V7" s="2311"/>
      <c r="W7" s="2312"/>
      <c r="X7" s="2312"/>
      <c r="Y7" s="2312"/>
      <c r="Z7" s="2312"/>
      <c r="AA7" s="2312"/>
      <c r="AB7" s="2312"/>
      <c r="AC7" s="2313"/>
      <c r="AD7" s="2311"/>
      <c r="AE7" s="2312"/>
      <c r="AF7" s="2312"/>
      <c r="AG7" s="2312"/>
      <c r="AH7" s="2312"/>
      <c r="AI7" s="2312"/>
      <c r="AJ7" s="2312"/>
      <c r="AK7" s="2312"/>
      <c r="AL7" s="2313"/>
      <c r="AM7" s="1324" t="s">
        <v>417</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418</v>
      </c>
      <c r="M8" s="603"/>
      <c r="N8" s="1432"/>
      <c r="O8" s="1432"/>
      <c r="P8" s="2323"/>
      <c r="Q8" s="2323"/>
      <c r="R8" s="423">
        <v>1</v>
      </c>
      <c r="S8" s="1375">
        <f>$K8</f>
      </c>
      <c r="T8" s="1413"/>
      <c r="U8" s="366"/>
      <c r="V8" s="817"/>
      <c r="W8" s="391"/>
      <c r="X8" s="817"/>
      <c r="Y8" s="1323"/>
      <c r="Z8" s="2331"/>
      <c r="AA8" s="2173" t="s">
        <v>71</v>
      </c>
      <c r="AB8" s="2331"/>
      <c r="AC8" s="2173" t="s">
        <v>71</v>
      </c>
      <c r="AD8" s="817"/>
      <c r="AE8" s="391"/>
      <c r="AF8" s="817"/>
      <c r="AG8" s="1323"/>
      <c r="AH8" s="2331"/>
      <c r="AI8" s="2173" t="s">
        <v>71</v>
      </c>
      <c r="AJ8" s="2331"/>
      <c r="AK8" s="2173" t="s">
        <v>71</v>
      </c>
      <c r="AL8" s="391"/>
      <c r="AM8" s="2319" t="s">
        <v>419</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372"/>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420</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71"/>
      <c r="R11" s="422"/>
      <c r="S11" s="1344"/>
      <c r="T11" s="353" t="s">
        <v>421</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422</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562"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173</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562"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174</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562"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175</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P17" s="1377"/>
      <c r="AD17" s="1426"/>
      <c r="AE17" s="1426"/>
      <c r="AF17" s="1426"/>
      <c r="AG17" s="1427"/>
      <c r="AH17" s="2333"/>
      <c r="AI17" s="2334" t="s">
        <v>71</v>
      </c>
      <c r="AJ17" s="2333"/>
      <c r="AK17" s="2334" t="s">
        <v>71</v>
      </c>
      <c r="AS17" s="1221">
        <v>0</v>
      </c>
    </row>
    <row customHeight="1" ht="14.25" hidden="1">
      <c r="P18" s="1377"/>
      <c r="AD18" s="1426"/>
      <c r="AE18" s="1426"/>
      <c r="AF18" s="1426"/>
      <c r="AG18" s="394" t="str">
        <f>AH17&amp;"-"&amp;AJ17</f>
        <v>-</v>
      </c>
      <c r="AH18" s="2334"/>
      <c r="AI18" s="2334"/>
      <c r="AJ18" s="2334"/>
      <c r="AK18" s="2334"/>
      <c r="AS18" s="1221">
        <v>0</v>
      </c>
    </row>
    <row customHeight="1" ht="14.25" hidden="1">
      <c r="P19" s="1377"/>
      <c r="AK19" s="393"/>
      <c r="AS19" s="1221">
        <v>0</v>
      </c>
    </row>
    <row s="5002" customFormat="1" customHeight="1" ht="22.5" hidden="1">
      <c r="L20" s="1395"/>
      <c r="M20" s="1428"/>
      <c r="N20" s="1428"/>
      <c r="O20" s="1433" t="s">
        <v>423</v>
      </c>
      <c r="P20" s="1428"/>
      <c r="Q20" s="1437"/>
      <c r="R20" s="1437"/>
      <c r="S20" s="795"/>
      <c r="Z20" s="1433"/>
      <c r="AB20" s="1433"/>
      <c r="AC20" s="1432"/>
      <c r="AH20" s="1433"/>
      <c r="AJ20" s="1433"/>
      <c r="AK20" s="1432"/>
      <c r="AN20" s="577"/>
      <c r="AO20" s="577"/>
      <c r="AP20" s="577"/>
      <c r="AQ20" s="577"/>
      <c r="AR20" s="577"/>
      <c r="AS20" s="1226">
        <v>0</v>
      </c>
    </row>
    <row s="5002" customFormat="1" customHeight="1" ht="14.25" hidden="1">
      <c r="L21" s="1395"/>
      <c r="M21" s="1428"/>
      <c r="N21" s="1428"/>
      <c r="O21" s="1428"/>
      <c r="P21" s="1428"/>
      <c r="Q21" s="1437"/>
      <c r="R21" s="1437"/>
      <c r="S21" s="795"/>
      <c r="AC21" s="1432"/>
      <c r="AK21" s="1432"/>
      <c r="AN21" s="577"/>
      <c r="AO21" s="577"/>
      <c r="AP21" s="577"/>
      <c r="AQ21" s="577"/>
      <c r="AR21" s="577"/>
      <c r="AS21" s="1226">
        <v>0</v>
      </c>
    </row>
    <row s="5002" customFormat="1" customHeight="1" ht="14.25" hidden="1">
      <c r="L22" s="1395"/>
      <c r="M22" s="1428"/>
      <c r="N22" s="1428"/>
      <c r="O22" s="1430" t="s">
        <v>424</v>
      </c>
      <c r="P22" s="1428"/>
      <c r="Q22" s="1437"/>
      <c r="R22" s="1437"/>
      <c r="S22" s="795"/>
      <c r="T22" s="1226" t="s">
        <v>425</v>
      </c>
      <c r="AA22" s="252" t="s">
        <v>426</v>
      </c>
      <c r="AC22" s="252" t="s">
        <v>427</v>
      </c>
      <c r="AD22" s="1226" t="s">
        <v>425</v>
      </c>
      <c r="AI22" s="252" t="s">
        <v>428</v>
      </c>
      <c r="AK22" s="252" t="s">
        <v>427</v>
      </c>
      <c r="AN22" s="577"/>
      <c r="AO22" s="577"/>
      <c r="AP22" s="577"/>
      <c r="AQ22" s="577"/>
      <c r="AR22" s="577"/>
      <c r="AS22" s="1226">
        <v>0</v>
      </c>
    </row>
    <row customHeight="1" ht="14.25" hidden="1">
      <c r="O23" s="1430"/>
      <c r="P23" s="1377"/>
      <c r="AS23" s="1221">
        <v>0</v>
      </c>
    </row>
    <row customHeight="1" ht="14.25" hidden="1">
      <c r="O24" s="1430"/>
      <c r="P24" s="1377"/>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597"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Департамент тарифной политики, энергетики и ЖКК ЯНАО </v>
      </c>
      <c r="W29" s="2317"/>
      <c r="X29" s="2317"/>
      <c r="Y29" s="2317"/>
      <c r="Z29" s="2317"/>
      <c r="AA29" s="2317"/>
      <c r="AB29" s="2317"/>
      <c r="AC29" s="392"/>
      <c r="AD29" s="2317" t="str">
        <f>IF(TITLE_NAME_OR_PR_CHANGE="",IF(TITLE_NAME_OR_PR="","",TITLE_NAME_OR_PR),TITLE_NAME_OR_PR_CHANGE)</f>
        <v>Департамент тарифной политики, энергетики и ЖКК ЯНАО </v>
      </c>
      <c r="AE29" s="2317"/>
      <c r="AF29" s="2317"/>
      <c r="AG29" s="2317"/>
      <c r="AH29" s="2317"/>
      <c r="AI29" s="2317"/>
      <c r="AJ29" s="2317"/>
      <c r="AK29" s="392"/>
      <c r="AL29" s="392"/>
      <c r="AM29" s="346"/>
      <c r="AN29" s="434"/>
      <c r="AO29" s="434"/>
      <c r="AP29" s="434"/>
      <c r="AQ29" s="434"/>
      <c r="AR29" s="434"/>
      <c r="AS29" s="484">
        <v>0</v>
      </c>
    </row>
    <row s="5597" customFormat="1" customHeight="1" ht="18.75">
      <c r="A30" s="1434"/>
      <c r="B30" s="1434"/>
      <c r="C30" s="1434"/>
      <c r="D30" s="1434"/>
      <c r="E30" s="1434"/>
      <c r="F30" s="1434"/>
      <c r="G30" s="1434"/>
      <c r="H30" s="1434"/>
      <c r="I30" s="1434"/>
      <c r="J30" s="1434"/>
      <c r="K30" s="1434"/>
      <c r="L30" s="1435"/>
      <c r="M30" s="1434"/>
      <c r="N30" s="1434"/>
      <c r="O30" s="1434"/>
      <c r="S30" s="2316" t="s">
        <v>429</v>
      </c>
      <c r="T30" s="2316"/>
      <c r="U30" s="1438"/>
      <c r="V30" s="2330" t="str">
        <f>IF(TITLE_DATE_PR_CHANGE="",IF(TITLE_DATE_PR="","",TITLE_DATE_PR),TITLE_DATE_PR_CHANGE)</f>
        <v>45631.41619212963</v>
      </c>
      <c r="W30" s="2330"/>
      <c r="X30" s="2330"/>
      <c r="Y30" s="2330"/>
      <c r="Z30" s="2330"/>
      <c r="AA30" s="2330"/>
      <c r="AB30" s="2330"/>
      <c r="AC30" s="392"/>
      <c r="AD30" s="2330" t="str">
        <f>IF(TITLE_DATE_PR_CHANGE="",IF(TITLE_DATE_PR="","",TITLE_DATE_PR),TITLE_DATE_PR_CHANGE)</f>
        <v>45631.41619212963</v>
      </c>
      <c r="AE30" s="2330"/>
      <c r="AF30" s="2330"/>
      <c r="AG30" s="2330"/>
      <c r="AH30" s="2330"/>
      <c r="AI30" s="2330"/>
      <c r="AJ30" s="2330"/>
      <c r="AK30" s="392"/>
      <c r="AL30" s="392"/>
      <c r="AM30" s="346"/>
      <c r="AN30" s="434"/>
      <c r="AO30" s="434"/>
      <c r="AP30" s="434"/>
      <c r="AQ30" s="434"/>
      <c r="AR30" s="434"/>
      <c r="AS30" s="484">
        <v>0</v>
      </c>
    </row>
    <row s="5597" customFormat="1" customHeight="1" ht="18.75">
      <c r="A31" s="1434"/>
      <c r="B31" s="1434"/>
      <c r="C31" s="1434"/>
      <c r="D31" s="1434"/>
      <c r="E31" s="1434"/>
      <c r="F31" s="1434"/>
      <c r="G31" s="1434"/>
      <c r="H31" s="1434"/>
      <c r="I31" s="1434"/>
      <c r="J31" s="1434"/>
      <c r="K31" s="1434"/>
      <c r="L31" s="1435"/>
      <c r="M31" s="1434"/>
      <c r="N31" s="1434"/>
      <c r="O31" s="1434"/>
      <c r="S31" s="2316" t="s">
        <v>430</v>
      </c>
      <c r="T31" s="2316"/>
      <c r="U31" s="1438"/>
      <c r="V31" s="2317" t="str">
        <f>IF(TITLE_NUMBER_PR_CHANGE="",IF(TITLE_NUMBER_PR="","",TITLE_NUMBER_PR),TITLE_NUMBER_PR_CHANGE)</f>
        <v>447-т</v>
      </c>
      <c r="W31" s="2317"/>
      <c r="X31" s="2317"/>
      <c r="Y31" s="2317"/>
      <c r="Z31" s="2317"/>
      <c r="AA31" s="2317"/>
      <c r="AB31" s="2317"/>
      <c r="AC31" s="392"/>
      <c r="AD31" s="2317" t="str">
        <f>IF(TITLE_NUMBER_PR_CHANGE="",IF(TITLE_NUMBER_PR="","",TITLE_NUMBER_PR),TITLE_NUMBER_PR_CHANGE)</f>
        <v>447-т</v>
      </c>
      <c r="AE31" s="2317"/>
      <c r="AF31" s="2317"/>
      <c r="AG31" s="2317"/>
      <c r="AH31" s="2317"/>
      <c r="AI31" s="2317"/>
      <c r="AJ31" s="2317"/>
      <c r="AK31" s="392"/>
      <c r="AL31" s="392"/>
      <c r="AM31" s="346"/>
      <c r="AN31" s="434"/>
      <c r="AO31" s="434"/>
      <c r="AP31" s="434"/>
      <c r="AQ31" s="434"/>
      <c r="AR31" s="434"/>
      <c r="AS31" s="484">
        <v>0</v>
      </c>
    </row>
    <row s="5597"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Официальный сайт Департамента тарифной политики, энергетики и ЖКК ЯНАО, https://rek-yamal.ru, 05.12.2024</v>
      </c>
      <c r="W32" s="2317"/>
      <c r="X32" s="2317"/>
      <c r="Y32" s="2317"/>
      <c r="Z32" s="2317"/>
      <c r="AA32" s="2317"/>
      <c r="AB32" s="2317"/>
      <c r="AC32" s="392"/>
      <c r="AD32" s="2317" t="str">
        <f>IF(TITLE_IST_PUB_CHANGE="",IF(TITLE_IST_PUB="","",TITLE_IST_PUB),TITLE_IST_PUB_CHANGE)</f>
        <v>Официальный сайт Департамента тарифной политики, энергетики и ЖКК ЯНАО, https://rek-yamal.ru, 05.12.2024</v>
      </c>
      <c r="AE32" s="2317"/>
      <c r="AF32" s="2317"/>
      <c r="AG32" s="2317"/>
      <c r="AH32" s="2317"/>
      <c r="AI32" s="2317"/>
      <c r="AJ32" s="2317"/>
      <c r="AK32" s="392"/>
      <c r="AL32" s="392"/>
      <c r="AM32" s="346"/>
      <c r="AN32" s="434"/>
      <c r="AO32" s="434"/>
      <c r="AP32" s="434"/>
      <c r="AQ32" s="434"/>
      <c r="AR32" s="434"/>
      <c r="AS32" s="484">
        <v>0</v>
      </c>
    </row>
    <row customHeight="1" ht="14.25" hidden="1">
      <c r="P33" s="1394"/>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597" customFormat="1" customHeight="1" ht="18.75" hidden="1">
      <c r="A34" s="1434"/>
      <c r="B34" s="1434"/>
      <c r="C34" s="1434"/>
      <c r="D34" s="1434"/>
      <c r="E34" s="1434"/>
      <c r="F34" s="1434"/>
      <c r="G34" s="1434"/>
      <c r="H34" s="1434"/>
      <c r="I34" s="1434"/>
      <c r="J34" s="1434"/>
      <c r="K34" s="1434"/>
      <c r="L34" s="1435"/>
      <c r="M34" s="1434"/>
      <c r="N34" s="1434"/>
      <c r="O34" s="1434"/>
      <c r="S34" s="2316" t="s">
        <v>431</v>
      </c>
      <c r="T34" s="2316"/>
      <c r="U34" s="1438"/>
      <c r="V34" s="2330" t="str">
        <f>IF(TITLE_DATE_PR_CHANGE="",IF(TITLE_DATE_PR="","",TITLE_DATE_PR),TITLE_DATE_PR_CHANGE)</f>
        <v>45631.41619212963</v>
      </c>
      <c r="W34" s="2330"/>
      <c r="X34" s="2330"/>
      <c r="Y34" s="2330"/>
      <c r="Z34" s="2330"/>
      <c r="AA34" s="2330"/>
      <c r="AB34" s="2330"/>
      <c r="AC34" s="392"/>
      <c r="AD34" s="2330" t="str">
        <f>IF(TITLE_DATE_PR_CHANGE="",IF(TITLE_DATE_PR="","",TITLE_DATE_PR),TITLE_DATE_PR_CHANGE)</f>
        <v>45631.41619212963</v>
      </c>
      <c r="AE34" s="2330"/>
      <c r="AF34" s="2330"/>
      <c r="AG34" s="2330"/>
      <c r="AH34" s="2330"/>
      <c r="AI34" s="2330"/>
      <c r="AJ34" s="2330"/>
      <c r="AK34" s="392"/>
      <c r="AL34" s="392"/>
      <c r="AM34" s="346"/>
      <c r="AN34" s="434"/>
      <c r="AO34" s="434"/>
      <c r="AP34" s="434"/>
      <c r="AQ34" s="434"/>
      <c r="AR34" s="434"/>
      <c r="AS34" s="484">
        <v>0</v>
      </c>
    </row>
    <row s="5597" customFormat="1" customHeight="1" ht="18.75" hidden="1">
      <c r="A35" s="1434"/>
      <c r="B35" s="1434"/>
      <c r="C35" s="1434"/>
      <c r="D35" s="1434"/>
      <c r="E35" s="1434"/>
      <c r="F35" s="1434"/>
      <c r="G35" s="1434"/>
      <c r="H35" s="1434"/>
      <c r="I35" s="1434"/>
      <c r="J35" s="1434"/>
      <c r="K35" s="1434"/>
      <c r="L35" s="1435"/>
      <c r="M35" s="1434"/>
      <c r="N35" s="1434"/>
      <c r="O35" s="1434"/>
      <c r="S35" s="2316" t="s">
        <v>432</v>
      </c>
      <c r="T35" s="2316"/>
      <c r="U35" s="1438"/>
      <c r="V35" s="2317" t="str">
        <f>IF(TITLE_NUMBER_PR_CHANGE="",IF(TITLE_NUMBER_PR="","",TITLE_NUMBER_PR),TITLE_NUMBER_PR_CHANGE)</f>
        <v>447-т</v>
      </c>
      <c r="W35" s="2317"/>
      <c r="X35" s="2317"/>
      <c r="Y35" s="2317"/>
      <c r="Z35" s="2317"/>
      <c r="AA35" s="2317"/>
      <c r="AB35" s="2317"/>
      <c r="AC35" s="392"/>
      <c r="AD35" s="2317" t="str">
        <f>IF(TITLE_NUMBER_PR_CHANGE="",IF(TITLE_NUMBER_PR="","",TITLE_NUMBER_PR),TITLE_NUMBER_PR_CHANGE)</f>
        <v>447-т</v>
      </c>
      <c r="AE35" s="2317"/>
      <c r="AF35" s="2317"/>
      <c r="AG35" s="2317"/>
      <c r="AH35" s="2317"/>
      <c r="AI35" s="2317"/>
      <c r="AJ35" s="2317"/>
      <c r="AK35" s="392"/>
      <c r="AL35" s="392"/>
      <c r="AM35" s="346"/>
      <c r="AN35" s="434"/>
      <c r="AO35" s="434"/>
      <c r="AP35" s="434"/>
      <c r="AQ35" s="434"/>
      <c r="AR35" s="434"/>
      <c r="AS35" s="484">
        <v>0</v>
      </c>
    </row>
    <row s="5597" customFormat="1" customHeight="1" ht="0">
      <c r="A36" s="1434"/>
      <c r="B36" s="1434"/>
      <c r="C36" s="1434"/>
      <c r="D36" s="1434"/>
      <c r="E36" s="1434"/>
      <c r="F36" s="1434"/>
      <c r="G36" s="1434"/>
      <c r="H36" s="1434"/>
      <c r="I36" s="1434"/>
      <c r="J36" s="1434"/>
      <c r="K36" s="1434"/>
      <c r="L36" s="1435"/>
      <c r="M36" s="1434"/>
      <c r="N36" s="1434"/>
      <c r="O36" s="1434"/>
      <c r="S36" s="389"/>
      <c r="T36" s="389"/>
      <c r="U36" s="1285"/>
      <c r="V36" s="392"/>
      <c r="W36" s="392"/>
      <c r="X36" s="392"/>
      <c r="Y36" s="392"/>
      <c r="Z36" s="392"/>
      <c r="AA36" s="392"/>
      <c r="AB36" s="392"/>
      <c r="AC36" s="344" t="s">
        <v>433</v>
      </c>
      <c r="AD36" s="392"/>
      <c r="AE36" s="392"/>
      <c r="AF36" s="392"/>
      <c r="AG36" s="392"/>
      <c r="AH36" s="392"/>
      <c r="AI36" s="392"/>
      <c r="AJ36" s="392"/>
      <c r="AK36" s="344" t="s">
        <v>433</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221">
        <v>14</v>
      </c>
    </row>
    <row customHeight="1" ht="14.699999999999998">
      <c r="Q39" s="442"/>
      <c r="R39" s="442"/>
      <c r="S39" s="2339" t="s">
        <v>93</v>
      </c>
      <c r="T39" s="2275" t="s">
        <v>434</v>
      </c>
      <c r="U39" s="367"/>
      <c r="V39" s="2340" t="s">
        <v>435</v>
      </c>
      <c r="W39" s="2341"/>
      <c r="X39" s="2341"/>
      <c r="Y39" s="2341"/>
      <c r="Z39" s="2341"/>
      <c r="AA39" s="2341"/>
      <c r="AB39" s="2342"/>
      <c r="AC39" s="2343" t="s">
        <v>436</v>
      </c>
      <c r="AD39" s="2340" t="s">
        <v>435</v>
      </c>
      <c r="AE39" s="2341"/>
      <c r="AF39" s="2341"/>
      <c r="AG39" s="2341"/>
      <c r="AH39" s="2341"/>
      <c r="AI39" s="2341"/>
      <c r="AJ39" s="2342"/>
      <c r="AK39" s="2343" t="s">
        <v>437</v>
      </c>
      <c r="AL39" s="2346" t="s">
        <v>438</v>
      </c>
      <c r="AM39" s="2193"/>
      <c r="AS39" s="1221">
        <v>14</v>
      </c>
    </row>
    <row customHeight="1" ht="35.699999999999996">
      <c r="Q40" s="442"/>
      <c r="R40" s="442"/>
      <c r="S40" s="2339"/>
      <c r="T40" s="2275"/>
      <c r="U40" s="1097"/>
      <c r="V40" s="2326" t="s">
        <v>439</v>
      </c>
      <c r="W40" s="2676" t="s">
        <v>440</v>
      </c>
      <c r="X40" s="2328" t="s">
        <v>441</v>
      </c>
      <c r="Y40" s="2329"/>
      <c r="Z40" s="2328" t="s">
        <v>442</v>
      </c>
      <c r="AA40" s="2335"/>
      <c r="AB40" s="2329"/>
      <c r="AC40" s="2344"/>
      <c r="AD40" s="2326" t="s">
        <v>439</v>
      </c>
      <c r="AE40" s="2349" t="s">
        <v>440</v>
      </c>
      <c r="AF40" s="2328" t="s">
        <v>441</v>
      </c>
      <c r="AG40" s="2329"/>
      <c r="AH40" s="2328" t="s">
        <v>442</v>
      </c>
      <c r="AI40" s="2335"/>
      <c r="AJ40" s="2329"/>
      <c r="AK40" s="2344"/>
      <c r="AL40" s="2347"/>
      <c r="AM40" s="2193"/>
      <c r="AS40" s="1221">
        <v>34</v>
      </c>
    </row>
    <row customHeight="1" ht="35.699999999999996">
      <c r="A41" s="1436"/>
      <c r="B41" s="1436" t="s">
        <v>140</v>
      </c>
      <c r="C41" s="1436" t="s">
        <v>141</v>
      </c>
      <c r="D41" s="1436" t="s">
        <v>142</v>
      </c>
      <c r="E41" s="1430" t="s">
        <v>443</v>
      </c>
      <c r="F41" s="1430" t="s">
        <v>444</v>
      </c>
      <c r="G41" s="1430" t="s">
        <v>445</v>
      </c>
      <c r="H41" s="1430" t="s">
        <v>446</v>
      </c>
      <c r="I41" s="1430" t="s">
        <v>447</v>
      </c>
      <c r="J41" s="1430" t="s">
        <v>448</v>
      </c>
      <c r="K41" s="1430" t="s">
        <v>449</v>
      </c>
      <c r="L41" s="1430" t="s">
        <v>424</v>
      </c>
      <c r="Q41" s="442"/>
      <c r="R41" s="442"/>
      <c r="S41" s="2339"/>
      <c r="T41" s="2275"/>
      <c r="U41" s="368"/>
      <c r="V41" s="2327"/>
      <c r="W41" s="2350"/>
      <c r="X41" s="1288" t="s">
        <v>450</v>
      </c>
      <c r="Y41" s="1288" t="s">
        <v>451</v>
      </c>
      <c r="Z41" s="1287" t="s">
        <v>452</v>
      </c>
      <c r="AA41" s="2336" t="s">
        <v>453</v>
      </c>
      <c r="AB41" s="2337"/>
      <c r="AC41" s="2345"/>
      <c r="AD41" s="2327"/>
      <c r="AE41" s="2350"/>
      <c r="AF41" s="1288" t="s">
        <v>450</v>
      </c>
      <c r="AG41" s="1288" t="s">
        <v>451</v>
      </c>
      <c r="AH41" s="1379" t="s">
        <v>452</v>
      </c>
      <c r="AI41" s="2336" t="s">
        <v>453</v>
      </c>
      <c r="AJ41" s="2337"/>
      <c r="AK41" s="2345"/>
      <c r="AL41" s="2348"/>
      <c r="AM41" s="2193"/>
      <c r="AS41" s="1221">
        <v>34</v>
      </c>
    </row>
    <row s="4153"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114</v>
      </c>
      <c r="T42" s="1321" t="s">
        <v>115</v>
      </c>
      <c r="U42" s="1311" t="str">
        <f>OFFSET(U42,0,-1)</f>
        <v>2</v>
      </c>
      <c r="V42" s="1322">
        <f>OFFSET(V42,0,-1)+1</f>
        <v>3</v>
      </c>
      <c r="W42" s="1322"/>
      <c r="X42" s="1322">
        <f>OFFSET(X42,0,-1)+1</f>
        <v>1</v>
      </c>
      <c r="Y42" s="1322">
        <f>OFFSET(Y42,0,-1)+1</f>
        <v>2</v>
      </c>
      <c r="Z42" s="1322">
        <f>OFFSET(Z42,0,-1)+1</f>
        <v>3</v>
      </c>
      <c r="AA42" s="2338">
        <f>OFFSET(AA42,0,-1)+1</f>
        <v>4</v>
      </c>
      <c r="AB42" s="2338"/>
      <c r="AC42" s="1322">
        <f>OFFSET(AC42,0,-2)+1</f>
        <v>5</v>
      </c>
      <c r="AD42" s="1378">
        <f>OFFSET(AD42,0,-1)+1</f>
        <v>6</v>
      </c>
      <c r="AE42" s="1378"/>
      <c r="AF42" s="1378">
        <f>OFFSET(AF42,0,-1)+1</f>
        <v>1</v>
      </c>
      <c r="AG42" s="1378">
        <f>OFFSET(AG42,0,-1)+1</f>
        <v>2</v>
      </c>
      <c r="AH42" s="1378">
        <f>OFFSET(AH42,0,-1)+1</f>
        <v>3</v>
      </c>
      <c r="AI42" s="2338">
        <f>OFFSET(AI42,0,-1)+1</f>
        <v>4</v>
      </c>
      <c r="AJ42" s="2338"/>
      <c r="AK42" s="1378">
        <f>OFFSET(AK42,0,-2)+1</f>
        <v>5</v>
      </c>
      <c r="AL42" s="1311">
        <f>OFFSET(AL42,0,-1)</f>
        <v>5</v>
      </c>
      <c r="AM42" s="1322">
        <f>OFFSET(AM42,0,-1)+1</f>
        <v>6</v>
      </c>
      <c r="AN42" s="577"/>
      <c r="AO42" s="577"/>
      <c r="AP42" s="577"/>
      <c r="AQ42" s="577"/>
      <c r="AR42" s="577"/>
      <c r="AS42" s="562">
        <v>0</v>
      </c>
    </row>
    <row customHeight="1" ht="24">
      <c r="A43" s="1429" t="s">
        <v>160</v>
      </c>
      <c r="B43" s="1429"/>
      <c r="C43" s="1429"/>
      <c r="D43" s="1429"/>
      <c r="E43" s="2324">
        <v>1</v>
      </c>
      <c r="F43" s="1429"/>
      <c r="G43" s="1429"/>
      <c r="H43" s="1429"/>
      <c r="I43" s="1429"/>
      <c r="J43" s="1429"/>
      <c r="K43" s="1429"/>
      <c r="L43" s="1430"/>
      <c r="M43" s="1431"/>
      <c r="N43" s="1431"/>
      <c r="O43" s="1431"/>
      <c r="P43" s="427"/>
      <c r="Q43" s="426"/>
      <c r="R43" s="421"/>
      <c r="S43" s="1290">
        <f>INDEX(PT_DIFFERENTIATION_NUM_NTAR,MATCH(A43,PT_DIFFERENTIATION_NTAR_ID,0))</f>
        <v>0</v>
      </c>
      <c r="T43" s="364" t="s">
        <v>128</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23</v>
      </c>
    </row>
    <row customHeight="1" ht="24">
      <c r="A44" s="1429" t="s">
        <v>160</v>
      </c>
      <c r="B44" s="1429" t="s">
        <v>161</v>
      </c>
      <c r="C44" s="1429"/>
      <c r="D44" s="1429"/>
      <c r="E44" s="2325"/>
      <c r="F44" s="2324">
        <v>1</v>
      </c>
      <c r="G44" s="1429"/>
      <c r="H44" s="1429"/>
      <c r="I44" s="1429"/>
      <c r="J44" s="1429"/>
      <c r="K44" s="1429"/>
      <c r="L44" s="1430"/>
      <c r="M44" s="1431"/>
      <c r="N44" s="1431"/>
      <c r="O44" s="1431"/>
      <c r="P44" s="588"/>
      <c r="Q44" s="418"/>
      <c r="R44" s="419"/>
      <c r="S44" s="1290" t="str">
        <f>INDEX(PT_DIFFERENTIATION_NUM_TER,MATCH(B44,PT_DIFFERENTIATION_TER_ID,0))</f>
        <v>.</v>
      </c>
      <c r="T44" s="374"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566"/>
      <c r="AP44" s="566" t="str">
        <f>IF(T44="","",T44)</f>
        <v>Территория действия тарифа</v>
      </c>
      <c r="AQ44" s="566"/>
      <c r="AR44" s="566"/>
      <c r="AS44" s="1221">
        <v>23</v>
      </c>
    </row>
    <row customHeight="1" ht="24">
      <c r="A45" s="1429" t="s">
        <v>160</v>
      </c>
      <c r="B45" s="1429" t="s">
        <v>161</v>
      </c>
      <c r="C45" s="1429" t="s">
        <v>162</v>
      </c>
      <c r="D45" s="1429"/>
      <c r="E45" s="2325"/>
      <c r="F45" s="2325"/>
      <c r="G45" s="2324">
        <v>1</v>
      </c>
      <c r="H45" s="1429"/>
      <c r="I45" s="1429"/>
      <c r="J45" s="1429"/>
      <c r="K45" s="1429"/>
      <c r="L45" s="1430"/>
      <c r="M45" s="1431"/>
      <c r="N45" s="1431"/>
      <c r="O45" s="1431"/>
      <c r="P45" s="420"/>
      <c r="Q45" s="418"/>
      <c r="R45" s="419"/>
      <c r="S45" s="1290"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566"/>
      <c r="AP45" s="566" t="str">
        <f>IF(T45="","",T45)</f>
        <v>Наименование системы теплоснабжения </v>
      </c>
      <c r="AQ45" s="566"/>
      <c r="AR45" s="566"/>
      <c r="AS45" s="1221">
        <v>23</v>
      </c>
    </row>
    <row customHeight="1" ht="24">
      <c r="A46" s="1429" t="s">
        <v>160</v>
      </c>
      <c r="B46" s="1429" t="s">
        <v>161</v>
      </c>
      <c r="C46" s="1429" t="s">
        <v>162</v>
      </c>
      <c r="D46" s="1429" t="s">
        <v>163</v>
      </c>
      <c r="E46" s="2325"/>
      <c r="F46" s="2325"/>
      <c r="G46" s="2325"/>
      <c r="H46" s="2324">
        <v>1</v>
      </c>
      <c r="I46" s="1429"/>
      <c r="J46" s="1429"/>
      <c r="K46" s="1429"/>
      <c r="L46" s="1430"/>
      <c r="M46" s="1431"/>
      <c r="N46" s="1431"/>
      <c r="O46" s="1431"/>
      <c r="P46" s="420"/>
      <c r="Q46" s="418"/>
      <c r="R46" s="419"/>
      <c r="S46" s="1290"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566"/>
      <c r="AP46" s="566" t="str">
        <f>IF(T46="","",T46)</f>
        <v>Источник тепловой энергии  </v>
      </c>
      <c r="AQ46" s="566"/>
      <c r="AR46" s="566"/>
      <c r="AS46" s="1221">
        <v>23</v>
      </c>
    </row>
    <row customHeight="1" ht="49.5">
      <c r="A47" s="1429" t="s">
        <v>160</v>
      </c>
      <c r="B47" s="1429" t="s">
        <v>161</v>
      </c>
      <c r="C47" s="1429" t="s">
        <v>162</v>
      </c>
      <c r="D47" s="1429" t="s">
        <v>163</v>
      </c>
      <c r="E47" s="2325"/>
      <c r="F47" s="2325"/>
      <c r="G47" s="2325"/>
      <c r="H47" s="2325"/>
      <c r="I47" s="2322" t="str">
        <f>S46&amp;".1"</f>
        <v>....1</v>
      </c>
      <c r="J47" s="1429"/>
      <c r="K47" s="1429"/>
      <c r="L47" s="1430" t="s">
        <v>412</v>
      </c>
      <c r="P47" s="2323">
        <v>1</v>
      </c>
      <c r="Q47" s="1286"/>
      <c r="R47" s="422"/>
      <c r="S47" s="1290" t="str">
        <f>$I47</f>
        <v>....1</v>
      </c>
      <c r="T47" s="351" t="s">
        <v>413</v>
      </c>
      <c r="U47" s="366"/>
      <c r="V47" s="2311"/>
      <c r="W47" s="2312"/>
      <c r="X47" s="2312"/>
      <c r="Y47" s="2312"/>
      <c r="Z47" s="2312"/>
      <c r="AA47" s="2312"/>
      <c r="AB47" s="2312"/>
      <c r="AC47" s="2313"/>
      <c r="AD47" s="2311"/>
      <c r="AE47" s="2312"/>
      <c r="AF47" s="2312"/>
      <c r="AG47" s="2312"/>
      <c r="AH47" s="2312"/>
      <c r="AI47" s="2312"/>
      <c r="AJ47" s="2312"/>
      <c r="AK47" s="2312"/>
      <c r="AL47" s="2313"/>
      <c r="AM47" s="1324" t="s">
        <v>414</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4">
      <c r="A48" s="1429" t="s">
        <v>160</v>
      </c>
      <c r="B48" s="1429" t="s">
        <v>161</v>
      </c>
      <c r="C48" s="1429" t="s">
        <v>162</v>
      </c>
      <c r="D48" s="1429" t="s">
        <v>163</v>
      </c>
      <c r="E48" s="2325"/>
      <c r="F48" s="2325"/>
      <c r="G48" s="2325"/>
      <c r="H48" s="2325"/>
      <c r="I48" s="2352"/>
      <c r="J48" s="2322" t="str">
        <f>I47&amp;".1"</f>
        <v>....1.1</v>
      </c>
      <c r="K48" s="1429"/>
      <c r="L48" s="1430" t="s">
        <v>415</v>
      </c>
      <c r="P48" s="2323"/>
      <c r="Q48" s="2323">
        <v>1</v>
      </c>
      <c r="R48" s="423"/>
      <c r="S48" s="1290" t="str">
        <f>$J48</f>
        <v>....1.1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566"/>
      <c r="AP48" s="566" t="str">
        <f>IF(T48="","",T48)</f>
        <v>Группа потребителей</v>
      </c>
      <c r="AQ48" s="566"/>
      <c r="AR48" s="566"/>
      <c r="AS48" s="1221">
        <v>23</v>
      </c>
    </row>
    <row customHeight="1" ht="24">
      <c r="A49" s="1429" t="s">
        <v>160</v>
      </c>
      <c r="B49" s="1429" t="s">
        <v>161</v>
      </c>
      <c r="C49" s="1429" t="s">
        <v>162</v>
      </c>
      <c r="D49" s="1429" t="s">
        <v>163</v>
      </c>
      <c r="E49" s="2325"/>
      <c r="F49" s="2325"/>
      <c r="G49" s="2325"/>
      <c r="H49" s="2325"/>
      <c r="I49" s="2352"/>
      <c r="J49" s="2352"/>
      <c r="K49" s="2322" t="str">
        <f>J48&amp;".1"</f>
        <v>....1.1.1</v>
      </c>
      <c r="L49" s="1430" t="s">
        <v>418</v>
      </c>
      <c r="P49" s="2323"/>
      <c r="Q49" s="2323"/>
      <c r="R49" s="423">
        <v>1</v>
      </c>
      <c r="S49" s="1290" t="str">
        <f>$K49</f>
        <v>....1.1.1</v>
      </c>
      <c r="T49" s="1413"/>
      <c r="U49" s="366"/>
      <c r="V49" s="817"/>
      <c r="W49" s="391"/>
      <c r="X49" s="817"/>
      <c r="Y49" s="1323"/>
      <c r="Z49" s="2331"/>
      <c r="AA49" s="2173" t="s">
        <v>71</v>
      </c>
      <c r="AB49" s="2331"/>
      <c r="AC49" s="2173" t="s">
        <v>71</v>
      </c>
      <c r="AD49" s="817"/>
      <c r="AE49" s="391"/>
      <c r="AF49" s="817"/>
      <c r="AG49" s="1323"/>
      <c r="AH49" s="2331"/>
      <c r="AI49" s="2173" t="s">
        <v>71</v>
      </c>
      <c r="AJ49" s="2353"/>
      <c r="AK49" s="2173" t="s">
        <v>71</v>
      </c>
      <c r="AL49" s="1414"/>
      <c r="AM49" s="2319" t="s">
        <v>419</v>
      </c>
      <c r="AN49" s="577">
        <f>STRCHECKDATE(V50:AL50)</f>
      </c>
      <c r="AO49" s="566"/>
      <c r="AP49" s="566" t="str">
        <f>IF(T49="","",T49)</f>
        <v/>
      </c>
      <c r="AQ49" s="566"/>
      <c r="AR49" s="566"/>
      <c r="AS49" s="1221">
        <v>23</v>
      </c>
    </row>
    <row customHeight="1" ht="1.05">
      <c r="A50" s="1429" t="s">
        <v>160</v>
      </c>
      <c r="B50" s="1429" t="s">
        <v>161</v>
      </c>
      <c r="C50" s="1429" t="s">
        <v>162</v>
      </c>
      <c r="D50" s="1429" t="s">
        <v>163</v>
      </c>
      <c r="E50" s="2325"/>
      <c r="F50" s="2325"/>
      <c r="G50" s="2325"/>
      <c r="H50" s="2325"/>
      <c r="I50" s="2352"/>
      <c r="J50" s="2352"/>
      <c r="K50" s="2322"/>
      <c r="L50" s="1430"/>
      <c r="P50" s="2323"/>
      <c r="Q50" s="2323"/>
      <c r="R50" s="423"/>
      <c r="S50" s="1289"/>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160</v>
      </c>
      <c r="B51" s="1429" t="s">
        <v>161</v>
      </c>
      <c r="C51" s="1429" t="s">
        <v>162</v>
      </c>
      <c r="D51" s="1429" t="s">
        <v>163</v>
      </c>
      <c r="E51" s="2325"/>
      <c r="F51" s="2325"/>
      <c r="G51" s="2325"/>
      <c r="H51" s="2325"/>
      <c r="I51" s="2352"/>
      <c r="J51" s="2322"/>
      <c r="K51" s="1429"/>
      <c r="L51" s="1430"/>
      <c r="P51" s="2323"/>
      <c r="Q51" s="2323"/>
      <c r="R51" s="422"/>
      <c r="S51" s="1344"/>
      <c r="T51" s="354" t="s">
        <v>420</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160</v>
      </c>
      <c r="B52" s="1429" t="s">
        <v>161</v>
      </c>
      <c r="C52" s="1429" t="s">
        <v>162</v>
      </c>
      <c r="D52" s="1429" t="s">
        <v>163</v>
      </c>
      <c r="E52" s="2325"/>
      <c r="F52" s="2325"/>
      <c r="G52" s="2325"/>
      <c r="H52" s="2325"/>
      <c r="I52" s="2322"/>
      <c r="J52" s="1429"/>
      <c r="K52" s="1429"/>
      <c r="L52" s="1430"/>
      <c r="P52" s="2323"/>
      <c r="Q52" s="1286"/>
      <c r="R52" s="422"/>
      <c r="S52" s="1344"/>
      <c r="T52" s="353" t="s">
        <v>421</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160</v>
      </c>
      <c r="B53" s="1429" t="s">
        <v>161</v>
      </c>
      <c r="C53" s="1429" t="s">
        <v>162</v>
      </c>
      <c r="D53" s="1429" t="s">
        <v>163</v>
      </c>
      <c r="E53" s="2325"/>
      <c r="F53" s="2325"/>
      <c r="G53" s="2325"/>
      <c r="H53" s="2324"/>
      <c r="I53" s="1429"/>
      <c r="J53" s="1429"/>
      <c r="K53" s="1429"/>
      <c r="L53" s="1430"/>
      <c r="M53" s="1431"/>
      <c r="N53" s="1431"/>
      <c r="O53" s="603"/>
      <c r="P53" s="426"/>
      <c r="Q53" s="441"/>
      <c r="R53" s="421"/>
      <c r="S53" s="1344"/>
      <c r="T53" s="431" t="s">
        <v>422</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562" customFormat="1" customHeight="1" ht="1.05">
      <c r="A54" s="1409" t="s">
        <v>160</v>
      </c>
      <c r="B54" s="1409" t="s">
        <v>161</v>
      </c>
      <c r="C54" s="1409" t="s">
        <v>162</v>
      </c>
      <c r="D54" s="1380"/>
      <c r="E54" s="2325"/>
      <c r="F54" s="2325"/>
      <c r="G54" s="2324"/>
      <c r="H54" s="1380"/>
      <c r="I54" s="1380"/>
      <c r="J54" s="1380"/>
      <c r="K54" s="1380"/>
      <c r="L54" s="1405"/>
      <c r="M54" s="1381"/>
      <c r="N54" s="1381"/>
      <c r="P54" s="1382"/>
      <c r="Q54" s="1383"/>
      <c r="R54" s="1382"/>
      <c r="S54" s="1388"/>
      <c r="T54" s="1391" t="s">
        <v>173</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562" customFormat="1" customHeight="1" ht="1.05">
      <c r="A55" s="1409" t="s">
        <v>160</v>
      </c>
      <c r="B55" s="1409" t="s">
        <v>161</v>
      </c>
      <c r="C55" s="1380"/>
      <c r="D55" s="1380"/>
      <c r="E55" s="2325"/>
      <c r="F55" s="2324"/>
      <c r="G55" s="1380"/>
      <c r="H55" s="1380"/>
      <c r="I55" s="1380"/>
      <c r="J55" s="1380"/>
      <c r="K55" s="1380"/>
      <c r="L55" s="1405"/>
      <c r="M55" s="1387"/>
      <c r="N55" s="1387"/>
      <c r="P55" s="1382"/>
      <c r="Q55" s="1383"/>
      <c r="R55" s="1382"/>
      <c r="S55" s="1388"/>
      <c r="T55" s="1391" t="s">
        <v>174</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562" customFormat="1" customHeight="1" ht="1.05">
      <c r="A56" s="1409" t="s">
        <v>160</v>
      </c>
      <c r="B56" s="1409"/>
      <c r="C56" s="1409"/>
      <c r="D56" s="1409"/>
      <c r="E56" s="2324"/>
      <c r="F56" s="1409"/>
      <c r="G56" s="1409"/>
      <c r="H56" s="1409"/>
      <c r="I56" s="1409"/>
      <c r="J56" s="1409"/>
      <c r="K56" s="1409"/>
      <c r="L56" s="1412"/>
      <c r="M56" s="1387"/>
      <c r="N56" s="1387"/>
      <c r="O56" s="584"/>
      <c r="P56" s="446"/>
      <c r="Q56" s="1410"/>
      <c r="R56" s="446"/>
      <c r="S56" s="1388"/>
      <c r="T56" s="1391" t="s">
        <v>175</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562"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7.2">
      <c r="O60" s="603"/>
      <c r="P60" s="1369"/>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64</v>
      </c>
    </row>
    <row customHeight="1" ht="14.699999999999998">
      <c r="O61" s="603"/>
      <c r="AS61" s="1221">
        <v>14</v>
      </c>
    </row>
    <row customHeight="1" ht="18.75">
      <c r="O62" s="603"/>
      <c r="P62" s="1394"/>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P63" s="1394"/>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P64" s="1394"/>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87</v>
      </c>
      <c r="B65" s="1226">
        <v>0</v>
      </c>
      <c r="C65" s="1226">
        <v>0</v>
      </c>
      <c r="D65" s="1226">
        <v>0</v>
      </c>
      <c r="E65" s="1226">
        <v>0</v>
      </c>
      <c r="F65" s="1226">
        <v>0</v>
      </c>
      <c r="G65" s="1226">
        <v>0</v>
      </c>
      <c r="H65" s="1226">
        <v>0</v>
      </c>
      <c r="I65" s="1226">
        <v>0</v>
      </c>
      <c r="J65" s="1226">
        <v>0</v>
      </c>
      <c r="K65" s="1226">
        <v>0</v>
      </c>
      <c r="L65" s="1395">
        <v>0</v>
      </c>
      <c r="M65" s="1428">
        <v>0</v>
      </c>
      <c r="N65" s="1428">
        <v>0</v>
      </c>
      <c r="O65" s="1428">
        <v>0</v>
      </c>
      <c r="P65" s="1284">
        <v>3</v>
      </c>
      <c r="Q65" s="410">
        <v>3</v>
      </c>
      <c r="R65" s="410">
        <v>3</v>
      </c>
      <c r="S65" s="647">
        <v>12</v>
      </c>
      <c r="T65" s="1221">
        <v>35</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5778C-1598-E972-A62A-453A0214A7FE}" mc:Ignorable="x14ac xr xr2 xr3">
  <sheetPr>
    <tabColor theme="6" tint="0.4"/>
  </sheetPr>
  <dimension ref="A1:DM65"/>
  <sheetViews>
    <sheetView showGridLines="0" zoomScale="90" workbookViewId="0">
      <pane xSplit="29" ySplit="42" topLeftCell="AD43" activePane="bottomRight" state="frozen"/>
      <selection pane="bottomLeft" activeCell="A43" sqref="A43"/>
      <selection pane="topRight" activeCell="AD1" sqref="AD1"/>
      <selection pane="bottomRight" activeCell="AF25" sqref="AF1:AG65"/>
    </sheetView>
  </sheetViews>
  <sheetFormatPr defaultColWidth="10.57421875" customHeight="1" defaultRowHeight="14.25"/>
  <cols>
    <col min="1" max="1" style="5002" width="10.57421875" hidden="1"/>
    <col min="2" max="2" style="5002" width="11.00390625" hidden="1" customWidth="1"/>
    <col min="3" max="3" style="5002" width="10.57421875" hidden="1"/>
    <col min="4" max="4" style="5002" width="11.8515625" hidden="1" customWidth="1"/>
    <col min="5" max="5" style="5002" width="10.00390625" hidden="1" customWidth="1"/>
    <col min="6" max="6" style="5002" width="8.7109375" hidden="1" customWidth="1"/>
    <col min="7" max="7" style="5002" width="7.57421875" hidden="1" customWidth="1"/>
    <col min="8" max="8" style="5002" width="11.421875" hidden="1" customWidth="1"/>
    <col min="9" max="9" style="5002" width="12.00390625" hidden="1" customWidth="1"/>
    <col min="10" max="10" style="5002" width="9.8515625" hidden="1" customWidth="1"/>
    <col min="11" max="11" style="5002" width="11.421875" hidden="1" customWidth="1"/>
    <col min="12" max="12" style="5519" width="19.140625" hidden="1" customWidth="1"/>
    <col min="13" max="14" style="4246" width="12.28125" hidden="1" customWidth="1"/>
    <col min="15" max="15" style="4246" width="23.421875" hidden="1" customWidth="1"/>
    <col min="16" max="16" style="5737" width="3.00390625" customWidth="1"/>
    <col min="17" max="18" style="5023" width="3.00390625" customWidth="1"/>
    <col min="19" max="19" style="5711" width="12.00390625" customWidth="1"/>
    <col min="20" max="20" style="5053" width="31.00390625" customWidth="1"/>
    <col min="21" max="21" style="5053" width="0.140625" customWidth="1"/>
    <col min="22" max="22" style="5053" width="24.7109375" hidden="1" customWidth="1"/>
    <col min="23" max="23" style="5053" width="0.140625" hidden="1" customWidth="1"/>
    <col min="24" max="25" style="5053" width="24.7109375" hidden="1" customWidth="1"/>
    <col min="26" max="26" style="5053" width="11.7109375" hidden="1" customWidth="1"/>
    <col min="27" max="27" style="5053" width="3.7109375" hidden="1" customWidth="1"/>
    <col min="28" max="28" style="5053" width="11.7109375" hidden="1" customWidth="1"/>
    <col min="29" max="29" style="5053" width="8.57421875" hidden="1" customWidth="1"/>
    <col min="30" max="30" style="5053" width="24.00390625" customWidth="1"/>
    <col min="31" max="31" style="5053" width="0.140625" customWidth="1"/>
    <col min="32" max="33" style="5053" width="24.00390625" customWidth="1"/>
    <col min="34" max="34" style="5053" width="11.00390625" customWidth="1"/>
    <col min="35" max="35" style="5053" width="8.421875" customWidth="1"/>
    <col min="36" max="36" style="5053" width="11.00390625" customWidth="1"/>
    <col min="37" max="37" style="5053" width="8.421875" customWidth="1"/>
    <col min="38" max="38" style="128" width="9.7109375" customWidth="1"/>
    <col min="39" max="41" style="128" width="0" customWidth="1"/>
    <col min="43" max="43" style="128" width="8.421875" customWidth="1"/>
    <col min="45" max="45" style="128" width="8.421875" customWidth="1"/>
    <col min="47" max="49" style="128" width="0" customWidth="1"/>
    <col min="51" max="51" style="128" width="8.421875" customWidth="1"/>
    <col min="53" max="53" style="128" width="8.421875" customWidth="1"/>
    <col min="55" max="57" style="128" width="0" customWidth="1"/>
    <col min="59" max="59" style="128" width="8.421875" customWidth="1"/>
    <col min="61" max="61" style="128" width="8.421875" customWidth="1"/>
    <col min="63" max="65" style="128" width="0" customWidth="1"/>
    <col min="67" max="67" style="128" width="8.421875" customWidth="1"/>
    <col min="69" max="69" style="128" width="8.421875" customWidth="1"/>
    <col min="71" max="73" style="128" width="0" customWidth="1"/>
    <col min="75" max="75" style="128" width="8.421875" customWidth="1"/>
    <col min="77" max="77" style="128" width="8.421875" customWidth="1"/>
    <col min="79" max="81" style="128" width="0" customWidth="1"/>
    <col min="83" max="83" style="128" width="8.421875" customWidth="1"/>
    <col min="85" max="85" style="128" width="8.421875" customWidth="1"/>
    <col min="87" max="89" style="128" width="0" customWidth="1"/>
    <col min="91" max="91" style="128" width="8.421875" customWidth="1"/>
    <col min="93" max="93" style="128" width="8.421875" customWidth="1"/>
    <col min="95" max="97" style="128" width="0" customWidth="1"/>
    <col min="99" max="99" style="128" width="8.421875" customWidth="1"/>
    <col min="101" max="101" style="128" width="8.421875" customWidth="1"/>
    <col min="103" max="105" style="128" width="0" customWidth="1"/>
    <col min="107" max="107" style="128" width="8.421875" customWidth="1"/>
    <col min="109" max="109" style="128" width="10.57421875" hidden="1"/>
    <col min="110" max="110" style="5053" width="4.00390625" customWidth="1"/>
    <col min="111" max="111" style="5053" width="115.00390625" customWidth="1"/>
    <col min="112" max="116" style="4562" width="10.00390625" customWidth="1"/>
    <col min="117" max="117" style="5053" width="10.57421875" hidden="1"/>
  </cols>
  <sheetData>
    <row customHeight="1" ht="22.5" hidden="1">
      <c r="Y1" s="393"/>
      <c r="Z1" s="393"/>
      <c r="AG1" s="393"/>
      <c r="AH1" s="393"/>
      <c r="AL1" s="5778"/>
      <c r="AM1" s="5778"/>
      <c r="AN1" s="5778"/>
      <c r="AO1" s="5778"/>
      <c r="AP1" s="3656"/>
      <c r="AQ1" s="5778"/>
      <c r="AR1" s="3656"/>
      <c r="AS1" s="5778"/>
      <c r="AT1" s="3656"/>
      <c r="AU1" s="5778"/>
      <c r="AV1" s="5778"/>
      <c r="AW1" s="5778"/>
      <c r="AX1" s="3656"/>
      <c r="AY1" s="5778"/>
      <c r="AZ1" s="3656"/>
      <c r="BA1" s="5778"/>
      <c r="BB1" s="3656"/>
      <c r="BC1" s="5778"/>
      <c r="BD1" s="5778"/>
      <c r="BE1" s="5778"/>
      <c r="BF1" s="3656"/>
      <c r="BG1" s="5778"/>
      <c r="BH1" s="3656"/>
      <c r="BI1" s="5778"/>
      <c r="BJ1" s="3656"/>
      <c r="BK1" s="5778"/>
      <c r="BL1" s="5778"/>
      <c r="BM1" s="5778"/>
      <c r="BN1" s="3656"/>
      <c r="BO1" s="5778"/>
      <c r="BP1" s="3656"/>
      <c r="BQ1" s="5778"/>
      <c r="BR1" s="3656"/>
      <c r="BS1" s="5778"/>
      <c r="BT1" s="5778"/>
      <c r="BU1" s="5778"/>
      <c r="BV1" s="3656"/>
      <c r="BW1" s="5778"/>
      <c r="BX1" s="3656"/>
      <c r="BY1" s="5778"/>
      <c r="BZ1" s="3656"/>
      <c r="CA1" s="5778"/>
      <c r="CB1" s="5778"/>
      <c r="CC1" s="5778"/>
      <c r="CD1" s="3656"/>
      <c r="CE1" s="5778"/>
      <c r="CF1" s="3656"/>
      <c r="CG1" s="5778"/>
      <c r="CH1" s="3656"/>
      <c r="CI1" s="5778"/>
      <c r="CJ1" s="5778"/>
      <c r="CK1" s="5778"/>
      <c r="CL1" s="3656"/>
      <c r="CM1" s="5778"/>
      <c r="CN1" s="3656"/>
      <c r="CO1" s="5778"/>
      <c r="CP1" s="3656"/>
      <c r="CQ1" s="5778"/>
      <c r="CR1" s="5778"/>
      <c r="CS1" s="5778"/>
      <c r="CT1" s="3656"/>
      <c r="CU1" s="5778"/>
      <c r="CV1" s="3656"/>
      <c r="CW1" s="5778"/>
      <c r="CX1" s="3656"/>
      <c r="CY1" s="5778"/>
      <c r="CZ1" s="5778"/>
      <c r="DA1" s="5778"/>
      <c r="DB1" s="3656"/>
      <c r="DC1" s="5778"/>
      <c r="DD1" s="3656"/>
      <c r="DE1" s="5778"/>
      <c r="DM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128</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6079"/>
      <c r="AM2" s="5779"/>
      <c r="AN2" s="5779"/>
      <c r="AO2" s="5779"/>
      <c r="AP2" s="3659"/>
      <c r="AQ2" s="5779"/>
      <c r="AR2" s="3659"/>
      <c r="AS2" s="5780"/>
      <c r="AT2" s="3658"/>
      <c r="AU2" s="5779"/>
      <c r="AV2" s="5779"/>
      <c r="AW2" s="5779"/>
      <c r="AX2" s="3659"/>
      <c r="AY2" s="5779"/>
      <c r="AZ2" s="3659"/>
      <c r="BA2" s="5780"/>
      <c r="BB2" s="3658"/>
      <c r="BC2" s="5779"/>
      <c r="BD2" s="5779"/>
      <c r="BE2" s="5779"/>
      <c r="BF2" s="3659"/>
      <c r="BG2" s="5779"/>
      <c r="BH2" s="3659"/>
      <c r="BI2" s="5780"/>
      <c r="BJ2" s="3658"/>
      <c r="BK2" s="5779"/>
      <c r="BL2" s="5779"/>
      <c r="BM2" s="5779"/>
      <c r="BN2" s="3659"/>
      <c r="BO2" s="5779"/>
      <c r="BP2" s="3659"/>
      <c r="BQ2" s="5780"/>
      <c r="BR2" s="3658"/>
      <c r="BS2" s="5779"/>
      <c r="BT2" s="5779"/>
      <c r="BU2" s="5779"/>
      <c r="BV2" s="3659"/>
      <c r="BW2" s="5779"/>
      <c r="BX2" s="3659"/>
      <c r="BY2" s="5780"/>
      <c r="BZ2" s="3658"/>
      <c r="CA2" s="5779"/>
      <c r="CB2" s="5779"/>
      <c r="CC2" s="5779"/>
      <c r="CD2" s="3659"/>
      <c r="CE2" s="5779"/>
      <c r="CF2" s="3659"/>
      <c r="CG2" s="5780"/>
      <c r="CH2" s="3658"/>
      <c r="CI2" s="5779"/>
      <c r="CJ2" s="5779"/>
      <c r="CK2" s="5779"/>
      <c r="CL2" s="3659"/>
      <c r="CM2" s="5779"/>
      <c r="CN2" s="3659"/>
      <c r="CO2" s="5780"/>
      <c r="CP2" s="3658"/>
      <c r="CQ2" s="5779"/>
      <c r="CR2" s="5779"/>
      <c r="CS2" s="5779"/>
      <c r="CT2" s="3659"/>
      <c r="CU2" s="5779"/>
      <c r="CV2" s="3659"/>
      <c r="CW2" s="5780"/>
      <c r="CX2" s="3658"/>
      <c r="CY2" s="5779"/>
      <c r="CZ2" s="5779"/>
      <c r="DA2" s="5779"/>
      <c r="DB2" s="3659"/>
      <c r="DC2" s="5779"/>
      <c r="DD2" s="3659"/>
      <c r="DE2" s="5780"/>
      <c r="DF2" s="2310"/>
      <c r="DG2" s="1324" t="s">
        <v>405</v>
      </c>
      <c r="DI2" s="566"/>
      <c r="DJ2" s="566" t="str">
        <f>IF(T2="","",T2)</f>
        <v>Наименование тарифа</v>
      </c>
      <c r="DK2" s="566"/>
      <c r="DL2" s="566"/>
      <c r="DM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6079"/>
      <c r="AM3" s="5779"/>
      <c r="AN3" s="5779"/>
      <c r="AO3" s="5779"/>
      <c r="AP3" s="3659"/>
      <c r="AQ3" s="5779"/>
      <c r="AR3" s="3659"/>
      <c r="AS3" s="5780"/>
      <c r="AT3" s="3658"/>
      <c r="AU3" s="5779"/>
      <c r="AV3" s="5779"/>
      <c r="AW3" s="5779"/>
      <c r="AX3" s="3659"/>
      <c r="AY3" s="5779"/>
      <c r="AZ3" s="3659"/>
      <c r="BA3" s="5780"/>
      <c r="BB3" s="3658"/>
      <c r="BC3" s="5779"/>
      <c r="BD3" s="5779"/>
      <c r="BE3" s="5779"/>
      <c r="BF3" s="3659"/>
      <c r="BG3" s="5779"/>
      <c r="BH3" s="3659"/>
      <c r="BI3" s="5780"/>
      <c r="BJ3" s="3658"/>
      <c r="BK3" s="5779"/>
      <c r="BL3" s="5779"/>
      <c r="BM3" s="5779"/>
      <c r="BN3" s="3659"/>
      <c r="BO3" s="5779"/>
      <c r="BP3" s="3659"/>
      <c r="BQ3" s="5780"/>
      <c r="BR3" s="3658"/>
      <c r="BS3" s="5779"/>
      <c r="BT3" s="5779"/>
      <c r="BU3" s="5779"/>
      <c r="BV3" s="3659"/>
      <c r="BW3" s="5779"/>
      <c r="BX3" s="3659"/>
      <c r="BY3" s="5780"/>
      <c r="BZ3" s="3658"/>
      <c r="CA3" s="5779"/>
      <c r="CB3" s="5779"/>
      <c r="CC3" s="5779"/>
      <c r="CD3" s="3659"/>
      <c r="CE3" s="5779"/>
      <c r="CF3" s="3659"/>
      <c r="CG3" s="5780"/>
      <c r="CH3" s="3658"/>
      <c r="CI3" s="5779"/>
      <c r="CJ3" s="5779"/>
      <c r="CK3" s="5779"/>
      <c r="CL3" s="3659"/>
      <c r="CM3" s="5779"/>
      <c r="CN3" s="3659"/>
      <c r="CO3" s="5780"/>
      <c r="CP3" s="3658"/>
      <c r="CQ3" s="5779"/>
      <c r="CR3" s="5779"/>
      <c r="CS3" s="5779"/>
      <c r="CT3" s="3659"/>
      <c r="CU3" s="5779"/>
      <c r="CV3" s="3659"/>
      <c r="CW3" s="5780"/>
      <c r="CX3" s="3658"/>
      <c r="CY3" s="5779"/>
      <c r="CZ3" s="5779"/>
      <c r="DA3" s="5779"/>
      <c r="DB3" s="3659"/>
      <c r="DC3" s="5779"/>
      <c r="DD3" s="3659"/>
      <c r="DE3" s="5780"/>
      <c r="DF3" s="2310"/>
      <c r="DG3" s="1324" t="s">
        <v>407</v>
      </c>
      <c r="DI3" s="566"/>
      <c r="DJ3" s="566" t="str">
        <f>IF(T3="","",T3)</f>
        <v>Территория действия тарифа</v>
      </c>
      <c r="DK3" s="566"/>
      <c r="DL3" s="566"/>
      <c r="DM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6079"/>
      <c r="AM4" s="5779"/>
      <c r="AN4" s="5779"/>
      <c r="AO4" s="5779"/>
      <c r="AP4" s="3659"/>
      <c r="AQ4" s="5779"/>
      <c r="AR4" s="3659"/>
      <c r="AS4" s="5780"/>
      <c r="AT4" s="3658"/>
      <c r="AU4" s="5779"/>
      <c r="AV4" s="5779"/>
      <c r="AW4" s="5779"/>
      <c r="AX4" s="3659"/>
      <c r="AY4" s="5779"/>
      <c r="AZ4" s="3659"/>
      <c r="BA4" s="5780"/>
      <c r="BB4" s="3658"/>
      <c r="BC4" s="5779"/>
      <c r="BD4" s="5779"/>
      <c r="BE4" s="5779"/>
      <c r="BF4" s="3659"/>
      <c r="BG4" s="5779"/>
      <c r="BH4" s="3659"/>
      <c r="BI4" s="5780"/>
      <c r="BJ4" s="3658"/>
      <c r="BK4" s="5779"/>
      <c r="BL4" s="5779"/>
      <c r="BM4" s="5779"/>
      <c r="BN4" s="3659"/>
      <c r="BO4" s="5779"/>
      <c r="BP4" s="3659"/>
      <c r="BQ4" s="5780"/>
      <c r="BR4" s="3658"/>
      <c r="BS4" s="5779"/>
      <c r="BT4" s="5779"/>
      <c r="BU4" s="5779"/>
      <c r="BV4" s="3659"/>
      <c r="BW4" s="5779"/>
      <c r="BX4" s="3659"/>
      <c r="BY4" s="5780"/>
      <c r="BZ4" s="3658"/>
      <c r="CA4" s="5779"/>
      <c r="CB4" s="5779"/>
      <c r="CC4" s="5779"/>
      <c r="CD4" s="3659"/>
      <c r="CE4" s="5779"/>
      <c r="CF4" s="3659"/>
      <c r="CG4" s="5780"/>
      <c r="CH4" s="3658"/>
      <c r="CI4" s="5779"/>
      <c r="CJ4" s="5779"/>
      <c r="CK4" s="5779"/>
      <c r="CL4" s="3659"/>
      <c r="CM4" s="5779"/>
      <c r="CN4" s="3659"/>
      <c r="CO4" s="5780"/>
      <c r="CP4" s="3658"/>
      <c r="CQ4" s="5779"/>
      <c r="CR4" s="5779"/>
      <c r="CS4" s="5779"/>
      <c r="CT4" s="3659"/>
      <c r="CU4" s="5779"/>
      <c r="CV4" s="3659"/>
      <c r="CW4" s="5780"/>
      <c r="CX4" s="3658"/>
      <c r="CY4" s="5779"/>
      <c r="CZ4" s="5779"/>
      <c r="DA4" s="5779"/>
      <c r="DB4" s="3659"/>
      <c r="DC4" s="5779"/>
      <c r="DD4" s="3659"/>
      <c r="DE4" s="5780"/>
      <c r="DF4" s="2310"/>
      <c r="DG4" s="1324" t="s">
        <v>409</v>
      </c>
      <c r="DI4" s="566"/>
      <c r="DJ4" s="566" t="str">
        <f>IF(T4="","",T4)</f>
        <v>Наименование системы теплоснабжения </v>
      </c>
      <c r="DK4" s="566"/>
      <c r="DL4" s="566"/>
      <c r="DM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6079"/>
      <c r="AM5" s="5779"/>
      <c r="AN5" s="5779"/>
      <c r="AO5" s="5779"/>
      <c r="AP5" s="3659"/>
      <c r="AQ5" s="5779"/>
      <c r="AR5" s="3659"/>
      <c r="AS5" s="5780"/>
      <c r="AT5" s="3658"/>
      <c r="AU5" s="5779"/>
      <c r="AV5" s="5779"/>
      <c r="AW5" s="5779"/>
      <c r="AX5" s="3659"/>
      <c r="AY5" s="5779"/>
      <c r="AZ5" s="3659"/>
      <c r="BA5" s="5780"/>
      <c r="BB5" s="3658"/>
      <c r="BC5" s="5779"/>
      <c r="BD5" s="5779"/>
      <c r="BE5" s="5779"/>
      <c r="BF5" s="3659"/>
      <c r="BG5" s="5779"/>
      <c r="BH5" s="3659"/>
      <c r="BI5" s="5780"/>
      <c r="BJ5" s="3658"/>
      <c r="BK5" s="5779"/>
      <c r="BL5" s="5779"/>
      <c r="BM5" s="5779"/>
      <c r="BN5" s="3659"/>
      <c r="BO5" s="5779"/>
      <c r="BP5" s="3659"/>
      <c r="BQ5" s="5780"/>
      <c r="BR5" s="3658"/>
      <c r="BS5" s="5779"/>
      <c r="BT5" s="5779"/>
      <c r="BU5" s="5779"/>
      <c r="BV5" s="3659"/>
      <c r="BW5" s="5779"/>
      <c r="BX5" s="3659"/>
      <c r="BY5" s="5780"/>
      <c r="BZ5" s="3658"/>
      <c r="CA5" s="5779"/>
      <c r="CB5" s="5779"/>
      <c r="CC5" s="5779"/>
      <c r="CD5" s="3659"/>
      <c r="CE5" s="5779"/>
      <c r="CF5" s="3659"/>
      <c r="CG5" s="5780"/>
      <c r="CH5" s="3658"/>
      <c r="CI5" s="5779"/>
      <c r="CJ5" s="5779"/>
      <c r="CK5" s="5779"/>
      <c r="CL5" s="3659"/>
      <c r="CM5" s="5779"/>
      <c r="CN5" s="3659"/>
      <c r="CO5" s="5780"/>
      <c r="CP5" s="3658"/>
      <c r="CQ5" s="5779"/>
      <c r="CR5" s="5779"/>
      <c r="CS5" s="5779"/>
      <c r="CT5" s="3659"/>
      <c r="CU5" s="5779"/>
      <c r="CV5" s="3659"/>
      <c r="CW5" s="5780"/>
      <c r="CX5" s="3658"/>
      <c r="CY5" s="5779"/>
      <c r="CZ5" s="5779"/>
      <c r="DA5" s="5779"/>
      <c r="DB5" s="3659"/>
      <c r="DC5" s="5779"/>
      <c r="DD5" s="3659"/>
      <c r="DE5" s="5780"/>
      <c r="DF5" s="2310"/>
      <c r="DG5" s="1324" t="s">
        <v>411</v>
      </c>
      <c r="DI5" s="566"/>
      <c r="DJ5" s="566" t="str">
        <f>IF(T5="","",T5)</f>
        <v>Источник тепловой энергии  </v>
      </c>
      <c r="DK5" s="566"/>
      <c r="DL5" s="566"/>
      <c r="DM5" s="1221">
        <v>0</v>
      </c>
    </row>
    <row customHeight="1" ht="47.25" hidden="1">
      <c r="A6" s="1429"/>
      <c r="B6" s="1429"/>
      <c r="C6" s="1429"/>
      <c r="D6" s="1429"/>
      <c r="E6" s="2325"/>
      <c r="F6" s="2325"/>
      <c r="G6" s="2325"/>
      <c r="H6" s="2325"/>
      <c r="I6" s="2322">
        <f>S5&amp;".1"</f>
      </c>
      <c r="J6" s="1429"/>
      <c r="K6" s="1429"/>
      <c r="L6" s="1430" t="s">
        <v>412</v>
      </c>
      <c r="M6" s="603"/>
      <c r="P6" s="2323">
        <v>1</v>
      </c>
      <c r="Q6" s="1397"/>
      <c r="R6" s="422"/>
      <c r="S6" s="1402">
        <f>$I6</f>
      </c>
      <c r="T6" s="351" t="s">
        <v>413</v>
      </c>
      <c r="U6" s="366"/>
      <c r="V6" s="2311"/>
      <c r="W6" s="2312"/>
      <c r="X6" s="2312"/>
      <c r="Y6" s="2312"/>
      <c r="Z6" s="2312"/>
      <c r="AA6" s="2312"/>
      <c r="AB6" s="2312"/>
      <c r="AC6" s="2313"/>
      <c r="AD6" s="2311"/>
      <c r="AE6" s="2312"/>
      <c r="AF6" s="2312"/>
      <c r="AG6" s="2312"/>
      <c r="AH6" s="2312"/>
      <c r="AI6" s="2312"/>
      <c r="AJ6" s="2312"/>
      <c r="AK6" s="2312"/>
      <c r="AL6" s="6080"/>
      <c r="AM6" s="5781"/>
      <c r="AN6" s="5781"/>
      <c r="AO6" s="5781"/>
      <c r="AP6" s="3664"/>
      <c r="AQ6" s="5781"/>
      <c r="AR6" s="3664"/>
      <c r="AS6" s="5782"/>
      <c r="AT6" s="3663"/>
      <c r="AU6" s="5781"/>
      <c r="AV6" s="5781"/>
      <c r="AW6" s="5781"/>
      <c r="AX6" s="3664"/>
      <c r="AY6" s="5781"/>
      <c r="AZ6" s="3664"/>
      <c r="BA6" s="5782"/>
      <c r="BB6" s="3663"/>
      <c r="BC6" s="5781"/>
      <c r="BD6" s="5781"/>
      <c r="BE6" s="5781"/>
      <c r="BF6" s="3664"/>
      <c r="BG6" s="5781"/>
      <c r="BH6" s="3664"/>
      <c r="BI6" s="5782"/>
      <c r="BJ6" s="3663"/>
      <c r="BK6" s="5781"/>
      <c r="BL6" s="5781"/>
      <c r="BM6" s="5781"/>
      <c r="BN6" s="3664"/>
      <c r="BO6" s="5781"/>
      <c r="BP6" s="3664"/>
      <c r="BQ6" s="5782"/>
      <c r="BR6" s="3663"/>
      <c r="BS6" s="5781"/>
      <c r="BT6" s="5781"/>
      <c r="BU6" s="5781"/>
      <c r="BV6" s="3664"/>
      <c r="BW6" s="5781"/>
      <c r="BX6" s="3664"/>
      <c r="BY6" s="5782"/>
      <c r="BZ6" s="3663"/>
      <c r="CA6" s="5781"/>
      <c r="CB6" s="5781"/>
      <c r="CC6" s="5781"/>
      <c r="CD6" s="3664"/>
      <c r="CE6" s="5781"/>
      <c r="CF6" s="3664"/>
      <c r="CG6" s="5782"/>
      <c r="CH6" s="3663"/>
      <c r="CI6" s="5781"/>
      <c r="CJ6" s="5781"/>
      <c r="CK6" s="5781"/>
      <c r="CL6" s="3664"/>
      <c r="CM6" s="5781"/>
      <c r="CN6" s="3664"/>
      <c r="CO6" s="5782"/>
      <c r="CP6" s="3663"/>
      <c r="CQ6" s="5781"/>
      <c r="CR6" s="5781"/>
      <c r="CS6" s="5781"/>
      <c r="CT6" s="3664"/>
      <c r="CU6" s="5781"/>
      <c r="CV6" s="3664"/>
      <c r="CW6" s="5782"/>
      <c r="CX6" s="3663"/>
      <c r="CY6" s="5781"/>
      <c r="CZ6" s="5781"/>
      <c r="DA6" s="5781"/>
      <c r="DB6" s="3664"/>
      <c r="DC6" s="5781"/>
      <c r="DD6" s="3664"/>
      <c r="DE6" s="5782"/>
      <c r="DF6" s="2313"/>
      <c r="DG6" s="1324" t="s">
        <v>414</v>
      </c>
      <c r="DI6" s="566"/>
      <c r="DJ6" s="566" t="str">
        <f>IF(T6="","",T6)</f>
        <v>Схема подключения теплопотребляющей установки к коллектору источника тепловой энергии</v>
      </c>
      <c r="DK6" s="566"/>
      <c r="DL6" s="566"/>
      <c r="DM6" s="1221">
        <v>0</v>
      </c>
    </row>
    <row customHeight="1" ht="21" hidden="1">
      <c r="A7" s="1429"/>
      <c r="B7" s="1429"/>
      <c r="C7" s="1429"/>
      <c r="D7" s="1429"/>
      <c r="E7" s="2325"/>
      <c r="F7" s="2325"/>
      <c r="G7" s="2325"/>
      <c r="H7" s="2325"/>
      <c r="I7" s="2352"/>
      <c r="J7" s="2322">
        <f>I6&amp;".1"</f>
      </c>
      <c r="K7" s="1429"/>
      <c r="L7" s="1430" t="s">
        <v>415</v>
      </c>
      <c r="M7" s="603"/>
      <c r="N7" s="1432"/>
      <c r="P7" s="2323"/>
      <c r="Q7" s="2323">
        <v>1</v>
      </c>
      <c r="R7" s="423"/>
      <c r="S7" s="1402">
        <f>$J7</f>
      </c>
      <c r="T7" s="352" t="s">
        <v>416</v>
      </c>
      <c r="U7" s="366"/>
      <c r="V7" s="2311"/>
      <c r="W7" s="2312"/>
      <c r="X7" s="2312"/>
      <c r="Y7" s="2312"/>
      <c r="Z7" s="2312"/>
      <c r="AA7" s="2312"/>
      <c r="AB7" s="2312"/>
      <c r="AC7" s="2313"/>
      <c r="AD7" s="2311"/>
      <c r="AE7" s="2312"/>
      <c r="AF7" s="2312"/>
      <c r="AG7" s="2312"/>
      <c r="AH7" s="2312"/>
      <c r="AI7" s="2312"/>
      <c r="AJ7" s="2312"/>
      <c r="AK7" s="2312"/>
      <c r="AL7" s="6080"/>
      <c r="AM7" s="5781"/>
      <c r="AN7" s="5781"/>
      <c r="AO7" s="5781"/>
      <c r="AP7" s="3664"/>
      <c r="AQ7" s="5781"/>
      <c r="AR7" s="3664"/>
      <c r="AS7" s="5782"/>
      <c r="AT7" s="3663"/>
      <c r="AU7" s="5781"/>
      <c r="AV7" s="5781"/>
      <c r="AW7" s="5781"/>
      <c r="AX7" s="3664"/>
      <c r="AY7" s="5781"/>
      <c r="AZ7" s="3664"/>
      <c r="BA7" s="5782"/>
      <c r="BB7" s="3663"/>
      <c r="BC7" s="5781"/>
      <c r="BD7" s="5781"/>
      <c r="BE7" s="5781"/>
      <c r="BF7" s="3664"/>
      <c r="BG7" s="5781"/>
      <c r="BH7" s="3664"/>
      <c r="BI7" s="5782"/>
      <c r="BJ7" s="3663"/>
      <c r="BK7" s="5781"/>
      <c r="BL7" s="5781"/>
      <c r="BM7" s="5781"/>
      <c r="BN7" s="3664"/>
      <c r="BO7" s="5781"/>
      <c r="BP7" s="3664"/>
      <c r="BQ7" s="5782"/>
      <c r="BR7" s="3663"/>
      <c r="BS7" s="5781"/>
      <c r="BT7" s="5781"/>
      <c r="BU7" s="5781"/>
      <c r="BV7" s="3664"/>
      <c r="BW7" s="5781"/>
      <c r="BX7" s="3664"/>
      <c r="BY7" s="5782"/>
      <c r="BZ7" s="3663"/>
      <c r="CA7" s="5781"/>
      <c r="CB7" s="5781"/>
      <c r="CC7" s="5781"/>
      <c r="CD7" s="3664"/>
      <c r="CE7" s="5781"/>
      <c r="CF7" s="3664"/>
      <c r="CG7" s="5782"/>
      <c r="CH7" s="3663"/>
      <c r="CI7" s="5781"/>
      <c r="CJ7" s="5781"/>
      <c r="CK7" s="5781"/>
      <c r="CL7" s="3664"/>
      <c r="CM7" s="5781"/>
      <c r="CN7" s="3664"/>
      <c r="CO7" s="5782"/>
      <c r="CP7" s="3663"/>
      <c r="CQ7" s="5781"/>
      <c r="CR7" s="5781"/>
      <c r="CS7" s="5781"/>
      <c r="CT7" s="3664"/>
      <c r="CU7" s="5781"/>
      <c r="CV7" s="3664"/>
      <c r="CW7" s="5782"/>
      <c r="CX7" s="3663"/>
      <c r="CY7" s="5781"/>
      <c r="CZ7" s="5781"/>
      <c r="DA7" s="5781"/>
      <c r="DB7" s="3664"/>
      <c r="DC7" s="5781"/>
      <c r="DD7" s="3664"/>
      <c r="DE7" s="5782"/>
      <c r="DF7" s="2313"/>
      <c r="DG7" s="1324" t="s">
        <v>417</v>
      </c>
      <c r="DI7" s="566"/>
      <c r="DJ7" s="566" t="str">
        <f>IF(T7="","",T7)</f>
        <v>Группа потребителей</v>
      </c>
      <c r="DK7" s="566"/>
      <c r="DL7" s="566"/>
      <c r="DM7" s="1221">
        <v>0</v>
      </c>
    </row>
    <row customHeight="1" ht="21" hidden="1">
      <c r="A8" s="1429"/>
      <c r="B8" s="1429"/>
      <c r="C8" s="1429"/>
      <c r="D8" s="1429"/>
      <c r="E8" s="2325"/>
      <c r="F8" s="2325"/>
      <c r="G8" s="2325"/>
      <c r="H8" s="2325"/>
      <c r="I8" s="2352"/>
      <c r="J8" s="2352"/>
      <c r="K8" s="2322">
        <f>J7&amp;".1"</f>
      </c>
      <c r="L8" s="1430" t="s">
        <v>418</v>
      </c>
      <c r="M8" s="603"/>
      <c r="N8" s="1432"/>
      <c r="O8" s="1432"/>
      <c r="P8" s="2323"/>
      <c r="Q8" s="2323"/>
      <c r="R8" s="423">
        <v>1</v>
      </c>
      <c r="S8" s="1402">
        <f>$K8</f>
      </c>
      <c r="T8" s="1413"/>
      <c r="U8" s="366"/>
      <c r="V8" s="817"/>
      <c r="W8" s="391"/>
      <c r="X8" s="817"/>
      <c r="Y8" s="1323"/>
      <c r="Z8" s="2331"/>
      <c r="AA8" s="2173" t="s">
        <v>71</v>
      </c>
      <c r="AB8" s="2331"/>
      <c r="AC8" s="2173" t="s">
        <v>71</v>
      </c>
      <c r="AD8" s="817"/>
      <c r="AE8" s="391"/>
      <c r="AF8" s="817"/>
      <c r="AG8" s="1323"/>
      <c r="AH8" s="2331"/>
      <c r="AI8" s="2173" t="s">
        <v>71</v>
      </c>
      <c r="AJ8" s="2331"/>
      <c r="AK8" s="2173" t="s">
        <v>71</v>
      </c>
      <c r="AL8" s="3666"/>
      <c r="AM8" s="5783"/>
      <c r="AN8" s="5784"/>
      <c r="AO8" s="5785"/>
      <c r="AP8" s="3669"/>
      <c r="AQ8" s="5786" t="s">
        <v>71</v>
      </c>
      <c r="AR8" s="3669"/>
      <c r="AS8" s="3118" t="s">
        <v>71</v>
      </c>
      <c r="AT8" s="3666"/>
      <c r="AU8" s="5783"/>
      <c r="AV8" s="5784"/>
      <c r="AW8" s="5785"/>
      <c r="AX8" s="3669"/>
      <c r="AY8" s="3118" t="s">
        <v>71</v>
      </c>
      <c r="AZ8" s="3669"/>
      <c r="BA8" s="3118" t="s">
        <v>71</v>
      </c>
      <c r="BB8" s="3666"/>
      <c r="BC8" s="5783"/>
      <c r="BD8" s="5784"/>
      <c r="BE8" s="5785"/>
      <c r="BF8" s="3669"/>
      <c r="BG8" s="3118" t="s">
        <v>71</v>
      </c>
      <c r="BH8" s="3669"/>
      <c r="BI8" s="3118" t="s">
        <v>71</v>
      </c>
      <c r="BJ8" s="3666"/>
      <c r="BK8" s="5783"/>
      <c r="BL8" s="5784"/>
      <c r="BM8" s="5785"/>
      <c r="BN8" s="3669"/>
      <c r="BO8" s="3118" t="s">
        <v>71</v>
      </c>
      <c r="BP8" s="3669"/>
      <c r="BQ8" s="3118" t="s">
        <v>71</v>
      </c>
      <c r="BR8" s="3666"/>
      <c r="BS8" s="5783"/>
      <c r="BT8" s="5784"/>
      <c r="BU8" s="5785"/>
      <c r="BV8" s="3669"/>
      <c r="BW8" s="3118" t="s">
        <v>71</v>
      </c>
      <c r="BX8" s="3669"/>
      <c r="BY8" s="3118" t="s">
        <v>71</v>
      </c>
      <c r="BZ8" s="3666"/>
      <c r="CA8" s="5783"/>
      <c r="CB8" s="5784"/>
      <c r="CC8" s="5785"/>
      <c r="CD8" s="3669"/>
      <c r="CE8" s="3118" t="s">
        <v>71</v>
      </c>
      <c r="CF8" s="3669"/>
      <c r="CG8" s="3118" t="s">
        <v>71</v>
      </c>
      <c r="CH8" s="3666"/>
      <c r="CI8" s="5783"/>
      <c r="CJ8" s="5784"/>
      <c r="CK8" s="5785"/>
      <c r="CL8" s="3669"/>
      <c r="CM8" s="3118" t="s">
        <v>71</v>
      </c>
      <c r="CN8" s="3669"/>
      <c r="CO8" s="3118" t="s">
        <v>71</v>
      </c>
      <c r="CP8" s="3666"/>
      <c r="CQ8" s="5783"/>
      <c r="CR8" s="5784"/>
      <c r="CS8" s="5785"/>
      <c r="CT8" s="3669"/>
      <c r="CU8" s="3118" t="s">
        <v>71</v>
      </c>
      <c r="CV8" s="3669"/>
      <c r="CW8" s="3118" t="s">
        <v>71</v>
      </c>
      <c r="CX8" s="3666"/>
      <c r="CY8" s="5783"/>
      <c r="CZ8" s="5784"/>
      <c r="DA8" s="5785"/>
      <c r="DB8" s="3669"/>
      <c r="DC8" s="3118" t="s">
        <v>71</v>
      </c>
      <c r="DD8" s="3669"/>
      <c r="DE8" s="3118" t="s">
        <v>71</v>
      </c>
      <c r="DF8" s="391"/>
      <c r="DG8" s="2319" t="s">
        <v>419</v>
      </c>
      <c r="DH8" s="577">
        <f>STRCHECKDATE(V9:DF9)</f>
      </c>
      <c r="DI8" s="566"/>
      <c r="DJ8" s="566" t="str">
        <f>IF(T8="","",T8)</f>
        <v/>
      </c>
      <c r="DK8" s="566"/>
      <c r="DL8" s="566"/>
      <c r="DM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667"/>
      <c r="AM9" s="5783"/>
      <c r="AN9" s="5783"/>
      <c r="AO9" s="5787" t="str">
        <f>AP8&amp;"-"&amp;AR8</f>
        <v>-</v>
      </c>
      <c r="AP9" s="3672"/>
      <c r="AQ9" s="3118"/>
      <c r="AR9" s="3672"/>
      <c r="AS9" s="3118"/>
      <c r="AT9" s="3667"/>
      <c r="AU9" s="5783"/>
      <c r="AV9" s="5783"/>
      <c r="AW9" s="3671" t="str">
        <f>AX8&amp;"-"&amp;AZ8</f>
        <v>-</v>
      </c>
      <c r="AX9" s="3672"/>
      <c r="AY9" s="3118"/>
      <c r="AZ9" s="3672"/>
      <c r="BA9" s="3118"/>
      <c r="BB9" s="3667"/>
      <c r="BC9" s="5783"/>
      <c r="BD9" s="5783"/>
      <c r="BE9" s="3671" t="str">
        <f>BF8&amp;"-"&amp;BH8</f>
        <v>-</v>
      </c>
      <c r="BF9" s="3672"/>
      <c r="BG9" s="3118"/>
      <c r="BH9" s="3672"/>
      <c r="BI9" s="3118"/>
      <c r="BJ9" s="3667"/>
      <c r="BK9" s="5783"/>
      <c r="BL9" s="5783"/>
      <c r="BM9" s="3671" t="str">
        <f>BN8&amp;"-"&amp;BP8</f>
        <v>-</v>
      </c>
      <c r="BN9" s="3672"/>
      <c r="BO9" s="3118"/>
      <c r="BP9" s="3672"/>
      <c r="BQ9" s="3118"/>
      <c r="BR9" s="3667"/>
      <c r="BS9" s="5783"/>
      <c r="BT9" s="5783"/>
      <c r="BU9" s="3671" t="str">
        <f>BV8&amp;"-"&amp;BX8</f>
        <v>-</v>
      </c>
      <c r="BV9" s="3672"/>
      <c r="BW9" s="3118"/>
      <c r="BX9" s="3672"/>
      <c r="BY9" s="3118"/>
      <c r="BZ9" s="3667"/>
      <c r="CA9" s="5783"/>
      <c r="CB9" s="5783"/>
      <c r="CC9" s="3671" t="str">
        <f>CD8&amp;"-"&amp;CF8</f>
        <v>-</v>
      </c>
      <c r="CD9" s="3672"/>
      <c r="CE9" s="3118"/>
      <c r="CF9" s="3672"/>
      <c r="CG9" s="3118"/>
      <c r="CH9" s="3667"/>
      <c r="CI9" s="5783"/>
      <c r="CJ9" s="5783"/>
      <c r="CK9" s="3671" t="str">
        <f>CL8&amp;"-"&amp;CN8</f>
        <v>-</v>
      </c>
      <c r="CL9" s="3672"/>
      <c r="CM9" s="3118"/>
      <c r="CN9" s="3672"/>
      <c r="CO9" s="3118"/>
      <c r="CP9" s="3667"/>
      <c r="CQ9" s="5783"/>
      <c r="CR9" s="5783"/>
      <c r="CS9" s="3671" t="str">
        <f>CT8&amp;"-"&amp;CV8</f>
        <v>-</v>
      </c>
      <c r="CT9" s="3672"/>
      <c r="CU9" s="3118"/>
      <c r="CV9" s="3672"/>
      <c r="CW9" s="3118"/>
      <c r="CX9" s="3667"/>
      <c r="CY9" s="5783"/>
      <c r="CZ9" s="5783"/>
      <c r="DA9" s="3671" t="str">
        <f>DB8&amp;"-"&amp;DD8</f>
        <v>-</v>
      </c>
      <c r="DB9" s="3672"/>
      <c r="DC9" s="3118"/>
      <c r="DD9" s="3672"/>
      <c r="DE9" s="3118"/>
      <c r="DF9" s="391"/>
      <c r="DG9" s="2320"/>
      <c r="DI9" s="566"/>
      <c r="DJ9" s="566" t="str">
        <f>IF(T9="","",T9)</f>
        <v/>
      </c>
      <c r="DK9" s="566"/>
      <c r="DL9" s="566"/>
      <c r="DM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420</v>
      </c>
      <c r="U10" s="433"/>
      <c r="V10" s="433"/>
      <c r="W10" s="433"/>
      <c r="X10" s="433"/>
      <c r="Y10" s="433"/>
      <c r="Z10" s="433"/>
      <c r="AA10" s="433"/>
      <c r="AB10" s="433"/>
      <c r="AC10" s="433"/>
      <c r="AD10" s="433"/>
      <c r="AE10" s="433"/>
      <c r="AF10" s="433"/>
      <c r="AG10" s="433"/>
      <c r="AH10" s="433"/>
      <c r="AI10" s="433"/>
      <c r="AJ10" s="433"/>
      <c r="AK10" s="433"/>
      <c r="AL10" s="6081"/>
      <c r="AM10" s="5788"/>
      <c r="AN10" s="5789"/>
      <c r="AO10" s="5790"/>
      <c r="AP10" s="3677"/>
      <c r="AQ10" s="5791"/>
      <c r="AR10" s="3679"/>
      <c r="AS10" s="5792"/>
      <c r="AT10" s="3681"/>
      <c r="AU10" s="5793"/>
      <c r="AV10" s="5794"/>
      <c r="AW10" s="5795"/>
      <c r="AX10" s="3685"/>
      <c r="AY10" s="5796"/>
      <c r="AZ10" s="3687"/>
      <c r="BA10" s="5797"/>
      <c r="BB10" s="3689"/>
      <c r="BC10" s="5798"/>
      <c r="BD10" s="5799"/>
      <c r="BE10" s="5800"/>
      <c r="BF10" s="3693"/>
      <c r="BG10" s="5801"/>
      <c r="BH10" s="3695"/>
      <c r="BI10" s="6082"/>
      <c r="BJ10" s="3697"/>
      <c r="BK10" s="5802"/>
      <c r="BL10" s="5803"/>
      <c r="BM10" s="5804"/>
      <c r="BN10" s="3701"/>
      <c r="BO10" s="5805"/>
      <c r="BP10" s="3703"/>
      <c r="BQ10" s="5806"/>
      <c r="BR10" s="3705"/>
      <c r="BS10" s="5807"/>
      <c r="BT10" s="5808"/>
      <c r="BU10" s="5809"/>
      <c r="BV10" s="3709"/>
      <c r="BW10" s="5810"/>
      <c r="BX10" s="3711"/>
      <c r="BY10" s="5811"/>
      <c r="BZ10" s="3713"/>
      <c r="CA10" s="5812"/>
      <c r="CB10" s="5813"/>
      <c r="CC10" s="5814"/>
      <c r="CD10" s="3717"/>
      <c r="CE10" s="5815"/>
      <c r="CF10" s="3719"/>
      <c r="CG10" s="5816"/>
      <c r="CH10" s="3721"/>
      <c r="CI10" s="5817"/>
      <c r="CJ10" s="5818"/>
      <c r="CK10" s="5819"/>
      <c r="CL10" s="3725"/>
      <c r="CM10" s="5820"/>
      <c r="CN10" s="3727"/>
      <c r="CO10" s="5821"/>
      <c r="CP10" s="3729"/>
      <c r="CQ10" s="5822"/>
      <c r="CR10" s="5823"/>
      <c r="CS10" s="5824"/>
      <c r="CT10" s="3733"/>
      <c r="CU10" s="5825"/>
      <c r="CV10" s="3735"/>
      <c r="CW10" s="5826"/>
      <c r="CX10" s="3737"/>
      <c r="CY10" s="5827"/>
      <c r="CZ10" s="5828"/>
      <c r="DA10" s="5829"/>
      <c r="DB10" s="3741"/>
      <c r="DC10" s="5830"/>
      <c r="DD10" s="3743"/>
      <c r="DE10" s="5831"/>
      <c r="DF10" s="390"/>
      <c r="DG10" s="2321"/>
      <c r="DI10" s="566"/>
      <c r="DJ10" s="566" t="str">
        <f>IF(T10="","",T10)</f>
        <v>Добавить вид теплоносителя (параметры теплоносителя)</v>
      </c>
      <c r="DK10" s="566"/>
      <c r="DL10" s="566"/>
      <c r="DM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421</v>
      </c>
      <c r="U11" s="433"/>
      <c r="V11" s="433"/>
      <c r="W11" s="433"/>
      <c r="X11" s="433"/>
      <c r="Y11" s="433"/>
      <c r="Z11" s="433"/>
      <c r="AA11" s="433"/>
      <c r="AB11" s="433"/>
      <c r="AC11" s="432"/>
      <c r="AD11" s="433"/>
      <c r="AE11" s="433"/>
      <c r="AF11" s="433"/>
      <c r="AG11" s="433"/>
      <c r="AH11" s="433"/>
      <c r="AI11" s="433"/>
      <c r="AJ11" s="433"/>
      <c r="AK11" s="432"/>
      <c r="AL11" s="6083"/>
      <c r="AM11" s="5832"/>
      <c r="AN11" s="5833"/>
      <c r="AO11" s="5834"/>
      <c r="AP11" s="3749"/>
      <c r="AQ11" s="5835"/>
      <c r="AR11" s="3751"/>
      <c r="AS11" s="5836"/>
      <c r="AT11" s="3753"/>
      <c r="AU11" s="5837"/>
      <c r="AV11" s="5838"/>
      <c r="AW11" s="5839"/>
      <c r="AX11" s="3757"/>
      <c r="AY11" s="5840"/>
      <c r="AZ11" s="3759"/>
      <c r="BA11" s="5841"/>
      <c r="BB11" s="3761"/>
      <c r="BC11" s="5842"/>
      <c r="BD11" s="5843"/>
      <c r="BE11" s="5844"/>
      <c r="BF11" s="3765"/>
      <c r="BG11" s="5845"/>
      <c r="BH11" s="3767"/>
      <c r="BI11" s="6084"/>
      <c r="BJ11" s="3769"/>
      <c r="BK11" s="5846"/>
      <c r="BL11" s="5847"/>
      <c r="BM11" s="5848"/>
      <c r="BN11" s="3773"/>
      <c r="BO11" s="5849"/>
      <c r="BP11" s="3775"/>
      <c r="BQ11" s="5850"/>
      <c r="BR11" s="3777"/>
      <c r="BS11" s="5851"/>
      <c r="BT11" s="5852"/>
      <c r="BU11" s="5853"/>
      <c r="BV11" s="3781"/>
      <c r="BW11" s="5854"/>
      <c r="BX11" s="3783"/>
      <c r="BY11" s="5855"/>
      <c r="BZ11" s="3785"/>
      <c r="CA11" s="5856"/>
      <c r="CB11" s="5857"/>
      <c r="CC11" s="5858"/>
      <c r="CD11" s="3789"/>
      <c r="CE11" s="5859"/>
      <c r="CF11" s="3791"/>
      <c r="CG11" s="5860"/>
      <c r="CH11" s="3793"/>
      <c r="CI11" s="5861"/>
      <c r="CJ11" s="5862"/>
      <c r="CK11" s="5863"/>
      <c r="CL11" s="3797"/>
      <c r="CM11" s="5864"/>
      <c r="CN11" s="3799"/>
      <c r="CO11" s="5865"/>
      <c r="CP11" s="3801"/>
      <c r="CQ11" s="5866"/>
      <c r="CR11" s="5867"/>
      <c r="CS11" s="5868"/>
      <c r="CT11" s="3805"/>
      <c r="CU11" s="5869"/>
      <c r="CV11" s="3807"/>
      <c r="CW11" s="5870"/>
      <c r="CX11" s="3809"/>
      <c r="CY11" s="5871"/>
      <c r="CZ11" s="5872"/>
      <c r="DA11" s="5873"/>
      <c r="DB11" s="3813"/>
      <c r="DC11" s="5874"/>
      <c r="DD11" s="3815"/>
      <c r="DE11" s="5875"/>
      <c r="DF11" s="433"/>
      <c r="DG11" s="369"/>
      <c r="DI11" s="566"/>
      <c r="DJ11" s="566" t="str">
        <f>IF(T11="","",T11)</f>
        <v>Добавить группу потребителей</v>
      </c>
      <c r="DK11" s="566"/>
      <c r="DL11" s="566"/>
      <c r="DM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422</v>
      </c>
      <c r="U12" s="433"/>
      <c r="V12" s="433"/>
      <c r="W12" s="433"/>
      <c r="X12" s="433"/>
      <c r="Y12" s="433"/>
      <c r="Z12" s="433"/>
      <c r="AA12" s="433"/>
      <c r="AB12" s="433"/>
      <c r="AC12" s="432"/>
      <c r="AD12" s="433"/>
      <c r="AE12" s="433"/>
      <c r="AF12" s="433"/>
      <c r="AG12" s="433"/>
      <c r="AH12" s="433"/>
      <c r="AI12" s="433"/>
      <c r="AJ12" s="433"/>
      <c r="AK12" s="432"/>
      <c r="AL12" s="6085"/>
      <c r="AM12" s="5876"/>
      <c r="AN12" s="5877"/>
      <c r="AO12" s="5878"/>
      <c r="AP12" s="3821"/>
      <c r="AQ12" s="5879"/>
      <c r="AR12" s="3823"/>
      <c r="AS12" s="5880"/>
      <c r="AT12" s="3825"/>
      <c r="AU12" s="5881"/>
      <c r="AV12" s="5882"/>
      <c r="AW12" s="5883"/>
      <c r="AX12" s="3829"/>
      <c r="AY12" s="5884"/>
      <c r="AZ12" s="3831"/>
      <c r="BA12" s="5885"/>
      <c r="BB12" s="3833"/>
      <c r="BC12" s="5886"/>
      <c r="BD12" s="5887"/>
      <c r="BE12" s="5888"/>
      <c r="BF12" s="3837"/>
      <c r="BG12" s="5889"/>
      <c r="BH12" s="3839"/>
      <c r="BI12" s="6086"/>
      <c r="BJ12" s="3841"/>
      <c r="BK12" s="5890"/>
      <c r="BL12" s="5891"/>
      <c r="BM12" s="5892"/>
      <c r="BN12" s="3845"/>
      <c r="BO12" s="5893"/>
      <c r="BP12" s="3847"/>
      <c r="BQ12" s="5894"/>
      <c r="BR12" s="3849"/>
      <c r="BS12" s="5895"/>
      <c r="BT12" s="5896"/>
      <c r="BU12" s="5897"/>
      <c r="BV12" s="3853"/>
      <c r="BW12" s="5898"/>
      <c r="BX12" s="3855"/>
      <c r="BY12" s="5899"/>
      <c r="BZ12" s="3857"/>
      <c r="CA12" s="5900"/>
      <c r="CB12" s="5901"/>
      <c r="CC12" s="5902"/>
      <c r="CD12" s="3861"/>
      <c r="CE12" s="5903"/>
      <c r="CF12" s="3863"/>
      <c r="CG12" s="5904"/>
      <c r="CH12" s="3865"/>
      <c r="CI12" s="5905"/>
      <c r="CJ12" s="5906"/>
      <c r="CK12" s="5907"/>
      <c r="CL12" s="3869"/>
      <c r="CM12" s="5908"/>
      <c r="CN12" s="3871"/>
      <c r="CO12" s="5909"/>
      <c r="CP12" s="3873"/>
      <c r="CQ12" s="5910"/>
      <c r="CR12" s="5911"/>
      <c r="CS12" s="5912"/>
      <c r="CT12" s="3877"/>
      <c r="CU12" s="5913"/>
      <c r="CV12" s="3879"/>
      <c r="CW12" s="5914"/>
      <c r="CX12" s="3881"/>
      <c r="CY12" s="5915"/>
      <c r="CZ12" s="5916"/>
      <c r="DA12" s="5917"/>
      <c r="DB12" s="3885"/>
      <c r="DC12" s="5918"/>
      <c r="DD12" s="3887"/>
      <c r="DE12" s="5919"/>
      <c r="DF12" s="433"/>
      <c r="DG12" s="369"/>
      <c r="DI12" s="566"/>
      <c r="DJ12" s="566" t="str">
        <f>IF(T12="","",T12)</f>
        <v>Добавить схему подключения</v>
      </c>
      <c r="DK12" s="566"/>
      <c r="DL12" s="566"/>
      <c r="DM12" s="1221">
        <v>0</v>
      </c>
    </row>
    <row s="4562"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173</v>
      </c>
      <c r="U13" s="1386"/>
      <c r="V13" s="1386"/>
      <c r="W13" s="1386"/>
      <c r="X13" s="1386"/>
      <c r="Y13" s="1386"/>
      <c r="Z13" s="1386"/>
      <c r="AA13" s="1386"/>
      <c r="AB13" s="1386"/>
      <c r="AC13" s="1386"/>
      <c r="AD13" s="1386"/>
      <c r="AE13" s="1386"/>
      <c r="AF13" s="1386"/>
      <c r="AG13" s="1386"/>
      <c r="AH13" s="1386"/>
      <c r="AI13" s="1386"/>
      <c r="AJ13" s="1386"/>
      <c r="AK13" s="1386"/>
      <c r="AL13" s="3889"/>
      <c r="AM13" s="5920"/>
      <c r="AN13" s="5920"/>
      <c r="AO13" s="5920"/>
      <c r="AP13" s="3889"/>
      <c r="AQ13" s="5920"/>
      <c r="AR13" s="3889"/>
      <c r="AS13" s="5920"/>
      <c r="AT13" s="3889"/>
      <c r="AU13" s="5920"/>
      <c r="AV13" s="5920"/>
      <c r="AW13" s="5920"/>
      <c r="AX13" s="3889"/>
      <c r="AY13" s="5920"/>
      <c r="AZ13" s="3889"/>
      <c r="BA13" s="5920"/>
      <c r="BB13" s="3889"/>
      <c r="BC13" s="5920"/>
      <c r="BD13" s="5920"/>
      <c r="BE13" s="5920"/>
      <c r="BF13" s="3889"/>
      <c r="BG13" s="5920"/>
      <c r="BH13" s="3889"/>
      <c r="BI13" s="3889"/>
      <c r="BJ13" s="3889"/>
      <c r="BK13" s="5920"/>
      <c r="BL13" s="5920"/>
      <c r="BM13" s="5920"/>
      <c r="BN13" s="3889"/>
      <c r="BO13" s="5920"/>
      <c r="BP13" s="3889"/>
      <c r="BQ13" s="5920"/>
      <c r="BR13" s="3889"/>
      <c r="BS13" s="5920"/>
      <c r="BT13" s="5920"/>
      <c r="BU13" s="5920"/>
      <c r="BV13" s="3889"/>
      <c r="BW13" s="5920"/>
      <c r="BX13" s="3889"/>
      <c r="BY13" s="5920"/>
      <c r="BZ13" s="3889"/>
      <c r="CA13" s="5920"/>
      <c r="CB13" s="5920"/>
      <c r="CC13" s="5920"/>
      <c r="CD13" s="3889"/>
      <c r="CE13" s="5920"/>
      <c r="CF13" s="3889"/>
      <c r="CG13" s="5920"/>
      <c r="CH13" s="3889"/>
      <c r="CI13" s="5920"/>
      <c r="CJ13" s="5920"/>
      <c r="CK13" s="5920"/>
      <c r="CL13" s="3889"/>
      <c r="CM13" s="5920"/>
      <c r="CN13" s="3889"/>
      <c r="CO13" s="5920"/>
      <c r="CP13" s="3889"/>
      <c r="CQ13" s="5920"/>
      <c r="CR13" s="5920"/>
      <c r="CS13" s="5920"/>
      <c r="CT13" s="3889"/>
      <c r="CU13" s="5920"/>
      <c r="CV13" s="3889"/>
      <c r="CW13" s="5920"/>
      <c r="CX13" s="3889"/>
      <c r="CY13" s="5920"/>
      <c r="CZ13" s="5920"/>
      <c r="DA13" s="5920"/>
      <c r="DB13" s="3889"/>
      <c r="DC13" s="5920"/>
      <c r="DD13" s="3889"/>
      <c r="DE13" s="5920"/>
      <c r="DF13" s="1386"/>
      <c r="DG13" s="1386"/>
      <c r="DI13" s="855"/>
      <c r="DJ13" s="855" t="str">
        <f>IF(T13="","",T13)</f>
        <v>Добавить источник для дифференциации</v>
      </c>
      <c r="DK13" s="855"/>
      <c r="DL13" s="855"/>
      <c r="DM13" s="584">
        <v>0</v>
      </c>
    </row>
    <row s="4562"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174</v>
      </c>
      <c r="U14" s="1390"/>
      <c r="V14" s="1390"/>
      <c r="W14" s="1390"/>
      <c r="X14" s="1390"/>
      <c r="Y14" s="1390"/>
      <c r="Z14" s="1390"/>
      <c r="AA14" s="1390"/>
      <c r="AB14" s="1390"/>
      <c r="AC14" s="1390"/>
      <c r="AD14" s="1390"/>
      <c r="AE14" s="1390"/>
      <c r="AF14" s="1390"/>
      <c r="AG14" s="1390"/>
      <c r="AH14" s="1390"/>
      <c r="AI14" s="1390"/>
      <c r="AJ14" s="1390"/>
      <c r="AK14" s="1390"/>
      <c r="AL14" s="3890"/>
      <c r="AM14" s="5921"/>
      <c r="AN14" s="5921"/>
      <c r="AO14" s="5921"/>
      <c r="AP14" s="3890"/>
      <c r="AQ14" s="5921"/>
      <c r="AR14" s="3890"/>
      <c r="AS14" s="5921"/>
      <c r="AT14" s="3890"/>
      <c r="AU14" s="5921"/>
      <c r="AV14" s="5921"/>
      <c r="AW14" s="5921"/>
      <c r="AX14" s="3890"/>
      <c r="AY14" s="5921"/>
      <c r="AZ14" s="3890"/>
      <c r="BA14" s="5921"/>
      <c r="BB14" s="3890"/>
      <c r="BC14" s="5921"/>
      <c r="BD14" s="5921"/>
      <c r="BE14" s="5921"/>
      <c r="BF14" s="3890"/>
      <c r="BG14" s="5921"/>
      <c r="BH14" s="3890"/>
      <c r="BI14" s="3890"/>
      <c r="BJ14" s="3890"/>
      <c r="BK14" s="5921"/>
      <c r="BL14" s="5921"/>
      <c r="BM14" s="5921"/>
      <c r="BN14" s="3890"/>
      <c r="BO14" s="5921"/>
      <c r="BP14" s="3890"/>
      <c r="BQ14" s="5921"/>
      <c r="BR14" s="3890"/>
      <c r="BS14" s="5921"/>
      <c r="BT14" s="5921"/>
      <c r="BU14" s="5921"/>
      <c r="BV14" s="3890"/>
      <c r="BW14" s="5921"/>
      <c r="BX14" s="3890"/>
      <c r="BY14" s="5921"/>
      <c r="BZ14" s="3890"/>
      <c r="CA14" s="5921"/>
      <c r="CB14" s="5921"/>
      <c r="CC14" s="5921"/>
      <c r="CD14" s="3890"/>
      <c r="CE14" s="5921"/>
      <c r="CF14" s="3890"/>
      <c r="CG14" s="5921"/>
      <c r="CH14" s="3890"/>
      <c r="CI14" s="5921"/>
      <c r="CJ14" s="5921"/>
      <c r="CK14" s="5921"/>
      <c r="CL14" s="3890"/>
      <c r="CM14" s="5921"/>
      <c r="CN14" s="3890"/>
      <c r="CO14" s="5921"/>
      <c r="CP14" s="3890"/>
      <c r="CQ14" s="5921"/>
      <c r="CR14" s="5921"/>
      <c r="CS14" s="5921"/>
      <c r="CT14" s="3890"/>
      <c r="CU14" s="5921"/>
      <c r="CV14" s="3890"/>
      <c r="CW14" s="5921"/>
      <c r="CX14" s="3890"/>
      <c r="CY14" s="5921"/>
      <c r="CZ14" s="5921"/>
      <c r="DA14" s="5921"/>
      <c r="DB14" s="3890"/>
      <c r="DC14" s="5921"/>
      <c r="DD14" s="3890"/>
      <c r="DE14" s="5921"/>
      <c r="DF14" s="1390"/>
      <c r="DG14" s="1390"/>
      <c r="DI14" s="855"/>
      <c r="DJ14" s="855" t="str">
        <f>IF(T14="","",T14)</f>
        <v>Добавить централизованную систему для дифференциации</v>
      </c>
      <c r="DK14" s="855"/>
      <c r="DL14" s="855"/>
      <c r="DM14" s="584">
        <v>0</v>
      </c>
    </row>
    <row s="4562"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175</v>
      </c>
      <c r="U15" s="1390"/>
      <c r="V15" s="1390"/>
      <c r="W15" s="1390"/>
      <c r="X15" s="1390"/>
      <c r="Y15" s="1390"/>
      <c r="Z15" s="1390"/>
      <c r="AA15" s="1390"/>
      <c r="AB15" s="1390"/>
      <c r="AC15" s="1390"/>
      <c r="AD15" s="1390"/>
      <c r="AE15" s="1390"/>
      <c r="AF15" s="1390"/>
      <c r="AG15" s="1390"/>
      <c r="AH15" s="1390"/>
      <c r="AI15" s="1390"/>
      <c r="AJ15" s="1390"/>
      <c r="AK15" s="1390"/>
      <c r="AL15" s="3890"/>
      <c r="AM15" s="5921"/>
      <c r="AN15" s="5921"/>
      <c r="AO15" s="5921"/>
      <c r="AP15" s="3890"/>
      <c r="AQ15" s="5921"/>
      <c r="AR15" s="3890"/>
      <c r="AS15" s="5921"/>
      <c r="AT15" s="3890"/>
      <c r="AU15" s="5921"/>
      <c r="AV15" s="5921"/>
      <c r="AW15" s="5921"/>
      <c r="AX15" s="3890"/>
      <c r="AY15" s="5921"/>
      <c r="AZ15" s="3890"/>
      <c r="BA15" s="5921"/>
      <c r="BB15" s="3890"/>
      <c r="BC15" s="5921"/>
      <c r="BD15" s="5921"/>
      <c r="BE15" s="5921"/>
      <c r="BF15" s="3890"/>
      <c r="BG15" s="5921"/>
      <c r="BH15" s="3890"/>
      <c r="BI15" s="3890"/>
      <c r="BJ15" s="3890"/>
      <c r="BK15" s="5921"/>
      <c r="BL15" s="5921"/>
      <c r="BM15" s="5921"/>
      <c r="BN15" s="3890"/>
      <c r="BO15" s="5921"/>
      <c r="BP15" s="3890"/>
      <c r="BQ15" s="5921"/>
      <c r="BR15" s="3890"/>
      <c r="BS15" s="5921"/>
      <c r="BT15" s="5921"/>
      <c r="BU15" s="5921"/>
      <c r="BV15" s="3890"/>
      <c r="BW15" s="5921"/>
      <c r="BX15" s="3890"/>
      <c r="BY15" s="5921"/>
      <c r="BZ15" s="3890"/>
      <c r="CA15" s="5921"/>
      <c r="CB15" s="5921"/>
      <c r="CC15" s="5921"/>
      <c r="CD15" s="3890"/>
      <c r="CE15" s="5921"/>
      <c r="CF15" s="3890"/>
      <c r="CG15" s="5921"/>
      <c r="CH15" s="3890"/>
      <c r="CI15" s="5921"/>
      <c r="CJ15" s="5921"/>
      <c r="CK15" s="5921"/>
      <c r="CL15" s="3890"/>
      <c r="CM15" s="5921"/>
      <c r="CN15" s="3890"/>
      <c r="CO15" s="5921"/>
      <c r="CP15" s="3890"/>
      <c r="CQ15" s="5921"/>
      <c r="CR15" s="5921"/>
      <c r="CS15" s="5921"/>
      <c r="CT15" s="3890"/>
      <c r="CU15" s="5921"/>
      <c r="CV15" s="3890"/>
      <c r="CW15" s="5921"/>
      <c r="CX15" s="3890"/>
      <c r="CY15" s="5921"/>
      <c r="CZ15" s="5921"/>
      <c r="DA15" s="5921"/>
      <c r="DB15" s="3890"/>
      <c r="DC15" s="5921"/>
      <c r="DD15" s="3890"/>
      <c r="DE15" s="5921"/>
      <c r="DF15" s="1390"/>
      <c r="DG15" s="1390"/>
      <c r="DI15" s="855"/>
      <c r="DJ15" s="855" t="str">
        <f>IF(T15="","",T15)</f>
        <v>Добавить территорию для дифференциации</v>
      </c>
      <c r="DK15" s="855"/>
      <c r="DL15" s="855"/>
      <c r="DM15" s="584">
        <v>0</v>
      </c>
    </row>
    <row customHeight="1" ht="14.25" hidden="1">
      <c r="AC16" s="393"/>
      <c r="AK16" s="393"/>
      <c r="AL16" s="5778"/>
      <c r="AM16" s="5778"/>
      <c r="AN16" s="5778"/>
      <c r="AO16" s="5778"/>
      <c r="AP16" s="3656"/>
      <c r="AQ16" s="5778"/>
      <c r="AR16" s="3656"/>
      <c r="AS16" s="5778"/>
      <c r="AT16" s="3656"/>
      <c r="AU16" s="5778"/>
      <c r="AV16" s="5778"/>
      <c r="AW16" s="5778"/>
      <c r="AX16" s="3656"/>
      <c r="AY16" s="5778"/>
      <c r="AZ16" s="3656"/>
      <c r="BA16" s="5778"/>
      <c r="BB16" s="3656"/>
      <c r="BC16" s="5778"/>
      <c r="BD16" s="5778"/>
      <c r="BE16" s="5778"/>
      <c r="BF16" s="3656"/>
      <c r="BG16" s="5778"/>
      <c r="BH16" s="3656"/>
      <c r="BI16" s="5778"/>
      <c r="BJ16" s="3656"/>
      <c r="BK16" s="5778"/>
      <c r="BL16" s="5778"/>
      <c r="BM16" s="5778"/>
      <c r="BN16" s="3656"/>
      <c r="BO16" s="5778"/>
      <c r="BP16" s="3656"/>
      <c r="BQ16" s="5778"/>
      <c r="BR16" s="3656"/>
      <c r="BS16" s="5778"/>
      <c r="BT16" s="5778"/>
      <c r="BU16" s="5778"/>
      <c r="BV16" s="3656"/>
      <c r="BW16" s="5778"/>
      <c r="BX16" s="3656"/>
      <c r="BY16" s="5778"/>
      <c r="BZ16" s="3656"/>
      <c r="CA16" s="5778"/>
      <c r="CB16" s="5778"/>
      <c r="CC16" s="5778"/>
      <c r="CD16" s="3656"/>
      <c r="CE16" s="5778"/>
      <c r="CF16" s="3656"/>
      <c r="CG16" s="5778"/>
      <c r="CH16" s="3656"/>
      <c r="CI16" s="5778"/>
      <c r="CJ16" s="5778"/>
      <c r="CK16" s="5778"/>
      <c r="CL16" s="3656"/>
      <c r="CM16" s="5778"/>
      <c r="CN16" s="3656"/>
      <c r="CO16" s="5778"/>
      <c r="CP16" s="3656"/>
      <c r="CQ16" s="5778"/>
      <c r="CR16" s="5778"/>
      <c r="CS16" s="5778"/>
      <c r="CT16" s="3656"/>
      <c r="CU16" s="5778"/>
      <c r="CV16" s="3656"/>
      <c r="CW16" s="5778"/>
      <c r="CX16" s="3656"/>
      <c r="CY16" s="5778"/>
      <c r="CZ16" s="5778"/>
      <c r="DA16" s="5778"/>
      <c r="DB16" s="3656"/>
      <c r="DC16" s="5778"/>
      <c r="DD16" s="3656"/>
      <c r="DE16" s="5778"/>
      <c r="DM16" s="1221">
        <v>0</v>
      </c>
    </row>
    <row customHeight="1" ht="14.25" hidden="1">
      <c r="AD17" s="1426"/>
      <c r="AE17" s="1426"/>
      <c r="AF17" s="1426"/>
      <c r="AG17" s="1427"/>
      <c r="AH17" s="2333"/>
      <c r="AI17" s="2334" t="s">
        <v>71</v>
      </c>
      <c r="AJ17" s="2333"/>
      <c r="AK17" s="2334" t="s">
        <v>71</v>
      </c>
      <c r="AL17" s="5778"/>
      <c r="AM17" s="5778"/>
      <c r="AN17" s="5778"/>
      <c r="AO17" s="5778"/>
      <c r="AP17" s="3656"/>
      <c r="AQ17" s="5778"/>
      <c r="AR17" s="3656"/>
      <c r="AS17" s="5778"/>
      <c r="AT17" s="3656"/>
      <c r="AU17" s="5778"/>
      <c r="AV17" s="5778"/>
      <c r="AW17" s="5778"/>
      <c r="AX17" s="3656"/>
      <c r="AY17" s="5778"/>
      <c r="AZ17" s="3656"/>
      <c r="BA17" s="5778"/>
      <c r="BB17" s="3656"/>
      <c r="BC17" s="5778"/>
      <c r="BD17" s="5778"/>
      <c r="BE17" s="5778"/>
      <c r="BF17" s="3656"/>
      <c r="BG17" s="5778"/>
      <c r="BH17" s="3656"/>
      <c r="BI17" s="5778"/>
      <c r="BJ17" s="3656"/>
      <c r="BK17" s="5778"/>
      <c r="BL17" s="5778"/>
      <c r="BM17" s="5778"/>
      <c r="BN17" s="3656"/>
      <c r="BO17" s="5778"/>
      <c r="BP17" s="3656"/>
      <c r="BQ17" s="5778"/>
      <c r="BR17" s="3656"/>
      <c r="BS17" s="5778"/>
      <c r="BT17" s="5778"/>
      <c r="BU17" s="5778"/>
      <c r="BV17" s="3656"/>
      <c r="BW17" s="5778"/>
      <c r="BX17" s="3656"/>
      <c r="BY17" s="5778"/>
      <c r="BZ17" s="3656"/>
      <c r="CA17" s="5778"/>
      <c r="CB17" s="5778"/>
      <c r="CC17" s="5778"/>
      <c r="CD17" s="3656"/>
      <c r="CE17" s="5778"/>
      <c r="CF17" s="3656"/>
      <c r="CG17" s="5778"/>
      <c r="CH17" s="3656"/>
      <c r="CI17" s="5778"/>
      <c r="CJ17" s="5778"/>
      <c r="CK17" s="5778"/>
      <c r="CL17" s="3656"/>
      <c r="CM17" s="5778"/>
      <c r="CN17" s="3656"/>
      <c r="CO17" s="5778"/>
      <c r="CP17" s="3656"/>
      <c r="CQ17" s="5778"/>
      <c r="CR17" s="5778"/>
      <c r="CS17" s="5778"/>
      <c r="CT17" s="3656"/>
      <c r="CU17" s="5778"/>
      <c r="CV17" s="3656"/>
      <c r="CW17" s="5778"/>
      <c r="CX17" s="3656"/>
      <c r="CY17" s="5778"/>
      <c r="CZ17" s="5778"/>
      <c r="DA17" s="5778"/>
      <c r="DB17" s="3656"/>
      <c r="DC17" s="5778"/>
      <c r="DD17" s="3656"/>
      <c r="DE17" s="5778"/>
      <c r="DM17" s="1221">
        <v>0</v>
      </c>
    </row>
    <row customHeight="1" ht="14.25" hidden="1">
      <c r="AD18" s="1426"/>
      <c r="AE18" s="1426"/>
      <c r="AF18" s="1426"/>
      <c r="AG18" s="394" t="str">
        <f>AH17&amp;"-"&amp;AJ17</f>
        <v>-</v>
      </c>
      <c r="AH18" s="2334"/>
      <c r="AI18" s="2334"/>
      <c r="AJ18" s="2334"/>
      <c r="AK18" s="2334"/>
      <c r="AL18" s="5778"/>
      <c r="AM18" s="5778"/>
      <c r="AN18" s="5778"/>
      <c r="AO18" s="5778"/>
      <c r="AP18" s="3656"/>
      <c r="AQ18" s="5778"/>
      <c r="AR18" s="3656"/>
      <c r="AS18" s="5778"/>
      <c r="AT18" s="3656"/>
      <c r="AU18" s="5778"/>
      <c r="AV18" s="5778"/>
      <c r="AW18" s="5778"/>
      <c r="AX18" s="3656"/>
      <c r="AY18" s="5778"/>
      <c r="AZ18" s="3656"/>
      <c r="BA18" s="5778"/>
      <c r="BB18" s="3656"/>
      <c r="BC18" s="5778"/>
      <c r="BD18" s="5778"/>
      <c r="BE18" s="5778"/>
      <c r="BF18" s="3656"/>
      <c r="BG18" s="5778"/>
      <c r="BH18" s="3656"/>
      <c r="BI18" s="5778"/>
      <c r="BJ18" s="3656"/>
      <c r="BK18" s="5778"/>
      <c r="BL18" s="5778"/>
      <c r="BM18" s="5778"/>
      <c r="BN18" s="3656"/>
      <c r="BO18" s="5778"/>
      <c r="BP18" s="3656"/>
      <c r="BQ18" s="5778"/>
      <c r="BR18" s="3656"/>
      <c r="BS18" s="5778"/>
      <c r="BT18" s="5778"/>
      <c r="BU18" s="5778"/>
      <c r="BV18" s="3656"/>
      <c r="BW18" s="5778"/>
      <c r="BX18" s="3656"/>
      <c r="BY18" s="5778"/>
      <c r="BZ18" s="3656"/>
      <c r="CA18" s="5778"/>
      <c r="CB18" s="5778"/>
      <c r="CC18" s="5778"/>
      <c r="CD18" s="3656"/>
      <c r="CE18" s="5778"/>
      <c r="CF18" s="3656"/>
      <c r="CG18" s="5778"/>
      <c r="CH18" s="3656"/>
      <c r="CI18" s="5778"/>
      <c r="CJ18" s="5778"/>
      <c r="CK18" s="5778"/>
      <c r="CL18" s="3656"/>
      <c r="CM18" s="5778"/>
      <c r="CN18" s="3656"/>
      <c r="CO18" s="5778"/>
      <c r="CP18" s="3656"/>
      <c r="CQ18" s="5778"/>
      <c r="CR18" s="5778"/>
      <c r="CS18" s="5778"/>
      <c r="CT18" s="3656"/>
      <c r="CU18" s="5778"/>
      <c r="CV18" s="3656"/>
      <c r="CW18" s="5778"/>
      <c r="CX18" s="3656"/>
      <c r="CY18" s="5778"/>
      <c r="CZ18" s="5778"/>
      <c r="DA18" s="5778"/>
      <c r="DB18" s="3656"/>
      <c r="DC18" s="5778"/>
      <c r="DD18" s="3656"/>
      <c r="DE18" s="5778"/>
      <c r="DM18" s="1221">
        <v>0</v>
      </c>
    </row>
    <row customHeight="1" ht="14.25" hidden="1">
      <c r="AK19" s="393"/>
      <c r="AL19" s="5778"/>
      <c r="AM19" s="5778"/>
      <c r="AN19" s="5778"/>
      <c r="AO19" s="5778"/>
      <c r="AP19" s="3656"/>
      <c r="AQ19" s="5778"/>
      <c r="AR19" s="3656"/>
      <c r="AS19" s="5778"/>
      <c r="AT19" s="3656"/>
      <c r="AU19" s="5778"/>
      <c r="AV19" s="5778"/>
      <c r="AW19" s="5778"/>
      <c r="AX19" s="3656"/>
      <c r="AY19" s="5778"/>
      <c r="AZ19" s="3656"/>
      <c r="BA19" s="5778"/>
      <c r="BB19" s="3656"/>
      <c r="BC19" s="5778"/>
      <c r="BD19" s="5778"/>
      <c r="BE19" s="5778"/>
      <c r="BF19" s="3656"/>
      <c r="BG19" s="5778"/>
      <c r="BH19" s="3656"/>
      <c r="BI19" s="5778"/>
      <c r="BJ19" s="3656"/>
      <c r="BK19" s="5778"/>
      <c r="BL19" s="5778"/>
      <c r="BM19" s="5778"/>
      <c r="BN19" s="3656"/>
      <c r="BO19" s="5778"/>
      <c r="BP19" s="3656"/>
      <c r="BQ19" s="5778"/>
      <c r="BR19" s="3656"/>
      <c r="BS19" s="5778"/>
      <c r="BT19" s="5778"/>
      <c r="BU19" s="5778"/>
      <c r="BV19" s="3656"/>
      <c r="BW19" s="5778"/>
      <c r="BX19" s="3656"/>
      <c r="BY19" s="5778"/>
      <c r="BZ19" s="3656"/>
      <c r="CA19" s="5778"/>
      <c r="CB19" s="5778"/>
      <c r="CC19" s="5778"/>
      <c r="CD19" s="3656"/>
      <c r="CE19" s="5778"/>
      <c r="CF19" s="3656"/>
      <c r="CG19" s="5778"/>
      <c r="CH19" s="3656"/>
      <c r="CI19" s="5778"/>
      <c r="CJ19" s="5778"/>
      <c r="CK19" s="5778"/>
      <c r="CL19" s="3656"/>
      <c r="CM19" s="5778"/>
      <c r="CN19" s="3656"/>
      <c r="CO19" s="5778"/>
      <c r="CP19" s="3656"/>
      <c r="CQ19" s="5778"/>
      <c r="CR19" s="5778"/>
      <c r="CS19" s="5778"/>
      <c r="CT19" s="3656"/>
      <c r="CU19" s="5778"/>
      <c r="CV19" s="3656"/>
      <c r="CW19" s="5778"/>
      <c r="CX19" s="3656"/>
      <c r="CY19" s="5778"/>
      <c r="CZ19" s="5778"/>
      <c r="DA19" s="5778"/>
      <c r="DB19" s="3656"/>
      <c r="DC19" s="5778"/>
      <c r="DD19" s="3656"/>
      <c r="DE19" s="5778"/>
      <c r="DM19" s="1221">
        <v>0</v>
      </c>
    </row>
    <row s="5002" customFormat="1" customHeight="1" ht="22.5" hidden="1">
      <c r="L20" s="1395"/>
      <c r="M20" s="1428"/>
      <c r="N20" s="1428"/>
      <c r="O20" s="1433" t="s">
        <v>423</v>
      </c>
      <c r="P20" s="1428"/>
      <c r="Q20" s="1437"/>
      <c r="R20" s="1437"/>
      <c r="S20" s="795"/>
      <c r="Z20" s="1433"/>
      <c r="AB20" s="1433"/>
      <c r="AC20" s="1432"/>
      <c r="AH20" s="1433"/>
      <c r="AJ20" s="1433"/>
      <c r="AK20" s="1432"/>
      <c r="AL20" s="5922"/>
      <c r="AM20" s="5922"/>
      <c r="AN20" s="5922"/>
      <c r="AO20" s="5922"/>
      <c r="AP20" s="3892"/>
      <c r="AQ20" s="5922"/>
      <c r="AR20" s="3892"/>
      <c r="AS20" s="5922"/>
      <c r="AT20" s="3891"/>
      <c r="AU20" s="5922"/>
      <c r="AV20" s="5922"/>
      <c r="AW20" s="5922"/>
      <c r="AX20" s="3892"/>
      <c r="AY20" s="5922"/>
      <c r="AZ20" s="3892"/>
      <c r="BA20" s="5922"/>
      <c r="BB20" s="3891"/>
      <c r="BC20" s="5922"/>
      <c r="BD20" s="5922"/>
      <c r="BE20" s="5922"/>
      <c r="BF20" s="3892"/>
      <c r="BG20" s="5922"/>
      <c r="BH20" s="3892"/>
      <c r="BI20" s="5922"/>
      <c r="BJ20" s="3891"/>
      <c r="BK20" s="5922"/>
      <c r="BL20" s="5922"/>
      <c r="BM20" s="5922"/>
      <c r="BN20" s="3892"/>
      <c r="BO20" s="5922"/>
      <c r="BP20" s="3892"/>
      <c r="BQ20" s="5922"/>
      <c r="BR20" s="3891"/>
      <c r="BS20" s="5922"/>
      <c r="BT20" s="5922"/>
      <c r="BU20" s="5922"/>
      <c r="BV20" s="3892"/>
      <c r="BW20" s="5922"/>
      <c r="BX20" s="3892"/>
      <c r="BY20" s="5922"/>
      <c r="BZ20" s="3891"/>
      <c r="CA20" s="5922"/>
      <c r="CB20" s="5922"/>
      <c r="CC20" s="5922"/>
      <c r="CD20" s="3892"/>
      <c r="CE20" s="5922"/>
      <c r="CF20" s="3892"/>
      <c r="CG20" s="5922"/>
      <c r="CH20" s="3891"/>
      <c r="CI20" s="5922"/>
      <c r="CJ20" s="5922"/>
      <c r="CK20" s="5922"/>
      <c r="CL20" s="3892"/>
      <c r="CM20" s="5922"/>
      <c r="CN20" s="3892"/>
      <c r="CO20" s="5922"/>
      <c r="CP20" s="3891"/>
      <c r="CQ20" s="5922"/>
      <c r="CR20" s="5922"/>
      <c r="CS20" s="5922"/>
      <c r="CT20" s="3892"/>
      <c r="CU20" s="5922"/>
      <c r="CV20" s="3892"/>
      <c r="CW20" s="5922"/>
      <c r="CX20" s="3891"/>
      <c r="CY20" s="5922"/>
      <c r="CZ20" s="5922"/>
      <c r="DA20" s="5922"/>
      <c r="DB20" s="3892"/>
      <c r="DC20" s="5922"/>
      <c r="DD20" s="3892"/>
      <c r="DE20" s="5922"/>
      <c r="DH20" s="577"/>
      <c r="DI20" s="577"/>
      <c r="DJ20" s="577"/>
      <c r="DK20" s="577"/>
      <c r="DL20" s="577"/>
      <c r="DM20" s="1226">
        <v>0</v>
      </c>
    </row>
    <row s="5002" customFormat="1" customHeight="1" ht="14.25" hidden="1">
      <c r="L21" s="1395"/>
      <c r="M21" s="1428"/>
      <c r="N21" s="1428"/>
      <c r="O21" s="1428"/>
      <c r="P21" s="1428"/>
      <c r="Q21" s="1437"/>
      <c r="R21" s="1437"/>
      <c r="S21" s="795"/>
      <c r="AC21" s="1432"/>
      <c r="AK21" s="1432"/>
      <c r="AL21" s="5922"/>
      <c r="AM21" s="5922"/>
      <c r="AN21" s="5922"/>
      <c r="AO21" s="5922"/>
      <c r="AP21" s="3891"/>
      <c r="AQ21" s="5922"/>
      <c r="AR21" s="3891"/>
      <c r="AS21" s="5922"/>
      <c r="AT21" s="3891"/>
      <c r="AU21" s="5922"/>
      <c r="AV21" s="5922"/>
      <c r="AW21" s="5922"/>
      <c r="AX21" s="3891"/>
      <c r="AY21" s="5922"/>
      <c r="AZ21" s="3891"/>
      <c r="BA21" s="5922"/>
      <c r="BB21" s="3891"/>
      <c r="BC21" s="5922"/>
      <c r="BD21" s="5922"/>
      <c r="BE21" s="5922"/>
      <c r="BF21" s="3891"/>
      <c r="BG21" s="5922"/>
      <c r="BH21" s="3891"/>
      <c r="BI21" s="5922"/>
      <c r="BJ21" s="3891"/>
      <c r="BK21" s="5922"/>
      <c r="BL21" s="5922"/>
      <c r="BM21" s="5922"/>
      <c r="BN21" s="3891"/>
      <c r="BO21" s="5922"/>
      <c r="BP21" s="3891"/>
      <c r="BQ21" s="5922"/>
      <c r="BR21" s="3891"/>
      <c r="BS21" s="5922"/>
      <c r="BT21" s="5922"/>
      <c r="BU21" s="5922"/>
      <c r="BV21" s="3891"/>
      <c r="BW21" s="5922"/>
      <c r="BX21" s="3891"/>
      <c r="BY21" s="5922"/>
      <c r="BZ21" s="3891"/>
      <c r="CA21" s="5922"/>
      <c r="CB21" s="5922"/>
      <c r="CC21" s="5922"/>
      <c r="CD21" s="3891"/>
      <c r="CE21" s="5922"/>
      <c r="CF21" s="3891"/>
      <c r="CG21" s="5922"/>
      <c r="CH21" s="3891"/>
      <c r="CI21" s="5922"/>
      <c r="CJ21" s="5922"/>
      <c r="CK21" s="5922"/>
      <c r="CL21" s="3891"/>
      <c r="CM21" s="5922"/>
      <c r="CN21" s="3891"/>
      <c r="CO21" s="5922"/>
      <c r="CP21" s="3891"/>
      <c r="CQ21" s="5922"/>
      <c r="CR21" s="5922"/>
      <c r="CS21" s="5922"/>
      <c r="CT21" s="3891"/>
      <c r="CU21" s="5922"/>
      <c r="CV21" s="3891"/>
      <c r="CW21" s="5922"/>
      <c r="CX21" s="3891"/>
      <c r="CY21" s="5922"/>
      <c r="CZ21" s="5922"/>
      <c r="DA21" s="5922"/>
      <c r="DB21" s="3891"/>
      <c r="DC21" s="5922"/>
      <c r="DD21" s="3891"/>
      <c r="DE21" s="5922"/>
      <c r="DH21" s="577"/>
      <c r="DI21" s="577"/>
      <c r="DJ21" s="577"/>
      <c r="DK21" s="577"/>
      <c r="DL21" s="577"/>
      <c r="DM21" s="1226">
        <v>0</v>
      </c>
    </row>
    <row s="5002" customFormat="1" customHeight="1" ht="14.25" hidden="1">
      <c r="L22" s="1395"/>
      <c r="M22" s="1428"/>
      <c r="N22" s="1428"/>
      <c r="O22" s="1430" t="s">
        <v>424</v>
      </c>
      <c r="P22" s="1428"/>
      <c r="Q22" s="1437"/>
      <c r="R22" s="1437"/>
      <c r="S22" s="795"/>
      <c r="T22" s="1226" t="s">
        <v>425</v>
      </c>
      <c r="AA22" s="252" t="s">
        <v>426</v>
      </c>
      <c r="AC22" s="252" t="s">
        <v>427</v>
      </c>
      <c r="AD22" s="1226" t="s">
        <v>425</v>
      </c>
      <c r="AI22" s="252" t="s">
        <v>428</v>
      </c>
      <c r="AK22" s="252" t="s">
        <v>427</v>
      </c>
      <c r="AL22" s="5922"/>
      <c r="AM22" s="5922"/>
      <c r="AN22" s="5922"/>
      <c r="AO22" s="5922"/>
      <c r="AP22" s="3891"/>
      <c r="AQ22" s="5923" t="s">
        <v>426</v>
      </c>
      <c r="AR22" s="3891"/>
      <c r="AS22" s="5923" t="s">
        <v>427</v>
      </c>
      <c r="AT22" s="3891"/>
      <c r="AU22" s="5922"/>
      <c r="AV22" s="5922"/>
      <c r="AW22" s="5922"/>
      <c r="AX22" s="3891"/>
      <c r="AY22" s="5923" t="s">
        <v>426</v>
      </c>
      <c r="AZ22" s="3891"/>
      <c r="BA22" s="5923" t="s">
        <v>427</v>
      </c>
      <c r="BB22" s="3891"/>
      <c r="BC22" s="5922"/>
      <c r="BD22" s="5922"/>
      <c r="BE22" s="5922"/>
      <c r="BF22" s="3891"/>
      <c r="BG22" s="5923" t="s">
        <v>426</v>
      </c>
      <c r="BH22" s="3891"/>
      <c r="BI22" s="5923" t="s">
        <v>427</v>
      </c>
      <c r="BJ22" s="3891"/>
      <c r="BK22" s="5922"/>
      <c r="BL22" s="5922"/>
      <c r="BM22" s="5922"/>
      <c r="BN22" s="3891"/>
      <c r="BO22" s="5923" t="s">
        <v>426</v>
      </c>
      <c r="BP22" s="3891"/>
      <c r="BQ22" s="5923" t="s">
        <v>427</v>
      </c>
      <c r="BR22" s="3891"/>
      <c r="BS22" s="5922"/>
      <c r="BT22" s="5922"/>
      <c r="BU22" s="5922"/>
      <c r="BV22" s="3891"/>
      <c r="BW22" s="5923" t="s">
        <v>426</v>
      </c>
      <c r="BX22" s="3891"/>
      <c r="BY22" s="5923" t="s">
        <v>427</v>
      </c>
      <c r="BZ22" s="3891"/>
      <c r="CA22" s="5922"/>
      <c r="CB22" s="5922"/>
      <c r="CC22" s="5922"/>
      <c r="CD22" s="3891"/>
      <c r="CE22" s="5923" t="s">
        <v>426</v>
      </c>
      <c r="CF22" s="3891"/>
      <c r="CG22" s="5923" t="s">
        <v>427</v>
      </c>
      <c r="CH22" s="3891"/>
      <c r="CI22" s="5922"/>
      <c r="CJ22" s="5922"/>
      <c r="CK22" s="5922"/>
      <c r="CL22" s="3891"/>
      <c r="CM22" s="5923" t="s">
        <v>426</v>
      </c>
      <c r="CN22" s="3891"/>
      <c r="CO22" s="5923" t="s">
        <v>427</v>
      </c>
      <c r="CP22" s="3891"/>
      <c r="CQ22" s="5922"/>
      <c r="CR22" s="5922"/>
      <c r="CS22" s="5922"/>
      <c r="CT22" s="3891"/>
      <c r="CU22" s="5923" t="s">
        <v>426</v>
      </c>
      <c r="CV22" s="3891"/>
      <c r="CW22" s="5923" t="s">
        <v>427</v>
      </c>
      <c r="CX22" s="3891"/>
      <c r="CY22" s="5922"/>
      <c r="CZ22" s="5922"/>
      <c r="DA22" s="5922"/>
      <c r="DB22" s="3891"/>
      <c r="DC22" s="5923" t="s">
        <v>426</v>
      </c>
      <c r="DD22" s="3891"/>
      <c r="DE22" s="5923" t="s">
        <v>427</v>
      </c>
      <c r="DH22" s="577"/>
      <c r="DI22" s="577"/>
      <c r="DJ22" s="577"/>
      <c r="DK22" s="577"/>
      <c r="DL22" s="577"/>
      <c r="DM22" s="1226">
        <v>0</v>
      </c>
    </row>
    <row customHeight="1" ht="14.25" hidden="1">
      <c r="O23" s="1430"/>
      <c r="AL23" s="5778"/>
      <c r="AM23" s="5778"/>
      <c r="AN23" s="5778"/>
      <c r="AO23" s="5778"/>
      <c r="AP23" s="3656"/>
      <c r="AQ23" s="5778"/>
      <c r="AR23" s="3656"/>
      <c r="AS23" s="5778"/>
      <c r="AT23" s="3656"/>
      <c r="AU23" s="5778"/>
      <c r="AV23" s="5778"/>
      <c r="AW23" s="5778"/>
      <c r="AX23" s="3656"/>
      <c r="AY23" s="5778"/>
      <c r="AZ23" s="3656"/>
      <c r="BA23" s="5778"/>
      <c r="BB23" s="3656"/>
      <c r="BC23" s="5778"/>
      <c r="BD23" s="5778"/>
      <c r="BE23" s="5778"/>
      <c r="BF23" s="3656"/>
      <c r="BG23" s="5778"/>
      <c r="BH23" s="3656"/>
      <c r="BI23" s="5778"/>
      <c r="BJ23" s="3656"/>
      <c r="BK23" s="5778"/>
      <c r="BL23" s="5778"/>
      <c r="BM23" s="5778"/>
      <c r="BN23" s="3656"/>
      <c r="BO23" s="5778"/>
      <c r="BP23" s="3656"/>
      <c r="BQ23" s="5778"/>
      <c r="BR23" s="3656"/>
      <c r="BS23" s="5778"/>
      <c r="BT23" s="5778"/>
      <c r="BU23" s="5778"/>
      <c r="BV23" s="3656"/>
      <c r="BW23" s="5778"/>
      <c r="BX23" s="3656"/>
      <c r="BY23" s="5778"/>
      <c r="BZ23" s="3656"/>
      <c r="CA23" s="5778"/>
      <c r="CB23" s="5778"/>
      <c r="CC23" s="5778"/>
      <c r="CD23" s="3656"/>
      <c r="CE23" s="5778"/>
      <c r="CF23" s="3656"/>
      <c r="CG23" s="5778"/>
      <c r="CH23" s="3656"/>
      <c r="CI23" s="5778"/>
      <c r="CJ23" s="5778"/>
      <c r="CK23" s="5778"/>
      <c r="CL23" s="3656"/>
      <c r="CM23" s="5778"/>
      <c r="CN23" s="3656"/>
      <c r="CO23" s="5778"/>
      <c r="CP23" s="3656"/>
      <c r="CQ23" s="5778"/>
      <c r="CR23" s="5778"/>
      <c r="CS23" s="5778"/>
      <c r="CT23" s="3656"/>
      <c r="CU23" s="5778"/>
      <c r="CV23" s="3656"/>
      <c r="CW23" s="5778"/>
      <c r="CX23" s="3656"/>
      <c r="CY23" s="5778"/>
      <c r="CZ23" s="5778"/>
      <c r="DA23" s="5778"/>
      <c r="DB23" s="3656"/>
      <c r="DC23" s="5778"/>
      <c r="DD23" s="3656"/>
      <c r="DE23" s="5778"/>
      <c r="DM23" s="1221">
        <v>0</v>
      </c>
    </row>
    <row customHeight="1" ht="14.25" hidden="1">
      <c r="O24" s="1430"/>
      <c r="AL24" s="5778"/>
      <c r="AM24" s="5778"/>
      <c r="AN24" s="5778"/>
      <c r="AO24" s="5778"/>
      <c r="AP24" s="3656"/>
      <c r="AQ24" s="5778"/>
      <c r="AR24" s="3656"/>
      <c r="AS24" s="5778"/>
      <c r="AT24" s="3656"/>
      <c r="AU24" s="5778"/>
      <c r="AV24" s="5778"/>
      <c r="AW24" s="5778"/>
      <c r="AX24" s="3656"/>
      <c r="AY24" s="5778"/>
      <c r="AZ24" s="3656"/>
      <c r="BA24" s="5778"/>
      <c r="BB24" s="3656"/>
      <c r="BC24" s="5778"/>
      <c r="BD24" s="5778"/>
      <c r="BE24" s="5778"/>
      <c r="BF24" s="3656"/>
      <c r="BG24" s="5778"/>
      <c r="BH24" s="3656"/>
      <c r="BI24" s="5778"/>
      <c r="BJ24" s="3656"/>
      <c r="BK24" s="5778"/>
      <c r="BL24" s="5778"/>
      <c r="BM24" s="5778"/>
      <c r="BN24" s="3656"/>
      <c r="BO24" s="5778"/>
      <c r="BP24" s="3656"/>
      <c r="BQ24" s="5778"/>
      <c r="BR24" s="3656"/>
      <c r="BS24" s="5778"/>
      <c r="BT24" s="5778"/>
      <c r="BU24" s="5778"/>
      <c r="BV24" s="3656"/>
      <c r="BW24" s="5778"/>
      <c r="BX24" s="3656"/>
      <c r="BY24" s="5778"/>
      <c r="BZ24" s="3656"/>
      <c r="CA24" s="5778"/>
      <c r="CB24" s="5778"/>
      <c r="CC24" s="5778"/>
      <c r="CD24" s="3656"/>
      <c r="CE24" s="5778"/>
      <c r="CF24" s="3656"/>
      <c r="CG24" s="5778"/>
      <c r="CH24" s="3656"/>
      <c r="CI24" s="5778"/>
      <c r="CJ24" s="5778"/>
      <c r="CK24" s="5778"/>
      <c r="CL24" s="3656"/>
      <c r="CM24" s="5778"/>
      <c r="CN24" s="3656"/>
      <c r="CO24" s="5778"/>
      <c r="CP24" s="3656"/>
      <c r="CQ24" s="5778"/>
      <c r="CR24" s="5778"/>
      <c r="CS24" s="5778"/>
      <c r="CT24" s="3656"/>
      <c r="CU24" s="5778"/>
      <c r="CV24" s="3656"/>
      <c r="CW24" s="5778"/>
      <c r="CX24" s="3656"/>
      <c r="CY24" s="5778"/>
      <c r="CZ24" s="5778"/>
      <c r="DA24" s="5778"/>
      <c r="DB24" s="3656"/>
      <c r="DC24" s="5778"/>
      <c r="DD24" s="3656"/>
      <c r="DE24" s="5778"/>
      <c r="DM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L25" s="5778"/>
      <c r="AM25" s="5778"/>
      <c r="AN25" s="5778"/>
      <c r="AO25" s="5778"/>
      <c r="AP25" s="3656"/>
      <c r="AQ25" s="5778"/>
      <c r="AR25" s="3656"/>
      <c r="AS25" s="5778"/>
      <c r="AT25" s="3656"/>
      <c r="AU25" s="5778"/>
      <c r="AV25" s="5778"/>
      <c r="AW25" s="5778"/>
      <c r="AX25" s="3656"/>
      <c r="AY25" s="5778"/>
      <c r="AZ25" s="3656"/>
      <c r="BA25" s="5778"/>
      <c r="BB25" s="3656"/>
      <c r="BC25" s="5778"/>
      <c r="BD25" s="5778"/>
      <c r="BE25" s="5778"/>
      <c r="BF25" s="3656"/>
      <c r="BG25" s="5778"/>
      <c r="BH25" s="3656"/>
      <c r="BI25" s="5778"/>
      <c r="BJ25" s="3656"/>
      <c r="BK25" s="5778"/>
      <c r="BL25" s="5778"/>
      <c r="BM25" s="5778"/>
      <c r="BN25" s="3656"/>
      <c r="BO25" s="5778"/>
      <c r="BP25" s="3656"/>
      <c r="BQ25" s="5778"/>
      <c r="BR25" s="3656"/>
      <c r="BS25" s="5778"/>
      <c r="BT25" s="5778"/>
      <c r="BU25" s="5778"/>
      <c r="BV25" s="3656"/>
      <c r="BW25" s="5778"/>
      <c r="BX25" s="3656"/>
      <c r="BY25" s="5778"/>
      <c r="BZ25" s="3656"/>
      <c r="CA25" s="5778"/>
      <c r="CB25" s="5778"/>
      <c r="CC25" s="5778"/>
      <c r="CD25" s="3656"/>
      <c r="CE25" s="5778"/>
      <c r="CF25" s="3656"/>
      <c r="CG25" s="5778"/>
      <c r="CH25" s="3656"/>
      <c r="CI25" s="5778"/>
      <c r="CJ25" s="5778"/>
      <c r="CK25" s="5778"/>
      <c r="CL25" s="3656"/>
      <c r="CM25" s="5778"/>
      <c r="CN25" s="3656"/>
      <c r="CO25" s="5778"/>
      <c r="CP25" s="3656"/>
      <c r="CQ25" s="5778"/>
      <c r="CR25" s="5778"/>
      <c r="CS25" s="5778"/>
      <c r="CT25" s="3656"/>
      <c r="CU25" s="5778"/>
      <c r="CV25" s="3656"/>
      <c r="CW25" s="5778"/>
      <c r="CX25" s="3656"/>
      <c r="CY25" s="5778"/>
      <c r="CZ25" s="5778"/>
      <c r="DA25" s="5778"/>
      <c r="DB25" s="3656"/>
      <c r="DC25" s="5778"/>
      <c r="DD25" s="3656"/>
      <c r="DE25" s="5778"/>
      <c r="DM25" s="1221">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L26" s="5924"/>
      <c r="AM26" s="5924"/>
      <c r="AN26" s="5924"/>
      <c r="AO26" s="5924"/>
      <c r="AP26" s="3894"/>
      <c r="AQ26" s="5924"/>
      <c r="AR26" s="3894"/>
      <c r="AS26" s="5924"/>
      <c r="AT26" s="3894"/>
      <c r="AU26" s="5924"/>
      <c r="AV26" s="5924"/>
      <c r="AW26" s="5924"/>
      <c r="AX26" s="3894"/>
      <c r="AY26" s="5924"/>
      <c r="AZ26" s="3894"/>
      <c r="BA26" s="5924"/>
      <c r="BB26" s="3894"/>
      <c r="BC26" s="5924"/>
      <c r="BD26" s="5924"/>
      <c r="BE26" s="5924"/>
      <c r="BF26" s="3894"/>
      <c r="BG26" s="5924"/>
      <c r="BH26" s="3894"/>
      <c r="BI26" s="5924"/>
      <c r="BJ26" s="3894"/>
      <c r="BK26" s="5924"/>
      <c r="BL26" s="5924"/>
      <c r="BM26" s="5924"/>
      <c r="BN26" s="3894"/>
      <c r="BO26" s="5924"/>
      <c r="BP26" s="3894"/>
      <c r="BQ26" s="5924"/>
      <c r="BR26" s="3894"/>
      <c r="BS26" s="5924"/>
      <c r="BT26" s="5924"/>
      <c r="BU26" s="5924"/>
      <c r="BV26" s="3894"/>
      <c r="BW26" s="5924"/>
      <c r="BX26" s="3894"/>
      <c r="BY26" s="5924"/>
      <c r="BZ26" s="3894"/>
      <c r="CA26" s="5924"/>
      <c r="CB26" s="5924"/>
      <c r="CC26" s="5924"/>
      <c r="CD26" s="3894"/>
      <c r="CE26" s="5924"/>
      <c r="CF26" s="3894"/>
      <c r="CG26" s="5924"/>
      <c r="CH26" s="3894"/>
      <c r="CI26" s="5924"/>
      <c r="CJ26" s="5924"/>
      <c r="CK26" s="5924"/>
      <c r="CL26" s="3894"/>
      <c r="CM26" s="5924"/>
      <c r="CN26" s="3894"/>
      <c r="CO26" s="5924"/>
      <c r="CP26" s="3894"/>
      <c r="CQ26" s="5924"/>
      <c r="CR26" s="5924"/>
      <c r="CS26" s="5924"/>
      <c r="CT26" s="3894"/>
      <c r="CU26" s="5924"/>
      <c r="CV26" s="3894"/>
      <c r="CW26" s="5924"/>
      <c r="CX26" s="3894"/>
      <c r="CY26" s="5924"/>
      <c r="CZ26" s="5924"/>
      <c r="DA26" s="5924"/>
      <c r="DB26" s="3894"/>
      <c r="DC26" s="5924"/>
      <c r="DD26" s="3894"/>
      <c r="DE26" s="5924"/>
      <c r="DM26" s="1221">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L27" s="5925"/>
      <c r="AM27" s="5925"/>
      <c r="AN27" s="5925"/>
      <c r="AO27" s="5925"/>
      <c r="AP27" s="3895"/>
      <c r="AQ27" s="5925"/>
      <c r="AR27" s="3895"/>
      <c r="AS27" s="5925"/>
      <c r="AT27" s="3895"/>
      <c r="AU27" s="5925"/>
      <c r="AV27" s="5925"/>
      <c r="AW27" s="5925"/>
      <c r="AX27" s="3895"/>
      <c r="AY27" s="5925"/>
      <c r="AZ27" s="3895"/>
      <c r="BA27" s="5925"/>
      <c r="BB27" s="3895"/>
      <c r="BC27" s="5925"/>
      <c r="BD27" s="5925"/>
      <c r="BE27" s="5925"/>
      <c r="BF27" s="3895"/>
      <c r="BG27" s="5925"/>
      <c r="BH27" s="3895"/>
      <c r="BI27" s="5925"/>
      <c r="BJ27" s="3895"/>
      <c r="BK27" s="5925"/>
      <c r="BL27" s="5925"/>
      <c r="BM27" s="5925"/>
      <c r="BN27" s="3895"/>
      <c r="BO27" s="5925"/>
      <c r="BP27" s="3895"/>
      <c r="BQ27" s="5925"/>
      <c r="BR27" s="3895"/>
      <c r="BS27" s="5925"/>
      <c r="BT27" s="5925"/>
      <c r="BU27" s="5925"/>
      <c r="BV27" s="3895"/>
      <c r="BW27" s="5925"/>
      <c r="BX27" s="3895"/>
      <c r="BY27" s="5925"/>
      <c r="BZ27" s="3895"/>
      <c r="CA27" s="5925"/>
      <c r="CB27" s="5925"/>
      <c r="CC27" s="5925"/>
      <c r="CD27" s="3895"/>
      <c r="CE27" s="5925"/>
      <c r="CF27" s="3895"/>
      <c r="CG27" s="5925"/>
      <c r="CH27" s="3895"/>
      <c r="CI27" s="5925"/>
      <c r="CJ27" s="5925"/>
      <c r="CK27" s="5925"/>
      <c r="CL27" s="3895"/>
      <c r="CM27" s="5925"/>
      <c r="CN27" s="3895"/>
      <c r="CO27" s="5925"/>
      <c r="CP27" s="3895"/>
      <c r="CQ27" s="5925"/>
      <c r="CR27" s="5925"/>
      <c r="CS27" s="5925"/>
      <c r="CT27" s="3895"/>
      <c r="CU27" s="5925"/>
      <c r="CV27" s="3895"/>
      <c r="CW27" s="5925"/>
      <c r="CX27" s="3895"/>
      <c r="CY27" s="5925"/>
      <c r="CZ27" s="5925"/>
      <c r="DA27" s="5925"/>
      <c r="DB27" s="3895"/>
      <c r="DC27" s="5925"/>
      <c r="DD27" s="3895"/>
      <c r="DE27" s="5925"/>
      <c r="DM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926"/>
      <c r="AM28" s="5926"/>
      <c r="AN28" s="5926"/>
      <c r="AO28" s="5926"/>
      <c r="AP28" s="3896"/>
      <c r="AQ28" s="5926"/>
      <c r="AR28" s="3896"/>
      <c r="AS28" s="5926"/>
      <c r="AT28" s="3896"/>
      <c r="AU28" s="5926"/>
      <c r="AV28" s="5926"/>
      <c r="AW28" s="5926"/>
      <c r="AX28" s="3896"/>
      <c r="AY28" s="5926"/>
      <c r="AZ28" s="3896"/>
      <c r="BA28" s="5926"/>
      <c r="BB28" s="3896"/>
      <c r="BC28" s="5926"/>
      <c r="BD28" s="5926"/>
      <c r="BE28" s="5926"/>
      <c r="BF28" s="3896"/>
      <c r="BG28" s="5926"/>
      <c r="BH28" s="3896"/>
      <c r="BI28" s="5926"/>
      <c r="BJ28" s="3896"/>
      <c r="BK28" s="5926"/>
      <c r="BL28" s="5926"/>
      <c r="BM28" s="5926"/>
      <c r="BN28" s="3896"/>
      <c r="BO28" s="5926"/>
      <c r="BP28" s="3896"/>
      <c r="BQ28" s="5926"/>
      <c r="BR28" s="3896"/>
      <c r="BS28" s="5926"/>
      <c r="BT28" s="5926"/>
      <c r="BU28" s="5926"/>
      <c r="BV28" s="3896"/>
      <c r="BW28" s="5926"/>
      <c r="BX28" s="3896"/>
      <c r="BY28" s="5926"/>
      <c r="BZ28" s="3896"/>
      <c r="CA28" s="5926"/>
      <c r="CB28" s="5926"/>
      <c r="CC28" s="5926"/>
      <c r="CD28" s="3896"/>
      <c r="CE28" s="5926"/>
      <c r="CF28" s="3896"/>
      <c r="CG28" s="5926"/>
      <c r="CH28" s="3896"/>
      <c r="CI28" s="5926"/>
      <c r="CJ28" s="5926"/>
      <c r="CK28" s="5926"/>
      <c r="CL28" s="3896"/>
      <c r="CM28" s="5926"/>
      <c r="CN28" s="3896"/>
      <c r="CO28" s="5926"/>
      <c r="CP28" s="3896"/>
      <c r="CQ28" s="5926"/>
      <c r="CR28" s="5926"/>
      <c r="CS28" s="5926"/>
      <c r="CT28" s="3896"/>
      <c r="CU28" s="5926"/>
      <c r="CV28" s="3896"/>
      <c r="CW28" s="5926"/>
      <c r="CX28" s="3896"/>
      <c r="CY28" s="5926"/>
      <c r="CZ28" s="5926"/>
      <c r="DA28" s="5926"/>
      <c r="DB28" s="3896"/>
      <c r="DC28" s="5926"/>
      <c r="DD28" s="3896"/>
      <c r="DE28" s="5926"/>
      <c r="DF28" s="575"/>
      <c r="DM28" s="1221">
        <v>0</v>
      </c>
    </row>
    <row s="5597" customFormat="1" customHeight="1" ht="35.2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Департамент тарифной политики, энергетики и ЖКК ЯНАО </v>
      </c>
      <c r="W29" s="2317"/>
      <c r="X29" s="2317"/>
      <c r="Y29" s="2317"/>
      <c r="Z29" s="2317"/>
      <c r="AA29" s="2317"/>
      <c r="AB29" s="2317"/>
      <c r="AC29" s="392"/>
      <c r="AD29" s="2317" t="str">
        <f>IF(TITLE_NAME_OR_PR_CHANGE="",IF(TITLE_NAME_OR_PR="","",TITLE_NAME_OR_PR),TITLE_NAME_OR_PR_CHANGE)</f>
        <v>Департамент тарифной политики, энергетики и ЖКК ЯНАО </v>
      </c>
      <c r="AE29" s="2317"/>
      <c r="AF29" s="2317"/>
      <c r="AG29" s="2317"/>
      <c r="AH29" s="2317"/>
      <c r="AI29" s="2317"/>
      <c r="AJ29" s="2317"/>
      <c r="AK29" s="392"/>
      <c r="AL29" s="5927" t="str">
        <f>IF(TITLE_NAME_OR_PR_CHANGE="",IF(TITLE_NAME_OR_PR="","",TITLE_NAME_OR_PR),TITLE_NAME_OR_PR_CHANGE)</f>
        <v>Департамент тарифной политики, энергетики и ЖКК ЯНАО </v>
      </c>
      <c r="AM29" s="5927"/>
      <c r="AN29" s="5927"/>
      <c r="AO29" s="5927"/>
      <c r="AP29" s="3897"/>
      <c r="AQ29" s="5927"/>
      <c r="AR29" s="3897"/>
      <c r="AS29" s="5778"/>
      <c r="AT29" s="3897" t="str">
        <f>IF(TITLE_NAME_OR_PR_CHANGE="",IF(TITLE_NAME_OR_PR="","",TITLE_NAME_OR_PR),TITLE_NAME_OR_PR_CHANGE)</f>
        <v>Департамент тарифной политики, энергетики и ЖКК ЯНАО </v>
      </c>
      <c r="AU29" s="5927"/>
      <c r="AV29" s="5927"/>
      <c r="AW29" s="5927"/>
      <c r="AX29" s="3897"/>
      <c r="AY29" s="5927"/>
      <c r="AZ29" s="3897"/>
      <c r="BA29" s="5778"/>
      <c r="BB29" s="3897" t="str">
        <f>IF(TITLE_NAME_OR_PR_CHANGE="",IF(TITLE_NAME_OR_PR="","",TITLE_NAME_OR_PR),TITLE_NAME_OR_PR_CHANGE)</f>
        <v>Департамент тарифной политики, энергетики и ЖКК ЯНАО </v>
      </c>
      <c r="BC29" s="5927"/>
      <c r="BD29" s="5927"/>
      <c r="BE29" s="5927"/>
      <c r="BF29" s="3897"/>
      <c r="BG29" s="5927"/>
      <c r="BH29" s="3897"/>
      <c r="BI29" s="5778"/>
      <c r="BJ29" s="3897" t="str">
        <f>IF(TITLE_NAME_OR_PR_CHANGE="",IF(TITLE_NAME_OR_PR="","",TITLE_NAME_OR_PR),TITLE_NAME_OR_PR_CHANGE)</f>
        <v>Департамент тарифной политики, энергетики и ЖКК ЯНАО </v>
      </c>
      <c r="BK29" s="5927"/>
      <c r="BL29" s="5927"/>
      <c r="BM29" s="5927"/>
      <c r="BN29" s="3897"/>
      <c r="BO29" s="5927"/>
      <c r="BP29" s="3897"/>
      <c r="BQ29" s="5778"/>
      <c r="BR29" s="3897" t="str">
        <f>IF(TITLE_NAME_OR_PR_CHANGE="",IF(TITLE_NAME_OR_PR="","",TITLE_NAME_OR_PR),TITLE_NAME_OR_PR_CHANGE)</f>
        <v>Департамент тарифной политики, энергетики и ЖКК ЯНАО </v>
      </c>
      <c r="BS29" s="5927"/>
      <c r="BT29" s="5927"/>
      <c r="BU29" s="5927"/>
      <c r="BV29" s="3897"/>
      <c r="BW29" s="5927"/>
      <c r="BX29" s="3897"/>
      <c r="BY29" s="5778"/>
      <c r="BZ29" s="3897" t="str">
        <f>IF(TITLE_NAME_OR_PR_CHANGE="",IF(TITLE_NAME_OR_PR="","",TITLE_NAME_OR_PR),TITLE_NAME_OR_PR_CHANGE)</f>
        <v>Департамент тарифной политики, энергетики и ЖКК ЯНАО </v>
      </c>
      <c r="CA29" s="5927"/>
      <c r="CB29" s="5927"/>
      <c r="CC29" s="5927"/>
      <c r="CD29" s="3897"/>
      <c r="CE29" s="5927"/>
      <c r="CF29" s="3897"/>
      <c r="CG29" s="5778"/>
      <c r="CH29" s="3897" t="str">
        <f>IF(TITLE_NAME_OR_PR_CHANGE="",IF(TITLE_NAME_OR_PR="","",TITLE_NAME_OR_PR),TITLE_NAME_OR_PR_CHANGE)</f>
        <v>Департамент тарифной политики, энергетики и ЖКК ЯНАО </v>
      </c>
      <c r="CI29" s="5927"/>
      <c r="CJ29" s="5927"/>
      <c r="CK29" s="5927"/>
      <c r="CL29" s="3897"/>
      <c r="CM29" s="5927"/>
      <c r="CN29" s="3897"/>
      <c r="CO29" s="5778"/>
      <c r="CP29" s="3897" t="str">
        <f>IF(TITLE_NAME_OR_PR_CHANGE="",IF(TITLE_NAME_OR_PR="","",TITLE_NAME_OR_PR),TITLE_NAME_OR_PR_CHANGE)</f>
        <v>Департамент тарифной политики, энергетики и ЖКК ЯНАО </v>
      </c>
      <c r="CQ29" s="5927"/>
      <c r="CR29" s="5927"/>
      <c r="CS29" s="5927"/>
      <c r="CT29" s="3897"/>
      <c r="CU29" s="5927"/>
      <c r="CV29" s="3897"/>
      <c r="CW29" s="5778"/>
      <c r="CX29" s="3897" t="str">
        <f>IF(TITLE_NAME_OR_PR_CHANGE="",IF(TITLE_NAME_OR_PR="","",TITLE_NAME_OR_PR),TITLE_NAME_OR_PR_CHANGE)</f>
        <v>Департамент тарифной политики, энергетики и ЖКК ЯНАО </v>
      </c>
      <c r="CY29" s="5927"/>
      <c r="CZ29" s="5927"/>
      <c r="DA29" s="5927"/>
      <c r="DB29" s="3897"/>
      <c r="DC29" s="5927"/>
      <c r="DD29" s="3897"/>
      <c r="DE29" s="5778"/>
      <c r="DF29" s="392"/>
      <c r="DG29" s="346"/>
      <c r="DH29" s="434"/>
      <c r="DI29" s="434"/>
      <c r="DJ29" s="434"/>
      <c r="DK29" s="434"/>
      <c r="DL29" s="434"/>
      <c r="DM29" s="484">
        <v>0</v>
      </c>
    </row>
    <row s="5597" customFormat="1" customHeight="1" ht="13.5">
      <c r="A30" s="1434"/>
      <c r="B30" s="1434"/>
      <c r="C30" s="1434"/>
      <c r="D30" s="1434"/>
      <c r="E30" s="1434"/>
      <c r="F30" s="1434"/>
      <c r="G30" s="1434"/>
      <c r="H30" s="1434"/>
      <c r="I30" s="1434"/>
      <c r="J30" s="1434"/>
      <c r="K30" s="1434"/>
      <c r="L30" s="1435"/>
      <c r="M30" s="1434"/>
      <c r="N30" s="1434"/>
      <c r="O30" s="1434"/>
      <c r="S30" s="2316" t="s">
        <v>429</v>
      </c>
      <c r="T30" s="2316"/>
      <c r="U30" s="1438"/>
      <c r="V30" s="2330" t="str">
        <f>IF(TITLE_DATE_PR_CHANGE="",IF(TITLE_DATE_PR="","",TITLE_DATE_PR),TITLE_DATE_PR_CHANGE)</f>
        <v>45631.41619212963</v>
      </c>
      <c r="W30" s="2330"/>
      <c r="X30" s="2330"/>
      <c r="Y30" s="2330"/>
      <c r="Z30" s="2330"/>
      <c r="AA30" s="2330"/>
      <c r="AB30" s="2330"/>
      <c r="AC30" s="392"/>
      <c r="AD30" s="2330" t="str">
        <f>IF(TITLE_DATE_PR_CHANGE="",IF(TITLE_DATE_PR="","",TITLE_DATE_PR),TITLE_DATE_PR_CHANGE)</f>
        <v>45631.41619212963</v>
      </c>
      <c r="AE30" s="2330"/>
      <c r="AF30" s="2330"/>
      <c r="AG30" s="2330"/>
      <c r="AH30" s="2330"/>
      <c r="AI30" s="2330"/>
      <c r="AJ30" s="2330"/>
      <c r="AK30" s="392"/>
      <c r="AL30" s="3898" t="str">
        <f>IF(TITLE_DATE_PR_CHANGE="",IF(TITLE_DATE_PR="","",TITLE_DATE_PR),TITLE_DATE_PR_CHANGE)</f>
        <v>45631.41619212963</v>
      </c>
      <c r="AM30" s="5928"/>
      <c r="AN30" s="5928"/>
      <c r="AO30" s="5928"/>
      <c r="AP30" s="3898"/>
      <c r="AQ30" s="5928"/>
      <c r="AR30" s="3898"/>
      <c r="AS30" s="5778"/>
      <c r="AT30" s="3898" t="str">
        <f>IF(TITLE_DATE_PR_CHANGE="",IF(TITLE_DATE_PR="","",TITLE_DATE_PR),TITLE_DATE_PR_CHANGE)</f>
        <v>45631.41619212963</v>
      </c>
      <c r="AU30" s="5928"/>
      <c r="AV30" s="5928"/>
      <c r="AW30" s="5928"/>
      <c r="AX30" s="3898"/>
      <c r="AY30" s="5928"/>
      <c r="AZ30" s="3898"/>
      <c r="BA30" s="5778"/>
      <c r="BB30" s="3898" t="str">
        <f>IF(TITLE_DATE_PR_CHANGE="",IF(TITLE_DATE_PR="","",TITLE_DATE_PR),TITLE_DATE_PR_CHANGE)</f>
        <v>45631.41619212963</v>
      </c>
      <c r="BC30" s="5928"/>
      <c r="BD30" s="5928"/>
      <c r="BE30" s="5928"/>
      <c r="BF30" s="3898"/>
      <c r="BG30" s="5928"/>
      <c r="BH30" s="3898"/>
      <c r="BI30" s="5778"/>
      <c r="BJ30" s="3898" t="str">
        <f>IF(TITLE_DATE_PR_CHANGE="",IF(TITLE_DATE_PR="","",TITLE_DATE_PR),TITLE_DATE_PR_CHANGE)</f>
        <v>45631.41619212963</v>
      </c>
      <c r="BK30" s="5928"/>
      <c r="BL30" s="5928"/>
      <c r="BM30" s="5928"/>
      <c r="BN30" s="3898"/>
      <c r="BO30" s="5928"/>
      <c r="BP30" s="3898"/>
      <c r="BQ30" s="5778"/>
      <c r="BR30" s="3898" t="str">
        <f>IF(TITLE_DATE_PR_CHANGE="",IF(TITLE_DATE_PR="","",TITLE_DATE_PR),TITLE_DATE_PR_CHANGE)</f>
        <v>45631.41619212963</v>
      </c>
      <c r="BS30" s="5928"/>
      <c r="BT30" s="5928"/>
      <c r="BU30" s="5928"/>
      <c r="BV30" s="3898"/>
      <c r="BW30" s="5928"/>
      <c r="BX30" s="3898"/>
      <c r="BY30" s="5778"/>
      <c r="BZ30" s="3898" t="str">
        <f>IF(TITLE_DATE_PR_CHANGE="",IF(TITLE_DATE_PR="","",TITLE_DATE_PR),TITLE_DATE_PR_CHANGE)</f>
        <v>45631.41619212963</v>
      </c>
      <c r="CA30" s="5928"/>
      <c r="CB30" s="5928"/>
      <c r="CC30" s="5928"/>
      <c r="CD30" s="3898"/>
      <c r="CE30" s="5928"/>
      <c r="CF30" s="3898"/>
      <c r="CG30" s="5778"/>
      <c r="CH30" s="3898" t="str">
        <f>IF(TITLE_DATE_PR_CHANGE="",IF(TITLE_DATE_PR="","",TITLE_DATE_PR),TITLE_DATE_PR_CHANGE)</f>
        <v>45631.41619212963</v>
      </c>
      <c r="CI30" s="5928"/>
      <c r="CJ30" s="5928"/>
      <c r="CK30" s="5928"/>
      <c r="CL30" s="3898"/>
      <c r="CM30" s="5928"/>
      <c r="CN30" s="3898"/>
      <c r="CO30" s="5778"/>
      <c r="CP30" s="3898" t="str">
        <f>IF(TITLE_DATE_PR_CHANGE="",IF(TITLE_DATE_PR="","",TITLE_DATE_PR),TITLE_DATE_PR_CHANGE)</f>
        <v>45631.41619212963</v>
      </c>
      <c r="CQ30" s="5928"/>
      <c r="CR30" s="5928"/>
      <c r="CS30" s="5928"/>
      <c r="CT30" s="3898"/>
      <c r="CU30" s="5928"/>
      <c r="CV30" s="3898"/>
      <c r="CW30" s="5778"/>
      <c r="CX30" s="3898" t="str">
        <f>IF(TITLE_DATE_PR_CHANGE="",IF(TITLE_DATE_PR="","",TITLE_DATE_PR),TITLE_DATE_PR_CHANGE)</f>
        <v>45631.41619212963</v>
      </c>
      <c r="CY30" s="5928"/>
      <c r="CZ30" s="5928"/>
      <c r="DA30" s="5928"/>
      <c r="DB30" s="3898"/>
      <c r="DC30" s="5928"/>
      <c r="DD30" s="3898"/>
      <c r="DE30" s="5778"/>
      <c r="DF30" s="392"/>
      <c r="DG30" s="346"/>
      <c r="DH30" s="434"/>
      <c r="DI30" s="434"/>
      <c r="DJ30" s="434"/>
      <c r="DK30" s="434"/>
      <c r="DL30" s="434"/>
      <c r="DM30" s="484">
        <v>0</v>
      </c>
    </row>
    <row s="5597" customFormat="1" customHeight="1" ht="13.5">
      <c r="A31" s="1434"/>
      <c r="B31" s="1434"/>
      <c r="C31" s="1434"/>
      <c r="D31" s="1434"/>
      <c r="E31" s="1434"/>
      <c r="F31" s="1434"/>
      <c r="G31" s="1434"/>
      <c r="H31" s="1434"/>
      <c r="I31" s="1434"/>
      <c r="J31" s="1434"/>
      <c r="K31" s="1434"/>
      <c r="L31" s="1435"/>
      <c r="M31" s="1434"/>
      <c r="N31" s="1434"/>
      <c r="O31" s="1434"/>
      <c r="S31" s="2316" t="s">
        <v>430</v>
      </c>
      <c r="T31" s="2316"/>
      <c r="U31" s="1438"/>
      <c r="V31" s="2317" t="str">
        <f>IF(TITLE_NUMBER_PR_CHANGE="",IF(TITLE_NUMBER_PR="","",TITLE_NUMBER_PR),TITLE_NUMBER_PR_CHANGE)</f>
        <v>447-т</v>
      </c>
      <c r="W31" s="2317"/>
      <c r="X31" s="2317"/>
      <c r="Y31" s="2317"/>
      <c r="Z31" s="2317"/>
      <c r="AA31" s="2317"/>
      <c r="AB31" s="2317"/>
      <c r="AC31" s="392"/>
      <c r="AD31" s="2317" t="str">
        <f>IF(TITLE_NUMBER_PR_CHANGE="",IF(TITLE_NUMBER_PR="","",TITLE_NUMBER_PR),TITLE_NUMBER_PR_CHANGE)</f>
        <v>447-т</v>
      </c>
      <c r="AE31" s="2317"/>
      <c r="AF31" s="2317"/>
      <c r="AG31" s="2317"/>
      <c r="AH31" s="2317"/>
      <c r="AI31" s="2317"/>
      <c r="AJ31" s="2317"/>
      <c r="AK31" s="392"/>
      <c r="AL31" s="5927" t="str">
        <f>IF(TITLE_NUMBER_PR_CHANGE="",IF(TITLE_NUMBER_PR="","",TITLE_NUMBER_PR),TITLE_NUMBER_PR_CHANGE)</f>
        <v>447-т</v>
      </c>
      <c r="AM31" s="5927"/>
      <c r="AN31" s="5927"/>
      <c r="AO31" s="5927"/>
      <c r="AP31" s="3897"/>
      <c r="AQ31" s="5927"/>
      <c r="AR31" s="3897"/>
      <c r="AS31" s="5778"/>
      <c r="AT31" s="3897" t="str">
        <f>IF(TITLE_NUMBER_PR_CHANGE="",IF(TITLE_NUMBER_PR="","",TITLE_NUMBER_PR),TITLE_NUMBER_PR_CHANGE)</f>
        <v>447-т</v>
      </c>
      <c r="AU31" s="5927"/>
      <c r="AV31" s="5927"/>
      <c r="AW31" s="5927"/>
      <c r="AX31" s="3897"/>
      <c r="AY31" s="5927"/>
      <c r="AZ31" s="3897"/>
      <c r="BA31" s="5778"/>
      <c r="BB31" s="3897" t="str">
        <f>IF(TITLE_NUMBER_PR_CHANGE="",IF(TITLE_NUMBER_PR="","",TITLE_NUMBER_PR),TITLE_NUMBER_PR_CHANGE)</f>
        <v>447-т</v>
      </c>
      <c r="BC31" s="5927"/>
      <c r="BD31" s="5927"/>
      <c r="BE31" s="5927"/>
      <c r="BF31" s="3897"/>
      <c r="BG31" s="5927"/>
      <c r="BH31" s="3897"/>
      <c r="BI31" s="5778"/>
      <c r="BJ31" s="3897" t="str">
        <f>IF(TITLE_NUMBER_PR_CHANGE="",IF(TITLE_NUMBER_PR="","",TITLE_NUMBER_PR),TITLE_NUMBER_PR_CHANGE)</f>
        <v>447-т</v>
      </c>
      <c r="BK31" s="5927"/>
      <c r="BL31" s="5927"/>
      <c r="BM31" s="5927"/>
      <c r="BN31" s="3897"/>
      <c r="BO31" s="5927"/>
      <c r="BP31" s="3897"/>
      <c r="BQ31" s="5778"/>
      <c r="BR31" s="3897" t="str">
        <f>IF(TITLE_NUMBER_PR_CHANGE="",IF(TITLE_NUMBER_PR="","",TITLE_NUMBER_PR),TITLE_NUMBER_PR_CHANGE)</f>
        <v>447-т</v>
      </c>
      <c r="BS31" s="5927"/>
      <c r="BT31" s="5927"/>
      <c r="BU31" s="5927"/>
      <c r="BV31" s="3897"/>
      <c r="BW31" s="5927"/>
      <c r="BX31" s="3897"/>
      <c r="BY31" s="5778"/>
      <c r="BZ31" s="3897" t="str">
        <f>IF(TITLE_NUMBER_PR_CHANGE="",IF(TITLE_NUMBER_PR="","",TITLE_NUMBER_PR),TITLE_NUMBER_PR_CHANGE)</f>
        <v>447-т</v>
      </c>
      <c r="CA31" s="5927"/>
      <c r="CB31" s="5927"/>
      <c r="CC31" s="5927"/>
      <c r="CD31" s="3897"/>
      <c r="CE31" s="5927"/>
      <c r="CF31" s="3897"/>
      <c r="CG31" s="5778"/>
      <c r="CH31" s="3897" t="str">
        <f>IF(TITLE_NUMBER_PR_CHANGE="",IF(TITLE_NUMBER_PR="","",TITLE_NUMBER_PR),TITLE_NUMBER_PR_CHANGE)</f>
        <v>447-т</v>
      </c>
      <c r="CI31" s="5927"/>
      <c r="CJ31" s="5927"/>
      <c r="CK31" s="5927"/>
      <c r="CL31" s="3897"/>
      <c r="CM31" s="5927"/>
      <c r="CN31" s="3897"/>
      <c r="CO31" s="5778"/>
      <c r="CP31" s="3897" t="str">
        <f>IF(TITLE_NUMBER_PR_CHANGE="",IF(TITLE_NUMBER_PR="","",TITLE_NUMBER_PR),TITLE_NUMBER_PR_CHANGE)</f>
        <v>447-т</v>
      </c>
      <c r="CQ31" s="5927"/>
      <c r="CR31" s="5927"/>
      <c r="CS31" s="5927"/>
      <c r="CT31" s="3897"/>
      <c r="CU31" s="5927"/>
      <c r="CV31" s="3897"/>
      <c r="CW31" s="5778"/>
      <c r="CX31" s="3897" t="str">
        <f>IF(TITLE_NUMBER_PR_CHANGE="",IF(TITLE_NUMBER_PR="","",TITLE_NUMBER_PR),TITLE_NUMBER_PR_CHANGE)</f>
        <v>447-т</v>
      </c>
      <c r="CY31" s="5927"/>
      <c r="CZ31" s="5927"/>
      <c r="DA31" s="5927"/>
      <c r="DB31" s="3897"/>
      <c r="DC31" s="5927"/>
      <c r="DD31" s="3897"/>
      <c r="DE31" s="5778"/>
      <c r="DF31" s="392"/>
      <c r="DG31" s="346"/>
      <c r="DH31" s="434"/>
      <c r="DI31" s="434"/>
      <c r="DJ31" s="434"/>
      <c r="DK31" s="434"/>
      <c r="DL31" s="434"/>
      <c r="DM31" s="484">
        <v>0</v>
      </c>
    </row>
    <row s="5597" customFormat="1" customHeight="1" ht="35.2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Официальный сайт Департамента тарифной политики, энергетики и ЖКК ЯНАО, https://rek-yamal.ru, 05.12.2024</v>
      </c>
      <c r="W32" s="2317"/>
      <c r="X32" s="2317"/>
      <c r="Y32" s="2317"/>
      <c r="Z32" s="2317"/>
      <c r="AA32" s="2317"/>
      <c r="AB32" s="2317"/>
      <c r="AC32" s="392"/>
      <c r="AD32" s="2317" t="str">
        <f>IF(TITLE_IST_PUB_CHANGE="",IF(TITLE_IST_PUB="","",TITLE_IST_PUB),TITLE_IST_PUB_CHANGE)</f>
        <v>Официальный сайт Департамента тарифной политики, энергетики и ЖКК ЯНАО, https://rek-yamal.ru, 05.12.2024</v>
      </c>
      <c r="AE32" s="2317"/>
      <c r="AF32" s="2317"/>
      <c r="AG32" s="2317"/>
      <c r="AH32" s="2317"/>
      <c r="AI32" s="2317"/>
      <c r="AJ32" s="2317"/>
      <c r="AK32" s="392"/>
      <c r="AL32" s="5927" t="str">
        <f>IF(TITLE_IST_PUB_CHANGE="",IF(TITLE_IST_PUB="","",TITLE_IST_PUB),TITLE_IST_PUB_CHANGE)</f>
        <v>Официальный сайт Департамента тарифной политики, энергетики и ЖКК ЯНАО, https://rek-yamal.ru, 05.12.2024</v>
      </c>
      <c r="AM32" s="5927"/>
      <c r="AN32" s="5927"/>
      <c r="AO32" s="5927"/>
      <c r="AP32" s="3897"/>
      <c r="AQ32" s="5927"/>
      <c r="AR32" s="3897"/>
      <c r="AS32" s="5778"/>
      <c r="AT32" s="3897" t="str">
        <f>IF(TITLE_IST_PUB_CHANGE="",IF(TITLE_IST_PUB="","",TITLE_IST_PUB),TITLE_IST_PUB_CHANGE)</f>
        <v>Официальный сайт Департамента тарифной политики, энергетики и ЖКК ЯНАО, https://rek-yamal.ru, 05.12.2024</v>
      </c>
      <c r="AU32" s="5927"/>
      <c r="AV32" s="5927"/>
      <c r="AW32" s="5927"/>
      <c r="AX32" s="3897"/>
      <c r="AY32" s="5927"/>
      <c r="AZ32" s="3897"/>
      <c r="BA32" s="5778"/>
      <c r="BB32" s="3897" t="str">
        <f>IF(TITLE_IST_PUB_CHANGE="",IF(TITLE_IST_PUB="","",TITLE_IST_PUB),TITLE_IST_PUB_CHANGE)</f>
        <v>Официальный сайт Департамента тарифной политики, энергетики и ЖКК ЯНАО, https://rek-yamal.ru, 05.12.2024</v>
      </c>
      <c r="BC32" s="5927"/>
      <c r="BD32" s="5927"/>
      <c r="BE32" s="5927"/>
      <c r="BF32" s="3897"/>
      <c r="BG32" s="5927"/>
      <c r="BH32" s="3897"/>
      <c r="BI32" s="5778"/>
      <c r="BJ32" s="3897" t="str">
        <f>IF(TITLE_IST_PUB_CHANGE="",IF(TITLE_IST_PUB="","",TITLE_IST_PUB),TITLE_IST_PUB_CHANGE)</f>
        <v>Официальный сайт Департамента тарифной политики, энергетики и ЖКК ЯНАО, https://rek-yamal.ru, 05.12.2024</v>
      </c>
      <c r="BK32" s="5927"/>
      <c r="BL32" s="5927"/>
      <c r="BM32" s="5927"/>
      <c r="BN32" s="3897"/>
      <c r="BO32" s="5927"/>
      <c r="BP32" s="3897"/>
      <c r="BQ32" s="5778"/>
      <c r="BR32" s="3897" t="str">
        <f>IF(TITLE_IST_PUB_CHANGE="",IF(TITLE_IST_PUB="","",TITLE_IST_PUB),TITLE_IST_PUB_CHANGE)</f>
        <v>Официальный сайт Департамента тарифной политики, энергетики и ЖКК ЯНАО, https://rek-yamal.ru, 05.12.2024</v>
      </c>
      <c r="BS32" s="5927"/>
      <c r="BT32" s="5927"/>
      <c r="BU32" s="5927"/>
      <c r="BV32" s="3897"/>
      <c r="BW32" s="5927"/>
      <c r="BX32" s="3897"/>
      <c r="BY32" s="5778"/>
      <c r="BZ32" s="3897" t="str">
        <f>IF(TITLE_IST_PUB_CHANGE="",IF(TITLE_IST_PUB="","",TITLE_IST_PUB),TITLE_IST_PUB_CHANGE)</f>
        <v>Официальный сайт Департамента тарифной политики, энергетики и ЖКК ЯНАО, https://rek-yamal.ru, 05.12.2024</v>
      </c>
      <c r="CA32" s="5927"/>
      <c r="CB32" s="5927"/>
      <c r="CC32" s="5927"/>
      <c r="CD32" s="3897"/>
      <c r="CE32" s="5927"/>
      <c r="CF32" s="3897"/>
      <c r="CG32" s="5778"/>
      <c r="CH32" s="3897" t="str">
        <f>IF(TITLE_IST_PUB_CHANGE="",IF(TITLE_IST_PUB="","",TITLE_IST_PUB),TITLE_IST_PUB_CHANGE)</f>
        <v>Официальный сайт Департамента тарифной политики, энергетики и ЖКК ЯНАО, https://rek-yamal.ru, 05.12.2024</v>
      </c>
      <c r="CI32" s="5927"/>
      <c r="CJ32" s="5927"/>
      <c r="CK32" s="5927"/>
      <c r="CL32" s="3897"/>
      <c r="CM32" s="5927"/>
      <c r="CN32" s="3897"/>
      <c r="CO32" s="5778"/>
      <c r="CP32" s="3897" t="str">
        <f>IF(TITLE_IST_PUB_CHANGE="",IF(TITLE_IST_PUB="","",TITLE_IST_PUB),TITLE_IST_PUB_CHANGE)</f>
        <v>Официальный сайт Департамента тарифной политики, энергетики и ЖКК ЯНАО, https://rek-yamal.ru, 05.12.2024</v>
      </c>
      <c r="CQ32" s="5927"/>
      <c r="CR32" s="5927"/>
      <c r="CS32" s="5927"/>
      <c r="CT32" s="3897"/>
      <c r="CU32" s="5927"/>
      <c r="CV32" s="3897"/>
      <c r="CW32" s="5778"/>
      <c r="CX32" s="3897" t="str">
        <f>IF(TITLE_IST_PUB_CHANGE="",IF(TITLE_IST_PUB="","",TITLE_IST_PUB),TITLE_IST_PUB_CHANGE)</f>
        <v>Официальный сайт Департамента тарифной политики, энергетики и ЖКК ЯНАО, https://rek-yamal.ru, 05.12.2024</v>
      </c>
      <c r="CY32" s="5927"/>
      <c r="CZ32" s="5927"/>
      <c r="DA32" s="5927"/>
      <c r="DB32" s="3897"/>
      <c r="DC32" s="5927"/>
      <c r="DD32" s="3897"/>
      <c r="DE32" s="5778"/>
      <c r="DF32" s="392"/>
      <c r="DG32" s="346"/>
      <c r="DH32" s="434"/>
      <c r="DI32" s="434"/>
      <c r="DJ32" s="434"/>
      <c r="DK32" s="434"/>
      <c r="DL32" s="434"/>
      <c r="DM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926"/>
      <c r="AM33" s="5926"/>
      <c r="AN33" s="5926"/>
      <c r="AO33" s="5926"/>
      <c r="AP33" s="3896"/>
      <c r="AQ33" s="5926"/>
      <c r="AR33" s="3896"/>
      <c r="AS33" s="5926"/>
      <c r="AT33" s="3896"/>
      <c r="AU33" s="5926"/>
      <c r="AV33" s="5926"/>
      <c r="AW33" s="5926"/>
      <c r="AX33" s="3896"/>
      <c r="AY33" s="5926"/>
      <c r="AZ33" s="3896"/>
      <c r="BA33" s="5926"/>
      <c r="BB33" s="3896"/>
      <c r="BC33" s="5926"/>
      <c r="BD33" s="5926"/>
      <c r="BE33" s="5926"/>
      <c r="BF33" s="3896"/>
      <c r="BG33" s="5926"/>
      <c r="BH33" s="3896"/>
      <c r="BI33" s="5926"/>
      <c r="BJ33" s="3896"/>
      <c r="BK33" s="5926"/>
      <c r="BL33" s="5926"/>
      <c r="BM33" s="5926"/>
      <c r="BN33" s="3896"/>
      <c r="BO33" s="5926"/>
      <c r="BP33" s="3896"/>
      <c r="BQ33" s="5926"/>
      <c r="BR33" s="3896"/>
      <c r="BS33" s="5926"/>
      <c r="BT33" s="5926"/>
      <c r="BU33" s="5926"/>
      <c r="BV33" s="3896"/>
      <c r="BW33" s="5926"/>
      <c r="BX33" s="3896"/>
      <c r="BY33" s="5926"/>
      <c r="BZ33" s="3896"/>
      <c r="CA33" s="5926"/>
      <c r="CB33" s="5926"/>
      <c r="CC33" s="5926"/>
      <c r="CD33" s="3896"/>
      <c r="CE33" s="5926"/>
      <c r="CF33" s="3896"/>
      <c r="CG33" s="5926"/>
      <c r="CH33" s="3896"/>
      <c r="CI33" s="5926"/>
      <c r="CJ33" s="5926"/>
      <c r="CK33" s="5926"/>
      <c r="CL33" s="3896"/>
      <c r="CM33" s="5926"/>
      <c r="CN33" s="3896"/>
      <c r="CO33" s="5926"/>
      <c r="CP33" s="3896"/>
      <c r="CQ33" s="5926"/>
      <c r="CR33" s="5926"/>
      <c r="CS33" s="5926"/>
      <c r="CT33" s="3896"/>
      <c r="CU33" s="5926"/>
      <c r="CV33" s="3896"/>
      <c r="CW33" s="5926"/>
      <c r="CX33" s="3896"/>
      <c r="CY33" s="5926"/>
      <c r="CZ33" s="5926"/>
      <c r="DA33" s="5926"/>
      <c r="DB33" s="3896"/>
      <c r="DC33" s="5926"/>
      <c r="DD33" s="3896"/>
      <c r="DE33" s="5926"/>
      <c r="DF33" s="575"/>
      <c r="DM33" s="1221">
        <v>0</v>
      </c>
    </row>
    <row s="5597" customFormat="1" customHeight="1" ht="18.75" hidden="1">
      <c r="A34" s="1434"/>
      <c r="B34" s="1434"/>
      <c r="C34" s="1434"/>
      <c r="D34" s="1434"/>
      <c r="E34" s="1434"/>
      <c r="F34" s="1434"/>
      <c r="G34" s="1434"/>
      <c r="H34" s="1434"/>
      <c r="I34" s="1434"/>
      <c r="J34" s="1434"/>
      <c r="K34" s="1434"/>
      <c r="L34" s="1435"/>
      <c r="M34" s="1434"/>
      <c r="N34" s="1434"/>
      <c r="O34" s="1434"/>
      <c r="S34" s="2316" t="s">
        <v>431</v>
      </c>
      <c r="T34" s="2316"/>
      <c r="U34" s="1438"/>
      <c r="V34" s="2330" t="str">
        <f>IF(TITLE_DATE_PR_CHANGE="",IF(TITLE_DATE_PR="","",TITLE_DATE_PR),TITLE_DATE_PR_CHANGE)</f>
        <v>45631.41619212963</v>
      </c>
      <c r="W34" s="2330"/>
      <c r="X34" s="2330"/>
      <c r="Y34" s="2330"/>
      <c r="Z34" s="2330"/>
      <c r="AA34" s="2330"/>
      <c r="AB34" s="2330"/>
      <c r="AC34" s="392"/>
      <c r="AD34" s="2330" t="str">
        <f>IF(TITLE_DATE_PR_CHANGE="",IF(TITLE_DATE_PR="","",TITLE_DATE_PR),TITLE_DATE_PR_CHANGE)</f>
        <v>45631.41619212963</v>
      </c>
      <c r="AE34" s="2330"/>
      <c r="AF34" s="2330"/>
      <c r="AG34" s="2330"/>
      <c r="AH34" s="2330"/>
      <c r="AI34" s="2330"/>
      <c r="AJ34" s="2330"/>
      <c r="AK34" s="392"/>
      <c r="AL34" s="3898" t="str">
        <f>IF(TITLE_DATE_PR_CHANGE="",IF(TITLE_DATE_PR="","",TITLE_DATE_PR),TITLE_DATE_PR_CHANGE)</f>
        <v>45631.41619212963</v>
      </c>
      <c r="AM34" s="5928"/>
      <c r="AN34" s="5928"/>
      <c r="AO34" s="5928"/>
      <c r="AP34" s="3898"/>
      <c r="AQ34" s="5928"/>
      <c r="AR34" s="3898"/>
      <c r="AS34" s="5778"/>
      <c r="AT34" s="3898" t="str">
        <f>IF(TITLE_DATE_PR_CHANGE="",IF(TITLE_DATE_PR="","",TITLE_DATE_PR),TITLE_DATE_PR_CHANGE)</f>
        <v>45631.41619212963</v>
      </c>
      <c r="AU34" s="5928"/>
      <c r="AV34" s="5928"/>
      <c r="AW34" s="5928"/>
      <c r="AX34" s="3898"/>
      <c r="AY34" s="5928"/>
      <c r="AZ34" s="3898"/>
      <c r="BA34" s="5778"/>
      <c r="BB34" s="3898" t="str">
        <f>IF(TITLE_DATE_PR_CHANGE="",IF(TITLE_DATE_PR="","",TITLE_DATE_PR),TITLE_DATE_PR_CHANGE)</f>
        <v>45631.41619212963</v>
      </c>
      <c r="BC34" s="5928"/>
      <c r="BD34" s="5928"/>
      <c r="BE34" s="5928"/>
      <c r="BF34" s="3898"/>
      <c r="BG34" s="5928"/>
      <c r="BH34" s="3898"/>
      <c r="BI34" s="5778"/>
      <c r="BJ34" s="3898" t="str">
        <f>IF(TITLE_DATE_PR_CHANGE="",IF(TITLE_DATE_PR="","",TITLE_DATE_PR),TITLE_DATE_PR_CHANGE)</f>
        <v>45631.41619212963</v>
      </c>
      <c r="BK34" s="5928"/>
      <c r="BL34" s="5928"/>
      <c r="BM34" s="5928"/>
      <c r="BN34" s="3898"/>
      <c r="BO34" s="5928"/>
      <c r="BP34" s="3898"/>
      <c r="BQ34" s="5778"/>
      <c r="BR34" s="3898" t="str">
        <f>IF(TITLE_DATE_PR_CHANGE="",IF(TITLE_DATE_PR="","",TITLE_DATE_PR),TITLE_DATE_PR_CHANGE)</f>
        <v>45631.41619212963</v>
      </c>
      <c r="BS34" s="5928"/>
      <c r="BT34" s="5928"/>
      <c r="BU34" s="5928"/>
      <c r="BV34" s="3898"/>
      <c r="BW34" s="5928"/>
      <c r="BX34" s="3898"/>
      <c r="BY34" s="5778"/>
      <c r="BZ34" s="3898" t="str">
        <f>IF(TITLE_DATE_PR_CHANGE="",IF(TITLE_DATE_PR="","",TITLE_DATE_PR),TITLE_DATE_PR_CHANGE)</f>
        <v>45631.41619212963</v>
      </c>
      <c r="CA34" s="5928"/>
      <c r="CB34" s="5928"/>
      <c r="CC34" s="5928"/>
      <c r="CD34" s="3898"/>
      <c r="CE34" s="5928"/>
      <c r="CF34" s="3898"/>
      <c r="CG34" s="5778"/>
      <c r="CH34" s="3898" t="str">
        <f>IF(TITLE_DATE_PR_CHANGE="",IF(TITLE_DATE_PR="","",TITLE_DATE_PR),TITLE_DATE_PR_CHANGE)</f>
        <v>45631.41619212963</v>
      </c>
      <c r="CI34" s="5928"/>
      <c r="CJ34" s="5928"/>
      <c r="CK34" s="5928"/>
      <c r="CL34" s="3898"/>
      <c r="CM34" s="5928"/>
      <c r="CN34" s="3898"/>
      <c r="CO34" s="5778"/>
      <c r="CP34" s="3898" t="str">
        <f>IF(TITLE_DATE_PR_CHANGE="",IF(TITLE_DATE_PR="","",TITLE_DATE_PR),TITLE_DATE_PR_CHANGE)</f>
        <v>45631.41619212963</v>
      </c>
      <c r="CQ34" s="5928"/>
      <c r="CR34" s="5928"/>
      <c r="CS34" s="5928"/>
      <c r="CT34" s="3898"/>
      <c r="CU34" s="5928"/>
      <c r="CV34" s="3898"/>
      <c r="CW34" s="5778"/>
      <c r="CX34" s="3898" t="str">
        <f>IF(TITLE_DATE_PR_CHANGE="",IF(TITLE_DATE_PR="","",TITLE_DATE_PR),TITLE_DATE_PR_CHANGE)</f>
        <v>45631.41619212963</v>
      </c>
      <c r="CY34" s="5928"/>
      <c r="CZ34" s="5928"/>
      <c r="DA34" s="5928"/>
      <c r="DB34" s="3898"/>
      <c r="DC34" s="5928"/>
      <c r="DD34" s="3898"/>
      <c r="DE34" s="5778"/>
      <c r="DF34" s="392"/>
      <c r="DG34" s="346"/>
      <c r="DH34" s="434"/>
      <c r="DI34" s="434"/>
      <c r="DJ34" s="434"/>
      <c r="DK34" s="434"/>
      <c r="DL34" s="434"/>
      <c r="DM34" s="484">
        <v>0</v>
      </c>
    </row>
    <row s="5597" customFormat="1" customHeight="1" ht="18.75" hidden="1">
      <c r="A35" s="1434"/>
      <c r="B35" s="1434"/>
      <c r="C35" s="1434"/>
      <c r="D35" s="1434"/>
      <c r="E35" s="1434"/>
      <c r="F35" s="1434"/>
      <c r="G35" s="1434"/>
      <c r="H35" s="1434"/>
      <c r="I35" s="1434"/>
      <c r="J35" s="1434"/>
      <c r="K35" s="1434"/>
      <c r="L35" s="1435"/>
      <c r="M35" s="1434"/>
      <c r="N35" s="1434"/>
      <c r="O35" s="1434"/>
      <c r="S35" s="2316" t="s">
        <v>432</v>
      </c>
      <c r="T35" s="2316"/>
      <c r="U35" s="1438"/>
      <c r="V35" s="2317" t="str">
        <f>IF(TITLE_NUMBER_PR_CHANGE="",IF(TITLE_NUMBER_PR="","",TITLE_NUMBER_PR),TITLE_NUMBER_PR_CHANGE)</f>
        <v>447-т</v>
      </c>
      <c r="W35" s="2317"/>
      <c r="X35" s="2317"/>
      <c r="Y35" s="2317"/>
      <c r="Z35" s="2317"/>
      <c r="AA35" s="2317"/>
      <c r="AB35" s="2317"/>
      <c r="AC35" s="392"/>
      <c r="AD35" s="2317" t="str">
        <f>IF(TITLE_NUMBER_PR_CHANGE="",IF(TITLE_NUMBER_PR="","",TITLE_NUMBER_PR),TITLE_NUMBER_PR_CHANGE)</f>
        <v>447-т</v>
      </c>
      <c r="AE35" s="2317"/>
      <c r="AF35" s="2317"/>
      <c r="AG35" s="2317"/>
      <c r="AH35" s="2317"/>
      <c r="AI35" s="2317"/>
      <c r="AJ35" s="2317"/>
      <c r="AK35" s="392"/>
      <c r="AL35" s="5927" t="str">
        <f>IF(TITLE_NUMBER_PR_CHANGE="",IF(TITLE_NUMBER_PR="","",TITLE_NUMBER_PR),TITLE_NUMBER_PR_CHANGE)</f>
        <v>447-т</v>
      </c>
      <c r="AM35" s="5927"/>
      <c r="AN35" s="5927"/>
      <c r="AO35" s="5927"/>
      <c r="AP35" s="3897"/>
      <c r="AQ35" s="5927"/>
      <c r="AR35" s="3897"/>
      <c r="AS35" s="5778"/>
      <c r="AT35" s="3897" t="str">
        <f>IF(TITLE_NUMBER_PR_CHANGE="",IF(TITLE_NUMBER_PR="","",TITLE_NUMBER_PR),TITLE_NUMBER_PR_CHANGE)</f>
        <v>447-т</v>
      </c>
      <c r="AU35" s="5927"/>
      <c r="AV35" s="5927"/>
      <c r="AW35" s="5927"/>
      <c r="AX35" s="3897"/>
      <c r="AY35" s="5927"/>
      <c r="AZ35" s="3897"/>
      <c r="BA35" s="5778"/>
      <c r="BB35" s="3897" t="str">
        <f>IF(TITLE_NUMBER_PR_CHANGE="",IF(TITLE_NUMBER_PR="","",TITLE_NUMBER_PR),TITLE_NUMBER_PR_CHANGE)</f>
        <v>447-т</v>
      </c>
      <c r="BC35" s="5927"/>
      <c r="BD35" s="5927"/>
      <c r="BE35" s="5927"/>
      <c r="BF35" s="3897"/>
      <c r="BG35" s="5927"/>
      <c r="BH35" s="3897"/>
      <c r="BI35" s="5778"/>
      <c r="BJ35" s="3897" t="str">
        <f>IF(TITLE_NUMBER_PR_CHANGE="",IF(TITLE_NUMBER_PR="","",TITLE_NUMBER_PR),TITLE_NUMBER_PR_CHANGE)</f>
        <v>447-т</v>
      </c>
      <c r="BK35" s="5927"/>
      <c r="BL35" s="5927"/>
      <c r="BM35" s="5927"/>
      <c r="BN35" s="3897"/>
      <c r="BO35" s="5927"/>
      <c r="BP35" s="3897"/>
      <c r="BQ35" s="5778"/>
      <c r="BR35" s="3897" t="str">
        <f>IF(TITLE_NUMBER_PR_CHANGE="",IF(TITLE_NUMBER_PR="","",TITLE_NUMBER_PR),TITLE_NUMBER_PR_CHANGE)</f>
        <v>447-т</v>
      </c>
      <c r="BS35" s="5927"/>
      <c r="BT35" s="5927"/>
      <c r="BU35" s="5927"/>
      <c r="BV35" s="3897"/>
      <c r="BW35" s="5927"/>
      <c r="BX35" s="3897"/>
      <c r="BY35" s="5778"/>
      <c r="BZ35" s="3897" t="str">
        <f>IF(TITLE_NUMBER_PR_CHANGE="",IF(TITLE_NUMBER_PR="","",TITLE_NUMBER_PR),TITLE_NUMBER_PR_CHANGE)</f>
        <v>447-т</v>
      </c>
      <c r="CA35" s="5927"/>
      <c r="CB35" s="5927"/>
      <c r="CC35" s="5927"/>
      <c r="CD35" s="3897"/>
      <c r="CE35" s="5927"/>
      <c r="CF35" s="3897"/>
      <c r="CG35" s="5778"/>
      <c r="CH35" s="3897" t="str">
        <f>IF(TITLE_NUMBER_PR_CHANGE="",IF(TITLE_NUMBER_PR="","",TITLE_NUMBER_PR),TITLE_NUMBER_PR_CHANGE)</f>
        <v>447-т</v>
      </c>
      <c r="CI35" s="5927"/>
      <c r="CJ35" s="5927"/>
      <c r="CK35" s="5927"/>
      <c r="CL35" s="3897"/>
      <c r="CM35" s="5927"/>
      <c r="CN35" s="3897"/>
      <c r="CO35" s="5778"/>
      <c r="CP35" s="3897" t="str">
        <f>IF(TITLE_NUMBER_PR_CHANGE="",IF(TITLE_NUMBER_PR="","",TITLE_NUMBER_PR),TITLE_NUMBER_PR_CHANGE)</f>
        <v>447-т</v>
      </c>
      <c r="CQ35" s="5927"/>
      <c r="CR35" s="5927"/>
      <c r="CS35" s="5927"/>
      <c r="CT35" s="3897"/>
      <c r="CU35" s="5927"/>
      <c r="CV35" s="3897"/>
      <c r="CW35" s="5778"/>
      <c r="CX35" s="3897" t="str">
        <f>IF(TITLE_NUMBER_PR_CHANGE="",IF(TITLE_NUMBER_PR="","",TITLE_NUMBER_PR),TITLE_NUMBER_PR_CHANGE)</f>
        <v>447-т</v>
      </c>
      <c r="CY35" s="5927"/>
      <c r="CZ35" s="5927"/>
      <c r="DA35" s="5927"/>
      <c r="DB35" s="3897"/>
      <c r="DC35" s="5927"/>
      <c r="DD35" s="3897"/>
      <c r="DE35" s="5778"/>
      <c r="DF35" s="392"/>
      <c r="DG35" s="346"/>
      <c r="DH35" s="434"/>
      <c r="DI35" s="434"/>
      <c r="DJ35" s="434"/>
      <c r="DK35" s="434"/>
      <c r="DL35" s="434"/>
      <c r="DM35" s="484">
        <v>0</v>
      </c>
    </row>
    <row s="5597"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433</v>
      </c>
      <c r="AD36" s="392"/>
      <c r="AE36" s="392"/>
      <c r="AF36" s="392"/>
      <c r="AG36" s="392"/>
      <c r="AH36" s="392"/>
      <c r="AI36" s="392"/>
      <c r="AJ36" s="392"/>
      <c r="AK36" s="344" t="s">
        <v>433</v>
      </c>
      <c r="AL36" s="5778"/>
      <c r="AM36" s="5778"/>
      <c r="AN36" s="5778"/>
      <c r="AO36" s="5778"/>
      <c r="AP36" s="3656"/>
      <c r="AQ36" s="5778"/>
      <c r="AR36" s="3656"/>
      <c r="AS36" s="5929" t="s">
        <v>433</v>
      </c>
      <c r="AT36" s="3656"/>
      <c r="AU36" s="5778"/>
      <c r="AV36" s="5778"/>
      <c r="AW36" s="5778"/>
      <c r="AX36" s="3656"/>
      <c r="AY36" s="5778"/>
      <c r="AZ36" s="3656"/>
      <c r="BA36" s="5929" t="s">
        <v>433</v>
      </c>
      <c r="BB36" s="3656"/>
      <c r="BC36" s="5778"/>
      <c r="BD36" s="5778"/>
      <c r="BE36" s="5778"/>
      <c r="BF36" s="3656"/>
      <c r="BG36" s="5778"/>
      <c r="BH36" s="3656"/>
      <c r="BI36" s="5929" t="s">
        <v>433</v>
      </c>
      <c r="BJ36" s="3656"/>
      <c r="BK36" s="5778"/>
      <c r="BL36" s="5778"/>
      <c r="BM36" s="5778"/>
      <c r="BN36" s="3656"/>
      <c r="BO36" s="5778"/>
      <c r="BP36" s="3656"/>
      <c r="BQ36" s="5929" t="s">
        <v>433</v>
      </c>
      <c r="BR36" s="3656"/>
      <c r="BS36" s="5778"/>
      <c r="BT36" s="5778"/>
      <c r="BU36" s="5778"/>
      <c r="BV36" s="3656"/>
      <c r="BW36" s="5778"/>
      <c r="BX36" s="3656"/>
      <c r="BY36" s="5929" t="s">
        <v>433</v>
      </c>
      <c r="BZ36" s="3656"/>
      <c r="CA36" s="5778"/>
      <c r="CB36" s="5778"/>
      <c r="CC36" s="5778"/>
      <c r="CD36" s="3656"/>
      <c r="CE36" s="5778"/>
      <c r="CF36" s="3656"/>
      <c r="CG36" s="5929" t="s">
        <v>433</v>
      </c>
      <c r="CH36" s="3656"/>
      <c r="CI36" s="5778"/>
      <c r="CJ36" s="5778"/>
      <c r="CK36" s="5778"/>
      <c r="CL36" s="3656"/>
      <c r="CM36" s="5778"/>
      <c r="CN36" s="3656"/>
      <c r="CO36" s="5929" t="s">
        <v>433</v>
      </c>
      <c r="CP36" s="3656"/>
      <c r="CQ36" s="5778"/>
      <c r="CR36" s="5778"/>
      <c r="CS36" s="5778"/>
      <c r="CT36" s="3656"/>
      <c r="CU36" s="5778"/>
      <c r="CV36" s="3656"/>
      <c r="CW36" s="5929" t="s">
        <v>433</v>
      </c>
      <c r="CX36" s="3656"/>
      <c r="CY36" s="5778"/>
      <c r="CZ36" s="5778"/>
      <c r="DA36" s="5778"/>
      <c r="DB36" s="3656"/>
      <c r="DC36" s="5778"/>
      <c r="DD36" s="3656"/>
      <c r="DE36" s="5929" t="s">
        <v>433</v>
      </c>
      <c r="DH36" s="434"/>
      <c r="DI36" s="434"/>
      <c r="DJ36" s="434"/>
      <c r="DK36" s="434"/>
      <c r="DL36" s="434"/>
      <c r="DM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L37" s="5930" t="s">
        <v>454</v>
      </c>
      <c r="AM37" s="5930"/>
      <c r="AN37" s="5930"/>
      <c r="AO37" s="5930"/>
      <c r="AP37" s="3901"/>
      <c r="AQ37" s="5930"/>
      <c r="AR37" s="3901"/>
      <c r="AS37" s="5930"/>
      <c r="AT37" s="3901" t="s">
        <v>454</v>
      </c>
      <c r="AU37" s="5930"/>
      <c r="AV37" s="5930"/>
      <c r="AW37" s="5930"/>
      <c r="AX37" s="3901"/>
      <c r="AY37" s="5930"/>
      <c r="AZ37" s="3901"/>
      <c r="BA37" s="5930"/>
      <c r="BB37" s="3901" t="s">
        <v>454</v>
      </c>
      <c r="BC37" s="5930"/>
      <c r="BD37" s="5930"/>
      <c r="BE37" s="5930"/>
      <c r="BF37" s="3901"/>
      <c r="BG37" s="5930"/>
      <c r="BH37" s="3901"/>
      <c r="BI37" s="5930"/>
      <c r="BJ37" s="3901" t="s">
        <v>454</v>
      </c>
      <c r="BK37" s="5930"/>
      <c r="BL37" s="5930"/>
      <c r="BM37" s="5930"/>
      <c r="BN37" s="3901"/>
      <c r="BO37" s="5930"/>
      <c r="BP37" s="3901"/>
      <c r="BQ37" s="5930"/>
      <c r="BR37" s="3901" t="s">
        <v>454</v>
      </c>
      <c r="BS37" s="5930"/>
      <c r="BT37" s="5930"/>
      <c r="BU37" s="5930"/>
      <c r="BV37" s="3901"/>
      <c r="BW37" s="5930"/>
      <c r="BX37" s="3901"/>
      <c r="BY37" s="5930"/>
      <c r="BZ37" s="3901" t="s">
        <v>454</v>
      </c>
      <c r="CA37" s="5930"/>
      <c r="CB37" s="5930"/>
      <c r="CC37" s="5930"/>
      <c r="CD37" s="3901"/>
      <c r="CE37" s="5930"/>
      <c r="CF37" s="3901"/>
      <c r="CG37" s="5930"/>
      <c r="CH37" s="3901" t="s">
        <v>454</v>
      </c>
      <c r="CI37" s="5930"/>
      <c r="CJ37" s="5930"/>
      <c r="CK37" s="5930"/>
      <c r="CL37" s="3901"/>
      <c r="CM37" s="5930"/>
      <c r="CN37" s="3901"/>
      <c r="CO37" s="5930"/>
      <c r="CP37" s="3901" t="s">
        <v>454</v>
      </c>
      <c r="CQ37" s="5930"/>
      <c r="CR37" s="5930"/>
      <c r="CS37" s="5930"/>
      <c r="CT37" s="3901"/>
      <c r="CU37" s="5930"/>
      <c r="CV37" s="3901"/>
      <c r="CW37" s="5930"/>
      <c r="CX37" s="3901" t="s">
        <v>454</v>
      </c>
      <c r="CY37" s="5930"/>
      <c r="CZ37" s="5930"/>
      <c r="DA37" s="5930"/>
      <c r="DB37" s="3901"/>
      <c r="DC37" s="5930"/>
      <c r="DD37" s="3901"/>
      <c r="DE37" s="5930"/>
      <c r="DM37" s="1221">
        <v>14</v>
      </c>
    </row>
    <row customHeight="1" ht="15">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5931" t="s">
        <v>309</v>
      </c>
      <c r="AM38" s="5931"/>
      <c r="AN38" s="5931"/>
      <c r="AO38" s="5931"/>
      <c r="AP38" s="3902"/>
      <c r="AQ38" s="5931"/>
      <c r="AR38" s="3902"/>
      <c r="AS38" s="5931"/>
      <c r="AT38" s="3902" t="s">
        <v>309</v>
      </c>
      <c r="AU38" s="5931"/>
      <c r="AV38" s="5931"/>
      <c r="AW38" s="5931"/>
      <c r="AX38" s="3902"/>
      <c r="AY38" s="5931"/>
      <c r="AZ38" s="3902"/>
      <c r="BA38" s="5931"/>
      <c r="BB38" s="3902" t="s">
        <v>309</v>
      </c>
      <c r="BC38" s="5931"/>
      <c r="BD38" s="5931"/>
      <c r="BE38" s="5931"/>
      <c r="BF38" s="3902"/>
      <c r="BG38" s="5931"/>
      <c r="BH38" s="3902"/>
      <c r="BI38" s="5931"/>
      <c r="BJ38" s="3902" t="s">
        <v>309</v>
      </c>
      <c r="BK38" s="5931"/>
      <c r="BL38" s="5931"/>
      <c r="BM38" s="5931"/>
      <c r="BN38" s="3902"/>
      <c r="BO38" s="5931"/>
      <c r="BP38" s="3902"/>
      <c r="BQ38" s="5931"/>
      <c r="BR38" s="3902" t="s">
        <v>309</v>
      </c>
      <c r="BS38" s="5931"/>
      <c r="BT38" s="5931"/>
      <c r="BU38" s="5931"/>
      <c r="BV38" s="3902"/>
      <c r="BW38" s="5931"/>
      <c r="BX38" s="3902"/>
      <c r="BY38" s="5931"/>
      <c r="BZ38" s="3902" t="s">
        <v>309</v>
      </c>
      <c r="CA38" s="5931"/>
      <c r="CB38" s="5931"/>
      <c r="CC38" s="5931"/>
      <c r="CD38" s="3902"/>
      <c r="CE38" s="5931"/>
      <c r="CF38" s="3902"/>
      <c r="CG38" s="5931"/>
      <c r="CH38" s="3902" t="s">
        <v>309</v>
      </c>
      <c r="CI38" s="5931"/>
      <c r="CJ38" s="5931"/>
      <c r="CK38" s="5931"/>
      <c r="CL38" s="3902"/>
      <c r="CM38" s="5931"/>
      <c r="CN38" s="3902"/>
      <c r="CO38" s="5931"/>
      <c r="CP38" s="3902" t="s">
        <v>309</v>
      </c>
      <c r="CQ38" s="5931"/>
      <c r="CR38" s="5931"/>
      <c r="CS38" s="5931"/>
      <c r="CT38" s="3902"/>
      <c r="CU38" s="5931"/>
      <c r="CV38" s="3902"/>
      <c r="CW38" s="5931"/>
      <c r="CX38" s="3902" t="s">
        <v>309</v>
      </c>
      <c r="CY38" s="5931"/>
      <c r="CZ38" s="5931"/>
      <c r="DA38" s="5931"/>
      <c r="DB38" s="3902"/>
      <c r="DC38" s="5931"/>
      <c r="DD38" s="3902"/>
      <c r="DE38" s="5931"/>
      <c r="DF38" s="2193"/>
      <c r="DG38" s="2193"/>
      <c r="DM38" s="1221"/>
    </row>
    <row customHeight="1" ht="14.699999999999998">
      <c r="Q39" s="442"/>
      <c r="R39" s="442"/>
      <c r="S39" s="2339" t="s">
        <v>93</v>
      </c>
      <c r="T39" s="2275" t="s">
        <v>434</v>
      </c>
      <c r="U39" s="367"/>
      <c r="V39" s="2340" t="s">
        <v>435</v>
      </c>
      <c r="W39" s="2341"/>
      <c r="X39" s="2341"/>
      <c r="Y39" s="2341"/>
      <c r="Z39" s="2341"/>
      <c r="AA39" s="2341"/>
      <c r="AB39" s="2342"/>
      <c r="AC39" s="2343" t="s">
        <v>436</v>
      </c>
      <c r="AD39" s="2340" t="s">
        <v>435</v>
      </c>
      <c r="AE39" s="2341"/>
      <c r="AF39" s="2341"/>
      <c r="AG39" s="2341"/>
      <c r="AH39" s="2341"/>
      <c r="AI39" s="2341"/>
      <c r="AJ39" s="2342"/>
      <c r="AK39" s="2343" t="s">
        <v>437</v>
      </c>
      <c r="AL39" s="6087" t="s">
        <v>435</v>
      </c>
      <c r="AM39" s="5932"/>
      <c r="AN39" s="5932"/>
      <c r="AO39" s="5932"/>
      <c r="AP39" s="3904"/>
      <c r="AQ39" s="5932"/>
      <c r="AR39" s="3905"/>
      <c r="AS39" s="5933" t="s">
        <v>436</v>
      </c>
      <c r="AT39" s="3903" t="s">
        <v>435</v>
      </c>
      <c r="AU39" s="5932"/>
      <c r="AV39" s="5932"/>
      <c r="AW39" s="5932"/>
      <c r="AX39" s="3904"/>
      <c r="AY39" s="5932"/>
      <c r="AZ39" s="3905"/>
      <c r="BA39" s="5933" t="s">
        <v>436</v>
      </c>
      <c r="BB39" s="3903" t="s">
        <v>435</v>
      </c>
      <c r="BC39" s="5932"/>
      <c r="BD39" s="5932"/>
      <c r="BE39" s="5932"/>
      <c r="BF39" s="3904"/>
      <c r="BG39" s="5932"/>
      <c r="BH39" s="3905"/>
      <c r="BI39" s="5933" t="s">
        <v>436</v>
      </c>
      <c r="BJ39" s="3903" t="s">
        <v>435</v>
      </c>
      <c r="BK39" s="5932"/>
      <c r="BL39" s="5932"/>
      <c r="BM39" s="5932"/>
      <c r="BN39" s="3904"/>
      <c r="BO39" s="5932"/>
      <c r="BP39" s="3905"/>
      <c r="BQ39" s="5933" t="s">
        <v>436</v>
      </c>
      <c r="BR39" s="3903" t="s">
        <v>435</v>
      </c>
      <c r="BS39" s="5932"/>
      <c r="BT39" s="5932"/>
      <c r="BU39" s="5932"/>
      <c r="BV39" s="3904"/>
      <c r="BW39" s="5932"/>
      <c r="BX39" s="3905"/>
      <c r="BY39" s="5933" t="s">
        <v>436</v>
      </c>
      <c r="BZ39" s="3903" t="s">
        <v>435</v>
      </c>
      <c r="CA39" s="5932"/>
      <c r="CB39" s="5932"/>
      <c r="CC39" s="5932"/>
      <c r="CD39" s="3904"/>
      <c r="CE39" s="5932"/>
      <c r="CF39" s="3905"/>
      <c r="CG39" s="5933" t="s">
        <v>436</v>
      </c>
      <c r="CH39" s="3903" t="s">
        <v>435</v>
      </c>
      <c r="CI39" s="5932"/>
      <c r="CJ39" s="5932"/>
      <c r="CK39" s="5932"/>
      <c r="CL39" s="3904"/>
      <c r="CM39" s="5932"/>
      <c r="CN39" s="3905"/>
      <c r="CO39" s="5933" t="s">
        <v>436</v>
      </c>
      <c r="CP39" s="3903" t="s">
        <v>435</v>
      </c>
      <c r="CQ39" s="5932"/>
      <c r="CR39" s="5932"/>
      <c r="CS39" s="5932"/>
      <c r="CT39" s="3904"/>
      <c r="CU39" s="5932"/>
      <c r="CV39" s="3905"/>
      <c r="CW39" s="5933" t="s">
        <v>436</v>
      </c>
      <c r="CX39" s="3903" t="s">
        <v>435</v>
      </c>
      <c r="CY39" s="5932"/>
      <c r="CZ39" s="5932"/>
      <c r="DA39" s="5932"/>
      <c r="DB39" s="3904"/>
      <c r="DC39" s="5932"/>
      <c r="DD39" s="3905"/>
      <c r="DE39" s="5933" t="s">
        <v>436</v>
      </c>
      <c r="DF39" s="2346" t="s">
        <v>438</v>
      </c>
      <c r="DG39" s="2193"/>
      <c r="DM39" s="1221">
        <v>14</v>
      </c>
    </row>
    <row customHeight="1" ht="35.699999999999996">
      <c r="Q40" s="442"/>
      <c r="R40" s="442"/>
      <c r="S40" s="2339"/>
      <c r="T40" s="2275"/>
      <c r="U40" s="1097"/>
      <c r="V40" s="2326" t="s">
        <v>439</v>
      </c>
      <c r="W40" s="2349" t="s">
        <v>440</v>
      </c>
      <c r="X40" s="2328" t="s">
        <v>441</v>
      </c>
      <c r="Y40" s="2329"/>
      <c r="Z40" s="2328" t="s">
        <v>455</v>
      </c>
      <c r="AA40" s="2335"/>
      <c r="AB40" s="2329"/>
      <c r="AC40" s="2344"/>
      <c r="AD40" s="2326" t="s">
        <v>439</v>
      </c>
      <c r="AE40" s="2349" t="s">
        <v>440</v>
      </c>
      <c r="AF40" s="2328" t="s">
        <v>441</v>
      </c>
      <c r="AG40" s="2329"/>
      <c r="AH40" s="2328" t="s">
        <v>442</v>
      </c>
      <c r="AI40" s="2335"/>
      <c r="AJ40" s="2329"/>
      <c r="AK40" s="2344"/>
      <c r="AL40" s="6088" t="s">
        <v>439</v>
      </c>
      <c r="AM40" s="5934" t="s">
        <v>440</v>
      </c>
      <c r="AN40" s="5935" t="s">
        <v>441</v>
      </c>
      <c r="AO40" s="5936"/>
      <c r="AP40" s="3909" t="s">
        <v>455</v>
      </c>
      <c r="AQ40" s="5937"/>
      <c r="AR40" s="3910"/>
      <c r="AS40" s="5938"/>
      <c r="AT40" s="3907" t="s">
        <v>439</v>
      </c>
      <c r="AU40" s="5934" t="s">
        <v>440</v>
      </c>
      <c r="AV40" s="5935" t="s">
        <v>441</v>
      </c>
      <c r="AW40" s="5936"/>
      <c r="AX40" s="3909" t="s">
        <v>455</v>
      </c>
      <c r="AY40" s="5937"/>
      <c r="AZ40" s="3910"/>
      <c r="BA40" s="5938"/>
      <c r="BB40" s="3907" t="s">
        <v>439</v>
      </c>
      <c r="BC40" s="5934" t="s">
        <v>440</v>
      </c>
      <c r="BD40" s="5935" t="s">
        <v>441</v>
      </c>
      <c r="BE40" s="5936"/>
      <c r="BF40" s="3909" t="s">
        <v>455</v>
      </c>
      <c r="BG40" s="5937"/>
      <c r="BH40" s="3910"/>
      <c r="BI40" s="5938"/>
      <c r="BJ40" s="3907" t="s">
        <v>439</v>
      </c>
      <c r="BK40" s="5934" t="s">
        <v>440</v>
      </c>
      <c r="BL40" s="5935" t="s">
        <v>441</v>
      </c>
      <c r="BM40" s="5936"/>
      <c r="BN40" s="3909" t="s">
        <v>455</v>
      </c>
      <c r="BO40" s="5937"/>
      <c r="BP40" s="3910"/>
      <c r="BQ40" s="5938"/>
      <c r="BR40" s="3907" t="s">
        <v>439</v>
      </c>
      <c r="BS40" s="5934" t="s">
        <v>440</v>
      </c>
      <c r="BT40" s="5935" t="s">
        <v>441</v>
      </c>
      <c r="BU40" s="5936"/>
      <c r="BV40" s="3909" t="s">
        <v>455</v>
      </c>
      <c r="BW40" s="5937"/>
      <c r="BX40" s="3910"/>
      <c r="BY40" s="5938"/>
      <c r="BZ40" s="3907" t="s">
        <v>439</v>
      </c>
      <c r="CA40" s="5934" t="s">
        <v>440</v>
      </c>
      <c r="CB40" s="5935" t="s">
        <v>441</v>
      </c>
      <c r="CC40" s="5936"/>
      <c r="CD40" s="3909" t="s">
        <v>455</v>
      </c>
      <c r="CE40" s="5937"/>
      <c r="CF40" s="3910"/>
      <c r="CG40" s="5938"/>
      <c r="CH40" s="3907" t="s">
        <v>439</v>
      </c>
      <c r="CI40" s="5934" t="s">
        <v>440</v>
      </c>
      <c r="CJ40" s="5935" t="s">
        <v>441</v>
      </c>
      <c r="CK40" s="5936"/>
      <c r="CL40" s="3909" t="s">
        <v>455</v>
      </c>
      <c r="CM40" s="5937"/>
      <c r="CN40" s="3910"/>
      <c r="CO40" s="5938"/>
      <c r="CP40" s="3907" t="s">
        <v>439</v>
      </c>
      <c r="CQ40" s="5934" t="s">
        <v>440</v>
      </c>
      <c r="CR40" s="5935" t="s">
        <v>441</v>
      </c>
      <c r="CS40" s="5936"/>
      <c r="CT40" s="3909" t="s">
        <v>455</v>
      </c>
      <c r="CU40" s="5937"/>
      <c r="CV40" s="3910"/>
      <c r="CW40" s="5938"/>
      <c r="CX40" s="3907" t="s">
        <v>439</v>
      </c>
      <c r="CY40" s="5934" t="s">
        <v>440</v>
      </c>
      <c r="CZ40" s="5935" t="s">
        <v>441</v>
      </c>
      <c r="DA40" s="5936"/>
      <c r="DB40" s="3909" t="s">
        <v>455</v>
      </c>
      <c r="DC40" s="5937"/>
      <c r="DD40" s="3910"/>
      <c r="DE40" s="5938"/>
      <c r="DF40" s="2347"/>
      <c r="DG40" s="2193"/>
      <c r="DM40" s="1221">
        <v>34</v>
      </c>
    </row>
    <row customHeight="1" ht="35.699999999999996">
      <c r="A41" s="1436"/>
      <c r="B41" s="1436" t="s">
        <v>140</v>
      </c>
      <c r="C41" s="1436" t="s">
        <v>141</v>
      </c>
      <c r="D41" s="1436" t="s">
        <v>142</v>
      </c>
      <c r="E41" s="1430" t="s">
        <v>443</v>
      </c>
      <c r="F41" s="1430" t="s">
        <v>444</v>
      </c>
      <c r="G41" s="1430" t="s">
        <v>445</v>
      </c>
      <c r="H41" s="1430" t="s">
        <v>446</v>
      </c>
      <c r="I41" s="1430" t="s">
        <v>447</v>
      </c>
      <c r="J41" s="1430" t="s">
        <v>448</v>
      </c>
      <c r="K41" s="1430" t="s">
        <v>449</v>
      </c>
      <c r="L41" s="1430" t="s">
        <v>424</v>
      </c>
      <c r="Q41" s="442"/>
      <c r="R41" s="442"/>
      <c r="S41" s="2339"/>
      <c r="T41" s="2275"/>
      <c r="U41" s="368"/>
      <c r="V41" s="2327"/>
      <c r="W41" s="2350"/>
      <c r="X41" s="1288" t="s">
        <v>450</v>
      </c>
      <c r="Y41" s="1288" t="s">
        <v>451</v>
      </c>
      <c r="Z41" s="1404" t="s">
        <v>452</v>
      </c>
      <c r="AA41" s="2336" t="s">
        <v>453</v>
      </c>
      <c r="AB41" s="2337"/>
      <c r="AC41" s="2345"/>
      <c r="AD41" s="2327"/>
      <c r="AE41" s="2350"/>
      <c r="AF41" s="1288" t="s">
        <v>450</v>
      </c>
      <c r="AG41" s="1288" t="s">
        <v>451</v>
      </c>
      <c r="AH41" s="1404" t="s">
        <v>452</v>
      </c>
      <c r="AI41" s="2336" t="s">
        <v>453</v>
      </c>
      <c r="AJ41" s="2337"/>
      <c r="AK41" s="2345"/>
      <c r="AL41" s="6089"/>
      <c r="AM41" s="5939"/>
      <c r="AN41" s="5940" t="s">
        <v>450</v>
      </c>
      <c r="AO41" s="5940" t="s">
        <v>451</v>
      </c>
      <c r="AP41" s="3916" t="s">
        <v>452</v>
      </c>
      <c r="AQ41" s="5941" t="s">
        <v>453</v>
      </c>
      <c r="AR41" s="3918"/>
      <c r="AS41" s="5942"/>
      <c r="AT41" s="3914"/>
      <c r="AU41" s="5939"/>
      <c r="AV41" s="5940" t="s">
        <v>450</v>
      </c>
      <c r="AW41" s="5940" t="s">
        <v>451</v>
      </c>
      <c r="AX41" s="3916" t="s">
        <v>452</v>
      </c>
      <c r="AY41" s="5941" t="s">
        <v>453</v>
      </c>
      <c r="AZ41" s="3918"/>
      <c r="BA41" s="5942"/>
      <c r="BB41" s="3914"/>
      <c r="BC41" s="5939"/>
      <c r="BD41" s="5940" t="s">
        <v>450</v>
      </c>
      <c r="BE41" s="5940" t="s">
        <v>451</v>
      </c>
      <c r="BF41" s="3916" t="s">
        <v>452</v>
      </c>
      <c r="BG41" s="5941" t="s">
        <v>453</v>
      </c>
      <c r="BH41" s="3918"/>
      <c r="BI41" s="5942"/>
      <c r="BJ41" s="3914"/>
      <c r="BK41" s="5939"/>
      <c r="BL41" s="5940" t="s">
        <v>450</v>
      </c>
      <c r="BM41" s="5940" t="s">
        <v>451</v>
      </c>
      <c r="BN41" s="3916" t="s">
        <v>452</v>
      </c>
      <c r="BO41" s="5941" t="s">
        <v>453</v>
      </c>
      <c r="BP41" s="3918"/>
      <c r="BQ41" s="5942"/>
      <c r="BR41" s="3914"/>
      <c r="BS41" s="5939"/>
      <c r="BT41" s="5940" t="s">
        <v>450</v>
      </c>
      <c r="BU41" s="5940" t="s">
        <v>451</v>
      </c>
      <c r="BV41" s="3916" t="s">
        <v>452</v>
      </c>
      <c r="BW41" s="5941" t="s">
        <v>453</v>
      </c>
      <c r="BX41" s="3918"/>
      <c r="BY41" s="5942"/>
      <c r="BZ41" s="3914"/>
      <c r="CA41" s="5939"/>
      <c r="CB41" s="5940" t="s">
        <v>450</v>
      </c>
      <c r="CC41" s="5940" t="s">
        <v>451</v>
      </c>
      <c r="CD41" s="3916" t="s">
        <v>452</v>
      </c>
      <c r="CE41" s="5941" t="s">
        <v>453</v>
      </c>
      <c r="CF41" s="3918"/>
      <c r="CG41" s="5942"/>
      <c r="CH41" s="3914"/>
      <c r="CI41" s="5939"/>
      <c r="CJ41" s="5940" t="s">
        <v>450</v>
      </c>
      <c r="CK41" s="5940" t="s">
        <v>451</v>
      </c>
      <c r="CL41" s="3916" t="s">
        <v>452</v>
      </c>
      <c r="CM41" s="5941" t="s">
        <v>453</v>
      </c>
      <c r="CN41" s="3918"/>
      <c r="CO41" s="5942"/>
      <c r="CP41" s="3914"/>
      <c r="CQ41" s="5939"/>
      <c r="CR41" s="5940" t="s">
        <v>450</v>
      </c>
      <c r="CS41" s="5940" t="s">
        <v>451</v>
      </c>
      <c r="CT41" s="3916" t="s">
        <v>452</v>
      </c>
      <c r="CU41" s="5941" t="s">
        <v>453</v>
      </c>
      <c r="CV41" s="3918"/>
      <c r="CW41" s="5942"/>
      <c r="CX41" s="3914"/>
      <c r="CY41" s="5939"/>
      <c r="CZ41" s="5940" t="s">
        <v>450</v>
      </c>
      <c r="DA41" s="5940" t="s">
        <v>451</v>
      </c>
      <c r="DB41" s="3916" t="s">
        <v>452</v>
      </c>
      <c r="DC41" s="5941" t="s">
        <v>453</v>
      </c>
      <c r="DD41" s="3918"/>
      <c r="DE41" s="5942"/>
      <c r="DF41" s="2348"/>
      <c r="DG41" s="2193"/>
      <c r="DM41" s="1221">
        <v>34</v>
      </c>
    </row>
    <row s="4153"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114</v>
      </c>
      <c r="T42" s="1321" t="s">
        <v>115</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5943">
        <f>OFFSET(AL42,0,-1)+1</f>
        <v>6</v>
      </c>
      <c r="AM42" s="5943"/>
      <c r="AN42" s="5943">
        <f>OFFSET(AN42,0,-1)+1</f>
        <v>1</v>
      </c>
      <c r="AO42" s="5943">
        <f>OFFSET(AO42,0,-1)+1</f>
        <v>2</v>
      </c>
      <c r="AP42" s="3921">
        <f>OFFSET(AP42,0,-1)+1</f>
        <v>3</v>
      </c>
      <c r="AQ42" s="5943">
        <f>OFFSET(AQ42,0,-1)+1</f>
        <v>4</v>
      </c>
      <c r="AR42" s="3921"/>
      <c r="AS42" s="5943">
        <f>OFFSET(AS42,0,-2)+1</f>
        <v>5</v>
      </c>
      <c r="AT42" s="3921">
        <f>OFFSET(AT42,0,-1)+1</f>
        <v>6</v>
      </c>
      <c r="AU42" s="5943"/>
      <c r="AV42" s="5943">
        <f>OFFSET(AV42,0,-1)+1</f>
        <v>1</v>
      </c>
      <c r="AW42" s="5943">
        <f>OFFSET(AW42,0,-1)+1</f>
        <v>2</v>
      </c>
      <c r="AX42" s="3921">
        <f>OFFSET(AX42,0,-1)+1</f>
        <v>3</v>
      </c>
      <c r="AY42" s="5943">
        <f>OFFSET(AY42,0,-1)+1</f>
        <v>4</v>
      </c>
      <c r="AZ42" s="3921"/>
      <c r="BA42" s="5943">
        <f>OFFSET(BA42,0,-2)+1</f>
        <v>5</v>
      </c>
      <c r="BB42" s="3921">
        <f>OFFSET(BB42,0,-1)+1</f>
        <v>6</v>
      </c>
      <c r="BC42" s="5943"/>
      <c r="BD42" s="5943">
        <f>OFFSET(BD42,0,-1)+1</f>
        <v>1</v>
      </c>
      <c r="BE42" s="5943">
        <f>OFFSET(BE42,0,-1)+1</f>
        <v>2</v>
      </c>
      <c r="BF42" s="3921">
        <f>OFFSET(BF42,0,-1)+1</f>
        <v>3</v>
      </c>
      <c r="BG42" s="5943">
        <f>OFFSET(BG42,0,-1)+1</f>
        <v>4</v>
      </c>
      <c r="BH42" s="3921"/>
      <c r="BI42" s="5943">
        <f>OFFSET(BI42,0,-2)+1</f>
        <v>5</v>
      </c>
      <c r="BJ42" s="3921">
        <f>OFFSET(BJ42,0,-1)+1</f>
        <v>6</v>
      </c>
      <c r="BK42" s="5943"/>
      <c r="BL42" s="5943">
        <f>OFFSET(BL42,0,-1)+1</f>
        <v>1</v>
      </c>
      <c r="BM42" s="5943">
        <f>OFFSET(BM42,0,-1)+1</f>
        <v>2</v>
      </c>
      <c r="BN42" s="3921">
        <f>OFFSET(BN42,0,-1)+1</f>
        <v>3</v>
      </c>
      <c r="BO42" s="5943">
        <f>OFFSET(BO42,0,-1)+1</f>
        <v>4</v>
      </c>
      <c r="BP42" s="3921"/>
      <c r="BQ42" s="5943">
        <f>OFFSET(BQ42,0,-2)+1</f>
        <v>5</v>
      </c>
      <c r="BR42" s="3921">
        <f>OFFSET(BR42,0,-1)+1</f>
        <v>6</v>
      </c>
      <c r="BS42" s="5943"/>
      <c r="BT42" s="5943">
        <f>OFFSET(BT42,0,-1)+1</f>
        <v>1</v>
      </c>
      <c r="BU42" s="5943">
        <f>OFFSET(BU42,0,-1)+1</f>
        <v>2</v>
      </c>
      <c r="BV42" s="3921">
        <f>OFFSET(BV42,0,-1)+1</f>
        <v>3</v>
      </c>
      <c r="BW42" s="5943">
        <f>OFFSET(BW42,0,-1)+1</f>
        <v>4</v>
      </c>
      <c r="BX42" s="3921"/>
      <c r="BY42" s="5943">
        <f>OFFSET(BY42,0,-2)+1</f>
        <v>5</v>
      </c>
      <c r="BZ42" s="3921">
        <f>OFFSET(BZ42,0,-1)+1</f>
        <v>6</v>
      </c>
      <c r="CA42" s="5943"/>
      <c r="CB42" s="5943">
        <f>OFFSET(CB42,0,-1)+1</f>
        <v>1</v>
      </c>
      <c r="CC42" s="5943">
        <f>OFFSET(CC42,0,-1)+1</f>
        <v>2</v>
      </c>
      <c r="CD42" s="3921">
        <f>OFFSET(CD42,0,-1)+1</f>
        <v>3</v>
      </c>
      <c r="CE42" s="5943">
        <f>OFFSET(CE42,0,-1)+1</f>
        <v>4</v>
      </c>
      <c r="CF42" s="3921"/>
      <c r="CG42" s="5943">
        <f>OFFSET(CG42,0,-2)+1</f>
        <v>5</v>
      </c>
      <c r="CH42" s="3921">
        <f>OFFSET(CH42,0,-1)+1</f>
        <v>6</v>
      </c>
      <c r="CI42" s="5943"/>
      <c r="CJ42" s="5943">
        <f>OFFSET(CJ42,0,-1)+1</f>
        <v>1</v>
      </c>
      <c r="CK42" s="5943">
        <f>OFFSET(CK42,0,-1)+1</f>
        <v>2</v>
      </c>
      <c r="CL42" s="3921">
        <f>OFFSET(CL42,0,-1)+1</f>
        <v>3</v>
      </c>
      <c r="CM42" s="5943">
        <f>OFFSET(CM42,0,-1)+1</f>
        <v>4</v>
      </c>
      <c r="CN42" s="3921"/>
      <c r="CO42" s="5943">
        <f>OFFSET(CO42,0,-2)+1</f>
        <v>5</v>
      </c>
      <c r="CP42" s="3921">
        <f>OFFSET(CP42,0,-1)+1</f>
        <v>6</v>
      </c>
      <c r="CQ42" s="5943"/>
      <c r="CR42" s="5943">
        <f>OFFSET(CR42,0,-1)+1</f>
        <v>1</v>
      </c>
      <c r="CS42" s="5943">
        <f>OFFSET(CS42,0,-1)+1</f>
        <v>2</v>
      </c>
      <c r="CT42" s="3921">
        <f>OFFSET(CT42,0,-1)+1</f>
        <v>3</v>
      </c>
      <c r="CU42" s="5943">
        <f>OFFSET(CU42,0,-1)+1</f>
        <v>4</v>
      </c>
      <c r="CV42" s="3921"/>
      <c r="CW42" s="5943">
        <f>OFFSET(CW42,0,-2)+1</f>
        <v>5</v>
      </c>
      <c r="CX42" s="3921">
        <f>OFFSET(CX42,0,-1)+1</f>
        <v>6</v>
      </c>
      <c r="CY42" s="5943"/>
      <c r="CZ42" s="5943">
        <f>OFFSET(CZ42,0,-1)+1</f>
        <v>1</v>
      </c>
      <c r="DA42" s="5943">
        <f>OFFSET(DA42,0,-1)+1</f>
        <v>2</v>
      </c>
      <c r="DB42" s="3921">
        <f>OFFSET(DB42,0,-1)+1</f>
        <v>3</v>
      </c>
      <c r="DC42" s="5943">
        <f>OFFSET(DC42,0,-1)+1</f>
        <v>4</v>
      </c>
      <c r="DD42" s="3921"/>
      <c r="DE42" s="5943">
        <f>OFFSET(DE42,0,-2)+1</f>
        <v>5</v>
      </c>
      <c r="DF42" s="1311">
        <f>OFFSET(DF42,0,-1)</f>
        <v>5</v>
      </c>
      <c r="DG42" s="1401">
        <f>OFFSET(DG42,0,-1)+1</f>
        <v>6</v>
      </c>
      <c r="DH42" s="577"/>
      <c r="DI42" s="577"/>
      <c r="DJ42" s="577"/>
      <c r="DK42" s="577"/>
      <c r="DL42" s="577"/>
      <c r="DM42" s="562">
        <v>0</v>
      </c>
    </row>
    <row customHeight="1" ht="22.049999999999997">
      <c r="A43" s="1429" t="s">
        <v>169</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1</v>
      </c>
      <c r="T43" s="364" t="s">
        <v>128</v>
      </c>
      <c r="U43" s="366"/>
      <c r="V43" s="2308"/>
      <c r="W43" s="2309"/>
      <c r="X43" s="2309"/>
      <c r="Y43" s="2309"/>
      <c r="Z43" s="2309"/>
      <c r="AA43" s="2309"/>
      <c r="AB43" s="2309"/>
      <c r="AC43" s="2310"/>
      <c r="AD43" s="2308" t="str">
        <f>INDEX(PT_DIFFERENTIATION_NTAR,MATCH(A43,PT_DIFFERENTIATION_NTAR_ID,0))</f>
        <v>Тариф на т/э (мощность), поставляемую АО "Уренгойтеплогенерация-1", приобретающему т/э с целью компенсации потерь т/э</v>
      </c>
      <c r="AE43" s="2309"/>
      <c r="AF43" s="2309"/>
      <c r="AG43" s="2309"/>
      <c r="AH43" s="2309"/>
      <c r="AI43" s="2309"/>
      <c r="AJ43" s="2309"/>
      <c r="AK43" s="2309"/>
      <c r="AL43" s="6079"/>
      <c r="AM43" s="5779"/>
      <c r="AN43" s="5779"/>
      <c r="AO43" s="5779"/>
      <c r="AP43" s="3659"/>
      <c r="AQ43" s="5779"/>
      <c r="AR43" s="3659"/>
      <c r="AS43" s="5780"/>
      <c r="AT43" s="3658"/>
      <c r="AU43" s="5779"/>
      <c r="AV43" s="5779"/>
      <c r="AW43" s="5779"/>
      <c r="AX43" s="3659"/>
      <c r="AY43" s="5779"/>
      <c r="AZ43" s="3659"/>
      <c r="BA43" s="5780"/>
      <c r="BB43" s="3658"/>
      <c r="BC43" s="5779"/>
      <c r="BD43" s="5779"/>
      <c r="BE43" s="5779"/>
      <c r="BF43" s="3659"/>
      <c r="BG43" s="5779"/>
      <c r="BH43" s="3659"/>
      <c r="BI43" s="5780"/>
      <c r="BJ43" s="3658"/>
      <c r="BK43" s="5779"/>
      <c r="BL43" s="5779"/>
      <c r="BM43" s="5779"/>
      <c r="BN43" s="3659"/>
      <c r="BO43" s="5779"/>
      <c r="BP43" s="3659"/>
      <c r="BQ43" s="5780"/>
      <c r="BR43" s="3658"/>
      <c r="BS43" s="5779"/>
      <c r="BT43" s="5779"/>
      <c r="BU43" s="5779"/>
      <c r="BV43" s="3659"/>
      <c r="BW43" s="5779"/>
      <c r="BX43" s="3659"/>
      <c r="BY43" s="5780"/>
      <c r="BZ43" s="3658"/>
      <c r="CA43" s="5779"/>
      <c r="CB43" s="5779"/>
      <c r="CC43" s="5779"/>
      <c r="CD43" s="3659"/>
      <c r="CE43" s="5779"/>
      <c r="CF43" s="3659"/>
      <c r="CG43" s="5780"/>
      <c r="CH43" s="3658"/>
      <c r="CI43" s="5779"/>
      <c r="CJ43" s="5779"/>
      <c r="CK43" s="5779"/>
      <c r="CL43" s="3659"/>
      <c r="CM43" s="5779"/>
      <c r="CN43" s="3659"/>
      <c r="CO43" s="5780"/>
      <c r="CP43" s="3658"/>
      <c r="CQ43" s="5779"/>
      <c r="CR43" s="5779"/>
      <c r="CS43" s="5779"/>
      <c r="CT43" s="3659"/>
      <c r="CU43" s="5779"/>
      <c r="CV43" s="3659"/>
      <c r="CW43" s="5780"/>
      <c r="CX43" s="3658"/>
      <c r="CY43" s="5779"/>
      <c r="CZ43" s="5779"/>
      <c r="DA43" s="5779"/>
      <c r="DB43" s="3659"/>
      <c r="DC43" s="5779"/>
      <c r="DD43" s="3659"/>
      <c r="DE43" s="5780"/>
      <c r="DF43" s="2310"/>
      <c r="DG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6"/>
      <c r="DJ43" s="566" t="str">
        <f>IF(T43="","",T43)</f>
        <v>Наименование тарифа</v>
      </c>
      <c r="DK43" s="566"/>
      <c r="DL43" s="566"/>
      <c r="DM43" s="1221">
        <v>21</v>
      </c>
    </row>
    <row customHeight="1" ht="22.049999999999997">
      <c r="A44" s="1429" t="s">
        <v>169</v>
      </c>
      <c r="B44" s="1429" t="s">
        <v>170</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1.1</v>
      </c>
      <c r="T44" s="374" t="s">
        <v>406</v>
      </c>
      <c r="U44" s="366"/>
      <c r="V44" s="2308"/>
      <c r="W44" s="2309"/>
      <c r="X44" s="2309"/>
      <c r="Y44" s="2309"/>
      <c r="Z44" s="2309"/>
      <c r="AA44" s="2309"/>
      <c r="AB44" s="2309"/>
      <c r="AC44" s="2310"/>
      <c r="AD44" s="2308" t="str">
        <f>INDEX(PT_DIFFERENTIATION_TER,MATCH(B44,PT_DIFFERENTIATION_TER_ID,0))</f>
        <v>без дифференциации</v>
      </c>
      <c r="AE44" s="2309"/>
      <c r="AF44" s="2309"/>
      <c r="AG44" s="2309"/>
      <c r="AH44" s="2309"/>
      <c r="AI44" s="2309"/>
      <c r="AJ44" s="2309"/>
      <c r="AK44" s="2309"/>
      <c r="AL44" s="6079"/>
      <c r="AM44" s="5779"/>
      <c r="AN44" s="5779"/>
      <c r="AO44" s="5779"/>
      <c r="AP44" s="3659"/>
      <c r="AQ44" s="5779"/>
      <c r="AR44" s="3659"/>
      <c r="AS44" s="5780"/>
      <c r="AT44" s="3658"/>
      <c r="AU44" s="5779"/>
      <c r="AV44" s="5779"/>
      <c r="AW44" s="5779"/>
      <c r="AX44" s="3659"/>
      <c r="AY44" s="5779"/>
      <c r="AZ44" s="3659"/>
      <c r="BA44" s="5780"/>
      <c r="BB44" s="3658"/>
      <c r="BC44" s="5779"/>
      <c r="BD44" s="5779"/>
      <c r="BE44" s="5779"/>
      <c r="BF44" s="3659"/>
      <c r="BG44" s="5779"/>
      <c r="BH44" s="3659"/>
      <c r="BI44" s="5780"/>
      <c r="BJ44" s="3658"/>
      <c r="BK44" s="5779"/>
      <c r="BL44" s="5779"/>
      <c r="BM44" s="5779"/>
      <c r="BN44" s="3659"/>
      <c r="BO44" s="5779"/>
      <c r="BP44" s="3659"/>
      <c r="BQ44" s="5780"/>
      <c r="BR44" s="3658"/>
      <c r="BS44" s="5779"/>
      <c r="BT44" s="5779"/>
      <c r="BU44" s="5779"/>
      <c r="BV44" s="3659"/>
      <c r="BW44" s="5779"/>
      <c r="BX44" s="3659"/>
      <c r="BY44" s="5780"/>
      <c r="BZ44" s="3658"/>
      <c r="CA44" s="5779"/>
      <c r="CB44" s="5779"/>
      <c r="CC44" s="5779"/>
      <c r="CD44" s="3659"/>
      <c r="CE44" s="5779"/>
      <c r="CF44" s="3659"/>
      <c r="CG44" s="5780"/>
      <c r="CH44" s="3658"/>
      <c r="CI44" s="5779"/>
      <c r="CJ44" s="5779"/>
      <c r="CK44" s="5779"/>
      <c r="CL44" s="3659"/>
      <c r="CM44" s="5779"/>
      <c r="CN44" s="3659"/>
      <c r="CO44" s="5780"/>
      <c r="CP44" s="3658"/>
      <c r="CQ44" s="5779"/>
      <c r="CR44" s="5779"/>
      <c r="CS44" s="5779"/>
      <c r="CT44" s="3659"/>
      <c r="CU44" s="5779"/>
      <c r="CV44" s="3659"/>
      <c r="CW44" s="5780"/>
      <c r="CX44" s="3658"/>
      <c r="CY44" s="5779"/>
      <c r="CZ44" s="5779"/>
      <c r="DA44" s="5779"/>
      <c r="DB44" s="3659"/>
      <c r="DC44" s="5779"/>
      <c r="DD44" s="3659"/>
      <c r="DE44" s="5780"/>
      <c r="DF44" s="2310"/>
      <c r="DG44" s="1324" t="s">
        <v>407</v>
      </c>
      <c r="DI44" s="566"/>
      <c r="DJ44" s="566" t="str">
        <f>IF(T44="","",T44)</f>
        <v>Территория действия тарифа</v>
      </c>
      <c r="DK44" s="566"/>
      <c r="DL44" s="566"/>
      <c r="DM44" s="1221">
        <v>21</v>
      </c>
    </row>
    <row customHeight="1" ht="24">
      <c r="A45" s="1429" t="s">
        <v>169</v>
      </c>
      <c r="B45" s="1429" t="s">
        <v>170</v>
      </c>
      <c r="C45" s="1429" t="s">
        <v>171</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1.1.1</v>
      </c>
      <c r="T45" s="375" t="s">
        <v>408</v>
      </c>
      <c r="U45" s="366"/>
      <c r="V45" s="2308"/>
      <c r="W45" s="2309"/>
      <c r="X45" s="2309"/>
      <c r="Y45" s="2309"/>
      <c r="Z45" s="2309"/>
      <c r="AA45" s="2309"/>
      <c r="AB45" s="2309"/>
      <c r="AC45" s="2310"/>
      <c r="AD45" s="2308" t="str">
        <f>INDEX(PT_DIFFERENTIATION_CS,MATCH(C45,PT_DIFFERENTIATION_CS_ID,0))</f>
        <v>для АО "Уренгойтеплогенерация-1"</v>
      </c>
      <c r="AE45" s="2309"/>
      <c r="AF45" s="2309"/>
      <c r="AG45" s="2309"/>
      <c r="AH45" s="2309"/>
      <c r="AI45" s="2309"/>
      <c r="AJ45" s="2309"/>
      <c r="AK45" s="2309"/>
      <c r="AL45" s="6079"/>
      <c r="AM45" s="5779"/>
      <c r="AN45" s="5779"/>
      <c r="AO45" s="5779"/>
      <c r="AP45" s="3659"/>
      <c r="AQ45" s="5779"/>
      <c r="AR45" s="3659"/>
      <c r="AS45" s="5780"/>
      <c r="AT45" s="3658"/>
      <c r="AU45" s="5779"/>
      <c r="AV45" s="5779"/>
      <c r="AW45" s="5779"/>
      <c r="AX45" s="3659"/>
      <c r="AY45" s="5779"/>
      <c r="AZ45" s="3659"/>
      <c r="BA45" s="5780"/>
      <c r="BB45" s="3658"/>
      <c r="BC45" s="5779"/>
      <c r="BD45" s="5779"/>
      <c r="BE45" s="5779"/>
      <c r="BF45" s="3659"/>
      <c r="BG45" s="5779"/>
      <c r="BH45" s="3659"/>
      <c r="BI45" s="5780"/>
      <c r="BJ45" s="3658"/>
      <c r="BK45" s="5779"/>
      <c r="BL45" s="5779"/>
      <c r="BM45" s="5779"/>
      <c r="BN45" s="3659"/>
      <c r="BO45" s="5779"/>
      <c r="BP45" s="3659"/>
      <c r="BQ45" s="5780"/>
      <c r="BR45" s="3658"/>
      <c r="BS45" s="5779"/>
      <c r="BT45" s="5779"/>
      <c r="BU45" s="5779"/>
      <c r="BV45" s="3659"/>
      <c r="BW45" s="5779"/>
      <c r="BX45" s="3659"/>
      <c r="BY45" s="5780"/>
      <c r="BZ45" s="3658"/>
      <c r="CA45" s="5779"/>
      <c r="CB45" s="5779"/>
      <c r="CC45" s="5779"/>
      <c r="CD45" s="3659"/>
      <c r="CE45" s="5779"/>
      <c r="CF45" s="3659"/>
      <c r="CG45" s="5780"/>
      <c r="CH45" s="3658"/>
      <c r="CI45" s="5779"/>
      <c r="CJ45" s="5779"/>
      <c r="CK45" s="5779"/>
      <c r="CL45" s="3659"/>
      <c r="CM45" s="5779"/>
      <c r="CN45" s="3659"/>
      <c r="CO45" s="5780"/>
      <c r="CP45" s="3658"/>
      <c r="CQ45" s="5779"/>
      <c r="CR45" s="5779"/>
      <c r="CS45" s="5779"/>
      <c r="CT45" s="3659"/>
      <c r="CU45" s="5779"/>
      <c r="CV45" s="3659"/>
      <c r="CW45" s="5780"/>
      <c r="CX45" s="3658"/>
      <c r="CY45" s="5779"/>
      <c r="CZ45" s="5779"/>
      <c r="DA45" s="5779"/>
      <c r="DB45" s="3659"/>
      <c r="DC45" s="5779"/>
      <c r="DD45" s="3659"/>
      <c r="DE45" s="5780"/>
      <c r="DF45" s="2310"/>
      <c r="DG45" s="1324" t="s">
        <v>409</v>
      </c>
      <c r="DI45" s="566"/>
      <c r="DJ45" s="566" t="str">
        <f>IF(T45="","",T45)</f>
        <v>Наименование системы теплоснабжения </v>
      </c>
      <c r="DK45" s="566"/>
      <c r="DL45" s="566"/>
      <c r="DM45" s="1221">
        <v>23</v>
      </c>
    </row>
    <row customHeight="1" ht="22.049999999999997">
      <c r="A46" s="1429" t="s">
        <v>169</v>
      </c>
      <c r="B46" s="1429" t="s">
        <v>170</v>
      </c>
      <c r="C46" s="1429" t="s">
        <v>171</v>
      </c>
      <c r="D46" s="1429" t="s">
        <v>172</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1.1.1.1</v>
      </c>
      <c r="T46" s="376" t="s">
        <v>410</v>
      </c>
      <c r="U46" s="366"/>
      <c r="V46" s="2308"/>
      <c r="W46" s="2309"/>
      <c r="X46" s="2309"/>
      <c r="Y46" s="2309"/>
      <c r="Z46" s="2309"/>
      <c r="AA46" s="2309"/>
      <c r="AB46" s="2309"/>
      <c r="AC46" s="2310"/>
      <c r="AD46" s="2308" t="str">
        <f>INDEX(PT_DIFFERENTIATION_IST_TE,MATCH(D46,PT_DIFFERENTIATION_IST_TE_ID,0))</f>
        <v>без дифференциации</v>
      </c>
      <c r="AE46" s="2309"/>
      <c r="AF46" s="2309"/>
      <c r="AG46" s="2309"/>
      <c r="AH46" s="2309"/>
      <c r="AI46" s="2309"/>
      <c r="AJ46" s="2309"/>
      <c r="AK46" s="2309"/>
      <c r="AL46" s="6079"/>
      <c r="AM46" s="5779"/>
      <c r="AN46" s="5779"/>
      <c r="AO46" s="5779"/>
      <c r="AP46" s="3659"/>
      <c r="AQ46" s="5779"/>
      <c r="AR46" s="3659"/>
      <c r="AS46" s="5780"/>
      <c r="AT46" s="3658"/>
      <c r="AU46" s="5779"/>
      <c r="AV46" s="5779"/>
      <c r="AW46" s="5779"/>
      <c r="AX46" s="3659"/>
      <c r="AY46" s="5779"/>
      <c r="AZ46" s="3659"/>
      <c r="BA46" s="5780"/>
      <c r="BB46" s="3658"/>
      <c r="BC46" s="5779"/>
      <c r="BD46" s="5779"/>
      <c r="BE46" s="5779"/>
      <c r="BF46" s="3659"/>
      <c r="BG46" s="5779"/>
      <c r="BH46" s="3659"/>
      <c r="BI46" s="5780"/>
      <c r="BJ46" s="3658"/>
      <c r="BK46" s="5779"/>
      <c r="BL46" s="5779"/>
      <c r="BM46" s="5779"/>
      <c r="BN46" s="3659"/>
      <c r="BO46" s="5779"/>
      <c r="BP46" s="3659"/>
      <c r="BQ46" s="5780"/>
      <c r="BR46" s="3658"/>
      <c r="BS46" s="5779"/>
      <c r="BT46" s="5779"/>
      <c r="BU46" s="5779"/>
      <c r="BV46" s="3659"/>
      <c r="BW46" s="5779"/>
      <c r="BX46" s="3659"/>
      <c r="BY46" s="5780"/>
      <c r="BZ46" s="3658"/>
      <c r="CA46" s="5779"/>
      <c r="CB46" s="5779"/>
      <c r="CC46" s="5779"/>
      <c r="CD46" s="3659"/>
      <c r="CE46" s="5779"/>
      <c r="CF46" s="3659"/>
      <c r="CG46" s="5780"/>
      <c r="CH46" s="3658"/>
      <c r="CI46" s="5779"/>
      <c r="CJ46" s="5779"/>
      <c r="CK46" s="5779"/>
      <c r="CL46" s="3659"/>
      <c r="CM46" s="5779"/>
      <c r="CN46" s="3659"/>
      <c r="CO46" s="5780"/>
      <c r="CP46" s="3658"/>
      <c r="CQ46" s="5779"/>
      <c r="CR46" s="5779"/>
      <c r="CS46" s="5779"/>
      <c r="CT46" s="3659"/>
      <c r="CU46" s="5779"/>
      <c r="CV46" s="3659"/>
      <c r="CW46" s="5780"/>
      <c r="CX46" s="3658"/>
      <c r="CY46" s="5779"/>
      <c r="CZ46" s="5779"/>
      <c r="DA46" s="5779"/>
      <c r="DB46" s="3659"/>
      <c r="DC46" s="5779"/>
      <c r="DD46" s="3659"/>
      <c r="DE46" s="5780"/>
      <c r="DF46" s="2310"/>
      <c r="DG46" s="1324" t="s">
        <v>411</v>
      </c>
      <c r="DI46" s="566"/>
      <c r="DJ46" s="566" t="str">
        <f>IF(T46="","",T46)</f>
        <v>Источник тепловой энергии  </v>
      </c>
      <c r="DK46" s="566"/>
      <c r="DL46" s="566"/>
      <c r="DM46" s="1221">
        <v>21</v>
      </c>
    </row>
    <row customHeight="1" ht="49.5">
      <c r="A47" s="1429" t="s">
        <v>169</v>
      </c>
      <c r="B47" s="1429" t="s">
        <v>170</v>
      </c>
      <c r="C47" s="1429" t="s">
        <v>171</v>
      </c>
      <c r="D47" s="1429" t="s">
        <v>172</v>
      </c>
      <c r="E47" s="2325"/>
      <c r="F47" s="2325"/>
      <c r="G47" s="2325"/>
      <c r="H47" s="2325"/>
      <c r="I47" s="2322" t="str">
        <f>S46&amp;".1"</f>
        <v>1.1.1.1.1</v>
      </c>
      <c r="J47" s="1429"/>
      <c r="K47" s="1429"/>
      <c r="L47" s="1430" t="s">
        <v>412</v>
      </c>
      <c r="P47" s="2323">
        <v>1</v>
      </c>
      <c r="Q47" s="1397"/>
      <c r="R47" s="422"/>
      <c r="S47" s="1402" t="str">
        <f>$I47</f>
        <v>1.1.1.1.1</v>
      </c>
      <c r="T47" s="351" t="s">
        <v>413</v>
      </c>
      <c r="U47" s="366"/>
      <c r="V47" s="2311"/>
      <c r="W47" s="2312"/>
      <c r="X47" s="2312"/>
      <c r="Y47" s="2312"/>
      <c r="Z47" s="2312"/>
      <c r="AA47" s="2312"/>
      <c r="AB47" s="2312"/>
      <c r="AC47" s="2313"/>
      <c r="AD47" s="2311" t="s">
        <v>456</v>
      </c>
      <c r="AE47" s="2312"/>
      <c r="AF47" s="2312"/>
      <c r="AG47" s="2312"/>
      <c r="AH47" s="2312"/>
      <c r="AI47" s="2312"/>
      <c r="AJ47" s="2312"/>
      <c r="AK47" s="2312"/>
      <c r="AL47" s="6080"/>
      <c r="AM47" s="5781"/>
      <c r="AN47" s="5781"/>
      <c r="AO47" s="5781"/>
      <c r="AP47" s="3664"/>
      <c r="AQ47" s="5781"/>
      <c r="AR47" s="3664"/>
      <c r="AS47" s="5782"/>
      <c r="AT47" s="3663"/>
      <c r="AU47" s="5781"/>
      <c r="AV47" s="5781"/>
      <c r="AW47" s="5781"/>
      <c r="AX47" s="3664"/>
      <c r="AY47" s="5781"/>
      <c r="AZ47" s="3664"/>
      <c r="BA47" s="5782"/>
      <c r="BB47" s="3663"/>
      <c r="BC47" s="5781"/>
      <c r="BD47" s="5781"/>
      <c r="BE47" s="5781"/>
      <c r="BF47" s="3664"/>
      <c r="BG47" s="5781"/>
      <c r="BH47" s="3664"/>
      <c r="BI47" s="5782"/>
      <c r="BJ47" s="3663"/>
      <c r="BK47" s="5781"/>
      <c r="BL47" s="5781"/>
      <c r="BM47" s="5781"/>
      <c r="BN47" s="3664"/>
      <c r="BO47" s="5781"/>
      <c r="BP47" s="3664"/>
      <c r="BQ47" s="5782"/>
      <c r="BR47" s="3663"/>
      <c r="BS47" s="5781"/>
      <c r="BT47" s="5781"/>
      <c r="BU47" s="5781"/>
      <c r="BV47" s="3664"/>
      <c r="BW47" s="5781"/>
      <c r="BX47" s="3664"/>
      <c r="BY47" s="5782"/>
      <c r="BZ47" s="3663"/>
      <c r="CA47" s="5781"/>
      <c r="CB47" s="5781"/>
      <c r="CC47" s="5781"/>
      <c r="CD47" s="3664"/>
      <c r="CE47" s="5781"/>
      <c r="CF47" s="3664"/>
      <c r="CG47" s="5782"/>
      <c r="CH47" s="3663"/>
      <c r="CI47" s="5781"/>
      <c r="CJ47" s="5781"/>
      <c r="CK47" s="5781"/>
      <c r="CL47" s="3664"/>
      <c r="CM47" s="5781"/>
      <c r="CN47" s="3664"/>
      <c r="CO47" s="5782"/>
      <c r="CP47" s="3663"/>
      <c r="CQ47" s="5781"/>
      <c r="CR47" s="5781"/>
      <c r="CS47" s="5781"/>
      <c r="CT47" s="3664"/>
      <c r="CU47" s="5781"/>
      <c r="CV47" s="3664"/>
      <c r="CW47" s="5782"/>
      <c r="CX47" s="3663"/>
      <c r="CY47" s="5781"/>
      <c r="CZ47" s="5781"/>
      <c r="DA47" s="5781"/>
      <c r="DB47" s="3664"/>
      <c r="DC47" s="5781"/>
      <c r="DD47" s="3664"/>
      <c r="DE47" s="5782"/>
      <c r="DF47" s="2313"/>
      <c r="DG47" s="1324" t="s">
        <v>414</v>
      </c>
      <c r="DI47" s="566"/>
      <c r="DJ47" s="566" t="str">
        <f>IF(T47="","",T47)</f>
        <v>Схема подключения теплопотребляющей установки к коллектору источника тепловой энергии</v>
      </c>
      <c r="DK47" s="566"/>
      <c r="DL47" s="566"/>
      <c r="DM47" s="1221">
        <v>47</v>
      </c>
    </row>
    <row customHeight="1" ht="22.049999999999997">
      <c r="A48" s="1429" t="s">
        <v>169</v>
      </c>
      <c r="B48" s="1429" t="s">
        <v>170</v>
      </c>
      <c r="C48" s="1429" t="s">
        <v>171</v>
      </c>
      <c r="D48" s="1429" t="s">
        <v>172</v>
      </c>
      <c r="E48" s="2325"/>
      <c r="F48" s="2325"/>
      <c r="G48" s="2325"/>
      <c r="H48" s="2325"/>
      <c r="I48" s="2352"/>
      <c r="J48" s="2322" t="str">
        <f>I47&amp;".1"</f>
        <v>1.1.1.1.1.1</v>
      </c>
      <c r="K48" s="1429"/>
      <c r="L48" s="1430" t="s">
        <v>415</v>
      </c>
      <c r="P48" s="2323"/>
      <c r="Q48" s="2323">
        <v>1</v>
      </c>
      <c r="R48" s="423"/>
      <c r="S48" s="1402" t="str">
        <f>$J48</f>
        <v>1.1.1.1.1.1</v>
      </c>
      <c r="T48" s="352" t="s">
        <v>416</v>
      </c>
      <c r="U48" s="366"/>
      <c r="V48" s="2311"/>
      <c r="W48" s="2312"/>
      <c r="X48" s="2312"/>
      <c r="Y48" s="2312"/>
      <c r="Z48" s="2312"/>
      <c r="AA48" s="2312"/>
      <c r="AB48" s="2312"/>
      <c r="AC48" s="2313"/>
      <c r="AD48" s="2311" t="s">
        <v>457</v>
      </c>
      <c r="AE48" s="2312"/>
      <c r="AF48" s="2312"/>
      <c r="AG48" s="2312"/>
      <c r="AH48" s="2312"/>
      <c r="AI48" s="2312"/>
      <c r="AJ48" s="2312"/>
      <c r="AK48" s="2312"/>
      <c r="AL48" s="6080"/>
      <c r="AM48" s="5781"/>
      <c r="AN48" s="5781"/>
      <c r="AO48" s="5781"/>
      <c r="AP48" s="3664"/>
      <c r="AQ48" s="5781"/>
      <c r="AR48" s="3664"/>
      <c r="AS48" s="5782"/>
      <c r="AT48" s="3663"/>
      <c r="AU48" s="5781"/>
      <c r="AV48" s="5781"/>
      <c r="AW48" s="5781"/>
      <c r="AX48" s="3664"/>
      <c r="AY48" s="5781"/>
      <c r="AZ48" s="3664"/>
      <c r="BA48" s="5782"/>
      <c r="BB48" s="3663"/>
      <c r="BC48" s="5781"/>
      <c r="BD48" s="5781"/>
      <c r="BE48" s="5781"/>
      <c r="BF48" s="3664"/>
      <c r="BG48" s="5781"/>
      <c r="BH48" s="3664"/>
      <c r="BI48" s="5782"/>
      <c r="BJ48" s="3663"/>
      <c r="BK48" s="5781"/>
      <c r="BL48" s="5781"/>
      <c r="BM48" s="5781"/>
      <c r="BN48" s="3664"/>
      <c r="BO48" s="5781"/>
      <c r="BP48" s="3664"/>
      <c r="BQ48" s="5782"/>
      <c r="BR48" s="3663"/>
      <c r="BS48" s="5781"/>
      <c r="BT48" s="5781"/>
      <c r="BU48" s="5781"/>
      <c r="BV48" s="3664"/>
      <c r="BW48" s="5781"/>
      <c r="BX48" s="3664"/>
      <c r="BY48" s="5782"/>
      <c r="BZ48" s="3663"/>
      <c r="CA48" s="5781"/>
      <c r="CB48" s="5781"/>
      <c r="CC48" s="5781"/>
      <c r="CD48" s="3664"/>
      <c r="CE48" s="5781"/>
      <c r="CF48" s="3664"/>
      <c r="CG48" s="5782"/>
      <c r="CH48" s="3663"/>
      <c r="CI48" s="5781"/>
      <c r="CJ48" s="5781"/>
      <c r="CK48" s="5781"/>
      <c r="CL48" s="3664"/>
      <c r="CM48" s="5781"/>
      <c r="CN48" s="3664"/>
      <c r="CO48" s="5782"/>
      <c r="CP48" s="3663"/>
      <c r="CQ48" s="5781"/>
      <c r="CR48" s="5781"/>
      <c r="CS48" s="5781"/>
      <c r="CT48" s="3664"/>
      <c r="CU48" s="5781"/>
      <c r="CV48" s="3664"/>
      <c r="CW48" s="5782"/>
      <c r="CX48" s="3663"/>
      <c r="CY48" s="5781"/>
      <c r="CZ48" s="5781"/>
      <c r="DA48" s="5781"/>
      <c r="DB48" s="3664"/>
      <c r="DC48" s="5781"/>
      <c r="DD48" s="3664"/>
      <c r="DE48" s="5782"/>
      <c r="DF48" s="2313"/>
      <c r="DG48" s="1324" t="s">
        <v>417</v>
      </c>
      <c r="DI48" s="566"/>
      <c r="DJ48" s="566" t="str">
        <f>IF(T48="","",T48)</f>
        <v>Группа потребителей</v>
      </c>
      <c r="DK48" s="566"/>
      <c r="DL48" s="566"/>
      <c r="DM48" s="1221">
        <v>21</v>
      </c>
    </row>
    <row customHeight="1" ht="22.049999999999997">
      <c r="A49" s="1429" t="s">
        <v>169</v>
      </c>
      <c r="B49" s="1429" t="s">
        <v>170</v>
      </c>
      <c r="C49" s="1429" t="s">
        <v>171</v>
      </c>
      <c r="D49" s="1429" t="s">
        <v>172</v>
      </c>
      <c r="E49" s="2325"/>
      <c r="F49" s="2325"/>
      <c r="G49" s="2325"/>
      <c r="H49" s="2325"/>
      <c r="I49" s="2352"/>
      <c r="J49" s="2352"/>
      <c r="K49" s="2322" t="str">
        <f>J48&amp;".1"</f>
        <v>1.1.1.1.1.1.1</v>
      </c>
      <c r="L49" s="1430" t="s">
        <v>418</v>
      </c>
      <c r="P49" s="2323"/>
      <c r="Q49" s="2323"/>
      <c r="R49" s="423">
        <v>1</v>
      </c>
      <c r="S49" s="1402" t="str">
        <f>$K49</f>
        <v>1.1.1.1.1.1.1</v>
      </c>
      <c r="T49" s="1413" t="s">
        <v>458</v>
      </c>
      <c r="U49" s="366"/>
      <c r="V49" s="817"/>
      <c r="W49" s="391"/>
      <c r="X49" s="817"/>
      <c r="Y49" s="1323"/>
      <c r="Z49" s="2331"/>
      <c r="AA49" s="2173" t="s">
        <v>71</v>
      </c>
      <c r="AB49" s="2331"/>
      <c r="AC49" s="2173" t="s">
        <v>71</v>
      </c>
      <c r="AD49" s="817">
        <v>2953.18</v>
      </c>
      <c r="AE49" s="391"/>
      <c r="AF49" s="817"/>
      <c r="AG49" s="1323"/>
      <c r="AH49" s="3669">
        <v>45292.58443287037</v>
      </c>
      <c r="AI49" s="2173" t="s">
        <v>71</v>
      </c>
      <c r="AJ49" s="3922">
        <v>45473.5847337963</v>
      </c>
      <c r="AK49" s="2173" t="s">
        <v>71</v>
      </c>
      <c r="AL49" s="3666">
        <v>3159.9</v>
      </c>
      <c r="AM49" s="5783"/>
      <c r="AN49" s="5784"/>
      <c r="AO49" s="5785"/>
      <c r="AP49" s="3669">
        <v>45474.58568287037</v>
      </c>
      <c r="AQ49" s="3118" t="s">
        <v>71</v>
      </c>
      <c r="AR49" s="3669">
        <v>45657.58636574074</v>
      </c>
      <c r="AS49" s="3118" t="s">
        <v>71</v>
      </c>
      <c r="AT49" s="3666">
        <v>3159.9</v>
      </c>
      <c r="AU49" s="5783"/>
      <c r="AV49" s="5784"/>
      <c r="AW49" s="5785"/>
      <c r="AX49" s="3669">
        <v>45658.587164351855</v>
      </c>
      <c r="AY49" s="3118" t="s">
        <v>71</v>
      </c>
      <c r="AZ49" s="3669">
        <v>45838.587222222224</v>
      </c>
      <c r="BA49" s="3118" t="s">
        <v>71</v>
      </c>
      <c r="BB49" s="3666">
        <v>3159.9</v>
      </c>
      <c r="BC49" s="5783"/>
      <c r="BD49" s="5784"/>
      <c r="BE49" s="5785"/>
      <c r="BF49" s="3669">
        <v>45839.58766203704</v>
      </c>
      <c r="BG49" s="3118" t="s">
        <v>71</v>
      </c>
      <c r="BH49" s="3669">
        <v>46022.587789351855</v>
      </c>
      <c r="BI49" s="3118" t="s">
        <v>71</v>
      </c>
      <c r="BJ49" s="3666">
        <v>2983.42</v>
      </c>
      <c r="BK49" s="5783"/>
      <c r="BL49" s="5784"/>
      <c r="BM49" s="5785"/>
      <c r="BN49" s="5720">
        <v>46023.58834490741</v>
      </c>
      <c r="BO49" s="3118" t="s">
        <v>71</v>
      </c>
      <c r="BP49" s="5720">
        <v>46203.588530092595</v>
      </c>
      <c r="BQ49" s="3118" t="s">
        <v>71</v>
      </c>
      <c r="BR49" s="3666">
        <v>3197.45</v>
      </c>
      <c r="BS49" s="5783"/>
      <c r="BT49" s="5784"/>
      <c r="BU49" s="5785"/>
      <c r="BV49" s="3669">
        <v>46204.589004629626</v>
      </c>
      <c r="BW49" s="3118" t="s">
        <v>71</v>
      </c>
      <c r="BX49" s="3669">
        <v>46387.58908564815</v>
      </c>
      <c r="BY49" s="3118" t="s">
        <v>71</v>
      </c>
      <c r="BZ49" s="3666">
        <v>3197.45</v>
      </c>
      <c r="CA49" s="5783"/>
      <c r="CB49" s="5784"/>
      <c r="CC49" s="5785"/>
      <c r="CD49" s="3669">
        <v>46388.58967592593</v>
      </c>
      <c r="CE49" s="3118" t="s">
        <v>71</v>
      </c>
      <c r="CF49" s="3669">
        <v>46568.58980324074</v>
      </c>
      <c r="CG49" s="3118" t="s">
        <v>71</v>
      </c>
      <c r="CH49" s="3666">
        <v>3290.79</v>
      </c>
      <c r="CI49" s="5783"/>
      <c r="CJ49" s="5784"/>
      <c r="CK49" s="5785"/>
      <c r="CL49" s="3669">
        <v>46569.59043981481</v>
      </c>
      <c r="CM49" s="3118" t="s">
        <v>71</v>
      </c>
      <c r="CN49" s="3669">
        <v>46752.59054398148</v>
      </c>
      <c r="CO49" s="3118" t="s">
        <v>71</v>
      </c>
      <c r="CP49" s="3666">
        <v>3290.79</v>
      </c>
      <c r="CQ49" s="5783"/>
      <c r="CR49" s="5784"/>
      <c r="CS49" s="5785"/>
      <c r="CT49" s="3669">
        <v>46753.591145833336</v>
      </c>
      <c r="CU49" s="3118" t="s">
        <v>71</v>
      </c>
      <c r="CV49" s="3669">
        <v>46934.59133101852</v>
      </c>
      <c r="CW49" s="3118" t="s">
        <v>71</v>
      </c>
      <c r="CX49" s="3666">
        <v>3494.46</v>
      </c>
      <c r="CY49" s="5783"/>
      <c r="CZ49" s="5784"/>
      <c r="DA49" s="5785"/>
      <c r="DB49" s="3669">
        <v>46935.59186342593</v>
      </c>
      <c r="DC49" s="3118" t="s">
        <v>71</v>
      </c>
      <c r="DD49" s="3669">
        <v>47118.59204861111</v>
      </c>
      <c r="DE49" s="3118" t="s">
        <v>71</v>
      </c>
      <c r="DF49" s="1414"/>
      <c r="DG49" s="2319" t="s">
        <v>419</v>
      </c>
      <c r="DH49" s="577">
        <f>STRCHECKDATE(V50:DF50)</f>
      </c>
      <c r="DI49" s="566"/>
      <c r="DJ49" s="566" t="str">
        <f>IF(T49="","",T49)</f>
        <v>вода</v>
      </c>
      <c r="DK49" s="566"/>
      <c r="DL49" s="566"/>
      <c r="DM49" s="1221">
        <v>21</v>
      </c>
    </row>
    <row customHeight="1" ht="1.05">
      <c r="A50" s="1429" t="s">
        <v>169</v>
      </c>
      <c r="B50" s="1429" t="s">
        <v>170</v>
      </c>
      <c r="C50" s="1429" t="s">
        <v>171</v>
      </c>
      <c r="D50" s="1429" t="s">
        <v>172</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45292.58443287037-45473.5847337963</v>
      </c>
      <c r="AH50" s="2332"/>
      <c r="AI50" s="2173"/>
      <c r="AJ50" s="2354"/>
      <c r="AK50" s="2173"/>
      <c r="AL50" s="3667"/>
      <c r="AM50" s="5783"/>
      <c r="AN50" s="5783"/>
      <c r="AO50" s="3671" t="str">
        <f>AP49&amp;"-"&amp;AR49</f>
        <v>45474.58568287037-45657.58636574074</v>
      </c>
      <c r="AP50" s="3672"/>
      <c r="AQ50" s="3118"/>
      <c r="AR50" s="3672"/>
      <c r="AS50" s="3118"/>
      <c r="AT50" s="3667"/>
      <c r="AU50" s="5783"/>
      <c r="AV50" s="5783"/>
      <c r="AW50" s="3671" t="str">
        <f>AX49&amp;"-"&amp;AZ49</f>
        <v>45658.587164351855-45838.587222222224</v>
      </c>
      <c r="AX50" s="3672"/>
      <c r="AY50" s="3118"/>
      <c r="AZ50" s="3672"/>
      <c r="BA50" s="3118"/>
      <c r="BB50" s="3667"/>
      <c r="BC50" s="5783"/>
      <c r="BD50" s="5783"/>
      <c r="BE50" s="3671" t="str">
        <f>BF49&amp;"-"&amp;BH49</f>
        <v>45839.58766203704-46022.587789351855</v>
      </c>
      <c r="BF50" s="3672"/>
      <c r="BG50" s="3118"/>
      <c r="BH50" s="3672"/>
      <c r="BI50" s="3118"/>
      <c r="BJ50" s="3667"/>
      <c r="BK50" s="5783"/>
      <c r="BL50" s="5783"/>
      <c r="BM50" s="3671" t="str">
        <f>BN49&amp;"-"&amp;BP49</f>
        <v>46023.58834490741-46203.588530092595</v>
      </c>
      <c r="BN50" s="3672"/>
      <c r="BO50" s="3118"/>
      <c r="BP50" s="3672"/>
      <c r="BQ50" s="3118"/>
      <c r="BR50" s="3667"/>
      <c r="BS50" s="5783"/>
      <c r="BT50" s="5783"/>
      <c r="BU50" s="3671" t="str">
        <f>BV49&amp;"-"&amp;BX49</f>
        <v>46204.589004629626-46387.58908564815</v>
      </c>
      <c r="BV50" s="3672"/>
      <c r="BW50" s="3118"/>
      <c r="BX50" s="3672"/>
      <c r="BY50" s="3118"/>
      <c r="BZ50" s="3667"/>
      <c r="CA50" s="5783"/>
      <c r="CB50" s="5783"/>
      <c r="CC50" s="3671" t="str">
        <f>CD49&amp;"-"&amp;CF49</f>
        <v>46388.58967592593-46568.58980324074</v>
      </c>
      <c r="CD50" s="3672"/>
      <c r="CE50" s="3118"/>
      <c r="CF50" s="3672"/>
      <c r="CG50" s="3118"/>
      <c r="CH50" s="3667"/>
      <c r="CI50" s="5783"/>
      <c r="CJ50" s="5783"/>
      <c r="CK50" s="3671" t="str">
        <f>CL49&amp;"-"&amp;CN49</f>
        <v>46569.59043981481-46752.59054398148</v>
      </c>
      <c r="CL50" s="3672"/>
      <c r="CM50" s="3118"/>
      <c r="CN50" s="3672"/>
      <c r="CO50" s="3118"/>
      <c r="CP50" s="3667"/>
      <c r="CQ50" s="5783"/>
      <c r="CR50" s="5783"/>
      <c r="CS50" s="3671" t="str">
        <f>CT49&amp;"-"&amp;CV49</f>
        <v>46753.591145833336-46934.59133101852</v>
      </c>
      <c r="CT50" s="3672"/>
      <c r="CU50" s="3118"/>
      <c r="CV50" s="3672"/>
      <c r="CW50" s="3118"/>
      <c r="CX50" s="3667"/>
      <c r="CY50" s="5783"/>
      <c r="CZ50" s="5783"/>
      <c r="DA50" s="3671" t="str">
        <f>DB49&amp;"-"&amp;DD49</f>
        <v>46935.59186342593-47118.59204861111</v>
      </c>
      <c r="DB50" s="3672"/>
      <c r="DC50" s="3118"/>
      <c r="DD50" s="3672"/>
      <c r="DE50" s="3118"/>
      <c r="DF50" s="1415"/>
      <c r="DG50" s="2320"/>
      <c r="DI50" s="566"/>
      <c r="DJ50" s="566" t="str">
        <f>IF(T50="","",T50)</f>
        <v/>
      </c>
      <c r="DK50" s="566"/>
      <c r="DL50" s="566"/>
      <c r="DM50" s="1221">
        <v>1</v>
      </c>
    </row>
    <row customHeight="1" ht="11.549999999999999">
      <c r="A51" s="1429" t="s">
        <v>169</v>
      </c>
      <c r="B51" s="1429" t="s">
        <v>170</v>
      </c>
      <c r="C51" s="1429" t="s">
        <v>171</v>
      </c>
      <c r="D51" s="1429" t="s">
        <v>172</v>
      </c>
      <c r="E51" s="2325"/>
      <c r="F51" s="2325"/>
      <c r="G51" s="2325"/>
      <c r="H51" s="2325"/>
      <c r="I51" s="2352"/>
      <c r="J51" s="2322"/>
      <c r="K51" s="1429"/>
      <c r="L51" s="1430"/>
      <c r="P51" s="2323"/>
      <c r="Q51" s="2323"/>
      <c r="R51" s="422"/>
      <c r="S51" s="1344"/>
      <c r="T51" s="354" t="s">
        <v>420</v>
      </c>
      <c r="U51" s="433"/>
      <c r="V51" s="433"/>
      <c r="W51" s="433"/>
      <c r="X51" s="433"/>
      <c r="Y51" s="433"/>
      <c r="Z51" s="433"/>
      <c r="AA51" s="433"/>
      <c r="AB51" s="433"/>
      <c r="AC51" s="433"/>
      <c r="AD51" s="433"/>
      <c r="AE51" s="433"/>
      <c r="AF51" s="433"/>
      <c r="AG51" s="433"/>
      <c r="AH51" s="433"/>
      <c r="AI51" s="433"/>
      <c r="AJ51" s="433"/>
      <c r="AK51" s="433"/>
      <c r="AL51" s="6090"/>
      <c r="AM51" s="5944"/>
      <c r="AN51" s="5945"/>
      <c r="AO51" s="5946"/>
      <c r="AP51" s="3927"/>
      <c r="AQ51" s="5947"/>
      <c r="AR51" s="3929"/>
      <c r="AS51" s="5948"/>
      <c r="AT51" s="3931"/>
      <c r="AU51" s="5949"/>
      <c r="AV51" s="5950"/>
      <c r="AW51" s="5951"/>
      <c r="AX51" s="3935"/>
      <c r="AY51" s="5952"/>
      <c r="AZ51" s="3937"/>
      <c r="BA51" s="5953"/>
      <c r="BB51" s="3939"/>
      <c r="BC51" s="5954"/>
      <c r="BD51" s="5955"/>
      <c r="BE51" s="5956"/>
      <c r="BF51" s="3943"/>
      <c r="BG51" s="5957"/>
      <c r="BH51" s="3945"/>
      <c r="BI51" s="6091"/>
      <c r="BJ51" s="3947"/>
      <c r="BK51" s="5958"/>
      <c r="BL51" s="5959"/>
      <c r="BM51" s="5960"/>
      <c r="BN51" s="3951"/>
      <c r="BO51" s="5961"/>
      <c r="BP51" s="3953"/>
      <c r="BQ51" s="5962"/>
      <c r="BR51" s="3955"/>
      <c r="BS51" s="5963"/>
      <c r="BT51" s="5964"/>
      <c r="BU51" s="5965"/>
      <c r="BV51" s="3959"/>
      <c r="BW51" s="5966"/>
      <c r="BX51" s="3961"/>
      <c r="BY51" s="5967"/>
      <c r="BZ51" s="3963"/>
      <c r="CA51" s="5968"/>
      <c r="CB51" s="5969"/>
      <c r="CC51" s="5970"/>
      <c r="CD51" s="3967"/>
      <c r="CE51" s="5971"/>
      <c r="CF51" s="3969"/>
      <c r="CG51" s="5972"/>
      <c r="CH51" s="3971"/>
      <c r="CI51" s="5973"/>
      <c r="CJ51" s="5974"/>
      <c r="CK51" s="5975"/>
      <c r="CL51" s="3975"/>
      <c r="CM51" s="5976"/>
      <c r="CN51" s="3977"/>
      <c r="CO51" s="5977"/>
      <c r="CP51" s="3979"/>
      <c r="CQ51" s="5978"/>
      <c r="CR51" s="5979"/>
      <c r="CS51" s="5980"/>
      <c r="CT51" s="3983"/>
      <c r="CU51" s="5981"/>
      <c r="CV51" s="3985"/>
      <c r="CW51" s="5982"/>
      <c r="CX51" s="3987"/>
      <c r="CY51" s="5983"/>
      <c r="CZ51" s="5984"/>
      <c r="DA51" s="5985"/>
      <c r="DB51" s="3991"/>
      <c r="DC51" s="5986"/>
      <c r="DD51" s="3993"/>
      <c r="DE51" s="5987"/>
      <c r="DF51" s="390"/>
      <c r="DG51" s="2321"/>
      <c r="DI51" s="566"/>
      <c r="DJ51" s="566" t="str">
        <f>IF(T51="","",T51)</f>
        <v>Добавить вид теплоносителя (параметры теплоносителя)</v>
      </c>
      <c r="DK51" s="566"/>
      <c r="DL51" s="566"/>
      <c r="DM51" s="1221">
        <v>11</v>
      </c>
    </row>
    <row customHeight="1" ht="11.549999999999999">
      <c r="A52" s="1429" t="s">
        <v>169</v>
      </c>
      <c r="B52" s="1429" t="s">
        <v>170</v>
      </c>
      <c r="C52" s="1429" t="s">
        <v>171</v>
      </c>
      <c r="D52" s="1429" t="s">
        <v>172</v>
      </c>
      <c r="E52" s="2325"/>
      <c r="F52" s="2325"/>
      <c r="G52" s="2325"/>
      <c r="H52" s="2325"/>
      <c r="I52" s="2322"/>
      <c r="J52" s="1429"/>
      <c r="K52" s="1429"/>
      <c r="L52" s="1430"/>
      <c r="P52" s="2323"/>
      <c r="Q52" s="1397"/>
      <c r="R52" s="422"/>
      <c r="S52" s="1344"/>
      <c r="T52" s="353" t="s">
        <v>421</v>
      </c>
      <c r="U52" s="433"/>
      <c r="V52" s="433"/>
      <c r="W52" s="433"/>
      <c r="X52" s="433"/>
      <c r="Y52" s="433"/>
      <c r="Z52" s="433"/>
      <c r="AA52" s="433"/>
      <c r="AB52" s="433"/>
      <c r="AC52" s="432"/>
      <c r="AD52" s="433"/>
      <c r="AE52" s="433"/>
      <c r="AF52" s="433"/>
      <c r="AG52" s="433"/>
      <c r="AH52" s="433"/>
      <c r="AI52" s="433"/>
      <c r="AJ52" s="433"/>
      <c r="AK52" s="432"/>
      <c r="AL52" s="6092"/>
      <c r="AM52" s="5988"/>
      <c r="AN52" s="5989"/>
      <c r="AO52" s="5990"/>
      <c r="AP52" s="3999"/>
      <c r="AQ52" s="5991"/>
      <c r="AR52" s="4001"/>
      <c r="AS52" s="5992"/>
      <c r="AT52" s="4003"/>
      <c r="AU52" s="5993"/>
      <c r="AV52" s="5994"/>
      <c r="AW52" s="5995"/>
      <c r="AX52" s="4007"/>
      <c r="AY52" s="5996"/>
      <c r="AZ52" s="4009"/>
      <c r="BA52" s="5997"/>
      <c r="BB52" s="4011"/>
      <c r="BC52" s="5998"/>
      <c r="BD52" s="5999"/>
      <c r="BE52" s="6000"/>
      <c r="BF52" s="4015"/>
      <c r="BG52" s="6001"/>
      <c r="BH52" s="4017"/>
      <c r="BI52" s="6093"/>
      <c r="BJ52" s="4019"/>
      <c r="BK52" s="6002"/>
      <c r="BL52" s="6003"/>
      <c r="BM52" s="6004"/>
      <c r="BN52" s="4023"/>
      <c r="BO52" s="6005"/>
      <c r="BP52" s="4025"/>
      <c r="BQ52" s="6006"/>
      <c r="BR52" s="4027"/>
      <c r="BS52" s="6007"/>
      <c r="BT52" s="6008"/>
      <c r="BU52" s="6009"/>
      <c r="BV52" s="4031"/>
      <c r="BW52" s="6010"/>
      <c r="BX52" s="4033"/>
      <c r="BY52" s="6011"/>
      <c r="BZ52" s="4035"/>
      <c r="CA52" s="6012"/>
      <c r="CB52" s="6013"/>
      <c r="CC52" s="6014"/>
      <c r="CD52" s="4039"/>
      <c r="CE52" s="6015"/>
      <c r="CF52" s="4041"/>
      <c r="CG52" s="6016"/>
      <c r="CH52" s="4043"/>
      <c r="CI52" s="6017"/>
      <c r="CJ52" s="6018"/>
      <c r="CK52" s="6019"/>
      <c r="CL52" s="4047"/>
      <c r="CM52" s="6020"/>
      <c r="CN52" s="4049"/>
      <c r="CO52" s="6021"/>
      <c r="CP52" s="4051"/>
      <c r="CQ52" s="6022"/>
      <c r="CR52" s="6023"/>
      <c r="CS52" s="6024"/>
      <c r="CT52" s="4055"/>
      <c r="CU52" s="6025"/>
      <c r="CV52" s="4057"/>
      <c r="CW52" s="6026"/>
      <c r="CX52" s="4059"/>
      <c r="CY52" s="6027"/>
      <c r="CZ52" s="6028"/>
      <c r="DA52" s="6029"/>
      <c r="DB52" s="4063"/>
      <c r="DC52" s="6030"/>
      <c r="DD52" s="4065"/>
      <c r="DE52" s="6031"/>
      <c r="DF52" s="433"/>
      <c r="DG52" s="369"/>
      <c r="DI52" s="566"/>
      <c r="DJ52" s="566" t="str">
        <f>IF(T52="","",T52)</f>
        <v>Добавить группу потребителей</v>
      </c>
      <c r="DK52" s="566"/>
      <c r="DL52" s="566"/>
      <c r="DM52" s="1221">
        <v>11</v>
      </c>
    </row>
    <row customHeight="1" ht="14.699999999999998">
      <c r="A53" s="1429" t="s">
        <v>169</v>
      </c>
      <c r="B53" s="1429" t="s">
        <v>170</v>
      </c>
      <c r="C53" s="1429" t="s">
        <v>171</v>
      </c>
      <c r="D53" s="1429" t="s">
        <v>172</v>
      </c>
      <c r="E53" s="2325"/>
      <c r="F53" s="2325"/>
      <c r="G53" s="2325"/>
      <c r="H53" s="2324"/>
      <c r="I53" s="1429"/>
      <c r="J53" s="1429"/>
      <c r="K53" s="1429"/>
      <c r="L53" s="1430"/>
      <c r="M53" s="1431"/>
      <c r="N53" s="1431"/>
      <c r="O53" s="603"/>
      <c r="P53" s="426"/>
      <c r="Q53" s="441"/>
      <c r="R53" s="421"/>
      <c r="S53" s="1344"/>
      <c r="T53" s="431" t="s">
        <v>422</v>
      </c>
      <c r="U53" s="433"/>
      <c r="V53" s="433"/>
      <c r="W53" s="433"/>
      <c r="X53" s="433"/>
      <c r="Y53" s="433"/>
      <c r="Z53" s="433"/>
      <c r="AA53" s="433"/>
      <c r="AB53" s="433"/>
      <c r="AC53" s="432"/>
      <c r="AD53" s="433"/>
      <c r="AE53" s="433"/>
      <c r="AF53" s="433"/>
      <c r="AG53" s="433"/>
      <c r="AH53" s="433"/>
      <c r="AI53" s="433"/>
      <c r="AJ53" s="433"/>
      <c r="AK53" s="432"/>
      <c r="AL53" s="6094"/>
      <c r="AM53" s="6032"/>
      <c r="AN53" s="6033"/>
      <c r="AO53" s="6034"/>
      <c r="AP53" s="4071"/>
      <c r="AQ53" s="6035"/>
      <c r="AR53" s="4073"/>
      <c r="AS53" s="6036"/>
      <c r="AT53" s="4075"/>
      <c r="AU53" s="6037"/>
      <c r="AV53" s="6038"/>
      <c r="AW53" s="6039"/>
      <c r="AX53" s="4079"/>
      <c r="AY53" s="6040"/>
      <c r="AZ53" s="4081"/>
      <c r="BA53" s="6041"/>
      <c r="BB53" s="4083"/>
      <c r="BC53" s="6042"/>
      <c r="BD53" s="6043"/>
      <c r="BE53" s="6044"/>
      <c r="BF53" s="4087"/>
      <c r="BG53" s="6045"/>
      <c r="BH53" s="4089"/>
      <c r="BI53" s="6095"/>
      <c r="BJ53" s="4091"/>
      <c r="BK53" s="6046"/>
      <c r="BL53" s="6047"/>
      <c r="BM53" s="6048"/>
      <c r="BN53" s="4095"/>
      <c r="BO53" s="6049"/>
      <c r="BP53" s="4097"/>
      <c r="BQ53" s="6050"/>
      <c r="BR53" s="4099"/>
      <c r="BS53" s="6051"/>
      <c r="BT53" s="6052"/>
      <c r="BU53" s="6053"/>
      <c r="BV53" s="4103"/>
      <c r="BW53" s="6054"/>
      <c r="BX53" s="4105"/>
      <c r="BY53" s="6055"/>
      <c r="BZ53" s="4107"/>
      <c r="CA53" s="6056"/>
      <c r="CB53" s="6057"/>
      <c r="CC53" s="6058"/>
      <c r="CD53" s="4111"/>
      <c r="CE53" s="6059"/>
      <c r="CF53" s="4113"/>
      <c r="CG53" s="6060"/>
      <c r="CH53" s="4115"/>
      <c r="CI53" s="6061"/>
      <c r="CJ53" s="6062"/>
      <c r="CK53" s="6063"/>
      <c r="CL53" s="4119"/>
      <c r="CM53" s="6064"/>
      <c r="CN53" s="4121"/>
      <c r="CO53" s="6065"/>
      <c r="CP53" s="4123"/>
      <c r="CQ53" s="6066"/>
      <c r="CR53" s="6067"/>
      <c r="CS53" s="6068"/>
      <c r="CT53" s="4127"/>
      <c r="CU53" s="6069"/>
      <c r="CV53" s="4129"/>
      <c r="CW53" s="6070"/>
      <c r="CX53" s="4131"/>
      <c r="CY53" s="6071"/>
      <c r="CZ53" s="6072"/>
      <c r="DA53" s="6073"/>
      <c r="DB53" s="4135"/>
      <c r="DC53" s="6074"/>
      <c r="DD53" s="4137"/>
      <c r="DE53" s="6075"/>
      <c r="DF53" s="433"/>
      <c r="DG53" s="369"/>
      <c r="DI53" s="566"/>
      <c r="DJ53" s="566" t="str">
        <f>IF(T53="","",T53)</f>
        <v>Добавить схему подключения</v>
      </c>
      <c r="DK53" s="566"/>
      <c r="DL53" s="566"/>
      <c r="DM53" s="1221">
        <v>14</v>
      </c>
    </row>
    <row s="4562" customFormat="1" customHeight="1" ht="1.05">
      <c r="A54" s="1409" t="s">
        <v>169</v>
      </c>
      <c r="B54" s="1409" t="s">
        <v>170</v>
      </c>
      <c r="C54" s="1409" t="s">
        <v>171</v>
      </c>
      <c r="D54" s="1380"/>
      <c r="E54" s="2325"/>
      <c r="F54" s="2325"/>
      <c r="G54" s="2324"/>
      <c r="H54" s="1380"/>
      <c r="I54" s="1380"/>
      <c r="J54" s="1380"/>
      <c r="K54" s="1380"/>
      <c r="L54" s="1405"/>
      <c r="M54" s="1381"/>
      <c r="N54" s="1381"/>
      <c r="P54" s="1382"/>
      <c r="Q54" s="1383"/>
      <c r="R54" s="1382"/>
      <c r="S54" s="1388"/>
      <c r="T54" s="1391" t="s">
        <v>173</v>
      </c>
      <c r="U54" s="1390"/>
      <c r="V54" s="1390"/>
      <c r="W54" s="1390"/>
      <c r="X54" s="1390"/>
      <c r="Y54" s="1390"/>
      <c r="Z54" s="1390"/>
      <c r="AA54" s="1390"/>
      <c r="AB54" s="1390"/>
      <c r="AC54" s="1390"/>
      <c r="AD54" s="1390"/>
      <c r="AE54" s="1390"/>
      <c r="AF54" s="1390"/>
      <c r="AG54" s="1390"/>
      <c r="AH54" s="1390"/>
      <c r="AI54" s="1390"/>
      <c r="AJ54" s="1390"/>
      <c r="AK54" s="1390"/>
      <c r="AL54" s="3890"/>
      <c r="AM54" s="5921"/>
      <c r="AN54" s="5921"/>
      <c r="AO54" s="5921"/>
      <c r="AP54" s="3890"/>
      <c r="AQ54" s="5921"/>
      <c r="AR54" s="3890"/>
      <c r="AS54" s="5921"/>
      <c r="AT54" s="3890"/>
      <c r="AU54" s="5921"/>
      <c r="AV54" s="5921"/>
      <c r="AW54" s="5921"/>
      <c r="AX54" s="3890"/>
      <c r="AY54" s="5921"/>
      <c r="AZ54" s="3890"/>
      <c r="BA54" s="5921"/>
      <c r="BB54" s="3890"/>
      <c r="BC54" s="5921"/>
      <c r="BD54" s="5921"/>
      <c r="BE54" s="5921"/>
      <c r="BF54" s="3890"/>
      <c r="BG54" s="5921"/>
      <c r="BH54" s="3890"/>
      <c r="BI54" s="3890"/>
      <c r="BJ54" s="3890"/>
      <c r="BK54" s="5921"/>
      <c r="BL54" s="5921"/>
      <c r="BM54" s="5921"/>
      <c r="BN54" s="3890"/>
      <c r="BO54" s="5921"/>
      <c r="BP54" s="3890"/>
      <c r="BQ54" s="5921"/>
      <c r="BR54" s="3890"/>
      <c r="BS54" s="5921"/>
      <c r="BT54" s="5921"/>
      <c r="BU54" s="5921"/>
      <c r="BV54" s="3890"/>
      <c r="BW54" s="5921"/>
      <c r="BX54" s="3890"/>
      <c r="BY54" s="5921"/>
      <c r="BZ54" s="3890"/>
      <c r="CA54" s="5921"/>
      <c r="CB54" s="5921"/>
      <c r="CC54" s="5921"/>
      <c r="CD54" s="3890"/>
      <c r="CE54" s="5921"/>
      <c r="CF54" s="3890"/>
      <c r="CG54" s="5921"/>
      <c r="CH54" s="3890"/>
      <c r="CI54" s="5921"/>
      <c r="CJ54" s="5921"/>
      <c r="CK54" s="5921"/>
      <c r="CL54" s="3890"/>
      <c r="CM54" s="5921"/>
      <c r="CN54" s="3890"/>
      <c r="CO54" s="5921"/>
      <c r="CP54" s="3890"/>
      <c r="CQ54" s="5921"/>
      <c r="CR54" s="5921"/>
      <c r="CS54" s="5921"/>
      <c r="CT54" s="3890"/>
      <c r="CU54" s="5921"/>
      <c r="CV54" s="3890"/>
      <c r="CW54" s="5921"/>
      <c r="CX54" s="3890"/>
      <c r="CY54" s="5921"/>
      <c r="CZ54" s="5921"/>
      <c r="DA54" s="5921"/>
      <c r="DB54" s="3890"/>
      <c r="DC54" s="5921"/>
      <c r="DD54" s="3890"/>
      <c r="DE54" s="5921"/>
      <c r="DF54" s="1390"/>
      <c r="DG54" s="1390"/>
      <c r="DI54" s="855"/>
      <c r="DJ54" s="855" t="str">
        <f>IF(T54="","",T54)</f>
        <v>Добавить источник для дифференциации</v>
      </c>
      <c r="DK54" s="855"/>
      <c r="DL54" s="855"/>
      <c r="DM54" s="584">
        <v>1</v>
      </c>
    </row>
    <row s="4562" customFormat="1" customHeight="1" ht="1.05">
      <c r="A55" s="1409" t="s">
        <v>169</v>
      </c>
      <c r="B55" s="1409" t="s">
        <v>170</v>
      </c>
      <c r="C55" s="1380"/>
      <c r="D55" s="1380"/>
      <c r="E55" s="2325"/>
      <c r="F55" s="2324"/>
      <c r="G55" s="1380"/>
      <c r="H55" s="1380"/>
      <c r="I55" s="1380"/>
      <c r="J55" s="1380"/>
      <c r="K55" s="1380"/>
      <c r="L55" s="1405"/>
      <c r="M55" s="1387"/>
      <c r="N55" s="1387"/>
      <c r="P55" s="1382"/>
      <c r="Q55" s="1383"/>
      <c r="R55" s="1382"/>
      <c r="S55" s="1388"/>
      <c r="T55" s="1391" t="s">
        <v>174</v>
      </c>
      <c r="U55" s="1390"/>
      <c r="V55" s="1390"/>
      <c r="W55" s="1390"/>
      <c r="X55" s="1390"/>
      <c r="Y55" s="1390"/>
      <c r="Z55" s="1390"/>
      <c r="AA55" s="1390"/>
      <c r="AB55" s="1390"/>
      <c r="AC55" s="1390"/>
      <c r="AD55" s="1390"/>
      <c r="AE55" s="1390"/>
      <c r="AF55" s="1390"/>
      <c r="AG55" s="1390"/>
      <c r="AH55" s="1390"/>
      <c r="AI55" s="1390"/>
      <c r="AJ55" s="1390"/>
      <c r="AK55" s="1390"/>
      <c r="AL55" s="3890"/>
      <c r="AM55" s="5921"/>
      <c r="AN55" s="5921"/>
      <c r="AO55" s="5921"/>
      <c r="AP55" s="3890"/>
      <c r="AQ55" s="5921"/>
      <c r="AR55" s="3890"/>
      <c r="AS55" s="5921"/>
      <c r="AT55" s="3890"/>
      <c r="AU55" s="5921"/>
      <c r="AV55" s="5921"/>
      <c r="AW55" s="5921"/>
      <c r="AX55" s="3890"/>
      <c r="AY55" s="5921"/>
      <c r="AZ55" s="3890"/>
      <c r="BA55" s="5921"/>
      <c r="BB55" s="3890"/>
      <c r="BC55" s="5921"/>
      <c r="BD55" s="5921"/>
      <c r="BE55" s="5921"/>
      <c r="BF55" s="3890"/>
      <c r="BG55" s="5921"/>
      <c r="BH55" s="3890"/>
      <c r="BI55" s="3890"/>
      <c r="BJ55" s="3890"/>
      <c r="BK55" s="5921"/>
      <c r="BL55" s="5921"/>
      <c r="BM55" s="5921"/>
      <c r="BN55" s="3890"/>
      <c r="BO55" s="5921"/>
      <c r="BP55" s="3890"/>
      <c r="BQ55" s="5921"/>
      <c r="BR55" s="3890"/>
      <c r="BS55" s="5921"/>
      <c r="BT55" s="5921"/>
      <c r="BU55" s="5921"/>
      <c r="BV55" s="3890"/>
      <c r="BW55" s="5921"/>
      <c r="BX55" s="3890"/>
      <c r="BY55" s="5921"/>
      <c r="BZ55" s="3890"/>
      <c r="CA55" s="5921"/>
      <c r="CB55" s="5921"/>
      <c r="CC55" s="5921"/>
      <c r="CD55" s="3890"/>
      <c r="CE55" s="5921"/>
      <c r="CF55" s="3890"/>
      <c r="CG55" s="5921"/>
      <c r="CH55" s="3890"/>
      <c r="CI55" s="5921"/>
      <c r="CJ55" s="5921"/>
      <c r="CK55" s="5921"/>
      <c r="CL55" s="3890"/>
      <c r="CM55" s="5921"/>
      <c r="CN55" s="3890"/>
      <c r="CO55" s="5921"/>
      <c r="CP55" s="3890"/>
      <c r="CQ55" s="5921"/>
      <c r="CR55" s="5921"/>
      <c r="CS55" s="5921"/>
      <c r="CT55" s="3890"/>
      <c r="CU55" s="5921"/>
      <c r="CV55" s="3890"/>
      <c r="CW55" s="5921"/>
      <c r="CX55" s="3890"/>
      <c r="CY55" s="5921"/>
      <c r="CZ55" s="5921"/>
      <c r="DA55" s="5921"/>
      <c r="DB55" s="3890"/>
      <c r="DC55" s="5921"/>
      <c r="DD55" s="3890"/>
      <c r="DE55" s="5921"/>
      <c r="DF55" s="1390"/>
      <c r="DG55" s="1390"/>
      <c r="DI55" s="855"/>
      <c r="DJ55" s="855" t="str">
        <f>IF(T55="","",T55)</f>
        <v>Добавить централизованную систему для дифференциации</v>
      </c>
      <c r="DK55" s="855"/>
      <c r="DL55" s="855"/>
      <c r="DM55" s="584">
        <v>1</v>
      </c>
    </row>
    <row s="4562" customFormat="1" customHeight="1" ht="1.05">
      <c r="A56" s="1409" t="s">
        <v>169</v>
      </c>
      <c r="B56" s="1409"/>
      <c r="C56" s="1409"/>
      <c r="D56" s="1409"/>
      <c r="E56" s="2324"/>
      <c r="F56" s="1409"/>
      <c r="G56" s="1409"/>
      <c r="H56" s="1409"/>
      <c r="I56" s="1409"/>
      <c r="J56" s="1409"/>
      <c r="K56" s="1409"/>
      <c r="L56" s="1412"/>
      <c r="M56" s="1387"/>
      <c r="N56" s="1387"/>
      <c r="O56" s="584"/>
      <c r="P56" s="446"/>
      <c r="Q56" s="1410"/>
      <c r="R56" s="446"/>
      <c r="S56" s="1388"/>
      <c r="T56" s="1391" t="s">
        <v>175</v>
      </c>
      <c r="U56" s="1390"/>
      <c r="V56" s="1390"/>
      <c r="W56" s="1390"/>
      <c r="X56" s="1390"/>
      <c r="Y56" s="1390"/>
      <c r="Z56" s="1390"/>
      <c r="AA56" s="1390"/>
      <c r="AB56" s="1390"/>
      <c r="AC56" s="1390"/>
      <c r="AD56" s="1390"/>
      <c r="AE56" s="1390"/>
      <c r="AF56" s="1390"/>
      <c r="AG56" s="1390"/>
      <c r="AH56" s="1390"/>
      <c r="AI56" s="1390"/>
      <c r="AJ56" s="1390"/>
      <c r="AK56" s="1390"/>
      <c r="AL56" s="3890"/>
      <c r="AM56" s="5921"/>
      <c r="AN56" s="5921"/>
      <c r="AO56" s="5921"/>
      <c r="AP56" s="3890"/>
      <c r="AQ56" s="5921"/>
      <c r="AR56" s="3890"/>
      <c r="AS56" s="5921"/>
      <c r="AT56" s="3890"/>
      <c r="AU56" s="5921"/>
      <c r="AV56" s="5921"/>
      <c r="AW56" s="5921"/>
      <c r="AX56" s="3890"/>
      <c r="AY56" s="5921"/>
      <c r="AZ56" s="3890"/>
      <c r="BA56" s="5921"/>
      <c r="BB56" s="3890"/>
      <c r="BC56" s="5921"/>
      <c r="BD56" s="5921"/>
      <c r="BE56" s="5921"/>
      <c r="BF56" s="3890"/>
      <c r="BG56" s="5921"/>
      <c r="BH56" s="3890"/>
      <c r="BI56" s="3890"/>
      <c r="BJ56" s="3890"/>
      <c r="BK56" s="5921"/>
      <c r="BL56" s="5921"/>
      <c r="BM56" s="5921"/>
      <c r="BN56" s="3890"/>
      <c r="BO56" s="5921"/>
      <c r="BP56" s="3890"/>
      <c r="BQ56" s="5921"/>
      <c r="BR56" s="3890"/>
      <c r="BS56" s="5921"/>
      <c r="BT56" s="5921"/>
      <c r="BU56" s="5921"/>
      <c r="BV56" s="3890"/>
      <c r="BW56" s="5921"/>
      <c r="BX56" s="3890"/>
      <c r="BY56" s="5921"/>
      <c r="BZ56" s="3890"/>
      <c r="CA56" s="5921"/>
      <c r="CB56" s="5921"/>
      <c r="CC56" s="5921"/>
      <c r="CD56" s="3890"/>
      <c r="CE56" s="5921"/>
      <c r="CF56" s="3890"/>
      <c r="CG56" s="5921"/>
      <c r="CH56" s="3890"/>
      <c r="CI56" s="5921"/>
      <c r="CJ56" s="5921"/>
      <c r="CK56" s="5921"/>
      <c r="CL56" s="3890"/>
      <c r="CM56" s="5921"/>
      <c r="CN56" s="3890"/>
      <c r="CO56" s="5921"/>
      <c r="CP56" s="3890"/>
      <c r="CQ56" s="5921"/>
      <c r="CR56" s="5921"/>
      <c r="CS56" s="5921"/>
      <c r="CT56" s="3890"/>
      <c r="CU56" s="5921"/>
      <c r="CV56" s="3890"/>
      <c r="CW56" s="5921"/>
      <c r="CX56" s="3890"/>
      <c r="CY56" s="5921"/>
      <c r="CZ56" s="5921"/>
      <c r="DA56" s="5921"/>
      <c r="DB56" s="3890"/>
      <c r="DC56" s="5921"/>
      <c r="DD56" s="3890"/>
      <c r="DE56" s="5921"/>
      <c r="DF56" s="1390"/>
      <c r="DG56" s="1390"/>
      <c r="DI56" s="566"/>
      <c r="DJ56" s="566" t="str">
        <f>IF(T56="","",T56)</f>
        <v>Добавить территорию для дифференциации</v>
      </c>
      <c r="DK56" s="566"/>
      <c r="DL56" s="566"/>
      <c r="DM56" s="577">
        <v>1</v>
      </c>
    </row>
    <row s="4562"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176</v>
      </c>
      <c r="U57" s="1390"/>
      <c r="V57" s="1390"/>
      <c r="W57" s="1390"/>
      <c r="X57" s="1390"/>
      <c r="Y57" s="1390"/>
      <c r="Z57" s="1390"/>
      <c r="AA57" s="1390"/>
      <c r="AB57" s="1390"/>
      <c r="AC57" s="1390"/>
      <c r="AD57" s="1390"/>
      <c r="AE57" s="1390"/>
      <c r="AF57" s="1390"/>
      <c r="AG57" s="1390"/>
      <c r="AH57" s="1390"/>
      <c r="AI57" s="1390"/>
      <c r="AJ57" s="1390"/>
      <c r="AK57" s="1390"/>
      <c r="AL57" s="3890"/>
      <c r="AM57" s="5921"/>
      <c r="AN57" s="5921"/>
      <c r="AO57" s="5921"/>
      <c r="AP57" s="3890"/>
      <c r="AQ57" s="5921"/>
      <c r="AR57" s="3890"/>
      <c r="AS57" s="5921"/>
      <c r="AT57" s="3890"/>
      <c r="AU57" s="5921"/>
      <c r="AV57" s="5921"/>
      <c r="AW57" s="5921"/>
      <c r="AX57" s="3890"/>
      <c r="AY57" s="5921"/>
      <c r="AZ57" s="3890"/>
      <c r="BA57" s="5921"/>
      <c r="BB57" s="3890"/>
      <c r="BC57" s="5921"/>
      <c r="BD57" s="5921"/>
      <c r="BE57" s="5921"/>
      <c r="BF57" s="3890"/>
      <c r="BG57" s="5921"/>
      <c r="BH57" s="3890"/>
      <c r="BI57" s="3890"/>
      <c r="BJ57" s="3890"/>
      <c r="BK57" s="5921"/>
      <c r="BL57" s="5921"/>
      <c r="BM57" s="5921"/>
      <c r="BN57" s="3890"/>
      <c r="BO57" s="5921"/>
      <c r="BP57" s="3890"/>
      <c r="BQ57" s="5921"/>
      <c r="BR57" s="3890"/>
      <c r="BS57" s="5921"/>
      <c r="BT57" s="5921"/>
      <c r="BU57" s="5921"/>
      <c r="BV57" s="3890"/>
      <c r="BW57" s="5921"/>
      <c r="BX57" s="3890"/>
      <c r="BY57" s="5921"/>
      <c r="BZ57" s="3890"/>
      <c r="CA57" s="5921"/>
      <c r="CB57" s="5921"/>
      <c r="CC57" s="5921"/>
      <c r="CD57" s="3890"/>
      <c r="CE57" s="5921"/>
      <c r="CF57" s="3890"/>
      <c r="CG57" s="5921"/>
      <c r="CH57" s="3890"/>
      <c r="CI57" s="5921"/>
      <c r="CJ57" s="5921"/>
      <c r="CK57" s="5921"/>
      <c r="CL57" s="3890"/>
      <c r="CM57" s="5921"/>
      <c r="CN57" s="3890"/>
      <c r="CO57" s="5921"/>
      <c r="CP57" s="3890"/>
      <c r="CQ57" s="5921"/>
      <c r="CR57" s="5921"/>
      <c r="CS57" s="5921"/>
      <c r="CT57" s="3890"/>
      <c r="CU57" s="5921"/>
      <c r="CV57" s="3890"/>
      <c r="CW57" s="5921"/>
      <c r="CX57" s="3890"/>
      <c r="CY57" s="5921"/>
      <c r="CZ57" s="5921"/>
      <c r="DA57" s="5921"/>
      <c r="DB57" s="3890"/>
      <c r="DC57" s="5921"/>
      <c r="DD57" s="3890"/>
      <c r="DE57" s="5921"/>
      <c r="DF57" s="1390"/>
      <c r="DG57" s="1390"/>
      <c r="DI57" s="855"/>
      <c r="DJ57" s="855" t="str">
        <f>IF(T57="","",T57)</f>
        <v>Добавить наименование тарифа</v>
      </c>
      <c r="DK57" s="855"/>
      <c r="DL57" s="855"/>
      <c r="DM57" s="584">
        <v>1</v>
      </c>
    </row>
    <row customHeight="1" ht="11.549999999999999">
      <c r="M58" s="1226"/>
      <c r="N58" s="1226"/>
      <c r="O58" s="603"/>
      <c r="P58" s="1221"/>
      <c r="Q58" s="1221"/>
      <c r="R58" s="1221"/>
      <c r="S58" s="1221"/>
      <c r="AL58" s="5778"/>
      <c r="AM58" s="5778"/>
      <c r="AN58" s="5778"/>
      <c r="AO58" s="5778"/>
      <c r="AP58" s="3656"/>
      <c r="AQ58" s="5778"/>
      <c r="AR58" s="3656"/>
      <c r="AS58" s="5778"/>
      <c r="AT58" s="3656"/>
      <c r="AU58" s="5778"/>
      <c r="AV58" s="5778"/>
      <c r="AW58" s="5778"/>
      <c r="AX58" s="3656"/>
      <c r="AY58" s="5778"/>
      <c r="AZ58" s="3656"/>
      <c r="BA58" s="5778"/>
      <c r="BB58" s="3656"/>
      <c r="BC58" s="5778"/>
      <c r="BD58" s="5778"/>
      <c r="BE58" s="5778"/>
      <c r="BF58" s="3656"/>
      <c r="BG58" s="5778"/>
      <c r="BH58" s="3656"/>
      <c r="BI58" s="5778"/>
      <c r="BJ58" s="3656"/>
      <c r="BK58" s="5778"/>
      <c r="BL58" s="5778"/>
      <c r="BM58" s="5778"/>
      <c r="BN58" s="3656"/>
      <c r="BO58" s="5778"/>
      <c r="BP58" s="3656"/>
      <c r="BQ58" s="5778"/>
      <c r="BR58" s="3656"/>
      <c r="BS58" s="5778"/>
      <c r="BT58" s="5778"/>
      <c r="BU58" s="5778"/>
      <c r="BV58" s="3656"/>
      <c r="BW58" s="5778"/>
      <c r="BX58" s="3656"/>
      <c r="BY58" s="5778"/>
      <c r="BZ58" s="3656"/>
      <c r="CA58" s="5778"/>
      <c r="CB58" s="5778"/>
      <c r="CC58" s="5778"/>
      <c r="CD58" s="3656"/>
      <c r="CE58" s="5778"/>
      <c r="CF58" s="3656"/>
      <c r="CG58" s="5778"/>
      <c r="CH58" s="3656"/>
      <c r="CI58" s="5778"/>
      <c r="CJ58" s="5778"/>
      <c r="CK58" s="5778"/>
      <c r="CL58" s="3656"/>
      <c r="CM58" s="5778"/>
      <c r="CN58" s="3656"/>
      <c r="CO58" s="5778"/>
      <c r="CP58" s="3656"/>
      <c r="CQ58" s="5778"/>
      <c r="CR58" s="5778"/>
      <c r="CS58" s="5778"/>
      <c r="CT58" s="3656"/>
      <c r="CU58" s="5778"/>
      <c r="CV58" s="3656"/>
      <c r="CW58" s="5778"/>
      <c r="CX58" s="3656"/>
      <c r="CY58" s="5778"/>
      <c r="CZ58" s="5778"/>
      <c r="DA58" s="5778"/>
      <c r="DB58" s="3656"/>
      <c r="DC58" s="5778"/>
      <c r="DD58" s="3656"/>
      <c r="DE58" s="5778"/>
      <c r="DH58" s="1221"/>
      <c r="DI58" s="1221"/>
      <c r="DJ58" s="1221"/>
      <c r="DK58" s="1221"/>
      <c r="DL58" s="1221"/>
      <c r="DM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6076"/>
      <c r="AM59" s="6076"/>
      <c r="AN59" s="6076"/>
      <c r="AO59" s="6076"/>
      <c r="AP59" s="4139"/>
      <c r="AQ59" s="6076"/>
      <c r="AR59" s="4139"/>
      <c r="AS59" s="6076"/>
      <c r="AT59" s="4139"/>
      <c r="AU59" s="6076"/>
      <c r="AV59" s="6076"/>
      <c r="AW59" s="6076"/>
      <c r="AX59" s="4139"/>
      <c r="AY59" s="6076"/>
      <c r="AZ59" s="4139"/>
      <c r="BA59" s="6076"/>
      <c r="BB59" s="4139"/>
      <c r="BC59" s="6076"/>
      <c r="BD59" s="6076"/>
      <c r="BE59" s="6076"/>
      <c r="BF59" s="4139"/>
      <c r="BG59" s="6076"/>
      <c r="BH59" s="4139"/>
      <c r="BI59" s="6076"/>
      <c r="BJ59" s="4139"/>
      <c r="BK59" s="6076"/>
      <c r="BL59" s="6076"/>
      <c r="BM59" s="6076"/>
      <c r="BN59" s="4139"/>
      <c r="BO59" s="6076"/>
      <c r="BP59" s="4139"/>
      <c r="BQ59" s="6076"/>
      <c r="BR59" s="4139"/>
      <c r="BS59" s="6076"/>
      <c r="BT59" s="6076"/>
      <c r="BU59" s="6076"/>
      <c r="BV59" s="4139"/>
      <c r="BW59" s="6076"/>
      <c r="BX59" s="4139"/>
      <c r="BY59" s="6076"/>
      <c r="BZ59" s="4139"/>
      <c r="CA59" s="6076"/>
      <c r="CB59" s="6076"/>
      <c r="CC59" s="6076"/>
      <c r="CD59" s="4139"/>
      <c r="CE59" s="6076"/>
      <c r="CF59" s="4139"/>
      <c r="CG59" s="6076"/>
      <c r="CH59" s="4139"/>
      <c r="CI59" s="6076"/>
      <c r="CJ59" s="6076"/>
      <c r="CK59" s="6076"/>
      <c r="CL59" s="4139"/>
      <c r="CM59" s="6076"/>
      <c r="CN59" s="4139"/>
      <c r="CO59" s="6076"/>
      <c r="CP59" s="4139"/>
      <c r="CQ59" s="6076"/>
      <c r="CR59" s="6076"/>
      <c r="CS59" s="6076"/>
      <c r="CT59" s="4139"/>
      <c r="CU59" s="6076"/>
      <c r="CV59" s="4139"/>
      <c r="CW59" s="6076"/>
      <c r="CX59" s="4139"/>
      <c r="CY59" s="6076"/>
      <c r="CZ59" s="6076"/>
      <c r="DA59" s="6076"/>
      <c r="DB59" s="4139"/>
      <c r="DC59" s="6076"/>
      <c r="DD59" s="4139"/>
      <c r="DE59" s="6076"/>
      <c r="DF59" s="2351"/>
      <c r="DG59" s="2351"/>
      <c r="DM59" s="1221">
        <v>27</v>
      </c>
    </row>
    <row customHeight="1" ht="65.25">
      <c r="O60" s="603"/>
      <c r="T60" s="2351"/>
      <c r="U60" s="2351"/>
      <c r="V60" s="2351"/>
      <c r="W60" s="2351"/>
      <c r="X60" s="2351"/>
      <c r="Y60" s="2351"/>
      <c r="Z60" s="2351"/>
      <c r="AA60" s="2351"/>
      <c r="AB60" s="2351"/>
      <c r="AC60" s="2351"/>
      <c r="AD60" s="2351"/>
      <c r="AE60" s="2351"/>
      <c r="AF60" s="2351"/>
      <c r="AG60" s="2351"/>
      <c r="AH60" s="2351"/>
      <c r="AI60" s="2351"/>
      <c r="AJ60" s="2351"/>
      <c r="AK60" s="2351"/>
      <c r="AL60" s="6076"/>
      <c r="AM60" s="6076"/>
      <c r="AN60" s="6076"/>
      <c r="AO60" s="6076"/>
      <c r="AP60" s="4139"/>
      <c r="AQ60" s="6076"/>
      <c r="AR60" s="4139"/>
      <c r="AS60" s="6076"/>
      <c r="AT60" s="4139"/>
      <c r="AU60" s="6076"/>
      <c r="AV60" s="6076"/>
      <c r="AW60" s="6076"/>
      <c r="AX60" s="4139"/>
      <c r="AY60" s="6076"/>
      <c r="AZ60" s="4139"/>
      <c r="BA60" s="6076"/>
      <c r="BB60" s="4139"/>
      <c r="BC60" s="6076"/>
      <c r="BD60" s="6076"/>
      <c r="BE60" s="6076"/>
      <c r="BF60" s="4139"/>
      <c r="BG60" s="6076"/>
      <c r="BH60" s="4139"/>
      <c r="BI60" s="6076"/>
      <c r="BJ60" s="4139"/>
      <c r="BK60" s="6076"/>
      <c r="BL60" s="6076"/>
      <c r="BM60" s="6076"/>
      <c r="BN60" s="4139"/>
      <c r="BO60" s="6076"/>
      <c r="BP60" s="4139"/>
      <c r="BQ60" s="6076"/>
      <c r="BR60" s="4139"/>
      <c r="BS60" s="6076"/>
      <c r="BT60" s="6076"/>
      <c r="BU60" s="6076"/>
      <c r="BV60" s="4139"/>
      <c r="BW60" s="6076"/>
      <c r="BX60" s="4139"/>
      <c r="BY60" s="6076"/>
      <c r="BZ60" s="4139"/>
      <c r="CA60" s="6076"/>
      <c r="CB60" s="6076"/>
      <c r="CC60" s="6076"/>
      <c r="CD60" s="4139"/>
      <c r="CE60" s="6076"/>
      <c r="CF60" s="4139"/>
      <c r="CG60" s="6076"/>
      <c r="CH60" s="4139"/>
      <c r="CI60" s="6076"/>
      <c r="CJ60" s="6076"/>
      <c r="CK60" s="6076"/>
      <c r="CL60" s="4139"/>
      <c r="CM60" s="6076"/>
      <c r="CN60" s="4139"/>
      <c r="CO60" s="6076"/>
      <c r="CP60" s="4139"/>
      <c r="CQ60" s="6076"/>
      <c r="CR60" s="6076"/>
      <c r="CS60" s="6076"/>
      <c r="CT60" s="4139"/>
      <c r="CU60" s="6076"/>
      <c r="CV60" s="4139"/>
      <c r="CW60" s="6076"/>
      <c r="CX60" s="4139"/>
      <c r="CY60" s="6076"/>
      <c r="CZ60" s="6076"/>
      <c r="DA60" s="6076"/>
      <c r="DB60" s="4139"/>
      <c r="DC60" s="6076"/>
      <c r="DD60" s="4139"/>
      <c r="DE60" s="6076"/>
      <c r="DF60" s="2351"/>
      <c r="DG60" s="2351"/>
      <c r="DM60" s="1221">
        <v>62</v>
      </c>
    </row>
    <row customHeight="1" ht="14.699999999999998">
      <c r="O61" s="603"/>
      <c r="AL61" s="5778"/>
      <c r="AM61" s="5778"/>
      <c r="AN61" s="5778"/>
      <c r="AO61" s="5778"/>
      <c r="AP61" s="3656"/>
      <c r="AQ61" s="5778"/>
      <c r="AR61" s="3656"/>
      <c r="AS61" s="5778"/>
      <c r="AT61" s="3656"/>
      <c r="AU61" s="5778"/>
      <c r="AV61" s="5778"/>
      <c r="AW61" s="5778"/>
      <c r="AX61" s="3656"/>
      <c r="AY61" s="5778"/>
      <c r="AZ61" s="3656"/>
      <c r="BA61" s="5778"/>
      <c r="BB61" s="3656"/>
      <c r="BC61" s="5778"/>
      <c r="BD61" s="5778"/>
      <c r="BE61" s="5778"/>
      <c r="BF61" s="3656"/>
      <c r="BG61" s="5778"/>
      <c r="BH61" s="3656"/>
      <c r="BI61" s="5778"/>
      <c r="BJ61" s="3656"/>
      <c r="BK61" s="5778"/>
      <c r="BL61" s="5778"/>
      <c r="BM61" s="5778"/>
      <c r="BN61" s="3656"/>
      <c r="BO61" s="5778"/>
      <c r="BP61" s="3656"/>
      <c r="BQ61" s="5778"/>
      <c r="BR61" s="3656"/>
      <c r="BS61" s="5778"/>
      <c r="BT61" s="5778"/>
      <c r="BU61" s="5778"/>
      <c r="BV61" s="3656"/>
      <c r="BW61" s="5778"/>
      <c r="BX61" s="3656"/>
      <c r="BY61" s="5778"/>
      <c r="BZ61" s="3656"/>
      <c r="CA61" s="5778"/>
      <c r="CB61" s="5778"/>
      <c r="CC61" s="5778"/>
      <c r="CD61" s="3656"/>
      <c r="CE61" s="5778"/>
      <c r="CF61" s="3656"/>
      <c r="CG61" s="5778"/>
      <c r="CH61" s="3656"/>
      <c r="CI61" s="5778"/>
      <c r="CJ61" s="5778"/>
      <c r="CK61" s="5778"/>
      <c r="CL61" s="3656"/>
      <c r="CM61" s="5778"/>
      <c r="CN61" s="3656"/>
      <c r="CO61" s="5778"/>
      <c r="CP61" s="3656"/>
      <c r="CQ61" s="5778"/>
      <c r="CR61" s="5778"/>
      <c r="CS61" s="5778"/>
      <c r="CT61" s="3656"/>
      <c r="CU61" s="5778"/>
      <c r="CV61" s="3656"/>
      <c r="CW61" s="5778"/>
      <c r="CX61" s="3656"/>
      <c r="CY61" s="5778"/>
      <c r="CZ61" s="5778"/>
      <c r="DA61" s="5778"/>
      <c r="DB61" s="3656"/>
      <c r="DC61" s="5778"/>
      <c r="DD61" s="3656"/>
      <c r="DE61" s="5778"/>
      <c r="DM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6076"/>
      <c r="AM62" s="6076"/>
      <c r="AN62" s="6076"/>
      <c r="AO62" s="6076"/>
      <c r="AP62" s="4139"/>
      <c r="AQ62" s="6076"/>
      <c r="AR62" s="4139"/>
      <c r="AS62" s="6076"/>
      <c r="AT62" s="4139"/>
      <c r="AU62" s="6076"/>
      <c r="AV62" s="6076"/>
      <c r="AW62" s="6076"/>
      <c r="AX62" s="4139"/>
      <c r="AY62" s="6076"/>
      <c r="AZ62" s="4139"/>
      <c r="BA62" s="6076"/>
      <c r="BB62" s="4139"/>
      <c r="BC62" s="6076"/>
      <c r="BD62" s="6076"/>
      <c r="BE62" s="6076"/>
      <c r="BF62" s="4139"/>
      <c r="BG62" s="6076"/>
      <c r="BH62" s="4139"/>
      <c r="BI62" s="6076"/>
      <c r="BJ62" s="4139"/>
      <c r="BK62" s="6076"/>
      <c r="BL62" s="6076"/>
      <c r="BM62" s="6076"/>
      <c r="BN62" s="4139"/>
      <c r="BO62" s="6076"/>
      <c r="BP62" s="4139"/>
      <c r="BQ62" s="6076"/>
      <c r="BR62" s="4139"/>
      <c r="BS62" s="6076"/>
      <c r="BT62" s="6076"/>
      <c r="BU62" s="6076"/>
      <c r="BV62" s="4139"/>
      <c r="BW62" s="6076"/>
      <c r="BX62" s="4139"/>
      <c r="BY62" s="6076"/>
      <c r="BZ62" s="4139"/>
      <c r="CA62" s="6076"/>
      <c r="CB62" s="6076"/>
      <c r="CC62" s="6076"/>
      <c r="CD62" s="4139"/>
      <c r="CE62" s="6076"/>
      <c r="CF62" s="4139"/>
      <c r="CG62" s="6076"/>
      <c r="CH62" s="4139"/>
      <c r="CI62" s="6076"/>
      <c r="CJ62" s="6076"/>
      <c r="CK62" s="6076"/>
      <c r="CL62" s="4139"/>
      <c r="CM62" s="6076"/>
      <c r="CN62" s="4139"/>
      <c r="CO62" s="6076"/>
      <c r="CP62" s="4139"/>
      <c r="CQ62" s="6076"/>
      <c r="CR62" s="6076"/>
      <c r="CS62" s="6076"/>
      <c r="CT62" s="4139"/>
      <c r="CU62" s="6076"/>
      <c r="CV62" s="4139"/>
      <c r="CW62" s="6076"/>
      <c r="CX62" s="4139"/>
      <c r="CY62" s="6076"/>
      <c r="CZ62" s="6076"/>
      <c r="DA62" s="6076"/>
      <c r="DB62" s="4139"/>
      <c r="DC62" s="6076"/>
      <c r="DD62" s="4139"/>
      <c r="DE62" s="6076"/>
      <c r="DF62" s="2351"/>
      <c r="DG62" s="2351"/>
      <c r="DM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6076"/>
      <c r="AM63" s="6076"/>
      <c r="AN63" s="6076"/>
      <c r="AO63" s="6076"/>
      <c r="AP63" s="4139"/>
      <c r="AQ63" s="6076"/>
      <c r="AR63" s="4139"/>
      <c r="AS63" s="6076"/>
      <c r="AT63" s="4139"/>
      <c r="AU63" s="6076"/>
      <c r="AV63" s="6076"/>
      <c r="AW63" s="6076"/>
      <c r="AX63" s="4139"/>
      <c r="AY63" s="6076"/>
      <c r="AZ63" s="4139"/>
      <c r="BA63" s="6076"/>
      <c r="BB63" s="4139"/>
      <c r="BC63" s="6076"/>
      <c r="BD63" s="6076"/>
      <c r="BE63" s="6076"/>
      <c r="BF63" s="4139"/>
      <c r="BG63" s="6076"/>
      <c r="BH63" s="4139"/>
      <c r="BI63" s="6076"/>
      <c r="BJ63" s="4139"/>
      <c r="BK63" s="6076"/>
      <c r="BL63" s="6076"/>
      <c r="BM63" s="6076"/>
      <c r="BN63" s="4139"/>
      <c r="BO63" s="6076"/>
      <c r="BP63" s="4139"/>
      <c r="BQ63" s="6076"/>
      <c r="BR63" s="4139"/>
      <c r="BS63" s="6076"/>
      <c r="BT63" s="6076"/>
      <c r="BU63" s="6076"/>
      <c r="BV63" s="4139"/>
      <c r="BW63" s="6076"/>
      <c r="BX63" s="4139"/>
      <c r="BY63" s="6076"/>
      <c r="BZ63" s="4139"/>
      <c r="CA63" s="6076"/>
      <c r="CB63" s="6076"/>
      <c r="CC63" s="6076"/>
      <c r="CD63" s="4139"/>
      <c r="CE63" s="6076"/>
      <c r="CF63" s="4139"/>
      <c r="CG63" s="6076"/>
      <c r="CH63" s="4139"/>
      <c r="CI63" s="6076"/>
      <c r="CJ63" s="6076"/>
      <c r="CK63" s="6076"/>
      <c r="CL63" s="4139"/>
      <c r="CM63" s="6076"/>
      <c r="CN63" s="4139"/>
      <c r="CO63" s="6076"/>
      <c r="CP63" s="4139"/>
      <c r="CQ63" s="6076"/>
      <c r="CR63" s="6076"/>
      <c r="CS63" s="6076"/>
      <c r="CT63" s="4139"/>
      <c r="CU63" s="6076"/>
      <c r="CV63" s="4139"/>
      <c r="CW63" s="6076"/>
      <c r="CX63" s="4139"/>
      <c r="CY63" s="6076"/>
      <c r="CZ63" s="6076"/>
      <c r="DA63" s="6076"/>
      <c r="DB63" s="4139"/>
      <c r="DC63" s="6076"/>
      <c r="DD63" s="4139"/>
      <c r="DE63" s="6076"/>
      <c r="DF63" s="2351"/>
      <c r="DG63" s="2351"/>
      <c r="DM63" s="1221">
        <v>18</v>
      </c>
    </row>
    <row customHeight="1" ht="29.2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6076"/>
      <c r="AM64" s="6076"/>
      <c r="AN64" s="6076"/>
      <c r="AO64" s="6076"/>
      <c r="AP64" s="4139"/>
      <c r="AQ64" s="6076"/>
      <c r="AR64" s="4139"/>
      <c r="AS64" s="6076"/>
      <c r="AT64" s="4139"/>
      <c r="AU64" s="6076"/>
      <c r="AV64" s="6076"/>
      <c r="AW64" s="6076"/>
      <c r="AX64" s="4139"/>
      <c r="AY64" s="6076"/>
      <c r="AZ64" s="4139"/>
      <c r="BA64" s="6076"/>
      <c r="BB64" s="4139"/>
      <c r="BC64" s="6076"/>
      <c r="BD64" s="6076"/>
      <c r="BE64" s="6076"/>
      <c r="BF64" s="4139"/>
      <c r="BG64" s="6076"/>
      <c r="BH64" s="4139"/>
      <c r="BI64" s="6076"/>
      <c r="BJ64" s="4139"/>
      <c r="BK64" s="6076"/>
      <c r="BL64" s="6076"/>
      <c r="BM64" s="6076"/>
      <c r="BN64" s="4139"/>
      <c r="BO64" s="6076"/>
      <c r="BP64" s="4139"/>
      <c r="BQ64" s="6076"/>
      <c r="BR64" s="4139"/>
      <c r="BS64" s="6076"/>
      <c r="BT64" s="6076"/>
      <c r="BU64" s="6076"/>
      <c r="BV64" s="4139"/>
      <c r="BW64" s="6076"/>
      <c r="BX64" s="4139"/>
      <c r="BY64" s="6076"/>
      <c r="BZ64" s="4139"/>
      <c r="CA64" s="6076"/>
      <c r="CB64" s="6076"/>
      <c r="CC64" s="6076"/>
      <c r="CD64" s="4139"/>
      <c r="CE64" s="6076"/>
      <c r="CF64" s="4139"/>
      <c r="CG64" s="6076"/>
      <c r="CH64" s="4139"/>
      <c r="CI64" s="6076"/>
      <c r="CJ64" s="6076"/>
      <c r="CK64" s="6076"/>
      <c r="CL64" s="4139"/>
      <c r="CM64" s="6076"/>
      <c r="CN64" s="4139"/>
      <c r="CO64" s="6076"/>
      <c r="CP64" s="4139"/>
      <c r="CQ64" s="6076"/>
      <c r="CR64" s="6076"/>
      <c r="CS64" s="6076"/>
      <c r="CT64" s="4139"/>
      <c r="CU64" s="6076"/>
      <c r="CV64" s="4139"/>
      <c r="CW64" s="6076"/>
      <c r="CX64" s="4139"/>
      <c r="CY64" s="6076"/>
      <c r="CZ64" s="6076"/>
      <c r="DA64" s="6076"/>
      <c r="DB64" s="4139"/>
      <c r="DC64" s="6076"/>
      <c r="DD64" s="4139"/>
      <c r="DE64" s="6076"/>
      <c r="DF64" s="2351"/>
      <c r="DG64" s="2351"/>
      <c r="DM64" s="1221">
        <v>28</v>
      </c>
    </row>
    <row customHeight="1" ht="22.5" hidden="1">
      <c r="A65" s="1226" t="s">
        <v>87</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5778">
        <v>0</v>
      </c>
      <c r="AM65" s="5778">
        <v>0</v>
      </c>
      <c r="AN65" s="5778">
        <v>0</v>
      </c>
      <c r="AO65" s="5778">
        <v>0</v>
      </c>
      <c r="AP65" s="3656">
        <v>0</v>
      </c>
      <c r="AQ65" s="5778">
        <v>0</v>
      </c>
      <c r="AR65" s="3656">
        <v>0</v>
      </c>
      <c r="AS65" s="5778">
        <v>0</v>
      </c>
      <c r="AT65" s="3656">
        <v>0</v>
      </c>
      <c r="AU65" s="5778">
        <v>0</v>
      </c>
      <c r="AV65" s="5778">
        <v>0</v>
      </c>
      <c r="AW65" s="5778">
        <v>0</v>
      </c>
      <c r="AX65" s="3656">
        <v>0</v>
      </c>
      <c r="AY65" s="5778">
        <v>0</v>
      </c>
      <c r="AZ65" s="3656">
        <v>0</v>
      </c>
      <c r="BA65" s="5778">
        <v>0</v>
      </c>
      <c r="BB65" s="3656">
        <v>0</v>
      </c>
      <c r="BC65" s="5778">
        <v>0</v>
      </c>
      <c r="BD65" s="5778">
        <v>0</v>
      </c>
      <c r="BE65" s="5778">
        <v>0</v>
      </c>
      <c r="BF65" s="3656">
        <v>0</v>
      </c>
      <c r="BG65" s="5778">
        <v>0</v>
      </c>
      <c r="BH65" s="3656">
        <v>0</v>
      </c>
      <c r="BI65" s="5778">
        <v>0</v>
      </c>
      <c r="BJ65" s="3656">
        <v>0</v>
      </c>
      <c r="BK65" s="5778">
        <v>0</v>
      </c>
      <c r="BL65" s="5778">
        <v>0</v>
      </c>
      <c r="BM65" s="5778">
        <v>0</v>
      </c>
      <c r="BN65" s="3656">
        <v>0</v>
      </c>
      <c r="BO65" s="5778">
        <v>0</v>
      </c>
      <c r="BP65" s="3656">
        <v>0</v>
      </c>
      <c r="BQ65" s="5778">
        <v>0</v>
      </c>
      <c r="BR65" s="3656">
        <v>0</v>
      </c>
      <c r="BS65" s="5778">
        <v>0</v>
      </c>
      <c r="BT65" s="5778">
        <v>0</v>
      </c>
      <c r="BU65" s="5778">
        <v>0</v>
      </c>
      <c r="BV65" s="3656">
        <v>0</v>
      </c>
      <c r="BW65" s="5778">
        <v>0</v>
      </c>
      <c r="BX65" s="3656">
        <v>0</v>
      </c>
      <c r="BY65" s="5778">
        <v>0</v>
      </c>
      <c r="BZ65" s="3656">
        <v>0</v>
      </c>
      <c r="CA65" s="5778">
        <v>0</v>
      </c>
      <c r="CB65" s="5778">
        <v>0</v>
      </c>
      <c r="CC65" s="5778">
        <v>0</v>
      </c>
      <c r="CD65" s="3656">
        <v>0</v>
      </c>
      <c r="CE65" s="5778">
        <v>0</v>
      </c>
      <c r="CF65" s="3656">
        <v>0</v>
      </c>
      <c r="CG65" s="5778">
        <v>0</v>
      </c>
      <c r="CH65" s="3656">
        <v>0</v>
      </c>
      <c r="CI65" s="5778">
        <v>0</v>
      </c>
      <c r="CJ65" s="5778">
        <v>0</v>
      </c>
      <c r="CK65" s="5778">
        <v>0</v>
      </c>
      <c r="CL65" s="3656">
        <v>0</v>
      </c>
      <c r="CM65" s="5778">
        <v>0</v>
      </c>
      <c r="CN65" s="3656">
        <v>0</v>
      </c>
      <c r="CO65" s="5778">
        <v>0</v>
      </c>
      <c r="CP65" s="3656">
        <v>0</v>
      </c>
      <c r="CQ65" s="5778">
        <v>0</v>
      </c>
      <c r="CR65" s="5778">
        <v>0</v>
      </c>
      <c r="CS65" s="5778">
        <v>0</v>
      </c>
      <c r="CT65" s="3656">
        <v>0</v>
      </c>
      <c r="CU65" s="5778">
        <v>0</v>
      </c>
      <c r="CV65" s="3656">
        <v>0</v>
      </c>
      <c r="CW65" s="5778">
        <v>0</v>
      </c>
      <c r="CX65" s="3656">
        <v>0</v>
      </c>
      <c r="CY65" s="5778">
        <v>0</v>
      </c>
      <c r="CZ65" s="5778">
        <v>0</v>
      </c>
      <c r="DA65" s="5778">
        <v>0</v>
      </c>
      <c r="DB65" s="3656">
        <v>0</v>
      </c>
      <c r="DC65" s="5778">
        <v>0</v>
      </c>
      <c r="DD65" s="3656">
        <v>0</v>
      </c>
      <c r="DE65" s="5778">
        <v>0</v>
      </c>
      <c r="DF65" s="1221">
        <v>4</v>
      </c>
      <c r="DG65" s="1221">
        <v>115</v>
      </c>
      <c r="DH65" s="577">
        <v>10</v>
      </c>
      <c r="DI65" s="577">
        <v>10</v>
      </c>
      <c r="DJ65" s="577">
        <v>10</v>
      </c>
      <c r="DK65" s="577">
        <v>10</v>
      </c>
      <c r="DL65" s="577">
        <v>10</v>
      </c>
      <c r="DM65" s="1221">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45A3E-021A-2D0F-3859-92A7097C56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053" width="10.57421875" hidden="1"/>
    <col min="2" max="2" style="5053" width="11.00390625" hidden="1" customWidth="1"/>
    <col min="3" max="3" style="5053" width="10.57421875" hidden="1"/>
    <col min="4" max="4" style="5053" width="11.8515625" hidden="1" customWidth="1"/>
    <col min="5" max="5" style="5053" width="10.00390625" hidden="1" customWidth="1"/>
    <col min="6" max="6" style="5053" width="8.7109375" hidden="1" customWidth="1"/>
    <col min="7" max="7" style="5053" width="7.57421875" hidden="1" customWidth="1"/>
    <col min="8" max="8" style="5053" width="11.421875" hidden="1" customWidth="1"/>
    <col min="9" max="9" style="5053" width="12.00390625" hidden="1" customWidth="1"/>
    <col min="10" max="10" style="5053" width="9.8515625" hidden="1" customWidth="1"/>
    <col min="11" max="11" style="5053" width="11.421875" hidden="1" customWidth="1"/>
    <col min="12" max="12" style="5718" width="19.140625" hidden="1" customWidth="1"/>
    <col min="13" max="14" style="5737" width="12.28125" hidden="1" customWidth="1"/>
    <col min="15" max="15" style="5737" width="23.421875" hidden="1" customWidth="1"/>
    <col min="16" max="16" style="5737" width="3.00390625" customWidth="1"/>
    <col min="17" max="18" style="5023" width="3.00390625" customWidth="1"/>
    <col min="19" max="19" style="5711" width="12.00390625" customWidth="1"/>
    <col min="20" max="20" style="5053" width="31.00390625" customWidth="1"/>
    <col min="21" max="21" style="5053" width="0.140625" customWidth="1"/>
    <col min="22" max="22" style="5053" width="24.7109375" hidden="1" customWidth="1"/>
    <col min="23" max="23" style="5053" width="0.140625" hidden="1" customWidth="1"/>
    <col min="24" max="25" style="5053" width="24.7109375" hidden="1" customWidth="1"/>
    <col min="26" max="26" style="5053" width="11.7109375" hidden="1" customWidth="1"/>
    <col min="27" max="27" style="5053" width="3.7109375" hidden="1" customWidth="1"/>
    <col min="28" max="28" style="5053" width="11.7109375" hidden="1" customWidth="1"/>
    <col min="29" max="29" style="5053" width="8.57421875" hidden="1" customWidth="1"/>
    <col min="30" max="30" style="5053" width="24.7109375" customWidth="1"/>
    <col min="31" max="31" style="5053" width="0.140625" customWidth="1"/>
    <col min="32" max="33" style="5053" width="24.00390625" customWidth="1"/>
    <col min="34" max="34" style="5053" width="11.00390625" customWidth="1"/>
    <col min="35" max="35" style="5053" width="3.7109375" customWidth="1"/>
    <col min="36" max="36" style="5053" width="11.00390625" customWidth="1"/>
    <col min="37" max="37" style="5053" width="8.57421875" hidden="1" customWidth="1"/>
    <col min="38" max="38" style="5053" width="4.00390625" customWidth="1"/>
    <col min="39" max="39" style="5053" width="115.00390625" customWidth="1"/>
    <col min="40" max="44" style="4562" width="10.00390625" customWidth="1"/>
    <col min="45" max="45" style="5053"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128</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409</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411</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412</v>
      </c>
      <c r="M6" s="1701"/>
      <c r="P6" s="2323">
        <v>1</v>
      </c>
      <c r="Q6" s="2020"/>
      <c r="R6" s="422"/>
      <c r="S6" s="2024">
        <f>$I6</f>
      </c>
      <c r="T6" s="351" t="s">
        <v>413</v>
      </c>
      <c r="U6" s="366"/>
      <c r="V6" s="2311"/>
      <c r="W6" s="2312"/>
      <c r="X6" s="2312"/>
      <c r="Y6" s="2312"/>
      <c r="Z6" s="2312"/>
      <c r="AA6" s="2312"/>
      <c r="AB6" s="2312"/>
      <c r="AC6" s="2313"/>
      <c r="AD6" s="2311"/>
      <c r="AE6" s="2312"/>
      <c r="AF6" s="2312"/>
      <c r="AG6" s="2312"/>
      <c r="AH6" s="2312"/>
      <c r="AI6" s="2312"/>
      <c r="AJ6" s="2312"/>
      <c r="AK6" s="2312"/>
      <c r="AL6" s="2313"/>
      <c r="AM6" s="1324" t="s">
        <v>414</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415</v>
      </c>
      <c r="M7" s="1701"/>
      <c r="N7" s="1697"/>
      <c r="P7" s="2323"/>
      <c r="Q7" s="2323">
        <v>1</v>
      </c>
      <c r="R7" s="423"/>
      <c r="S7" s="2024">
        <f>$J7</f>
      </c>
      <c r="T7" s="352" t="s">
        <v>416</v>
      </c>
      <c r="U7" s="366"/>
      <c r="V7" s="2311"/>
      <c r="W7" s="2312"/>
      <c r="X7" s="2312"/>
      <c r="Y7" s="2312"/>
      <c r="Z7" s="2312"/>
      <c r="AA7" s="2312"/>
      <c r="AB7" s="2312"/>
      <c r="AC7" s="2313"/>
      <c r="AD7" s="2311"/>
      <c r="AE7" s="2312"/>
      <c r="AF7" s="2312"/>
      <c r="AG7" s="2312"/>
      <c r="AH7" s="2312"/>
      <c r="AI7" s="2312"/>
      <c r="AJ7" s="2312"/>
      <c r="AK7" s="2312"/>
      <c r="AL7" s="2313"/>
      <c r="AM7" s="1324" t="s">
        <v>417</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418</v>
      </c>
      <c r="M8" s="1701"/>
      <c r="N8" s="1697"/>
      <c r="O8" s="1697"/>
      <c r="P8" s="2323"/>
      <c r="Q8" s="2323"/>
      <c r="R8" s="423">
        <v>1</v>
      </c>
      <c r="S8" s="2024">
        <f>$K8</f>
      </c>
      <c r="T8" s="1413"/>
      <c r="U8" s="366"/>
      <c r="V8" s="817"/>
      <c r="W8" s="391"/>
      <c r="X8" s="817"/>
      <c r="Y8" s="1323"/>
      <c r="Z8" s="2331"/>
      <c r="AA8" s="2173" t="s">
        <v>71</v>
      </c>
      <c r="AB8" s="2331"/>
      <c r="AC8" s="2173" t="s">
        <v>71</v>
      </c>
      <c r="AD8" s="817"/>
      <c r="AE8" s="391"/>
      <c r="AF8" s="817"/>
      <c r="AG8" s="1323"/>
      <c r="AH8" s="2331"/>
      <c r="AI8" s="2173" t="s">
        <v>71</v>
      </c>
      <c r="AJ8" s="2331"/>
      <c r="AK8" s="2173" t="s">
        <v>71</v>
      </c>
      <c r="AL8" s="391"/>
      <c r="AM8" s="2319" t="s">
        <v>419</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420</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421</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422</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562" customFormat="1" customHeight="1" ht="0.75" hidden="1">
      <c r="A13" s="1440"/>
      <c r="B13" s="1440"/>
      <c r="C13" s="1440"/>
      <c r="D13" s="1440"/>
      <c r="E13" s="2356"/>
      <c r="F13" s="2356"/>
      <c r="G13" s="2355"/>
      <c r="H13" s="1440"/>
      <c r="I13" s="1440"/>
      <c r="J13" s="1440"/>
      <c r="K13" s="1440"/>
      <c r="L13" s="1443"/>
      <c r="M13" s="1444"/>
      <c r="N13" s="1444"/>
      <c r="O13" s="417"/>
      <c r="P13" s="1382"/>
      <c r="Q13" s="1383"/>
      <c r="R13" s="1382"/>
      <c r="S13" s="1384"/>
      <c r="T13" s="1385" t="s">
        <v>173</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562" customFormat="1" customHeight="1" ht="0.75" hidden="1">
      <c r="A14" s="1440"/>
      <c r="B14" s="1440"/>
      <c r="C14" s="1440"/>
      <c r="D14" s="1440"/>
      <c r="E14" s="2356"/>
      <c r="F14" s="2355"/>
      <c r="G14" s="1440"/>
      <c r="H14" s="1440"/>
      <c r="I14" s="1440"/>
      <c r="J14" s="1440"/>
      <c r="K14" s="1440"/>
      <c r="L14" s="1443"/>
      <c r="M14" s="1445"/>
      <c r="N14" s="1445"/>
      <c r="O14" s="417"/>
      <c r="P14" s="1382"/>
      <c r="Q14" s="1383"/>
      <c r="R14" s="1382"/>
      <c r="S14" s="1388"/>
      <c r="T14" s="1389" t="s">
        <v>174</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562" customFormat="1" customHeight="1" ht="0.75" hidden="1">
      <c r="A15" s="1440"/>
      <c r="B15" s="1440"/>
      <c r="C15" s="1440"/>
      <c r="D15" s="1440"/>
      <c r="E15" s="2355"/>
      <c r="F15" s="1440"/>
      <c r="G15" s="1440"/>
      <c r="H15" s="1440"/>
      <c r="I15" s="1440"/>
      <c r="J15" s="1440"/>
      <c r="K15" s="1440"/>
      <c r="L15" s="1443"/>
      <c r="M15" s="1445"/>
      <c r="N15" s="1445"/>
      <c r="O15" s="417"/>
      <c r="P15" s="1382"/>
      <c r="Q15" s="1383"/>
      <c r="R15" s="1382"/>
      <c r="S15" s="1388"/>
      <c r="T15" s="1391" t="s">
        <v>175</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71</v>
      </c>
      <c r="AJ17" s="2333"/>
      <c r="AK17" s="2334" t="s">
        <v>71</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5002" customFormat="1" customHeight="1" ht="14.25" hidden="1">
      <c r="A20" s="1697"/>
      <c r="B20" s="1697"/>
      <c r="C20" s="1697"/>
      <c r="D20" s="1697"/>
      <c r="E20" s="1697"/>
      <c r="F20" s="1697"/>
      <c r="G20" s="1697"/>
      <c r="H20" s="1697"/>
      <c r="I20" s="1697"/>
      <c r="J20" s="1697"/>
      <c r="K20" s="1697"/>
      <c r="L20" s="2005"/>
      <c r="M20" s="2031"/>
      <c r="N20" s="2031"/>
      <c r="O20" s="1411" t="s">
        <v>423</v>
      </c>
      <c r="P20" s="1428"/>
      <c r="Q20" s="1437"/>
      <c r="R20" s="1437"/>
      <c r="S20" s="795"/>
      <c r="Z20" s="1433"/>
      <c r="AB20" s="1433"/>
      <c r="AH20" s="1433"/>
      <c r="AJ20" s="1433"/>
      <c r="AN20" s="1702"/>
      <c r="AO20" s="1702"/>
      <c r="AP20" s="1702"/>
      <c r="AQ20" s="1702"/>
      <c r="AR20" s="1702"/>
      <c r="AS20" s="1432">
        <v>0</v>
      </c>
    </row>
    <row s="5002"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5002" customFormat="1" customHeight="1" ht="14.25" hidden="1">
      <c r="A22" s="1697"/>
      <c r="B22" s="1697"/>
      <c r="C22" s="1697"/>
      <c r="D22" s="1697"/>
      <c r="E22" s="1697"/>
      <c r="F22" s="1697"/>
      <c r="G22" s="1697"/>
      <c r="H22" s="1697"/>
      <c r="I22" s="1697"/>
      <c r="J22" s="1697"/>
      <c r="K22" s="1697"/>
      <c r="L22" s="2005"/>
      <c r="M22" s="2031"/>
      <c r="N22" s="2031"/>
      <c r="O22" s="1376" t="s">
        <v>424</v>
      </c>
      <c r="P22" s="1428"/>
      <c r="Q22" s="1437"/>
      <c r="R22" s="1437"/>
      <c r="S22" s="795"/>
      <c r="T22" s="1432" t="s">
        <v>425</v>
      </c>
      <c r="AA22" s="661" t="s">
        <v>426</v>
      </c>
      <c r="AC22" s="661" t="s">
        <v>427</v>
      </c>
      <c r="AD22" s="1432" t="s">
        <v>425</v>
      </c>
      <c r="AI22" s="661" t="s">
        <v>428</v>
      </c>
      <c r="AK22" s="661" t="s">
        <v>427</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597"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Департамент тарифной политики, энергетики и ЖКК ЯНАО </v>
      </c>
      <c r="W29" s="2317"/>
      <c r="X29" s="2317"/>
      <c r="Y29" s="2317"/>
      <c r="Z29" s="2317"/>
      <c r="AA29" s="2317"/>
      <c r="AB29" s="2317"/>
      <c r="AC29" s="1701"/>
      <c r="AD29" s="2317" t="str">
        <f>IF(TITLE_NAME_OR_PR_CHANGE="",IF(TITLE_NAME_OR_PR="","",TITLE_NAME_OR_PR),TITLE_NAME_OR_PR_CHANGE)</f>
        <v>Департамент тарифной политики, энергетики и ЖКК ЯНАО </v>
      </c>
      <c r="AE29" s="2317"/>
      <c r="AF29" s="2317"/>
      <c r="AG29" s="2317"/>
      <c r="AH29" s="2317"/>
      <c r="AI29" s="2317"/>
      <c r="AJ29" s="2317"/>
      <c r="AK29" s="1701"/>
      <c r="AL29" s="1701"/>
      <c r="AM29" s="346"/>
      <c r="AN29" s="434"/>
      <c r="AO29" s="434"/>
      <c r="AP29" s="434"/>
      <c r="AQ29" s="434"/>
      <c r="AR29" s="434"/>
      <c r="AS29" s="484">
        <v>0</v>
      </c>
    </row>
    <row s="5597" customFormat="1" customHeight="1" ht="18.75" hidden="1">
      <c r="A30" s="1314"/>
      <c r="B30" s="1314"/>
      <c r="C30" s="1314"/>
      <c r="D30" s="1314"/>
      <c r="E30" s="1314"/>
      <c r="F30" s="1314"/>
      <c r="G30" s="1314"/>
      <c r="H30" s="1314"/>
      <c r="I30" s="1314"/>
      <c r="J30" s="1314"/>
      <c r="K30" s="1314"/>
      <c r="L30" s="1446"/>
      <c r="M30" s="1314"/>
      <c r="N30" s="1314"/>
      <c r="O30" s="1314"/>
      <c r="S30" s="2316" t="s">
        <v>429</v>
      </c>
      <c r="T30" s="2316"/>
      <c r="U30" s="1438"/>
      <c r="V30" s="2330" t="str">
        <f>IF(TITLE_DATE_PR_CHANGE="",IF(TITLE_DATE_PR="","",TITLE_DATE_PR),TITLE_DATE_PR_CHANGE)</f>
        <v>45631.41619212963</v>
      </c>
      <c r="W30" s="2330"/>
      <c r="X30" s="2330"/>
      <c r="Y30" s="2330"/>
      <c r="Z30" s="2330"/>
      <c r="AA30" s="2330"/>
      <c r="AB30" s="2330"/>
      <c r="AC30" s="1701"/>
      <c r="AD30" s="2330" t="str">
        <f>IF(TITLE_DATE_PR_CHANGE="",IF(TITLE_DATE_PR="","",TITLE_DATE_PR),TITLE_DATE_PR_CHANGE)</f>
        <v>45631.41619212963</v>
      </c>
      <c r="AE30" s="2330"/>
      <c r="AF30" s="2330"/>
      <c r="AG30" s="2330"/>
      <c r="AH30" s="2330"/>
      <c r="AI30" s="2330"/>
      <c r="AJ30" s="2330"/>
      <c r="AK30" s="1701"/>
      <c r="AL30" s="1701"/>
      <c r="AM30" s="346"/>
      <c r="AN30" s="434"/>
      <c r="AO30" s="434"/>
      <c r="AP30" s="434"/>
      <c r="AQ30" s="434"/>
      <c r="AR30" s="434"/>
      <c r="AS30" s="484">
        <v>0</v>
      </c>
    </row>
    <row s="5597" customFormat="1" customHeight="1" ht="18.75" hidden="1">
      <c r="A31" s="1314"/>
      <c r="B31" s="1314"/>
      <c r="C31" s="1314"/>
      <c r="D31" s="1314"/>
      <c r="E31" s="1314"/>
      <c r="F31" s="1314"/>
      <c r="G31" s="1314"/>
      <c r="H31" s="1314"/>
      <c r="I31" s="1314"/>
      <c r="J31" s="1314"/>
      <c r="K31" s="1314"/>
      <c r="L31" s="1446"/>
      <c r="M31" s="1314"/>
      <c r="N31" s="1314"/>
      <c r="O31" s="1314"/>
      <c r="S31" s="2316" t="s">
        <v>430</v>
      </c>
      <c r="T31" s="2316"/>
      <c r="U31" s="1438"/>
      <c r="V31" s="2317" t="str">
        <f>IF(TITLE_NUMBER_PR_CHANGE="",IF(TITLE_NUMBER_PR="","",TITLE_NUMBER_PR),TITLE_NUMBER_PR_CHANGE)</f>
        <v>447-т</v>
      </c>
      <c r="W31" s="2317"/>
      <c r="X31" s="2317"/>
      <c r="Y31" s="2317"/>
      <c r="Z31" s="2317"/>
      <c r="AA31" s="2317"/>
      <c r="AB31" s="2317"/>
      <c r="AC31" s="1701"/>
      <c r="AD31" s="2317" t="str">
        <f>IF(TITLE_NUMBER_PR_CHANGE="",IF(TITLE_NUMBER_PR="","",TITLE_NUMBER_PR),TITLE_NUMBER_PR_CHANGE)</f>
        <v>447-т</v>
      </c>
      <c r="AE31" s="2317"/>
      <c r="AF31" s="2317"/>
      <c r="AG31" s="2317"/>
      <c r="AH31" s="2317"/>
      <c r="AI31" s="2317"/>
      <c r="AJ31" s="2317"/>
      <c r="AK31" s="1701"/>
      <c r="AL31" s="1701"/>
      <c r="AM31" s="346"/>
      <c r="AN31" s="434"/>
      <c r="AO31" s="434"/>
      <c r="AP31" s="434"/>
      <c r="AQ31" s="434"/>
      <c r="AR31" s="434"/>
      <c r="AS31" s="484">
        <v>0</v>
      </c>
    </row>
    <row s="5597" customFormat="1" customHeight="1" ht="18.75" hidden="1">
      <c r="A32" s="1314"/>
      <c r="B32" s="1314"/>
      <c r="C32" s="1314"/>
      <c r="D32" s="1314"/>
      <c r="E32" s="1314"/>
      <c r="F32" s="1314"/>
      <c r="G32" s="1314"/>
      <c r="H32" s="1314"/>
      <c r="I32" s="1314"/>
      <c r="J32" s="1314"/>
      <c r="K32" s="1314"/>
      <c r="L32" s="1446"/>
      <c r="M32" s="1314"/>
      <c r="N32" s="1314"/>
      <c r="O32" s="1314"/>
      <c r="S32" s="2316" t="s">
        <v>44</v>
      </c>
      <c r="T32" s="2316"/>
      <c r="U32" s="1438"/>
      <c r="V32" s="2317" t="str">
        <f>IF(TITLE_IST_PUB_CHANGE="",IF(TITLE_IST_PUB="","",TITLE_IST_PUB),TITLE_IST_PUB_CHANGE)</f>
        <v>Официальный сайт Департамента тарифной политики, энергетики и ЖКК ЯНАО, https://rek-yamal.ru, 05.12.2024</v>
      </c>
      <c r="W32" s="2317"/>
      <c r="X32" s="2317"/>
      <c r="Y32" s="2317"/>
      <c r="Z32" s="2317"/>
      <c r="AA32" s="2317"/>
      <c r="AB32" s="2317"/>
      <c r="AC32" s="1701"/>
      <c r="AD32" s="2317" t="str">
        <f>IF(TITLE_IST_PUB_CHANGE="",IF(TITLE_IST_PUB="","",TITLE_IST_PUB),TITLE_IST_PUB_CHANGE)</f>
        <v>Официальный сайт Департамента тарифной политики, энергетики и ЖКК ЯНАО, https://rek-yamal.ru, 05.12.2024</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597" customFormat="1" customHeight="1" ht="18.75" hidden="1">
      <c r="A34" s="1314"/>
      <c r="B34" s="1314"/>
      <c r="C34" s="1314"/>
      <c r="D34" s="1314"/>
      <c r="E34" s="1314"/>
      <c r="F34" s="1314"/>
      <c r="G34" s="1314"/>
      <c r="H34" s="1314"/>
      <c r="I34" s="1314"/>
      <c r="J34" s="1314"/>
      <c r="K34" s="1314"/>
      <c r="L34" s="1446"/>
      <c r="M34" s="1314"/>
      <c r="N34" s="1314"/>
      <c r="O34" s="1314"/>
      <c r="S34" s="2316" t="s">
        <v>431</v>
      </c>
      <c r="T34" s="2316"/>
      <c r="U34" s="1438"/>
      <c r="V34" s="2330" t="str">
        <f>IF(TITLE_DATE_PR_CHANGE="",IF(TITLE_DATE_PR="","",TITLE_DATE_PR),TITLE_DATE_PR_CHANGE)</f>
        <v>45631.41619212963</v>
      </c>
      <c r="W34" s="2330"/>
      <c r="X34" s="2330"/>
      <c r="Y34" s="2330"/>
      <c r="Z34" s="2330"/>
      <c r="AA34" s="2330"/>
      <c r="AB34" s="2330"/>
      <c r="AC34" s="1701"/>
      <c r="AD34" s="2330" t="str">
        <f>IF(TITLE_DATE_PR_CHANGE="",IF(TITLE_DATE_PR="","",TITLE_DATE_PR),TITLE_DATE_PR_CHANGE)</f>
        <v>45631.41619212963</v>
      </c>
      <c r="AE34" s="2330"/>
      <c r="AF34" s="2330"/>
      <c r="AG34" s="2330"/>
      <c r="AH34" s="2330"/>
      <c r="AI34" s="2330"/>
      <c r="AJ34" s="2330"/>
      <c r="AK34" s="1701"/>
      <c r="AL34" s="1701"/>
      <c r="AM34" s="346"/>
      <c r="AN34" s="434"/>
      <c r="AO34" s="434"/>
      <c r="AP34" s="434"/>
      <c r="AQ34" s="434"/>
      <c r="AR34" s="434"/>
      <c r="AS34" s="484">
        <v>0</v>
      </c>
    </row>
    <row s="5597" customFormat="1" customHeight="1" ht="18.75" hidden="1">
      <c r="A35" s="1314"/>
      <c r="B35" s="1314"/>
      <c r="C35" s="1314"/>
      <c r="D35" s="1314"/>
      <c r="E35" s="1314"/>
      <c r="F35" s="1314"/>
      <c r="G35" s="1314"/>
      <c r="H35" s="1314"/>
      <c r="I35" s="1314"/>
      <c r="J35" s="1314"/>
      <c r="K35" s="1314"/>
      <c r="L35" s="1446"/>
      <c r="M35" s="1314"/>
      <c r="N35" s="1314"/>
      <c r="O35" s="1314"/>
      <c r="S35" s="2316" t="s">
        <v>432</v>
      </c>
      <c r="T35" s="2316"/>
      <c r="U35" s="1438"/>
      <c r="V35" s="2317" t="str">
        <f>IF(TITLE_NUMBER_PR_CHANGE="",IF(TITLE_NUMBER_PR="","",TITLE_NUMBER_PR),TITLE_NUMBER_PR_CHANGE)</f>
        <v>447-т</v>
      </c>
      <c r="W35" s="2317"/>
      <c r="X35" s="2317"/>
      <c r="Y35" s="2317"/>
      <c r="Z35" s="2317"/>
      <c r="AA35" s="2317"/>
      <c r="AB35" s="2317"/>
      <c r="AC35" s="1701"/>
      <c r="AD35" s="2317" t="str">
        <f>IF(TITLE_NUMBER_PR_CHANGE="",IF(TITLE_NUMBER_PR="","",TITLE_NUMBER_PR),TITLE_NUMBER_PR_CHANGE)</f>
        <v>447-т</v>
      </c>
      <c r="AE35" s="2317"/>
      <c r="AF35" s="2317"/>
      <c r="AG35" s="2317"/>
      <c r="AH35" s="2317"/>
      <c r="AI35" s="2317"/>
      <c r="AJ35" s="2317"/>
      <c r="AK35" s="1701"/>
      <c r="AL35" s="1701"/>
      <c r="AM35" s="346"/>
      <c r="AN35" s="434"/>
      <c r="AO35" s="434"/>
      <c r="AP35" s="434"/>
      <c r="AQ35" s="434"/>
      <c r="AR35" s="434"/>
      <c r="AS35" s="484">
        <v>0</v>
      </c>
    </row>
    <row s="5597"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433</v>
      </c>
      <c r="AD36" s="1701"/>
      <c r="AE36" s="1701"/>
      <c r="AF36" s="1701"/>
      <c r="AG36" s="1701"/>
      <c r="AH36" s="1701"/>
      <c r="AI36" s="1701"/>
      <c r="AJ36" s="1701"/>
      <c r="AK36" s="1708" t="s">
        <v>433</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697">
        <v>14</v>
      </c>
    </row>
    <row customHeight="1" ht="14.699999999999998">
      <c r="Q39" s="442"/>
      <c r="R39" s="442"/>
      <c r="S39" s="2339" t="s">
        <v>93</v>
      </c>
      <c r="T39" s="2275" t="s">
        <v>434</v>
      </c>
      <c r="U39" s="403"/>
      <c r="V39" s="2340" t="s">
        <v>435</v>
      </c>
      <c r="W39" s="2341"/>
      <c r="X39" s="2341"/>
      <c r="Y39" s="2341"/>
      <c r="Z39" s="2341"/>
      <c r="AA39" s="2341"/>
      <c r="AB39" s="2342"/>
      <c r="AC39" s="2343" t="s">
        <v>436</v>
      </c>
      <c r="AD39" s="2340" t="s">
        <v>435</v>
      </c>
      <c r="AE39" s="2341"/>
      <c r="AF39" s="2341"/>
      <c r="AG39" s="2341"/>
      <c r="AH39" s="2341"/>
      <c r="AI39" s="2341"/>
      <c r="AJ39" s="2342"/>
      <c r="AK39" s="2343" t="s">
        <v>437</v>
      </c>
      <c r="AL39" s="2346" t="s">
        <v>438</v>
      </c>
      <c r="AM39" s="2193"/>
      <c r="AS39" s="1697">
        <v>14</v>
      </c>
    </row>
    <row customHeight="1" ht="35.699999999999996">
      <c r="Q40" s="442"/>
      <c r="R40" s="442"/>
      <c r="S40" s="2339"/>
      <c r="T40" s="2275"/>
      <c r="U40" s="1097"/>
      <c r="V40" s="2326" t="s">
        <v>439</v>
      </c>
      <c r="W40" s="2349" t="s">
        <v>440</v>
      </c>
      <c r="X40" s="2328" t="s">
        <v>441</v>
      </c>
      <c r="Y40" s="2329"/>
      <c r="Z40" s="2328" t="s">
        <v>455</v>
      </c>
      <c r="AA40" s="2335"/>
      <c r="AB40" s="2329"/>
      <c r="AC40" s="2344"/>
      <c r="AD40" s="2326" t="s">
        <v>439</v>
      </c>
      <c r="AE40" s="2349" t="s">
        <v>440</v>
      </c>
      <c r="AF40" s="2328" t="s">
        <v>441</v>
      </c>
      <c r="AG40" s="2329"/>
      <c r="AH40" s="2328" t="s">
        <v>442</v>
      </c>
      <c r="AI40" s="2335"/>
      <c r="AJ40" s="2329"/>
      <c r="AK40" s="2344"/>
      <c r="AL40" s="2347"/>
      <c r="AM40" s="2193"/>
      <c r="AS40" s="1697">
        <v>34</v>
      </c>
    </row>
    <row customHeight="1" ht="35.699999999999996">
      <c r="A41" s="1332"/>
      <c r="B41" s="1332" t="s">
        <v>140</v>
      </c>
      <c r="C41" s="1332" t="s">
        <v>141</v>
      </c>
      <c r="D41" s="1332" t="s">
        <v>142</v>
      </c>
      <c r="E41" s="1376" t="s">
        <v>443</v>
      </c>
      <c r="F41" s="1376" t="s">
        <v>444</v>
      </c>
      <c r="G41" s="1376" t="s">
        <v>445</v>
      </c>
      <c r="H41" s="1376" t="s">
        <v>446</v>
      </c>
      <c r="I41" s="1376" t="s">
        <v>447</v>
      </c>
      <c r="J41" s="1376" t="s">
        <v>448</v>
      </c>
      <c r="K41" s="1376" t="s">
        <v>449</v>
      </c>
      <c r="L41" s="1376" t="s">
        <v>424</v>
      </c>
      <c r="Q41" s="442"/>
      <c r="R41" s="442"/>
      <c r="S41" s="2339"/>
      <c r="T41" s="2275"/>
      <c r="U41" s="368"/>
      <c r="V41" s="2327"/>
      <c r="W41" s="2350"/>
      <c r="X41" s="2004" t="s">
        <v>450</v>
      </c>
      <c r="Y41" s="2004" t="s">
        <v>451</v>
      </c>
      <c r="Z41" s="2004" t="s">
        <v>452</v>
      </c>
      <c r="AA41" s="2336" t="s">
        <v>453</v>
      </c>
      <c r="AB41" s="2337"/>
      <c r="AC41" s="2345"/>
      <c r="AD41" s="2327"/>
      <c r="AE41" s="2350"/>
      <c r="AF41" s="2004" t="s">
        <v>450</v>
      </c>
      <c r="AG41" s="2004" t="s">
        <v>451</v>
      </c>
      <c r="AH41" s="2004" t="s">
        <v>452</v>
      </c>
      <c r="AI41" s="2336" t="s">
        <v>453</v>
      </c>
      <c r="AJ41" s="2337"/>
      <c r="AK41" s="2345"/>
      <c r="AL41" s="2348"/>
      <c r="AM41" s="2193"/>
      <c r="AS41" s="1697">
        <v>34</v>
      </c>
    </row>
    <row s="4153"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114</v>
      </c>
      <c r="T42" s="1321" t="s">
        <v>115</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221</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128</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0"/>
      <c r="AP43" s="1690" t="str">
        <f>IF(T43="","",T43)</f>
        <v>Наименование тарифа</v>
      </c>
      <c r="AQ43" s="1690"/>
      <c r="AR43" s="1690"/>
      <c r="AS43" s="1697">
        <v>21</v>
      </c>
    </row>
    <row customHeight="1" ht="22.049999999999997">
      <c r="A44" s="1333" t="s">
        <v>221</v>
      </c>
      <c r="B44" s="1333" t="s">
        <v>222</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1690"/>
      <c r="AP44" s="1690" t="str">
        <f>IF(T44="","",T44)</f>
        <v>Территория действия тарифа</v>
      </c>
      <c r="AQ44" s="1690"/>
      <c r="AR44" s="1690"/>
      <c r="AS44" s="1697">
        <v>21</v>
      </c>
    </row>
    <row customHeight="1" ht="24">
      <c r="A45" s="1333" t="s">
        <v>221</v>
      </c>
      <c r="B45" s="1333" t="s">
        <v>222</v>
      </c>
      <c r="C45" s="1333" t="s">
        <v>223</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1690"/>
      <c r="AP45" s="1690" t="str">
        <f>IF(T45="","",T45)</f>
        <v>Наименование системы теплоснабжения </v>
      </c>
      <c r="AQ45" s="1690"/>
      <c r="AR45" s="1690"/>
      <c r="AS45" s="1697">
        <v>23</v>
      </c>
    </row>
    <row customHeight="1" ht="22.049999999999997">
      <c r="A46" s="1333" t="s">
        <v>221</v>
      </c>
      <c r="B46" s="1333" t="s">
        <v>222</v>
      </c>
      <c r="C46" s="1333" t="s">
        <v>223</v>
      </c>
      <c r="D46" s="1333" t="s">
        <v>224</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1690"/>
      <c r="AP46" s="1690" t="str">
        <f>IF(T46="","",T46)</f>
        <v>Источник тепловой энергии  </v>
      </c>
      <c r="AQ46" s="1690"/>
      <c r="AR46" s="1690"/>
      <c r="AS46" s="1697">
        <v>21</v>
      </c>
    </row>
    <row customHeight="1" ht="49.5">
      <c r="A47" s="1333" t="s">
        <v>221</v>
      </c>
      <c r="B47" s="1333" t="s">
        <v>222</v>
      </c>
      <c r="C47" s="1333" t="s">
        <v>223</v>
      </c>
      <c r="D47" s="1333" t="s">
        <v>224</v>
      </c>
      <c r="E47" s="2356"/>
      <c r="F47" s="2356"/>
      <c r="G47" s="2356"/>
      <c r="H47" s="2356"/>
      <c r="I47" s="2193" t="str">
        <f>S46&amp;".1"</f>
        <v>....1</v>
      </c>
      <c r="J47" s="1333"/>
      <c r="K47" s="1333"/>
      <c r="L47" s="1376" t="s">
        <v>412</v>
      </c>
      <c r="P47" s="2323">
        <v>1</v>
      </c>
      <c r="Q47" s="2020"/>
      <c r="R47" s="422"/>
      <c r="S47" s="2024" t="str">
        <f>$I47</f>
        <v>....1</v>
      </c>
      <c r="T47" s="351" t="s">
        <v>413</v>
      </c>
      <c r="U47" s="366"/>
      <c r="V47" s="2311"/>
      <c r="W47" s="2312"/>
      <c r="X47" s="2312"/>
      <c r="Y47" s="2312"/>
      <c r="Z47" s="2312"/>
      <c r="AA47" s="2312"/>
      <c r="AB47" s="2312"/>
      <c r="AC47" s="2313"/>
      <c r="AD47" s="2311"/>
      <c r="AE47" s="2312"/>
      <c r="AF47" s="2312"/>
      <c r="AG47" s="2312"/>
      <c r="AH47" s="2312"/>
      <c r="AI47" s="2312"/>
      <c r="AJ47" s="2312"/>
      <c r="AK47" s="2312"/>
      <c r="AL47" s="2313"/>
      <c r="AM47" s="1324" t="s">
        <v>414</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221</v>
      </c>
      <c r="B48" s="1333" t="s">
        <v>222</v>
      </c>
      <c r="C48" s="1333" t="s">
        <v>223</v>
      </c>
      <c r="D48" s="1333" t="s">
        <v>224</v>
      </c>
      <c r="E48" s="2356"/>
      <c r="F48" s="2356"/>
      <c r="G48" s="2356"/>
      <c r="H48" s="2356"/>
      <c r="I48" s="2167"/>
      <c r="J48" s="2193" t="str">
        <f>I47&amp;".1"</f>
        <v>....1.1</v>
      </c>
      <c r="K48" s="1333"/>
      <c r="L48" s="1376" t="s">
        <v>415</v>
      </c>
      <c r="P48" s="2323"/>
      <c r="Q48" s="2323">
        <v>1</v>
      </c>
      <c r="R48" s="423"/>
      <c r="S48" s="2024" t="str">
        <f>$J48</f>
        <v>....1.1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1690"/>
      <c r="AP48" s="1690" t="str">
        <f>IF(T48="","",T48)</f>
        <v>Группа потребителей</v>
      </c>
      <c r="AQ48" s="1690"/>
      <c r="AR48" s="1690"/>
      <c r="AS48" s="1697">
        <v>21</v>
      </c>
    </row>
    <row customHeight="1" ht="22.049999999999997">
      <c r="A49" s="1333" t="s">
        <v>221</v>
      </c>
      <c r="B49" s="1333" t="s">
        <v>222</v>
      </c>
      <c r="C49" s="1333" t="s">
        <v>223</v>
      </c>
      <c r="D49" s="1333" t="s">
        <v>224</v>
      </c>
      <c r="E49" s="2356"/>
      <c r="F49" s="2356"/>
      <c r="G49" s="2356"/>
      <c r="H49" s="2356"/>
      <c r="I49" s="2167"/>
      <c r="J49" s="2167"/>
      <c r="K49" s="2193" t="str">
        <f>J48&amp;".1"</f>
        <v>....1.1.1</v>
      </c>
      <c r="L49" s="1376" t="s">
        <v>418</v>
      </c>
      <c r="P49" s="2323"/>
      <c r="Q49" s="2323"/>
      <c r="R49" s="423">
        <v>1</v>
      </c>
      <c r="S49" s="2024" t="str">
        <f>$K49</f>
        <v>....1.1.1</v>
      </c>
      <c r="T49" s="1413"/>
      <c r="U49" s="366"/>
      <c r="V49" s="817"/>
      <c r="W49" s="391"/>
      <c r="X49" s="817"/>
      <c r="Y49" s="1323"/>
      <c r="Z49" s="2331"/>
      <c r="AA49" s="2173" t="s">
        <v>71</v>
      </c>
      <c r="AB49" s="2331"/>
      <c r="AC49" s="2173" t="s">
        <v>71</v>
      </c>
      <c r="AD49" s="817"/>
      <c r="AE49" s="391"/>
      <c r="AF49" s="817"/>
      <c r="AG49" s="1323"/>
      <c r="AH49" s="2331"/>
      <c r="AI49" s="2173" t="s">
        <v>71</v>
      </c>
      <c r="AJ49" s="2353"/>
      <c r="AK49" s="2173" t="s">
        <v>71</v>
      </c>
      <c r="AL49" s="1414"/>
      <c r="AM49" s="2319" t="s">
        <v>419</v>
      </c>
      <c r="AN49" s="1702">
        <f>STRCHECKDATE(V50:AL50)</f>
      </c>
      <c r="AO49" s="1690"/>
      <c r="AP49" s="1690" t="str">
        <f>IF(T49="","",T49)</f>
        <v/>
      </c>
      <c r="AQ49" s="1690"/>
      <c r="AR49" s="1690"/>
      <c r="AS49" s="1697">
        <v>21</v>
      </c>
    </row>
    <row customHeight="1" ht="1.05">
      <c r="A50" s="1333" t="s">
        <v>221</v>
      </c>
      <c r="B50" s="1333" t="s">
        <v>222</v>
      </c>
      <c r="C50" s="1333" t="s">
        <v>223</v>
      </c>
      <c r="D50" s="1333" t="s">
        <v>224</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221</v>
      </c>
      <c r="B51" s="1333" t="s">
        <v>222</v>
      </c>
      <c r="C51" s="1333" t="s">
        <v>223</v>
      </c>
      <c r="D51" s="1333" t="s">
        <v>224</v>
      </c>
      <c r="E51" s="2356"/>
      <c r="F51" s="2356"/>
      <c r="G51" s="2356"/>
      <c r="H51" s="2356"/>
      <c r="I51" s="2167"/>
      <c r="J51" s="2193"/>
      <c r="K51" s="1333"/>
      <c r="L51" s="1376"/>
      <c r="P51" s="2323"/>
      <c r="Q51" s="2323"/>
      <c r="R51" s="422"/>
      <c r="S51" s="1344"/>
      <c r="T51" s="354" t="s">
        <v>420</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221</v>
      </c>
      <c r="B52" s="1333" t="s">
        <v>222</v>
      </c>
      <c r="C52" s="1333" t="s">
        <v>223</v>
      </c>
      <c r="D52" s="1333" t="s">
        <v>224</v>
      </c>
      <c r="E52" s="2356"/>
      <c r="F52" s="2356"/>
      <c r="G52" s="2356"/>
      <c r="H52" s="2356"/>
      <c r="I52" s="2193"/>
      <c r="J52" s="1333"/>
      <c r="K52" s="1333"/>
      <c r="L52" s="1376"/>
      <c r="P52" s="2323"/>
      <c r="Q52" s="2020"/>
      <c r="R52" s="422"/>
      <c r="S52" s="1344"/>
      <c r="T52" s="353" t="s">
        <v>421</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221</v>
      </c>
      <c r="B53" s="1333" t="s">
        <v>222</v>
      </c>
      <c r="C53" s="1333" t="s">
        <v>223</v>
      </c>
      <c r="D53" s="1333" t="s">
        <v>224</v>
      </c>
      <c r="E53" s="2356"/>
      <c r="F53" s="2356"/>
      <c r="G53" s="2356"/>
      <c r="H53" s="2355"/>
      <c r="I53" s="1333"/>
      <c r="J53" s="1333"/>
      <c r="K53" s="1333"/>
      <c r="L53" s="1376"/>
      <c r="M53" s="1676"/>
      <c r="N53" s="1676"/>
      <c r="O53" s="1701"/>
      <c r="P53" s="426"/>
      <c r="Q53" s="441"/>
      <c r="R53" s="421"/>
      <c r="S53" s="1344"/>
      <c r="T53" s="431" t="s">
        <v>422</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562" customFormat="1" customHeight="1" ht="4.2">
      <c r="A54" s="1441" t="s">
        <v>221</v>
      </c>
      <c r="B54" s="1441" t="s">
        <v>222</v>
      </c>
      <c r="C54" s="1441" t="s">
        <v>223</v>
      </c>
      <c r="D54" s="1440"/>
      <c r="E54" s="2356"/>
      <c r="F54" s="2356"/>
      <c r="G54" s="2355"/>
      <c r="H54" s="1440"/>
      <c r="I54" s="1440"/>
      <c r="J54" s="1440"/>
      <c r="K54" s="1440"/>
      <c r="L54" s="1443"/>
      <c r="M54" s="1444"/>
      <c r="N54" s="1444"/>
      <c r="O54" s="417"/>
      <c r="P54" s="1382"/>
      <c r="Q54" s="1383"/>
      <c r="R54" s="1382"/>
      <c r="S54" s="1388"/>
      <c r="T54" s="1391" t="s">
        <v>173</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4</v>
      </c>
    </row>
    <row s="4562" customFormat="1" customHeight="1" ht="4.2">
      <c r="A55" s="1441" t="s">
        <v>221</v>
      </c>
      <c r="B55" s="1441" t="s">
        <v>222</v>
      </c>
      <c r="C55" s="1440"/>
      <c r="D55" s="1440"/>
      <c r="E55" s="2356"/>
      <c r="F55" s="2355"/>
      <c r="G55" s="1440"/>
      <c r="H55" s="1440"/>
      <c r="I55" s="1440"/>
      <c r="J55" s="1440"/>
      <c r="K55" s="1440"/>
      <c r="L55" s="1443"/>
      <c r="M55" s="1445"/>
      <c r="N55" s="1445"/>
      <c r="O55" s="417"/>
      <c r="P55" s="1382"/>
      <c r="Q55" s="1383"/>
      <c r="R55" s="1382"/>
      <c r="S55" s="1388"/>
      <c r="T55" s="1391" t="s">
        <v>174</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4</v>
      </c>
    </row>
    <row s="4562" customFormat="1" customHeight="1" ht="4.2">
      <c r="A56" s="1441" t="s">
        <v>221</v>
      </c>
      <c r="B56" s="1441"/>
      <c r="C56" s="1441"/>
      <c r="D56" s="1441"/>
      <c r="E56" s="2355"/>
      <c r="F56" s="1441"/>
      <c r="G56" s="1441"/>
      <c r="H56" s="1441"/>
      <c r="I56" s="1441"/>
      <c r="J56" s="1441"/>
      <c r="K56" s="1441"/>
      <c r="L56" s="1447"/>
      <c r="M56" s="1445"/>
      <c r="N56" s="1445"/>
      <c r="O56" s="417"/>
      <c r="P56" s="446"/>
      <c r="Q56" s="1410"/>
      <c r="R56" s="446"/>
      <c r="S56" s="1388"/>
      <c r="T56" s="1391" t="s">
        <v>175</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4</v>
      </c>
    </row>
    <row s="4562" customFormat="1" customHeight="1" ht="4.2">
      <c r="A57" s="1440"/>
      <c r="B57" s="1440"/>
      <c r="C57" s="1440"/>
      <c r="D57" s="1440"/>
      <c r="E57" s="1441"/>
      <c r="F57" s="1440"/>
      <c r="G57" s="1440"/>
      <c r="H57" s="1440"/>
      <c r="I57" s="1440"/>
      <c r="J57" s="1440"/>
      <c r="K57" s="1440"/>
      <c r="L57" s="1443"/>
      <c r="M57" s="1445"/>
      <c r="N57" s="1445"/>
      <c r="O57" s="417"/>
      <c r="P57" s="1382"/>
      <c r="Q57" s="1383"/>
      <c r="R57" s="1382"/>
      <c r="S57" s="1388"/>
      <c r="T57" s="1391" t="s">
        <v>176</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4</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87</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FC51C-96DF-3D68-4292-E0711265B30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053" width="10.57421875" hidden="1"/>
    <col min="2" max="2" style="5053" width="11.00390625" hidden="1" customWidth="1"/>
    <col min="3" max="3" style="5053" width="10.57421875" hidden="1"/>
    <col min="4" max="4" style="5053" width="11.8515625" hidden="1" customWidth="1"/>
    <col min="5" max="5" style="5053" width="10.00390625" hidden="1" customWidth="1"/>
    <col min="6" max="6" style="5053" width="8.7109375" hidden="1" customWidth="1"/>
    <col min="7" max="7" style="5053" width="7.57421875" hidden="1" customWidth="1"/>
    <col min="8" max="8" style="5053" width="11.421875" hidden="1" customWidth="1"/>
    <col min="9" max="9" style="5053" width="12.00390625" hidden="1" customWidth="1"/>
    <col min="10" max="10" style="5053" width="9.8515625" hidden="1" customWidth="1"/>
    <col min="11" max="11" style="5053" width="11.421875" hidden="1" customWidth="1"/>
    <col min="12" max="12" style="5718" width="19.140625" hidden="1" customWidth="1"/>
    <col min="13" max="14" style="5737" width="12.28125" hidden="1" customWidth="1"/>
    <col min="15" max="15" style="5737" width="23.421875" hidden="1" customWidth="1"/>
    <col min="16" max="16" style="5737" width="3.00390625" customWidth="1"/>
    <col min="17" max="18" style="5023" width="3.00390625" customWidth="1"/>
    <col min="19" max="19" style="5711" width="12.00390625" customWidth="1"/>
    <col min="20" max="20" style="5053" width="31.00390625" customWidth="1"/>
    <col min="21" max="21" style="5053" width="0.140625" customWidth="1"/>
    <col min="22" max="22" style="5053" width="24.7109375" hidden="1" customWidth="1"/>
    <col min="23" max="23" style="5053" width="0.140625" hidden="1" customWidth="1"/>
    <col min="24" max="25" style="5053" width="24.7109375" hidden="1" customWidth="1"/>
    <col min="26" max="26" style="5053" width="11.7109375" hidden="1" customWidth="1"/>
    <col min="27" max="27" style="5053" width="3.7109375" hidden="1" customWidth="1"/>
    <col min="28" max="28" style="5053" width="11.7109375" hidden="1" customWidth="1"/>
    <col min="29" max="29" style="5053" width="8.57421875" hidden="1" customWidth="1"/>
    <col min="30" max="30" style="5053" width="24.7109375" customWidth="1"/>
    <col min="31" max="31" style="5053" width="0.140625" customWidth="1"/>
    <col min="32" max="33" style="5053" width="24.00390625" customWidth="1"/>
    <col min="34" max="34" style="5053" width="11.00390625" customWidth="1"/>
    <col min="35" max="35" style="5053" width="3.7109375" customWidth="1"/>
    <col min="36" max="36" style="5053" width="11.00390625" customWidth="1"/>
    <col min="37" max="37" style="5053" width="8.57421875" hidden="1" customWidth="1"/>
    <col min="38" max="38" style="5053" width="4.00390625" customWidth="1"/>
    <col min="39" max="39" style="5053" width="115.00390625" customWidth="1"/>
    <col min="40" max="44" style="4562" width="10.00390625" customWidth="1"/>
    <col min="45" max="45" style="5053"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128</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409</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411</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412</v>
      </c>
      <c r="M6" s="1701"/>
      <c r="P6" s="2323">
        <v>1</v>
      </c>
      <c r="Q6" s="2020"/>
      <c r="R6" s="422"/>
      <c r="S6" s="2024">
        <f>$I6</f>
      </c>
      <c r="T6" s="351" t="s">
        <v>413</v>
      </c>
      <c r="U6" s="366"/>
      <c r="V6" s="2311"/>
      <c r="W6" s="2312"/>
      <c r="X6" s="2312"/>
      <c r="Y6" s="2312"/>
      <c r="Z6" s="2312"/>
      <c r="AA6" s="2312"/>
      <c r="AB6" s="2312"/>
      <c r="AC6" s="2313"/>
      <c r="AD6" s="2311"/>
      <c r="AE6" s="2312"/>
      <c r="AF6" s="2312"/>
      <c r="AG6" s="2312"/>
      <c r="AH6" s="2312"/>
      <c r="AI6" s="2312"/>
      <c r="AJ6" s="2312"/>
      <c r="AK6" s="2312"/>
      <c r="AL6" s="2313"/>
      <c r="AM6" s="1324" t="s">
        <v>414</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415</v>
      </c>
      <c r="M7" s="1701"/>
      <c r="N7" s="1697"/>
      <c r="P7" s="2323"/>
      <c r="Q7" s="2323">
        <v>1</v>
      </c>
      <c r="R7" s="423"/>
      <c r="S7" s="2024">
        <f>$J7</f>
      </c>
      <c r="T7" s="352" t="s">
        <v>416</v>
      </c>
      <c r="U7" s="366"/>
      <c r="V7" s="2311"/>
      <c r="W7" s="2312"/>
      <c r="X7" s="2312"/>
      <c r="Y7" s="2312"/>
      <c r="Z7" s="2312"/>
      <c r="AA7" s="2312"/>
      <c r="AB7" s="2312"/>
      <c r="AC7" s="2313"/>
      <c r="AD7" s="2311"/>
      <c r="AE7" s="2312"/>
      <c r="AF7" s="2312"/>
      <c r="AG7" s="2312"/>
      <c r="AH7" s="2312"/>
      <c r="AI7" s="2312"/>
      <c r="AJ7" s="2312"/>
      <c r="AK7" s="2312"/>
      <c r="AL7" s="2313"/>
      <c r="AM7" s="1324" t="s">
        <v>417</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418</v>
      </c>
      <c r="M8" s="1701"/>
      <c r="N8" s="1697"/>
      <c r="O8" s="1697"/>
      <c r="P8" s="2323"/>
      <c r="Q8" s="2323"/>
      <c r="R8" s="423">
        <v>1</v>
      </c>
      <c r="S8" s="2024">
        <f>$K8</f>
      </c>
      <c r="T8" s="1413"/>
      <c r="U8" s="366"/>
      <c r="V8" s="817"/>
      <c r="W8" s="391"/>
      <c r="X8" s="817"/>
      <c r="Y8" s="1323"/>
      <c r="Z8" s="2331"/>
      <c r="AA8" s="2173" t="s">
        <v>71</v>
      </c>
      <c r="AB8" s="2331"/>
      <c r="AC8" s="2173" t="s">
        <v>71</v>
      </c>
      <c r="AD8" s="817"/>
      <c r="AE8" s="391"/>
      <c r="AF8" s="817"/>
      <c r="AG8" s="1323"/>
      <c r="AH8" s="2331"/>
      <c r="AI8" s="2173" t="s">
        <v>71</v>
      </c>
      <c r="AJ8" s="2331"/>
      <c r="AK8" s="2173" t="s">
        <v>71</v>
      </c>
      <c r="AL8" s="391"/>
      <c r="AM8" s="2319" t="s">
        <v>419</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420</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421</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422</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562" customFormat="1" customHeight="1" ht="0.75" hidden="1">
      <c r="A13" s="2040"/>
      <c r="B13" s="2040"/>
      <c r="C13" s="2040"/>
      <c r="D13" s="2040"/>
      <c r="E13" s="2356"/>
      <c r="F13" s="2356"/>
      <c r="G13" s="2355"/>
      <c r="H13" s="2040"/>
      <c r="I13" s="2040"/>
      <c r="J13" s="2040"/>
      <c r="K13" s="2040"/>
      <c r="L13" s="1446"/>
      <c r="M13" s="1676"/>
      <c r="N13" s="1676"/>
      <c r="O13" s="1701"/>
      <c r="P13" s="1382"/>
      <c r="Q13" s="1383"/>
      <c r="R13" s="1382"/>
      <c r="S13" s="1384"/>
      <c r="T13" s="1385" t="s">
        <v>173</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562" customFormat="1" customHeight="1" ht="0.75" hidden="1">
      <c r="A14" s="2040"/>
      <c r="B14" s="2040"/>
      <c r="C14" s="2040"/>
      <c r="D14" s="2040"/>
      <c r="E14" s="2356"/>
      <c r="F14" s="2355"/>
      <c r="G14" s="2040"/>
      <c r="H14" s="2040"/>
      <c r="I14" s="2040"/>
      <c r="J14" s="2040"/>
      <c r="K14" s="2040"/>
      <c r="L14" s="1446"/>
      <c r="M14" s="2041"/>
      <c r="N14" s="2041"/>
      <c r="O14" s="1701"/>
      <c r="P14" s="1382"/>
      <c r="Q14" s="1383"/>
      <c r="R14" s="1382"/>
      <c r="S14" s="1388"/>
      <c r="T14" s="1389" t="s">
        <v>174</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562" customFormat="1" customHeight="1" ht="0.75" hidden="1">
      <c r="A15" s="2040"/>
      <c r="B15" s="2040"/>
      <c r="C15" s="2040"/>
      <c r="D15" s="2040"/>
      <c r="E15" s="2355"/>
      <c r="F15" s="2040"/>
      <c r="G15" s="2040"/>
      <c r="H15" s="2040"/>
      <c r="I15" s="2040"/>
      <c r="J15" s="2040"/>
      <c r="K15" s="2040"/>
      <c r="L15" s="1446"/>
      <c r="M15" s="2041"/>
      <c r="N15" s="2041"/>
      <c r="O15" s="1701"/>
      <c r="P15" s="1382"/>
      <c r="Q15" s="1383"/>
      <c r="R15" s="1382"/>
      <c r="S15" s="1388"/>
      <c r="T15" s="1391" t="s">
        <v>175</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71</v>
      </c>
      <c r="AJ17" s="2333"/>
      <c r="AK17" s="2334" t="s">
        <v>71</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5002" customFormat="1" customHeight="1" ht="14.25" hidden="1">
      <c r="A20" s="1697"/>
      <c r="B20" s="1697"/>
      <c r="C20" s="1697"/>
      <c r="D20" s="1697"/>
      <c r="E20" s="1697"/>
      <c r="F20" s="1697"/>
      <c r="G20" s="1697"/>
      <c r="H20" s="1697"/>
      <c r="I20" s="1697"/>
      <c r="J20" s="1697"/>
      <c r="K20" s="1697"/>
      <c r="L20" s="2005"/>
      <c r="M20" s="2031"/>
      <c r="N20" s="2031"/>
      <c r="O20" s="1411" t="s">
        <v>423</v>
      </c>
      <c r="P20" s="1428"/>
      <c r="Q20" s="1437"/>
      <c r="R20" s="1437"/>
      <c r="S20" s="795"/>
      <c r="Z20" s="1433"/>
      <c r="AB20" s="1433"/>
      <c r="AH20" s="1433"/>
      <c r="AJ20" s="1433"/>
      <c r="AN20" s="1702"/>
      <c r="AO20" s="1702"/>
      <c r="AP20" s="1702"/>
      <c r="AQ20" s="1702"/>
      <c r="AR20" s="1702"/>
      <c r="AS20" s="1432">
        <v>0</v>
      </c>
    </row>
    <row s="5002"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5002" customFormat="1" customHeight="1" ht="14.25" hidden="1">
      <c r="A22" s="1697"/>
      <c r="B22" s="1697"/>
      <c r="C22" s="1697"/>
      <c r="D22" s="1697"/>
      <c r="E22" s="1697"/>
      <c r="F22" s="1697"/>
      <c r="G22" s="1697"/>
      <c r="H22" s="1697"/>
      <c r="I22" s="1697"/>
      <c r="J22" s="1697"/>
      <c r="K22" s="1697"/>
      <c r="L22" s="2005"/>
      <c r="M22" s="2031"/>
      <c r="N22" s="2031"/>
      <c r="O22" s="1376" t="s">
        <v>424</v>
      </c>
      <c r="P22" s="1428"/>
      <c r="Q22" s="1437"/>
      <c r="R22" s="1437"/>
      <c r="S22" s="795"/>
      <c r="T22" s="1432" t="s">
        <v>425</v>
      </c>
      <c r="AA22" s="661" t="s">
        <v>426</v>
      </c>
      <c r="AC22" s="661" t="s">
        <v>427</v>
      </c>
      <c r="AD22" s="1432" t="s">
        <v>425</v>
      </c>
      <c r="AI22" s="661" t="s">
        <v>428</v>
      </c>
      <c r="AK22" s="661" t="s">
        <v>427</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597"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Департамент тарифной политики, энергетики и ЖКК ЯНАО </v>
      </c>
      <c r="W29" s="2317"/>
      <c r="X29" s="2317"/>
      <c r="Y29" s="2317"/>
      <c r="Z29" s="2317"/>
      <c r="AA29" s="2317"/>
      <c r="AB29" s="2317"/>
      <c r="AC29" s="1701"/>
      <c r="AD29" s="2317" t="str">
        <f>IF(TITLE_NAME_OR_PR_CHANGE="",IF(TITLE_NAME_OR_PR="","",TITLE_NAME_OR_PR),TITLE_NAME_OR_PR_CHANGE)</f>
        <v>Департамент тарифной политики, энергетики и ЖКК ЯНАО </v>
      </c>
      <c r="AE29" s="2317"/>
      <c r="AF29" s="2317"/>
      <c r="AG29" s="2317"/>
      <c r="AH29" s="2317"/>
      <c r="AI29" s="2317"/>
      <c r="AJ29" s="2317"/>
      <c r="AK29" s="1701"/>
      <c r="AL29" s="1701"/>
      <c r="AM29" s="346"/>
      <c r="AN29" s="434"/>
      <c r="AO29" s="434"/>
      <c r="AP29" s="434"/>
      <c r="AQ29" s="434"/>
      <c r="AR29" s="434"/>
      <c r="AS29" s="484">
        <v>0</v>
      </c>
    </row>
    <row s="5597" customFormat="1" customHeight="1" ht="18.75" hidden="1">
      <c r="A30" s="1314"/>
      <c r="B30" s="1314"/>
      <c r="C30" s="1314"/>
      <c r="D30" s="1314"/>
      <c r="E30" s="1314"/>
      <c r="F30" s="1314"/>
      <c r="G30" s="1314"/>
      <c r="H30" s="1314"/>
      <c r="I30" s="1314"/>
      <c r="J30" s="1314"/>
      <c r="K30" s="1314"/>
      <c r="L30" s="1446"/>
      <c r="M30" s="1314"/>
      <c r="N30" s="1314"/>
      <c r="O30" s="1314"/>
      <c r="S30" s="2316" t="s">
        <v>429</v>
      </c>
      <c r="T30" s="2316"/>
      <c r="U30" s="1438"/>
      <c r="V30" s="2330" t="str">
        <f>IF(TITLE_DATE_PR_CHANGE="",IF(TITLE_DATE_PR="","",TITLE_DATE_PR),TITLE_DATE_PR_CHANGE)</f>
        <v>45631.41619212963</v>
      </c>
      <c r="W30" s="2330"/>
      <c r="X30" s="2330"/>
      <c r="Y30" s="2330"/>
      <c r="Z30" s="2330"/>
      <c r="AA30" s="2330"/>
      <c r="AB30" s="2330"/>
      <c r="AC30" s="1701"/>
      <c r="AD30" s="2330" t="str">
        <f>IF(TITLE_DATE_PR_CHANGE="",IF(TITLE_DATE_PR="","",TITLE_DATE_PR),TITLE_DATE_PR_CHANGE)</f>
        <v>45631.41619212963</v>
      </c>
      <c r="AE30" s="2330"/>
      <c r="AF30" s="2330"/>
      <c r="AG30" s="2330"/>
      <c r="AH30" s="2330"/>
      <c r="AI30" s="2330"/>
      <c r="AJ30" s="2330"/>
      <c r="AK30" s="1701"/>
      <c r="AL30" s="1701"/>
      <c r="AM30" s="346"/>
      <c r="AN30" s="434"/>
      <c r="AO30" s="434"/>
      <c r="AP30" s="434"/>
      <c r="AQ30" s="434"/>
      <c r="AR30" s="434"/>
      <c r="AS30" s="484">
        <v>0</v>
      </c>
    </row>
    <row s="5597" customFormat="1" customHeight="1" ht="18.75" hidden="1">
      <c r="A31" s="1314"/>
      <c r="B31" s="1314"/>
      <c r="C31" s="1314"/>
      <c r="D31" s="1314"/>
      <c r="E31" s="1314"/>
      <c r="F31" s="1314"/>
      <c r="G31" s="1314"/>
      <c r="H31" s="1314"/>
      <c r="I31" s="1314"/>
      <c r="J31" s="1314"/>
      <c r="K31" s="1314"/>
      <c r="L31" s="1446"/>
      <c r="M31" s="1314"/>
      <c r="N31" s="1314"/>
      <c r="O31" s="1314"/>
      <c r="S31" s="2316" t="s">
        <v>430</v>
      </c>
      <c r="T31" s="2316"/>
      <c r="U31" s="1438"/>
      <c r="V31" s="2317" t="str">
        <f>IF(TITLE_NUMBER_PR_CHANGE="",IF(TITLE_NUMBER_PR="","",TITLE_NUMBER_PR),TITLE_NUMBER_PR_CHANGE)</f>
        <v>447-т</v>
      </c>
      <c r="W31" s="2317"/>
      <c r="X31" s="2317"/>
      <c r="Y31" s="2317"/>
      <c r="Z31" s="2317"/>
      <c r="AA31" s="2317"/>
      <c r="AB31" s="2317"/>
      <c r="AC31" s="1701"/>
      <c r="AD31" s="2317" t="str">
        <f>IF(TITLE_NUMBER_PR_CHANGE="",IF(TITLE_NUMBER_PR="","",TITLE_NUMBER_PR),TITLE_NUMBER_PR_CHANGE)</f>
        <v>447-т</v>
      </c>
      <c r="AE31" s="2317"/>
      <c r="AF31" s="2317"/>
      <c r="AG31" s="2317"/>
      <c r="AH31" s="2317"/>
      <c r="AI31" s="2317"/>
      <c r="AJ31" s="2317"/>
      <c r="AK31" s="1701"/>
      <c r="AL31" s="1701"/>
      <c r="AM31" s="346"/>
      <c r="AN31" s="434"/>
      <c r="AO31" s="434"/>
      <c r="AP31" s="434"/>
      <c r="AQ31" s="434"/>
      <c r="AR31" s="434"/>
      <c r="AS31" s="484">
        <v>0</v>
      </c>
    </row>
    <row s="5597" customFormat="1" customHeight="1" ht="18.75" hidden="1">
      <c r="A32" s="1314"/>
      <c r="B32" s="1314"/>
      <c r="C32" s="1314"/>
      <c r="D32" s="1314"/>
      <c r="E32" s="1314"/>
      <c r="F32" s="1314"/>
      <c r="G32" s="1314"/>
      <c r="H32" s="1314"/>
      <c r="I32" s="1314"/>
      <c r="J32" s="1314"/>
      <c r="K32" s="1314"/>
      <c r="L32" s="1446"/>
      <c r="M32" s="1314"/>
      <c r="N32" s="1314"/>
      <c r="O32" s="1314"/>
      <c r="S32" s="2316" t="s">
        <v>44</v>
      </c>
      <c r="T32" s="2316"/>
      <c r="U32" s="1438"/>
      <c r="V32" s="2317" t="str">
        <f>IF(TITLE_IST_PUB_CHANGE="",IF(TITLE_IST_PUB="","",TITLE_IST_PUB),TITLE_IST_PUB_CHANGE)</f>
        <v>Официальный сайт Департамента тарифной политики, энергетики и ЖКК ЯНАО, https://rek-yamal.ru, 05.12.2024</v>
      </c>
      <c r="W32" s="2317"/>
      <c r="X32" s="2317"/>
      <c r="Y32" s="2317"/>
      <c r="Z32" s="2317"/>
      <c r="AA32" s="2317"/>
      <c r="AB32" s="2317"/>
      <c r="AC32" s="1701"/>
      <c r="AD32" s="2317" t="str">
        <f>IF(TITLE_IST_PUB_CHANGE="",IF(TITLE_IST_PUB="","",TITLE_IST_PUB),TITLE_IST_PUB_CHANGE)</f>
        <v>Официальный сайт Департамента тарифной политики, энергетики и ЖКК ЯНАО, https://rek-yamal.ru, 05.12.2024</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597" customFormat="1" customHeight="1" ht="18.75" hidden="1">
      <c r="A34" s="1314"/>
      <c r="B34" s="1314"/>
      <c r="C34" s="1314"/>
      <c r="D34" s="1314"/>
      <c r="E34" s="1314"/>
      <c r="F34" s="1314"/>
      <c r="G34" s="1314"/>
      <c r="H34" s="1314"/>
      <c r="I34" s="1314"/>
      <c r="J34" s="1314"/>
      <c r="K34" s="1314"/>
      <c r="L34" s="1446"/>
      <c r="M34" s="1314"/>
      <c r="N34" s="1314"/>
      <c r="O34" s="1314"/>
      <c r="S34" s="2316" t="s">
        <v>431</v>
      </c>
      <c r="T34" s="2316"/>
      <c r="U34" s="1438"/>
      <c r="V34" s="2330" t="str">
        <f>IF(TITLE_DATE_PR_CHANGE="",IF(TITLE_DATE_PR="","",TITLE_DATE_PR),TITLE_DATE_PR_CHANGE)</f>
        <v>45631.41619212963</v>
      </c>
      <c r="W34" s="2330"/>
      <c r="X34" s="2330"/>
      <c r="Y34" s="2330"/>
      <c r="Z34" s="2330"/>
      <c r="AA34" s="2330"/>
      <c r="AB34" s="2330"/>
      <c r="AC34" s="1701"/>
      <c r="AD34" s="2330" t="str">
        <f>IF(TITLE_DATE_PR_CHANGE="",IF(TITLE_DATE_PR="","",TITLE_DATE_PR),TITLE_DATE_PR_CHANGE)</f>
        <v>45631.41619212963</v>
      </c>
      <c r="AE34" s="2330"/>
      <c r="AF34" s="2330"/>
      <c r="AG34" s="2330"/>
      <c r="AH34" s="2330"/>
      <c r="AI34" s="2330"/>
      <c r="AJ34" s="2330"/>
      <c r="AK34" s="1701"/>
      <c r="AL34" s="1701"/>
      <c r="AM34" s="346"/>
      <c r="AN34" s="434"/>
      <c r="AO34" s="434"/>
      <c r="AP34" s="434"/>
      <c r="AQ34" s="434"/>
      <c r="AR34" s="434"/>
      <c r="AS34" s="484">
        <v>0</v>
      </c>
    </row>
    <row s="5597" customFormat="1" customHeight="1" ht="18.75" hidden="1">
      <c r="A35" s="1314"/>
      <c r="B35" s="1314"/>
      <c r="C35" s="1314"/>
      <c r="D35" s="1314"/>
      <c r="E35" s="1314"/>
      <c r="F35" s="1314"/>
      <c r="G35" s="1314"/>
      <c r="H35" s="1314"/>
      <c r="I35" s="1314"/>
      <c r="J35" s="1314"/>
      <c r="K35" s="1314"/>
      <c r="L35" s="1446"/>
      <c r="M35" s="1314"/>
      <c r="N35" s="1314"/>
      <c r="O35" s="1314"/>
      <c r="S35" s="2316" t="s">
        <v>432</v>
      </c>
      <c r="T35" s="2316"/>
      <c r="U35" s="1438"/>
      <c r="V35" s="2317" t="str">
        <f>IF(TITLE_NUMBER_PR_CHANGE="",IF(TITLE_NUMBER_PR="","",TITLE_NUMBER_PR),TITLE_NUMBER_PR_CHANGE)</f>
        <v>447-т</v>
      </c>
      <c r="W35" s="2317"/>
      <c r="X35" s="2317"/>
      <c r="Y35" s="2317"/>
      <c r="Z35" s="2317"/>
      <c r="AA35" s="2317"/>
      <c r="AB35" s="2317"/>
      <c r="AC35" s="1701"/>
      <c r="AD35" s="2317" t="str">
        <f>IF(TITLE_NUMBER_PR_CHANGE="",IF(TITLE_NUMBER_PR="","",TITLE_NUMBER_PR),TITLE_NUMBER_PR_CHANGE)</f>
        <v>447-т</v>
      </c>
      <c r="AE35" s="2317"/>
      <c r="AF35" s="2317"/>
      <c r="AG35" s="2317"/>
      <c r="AH35" s="2317"/>
      <c r="AI35" s="2317"/>
      <c r="AJ35" s="2317"/>
      <c r="AK35" s="1701"/>
      <c r="AL35" s="1701"/>
      <c r="AM35" s="346"/>
      <c r="AN35" s="434"/>
      <c r="AO35" s="434"/>
      <c r="AP35" s="434"/>
      <c r="AQ35" s="434"/>
      <c r="AR35" s="434"/>
      <c r="AS35" s="484">
        <v>0</v>
      </c>
    </row>
    <row s="5597"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433</v>
      </c>
      <c r="AD36" s="1701"/>
      <c r="AE36" s="1701"/>
      <c r="AF36" s="1701"/>
      <c r="AG36" s="1701"/>
      <c r="AH36" s="1701"/>
      <c r="AI36" s="1701"/>
      <c r="AJ36" s="1701"/>
      <c r="AK36" s="1708" t="s">
        <v>433</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697">
        <v>14</v>
      </c>
    </row>
    <row customHeight="1" ht="14.699999999999998">
      <c r="Q39" s="442"/>
      <c r="R39" s="442"/>
      <c r="S39" s="2339" t="s">
        <v>93</v>
      </c>
      <c r="T39" s="2275" t="s">
        <v>434</v>
      </c>
      <c r="U39" s="403"/>
      <c r="V39" s="2340" t="s">
        <v>435</v>
      </c>
      <c r="W39" s="2341"/>
      <c r="X39" s="2341"/>
      <c r="Y39" s="2341"/>
      <c r="Z39" s="2341"/>
      <c r="AA39" s="2341"/>
      <c r="AB39" s="2342"/>
      <c r="AC39" s="2343" t="s">
        <v>436</v>
      </c>
      <c r="AD39" s="2340" t="s">
        <v>435</v>
      </c>
      <c r="AE39" s="2341"/>
      <c r="AF39" s="2341"/>
      <c r="AG39" s="2341"/>
      <c r="AH39" s="2341"/>
      <c r="AI39" s="2341"/>
      <c r="AJ39" s="2342"/>
      <c r="AK39" s="2343" t="s">
        <v>437</v>
      </c>
      <c r="AL39" s="2346" t="s">
        <v>438</v>
      </c>
      <c r="AM39" s="2193"/>
      <c r="AS39" s="1697">
        <v>14</v>
      </c>
    </row>
    <row customHeight="1" ht="35.699999999999996">
      <c r="Q40" s="442"/>
      <c r="R40" s="442"/>
      <c r="S40" s="2339"/>
      <c r="T40" s="2275"/>
      <c r="U40" s="1097"/>
      <c r="V40" s="2326" t="s">
        <v>439</v>
      </c>
      <c r="W40" s="2349" t="s">
        <v>440</v>
      </c>
      <c r="X40" s="2328" t="s">
        <v>441</v>
      </c>
      <c r="Y40" s="2329"/>
      <c r="Z40" s="2328" t="s">
        <v>455</v>
      </c>
      <c r="AA40" s="2335"/>
      <c r="AB40" s="2329"/>
      <c r="AC40" s="2344"/>
      <c r="AD40" s="2326" t="s">
        <v>439</v>
      </c>
      <c r="AE40" s="2349" t="s">
        <v>440</v>
      </c>
      <c r="AF40" s="2328" t="s">
        <v>441</v>
      </c>
      <c r="AG40" s="2329"/>
      <c r="AH40" s="2328" t="s">
        <v>442</v>
      </c>
      <c r="AI40" s="2335"/>
      <c r="AJ40" s="2329"/>
      <c r="AK40" s="2344"/>
      <c r="AL40" s="2347"/>
      <c r="AM40" s="2193"/>
      <c r="AS40" s="1697">
        <v>34</v>
      </c>
    </row>
    <row customHeight="1" ht="35.699999999999996">
      <c r="A41" s="1332"/>
      <c r="B41" s="1332" t="s">
        <v>140</v>
      </c>
      <c r="C41" s="1332" t="s">
        <v>141</v>
      </c>
      <c r="D41" s="1332" t="s">
        <v>142</v>
      </c>
      <c r="E41" s="1376" t="s">
        <v>443</v>
      </c>
      <c r="F41" s="1376" t="s">
        <v>444</v>
      </c>
      <c r="G41" s="1376" t="s">
        <v>445</v>
      </c>
      <c r="H41" s="1376" t="s">
        <v>446</v>
      </c>
      <c r="I41" s="1376" t="s">
        <v>447</v>
      </c>
      <c r="J41" s="1376" t="s">
        <v>448</v>
      </c>
      <c r="K41" s="1376" t="s">
        <v>449</v>
      </c>
      <c r="L41" s="1376" t="s">
        <v>424</v>
      </c>
      <c r="Q41" s="442"/>
      <c r="R41" s="442"/>
      <c r="S41" s="2339"/>
      <c r="T41" s="2275"/>
      <c r="U41" s="368"/>
      <c r="V41" s="2327"/>
      <c r="W41" s="2350"/>
      <c r="X41" s="2004" t="s">
        <v>450</v>
      </c>
      <c r="Y41" s="2004" t="s">
        <v>451</v>
      </c>
      <c r="Z41" s="2004" t="s">
        <v>452</v>
      </c>
      <c r="AA41" s="2336" t="s">
        <v>453</v>
      </c>
      <c r="AB41" s="2337"/>
      <c r="AC41" s="2345"/>
      <c r="AD41" s="2327"/>
      <c r="AE41" s="2350"/>
      <c r="AF41" s="2004" t="s">
        <v>450</v>
      </c>
      <c r="AG41" s="2004" t="s">
        <v>451</v>
      </c>
      <c r="AH41" s="2004" t="s">
        <v>452</v>
      </c>
      <c r="AI41" s="2336" t="s">
        <v>453</v>
      </c>
      <c r="AJ41" s="2337"/>
      <c r="AK41" s="2345"/>
      <c r="AL41" s="2348"/>
      <c r="AM41" s="2193"/>
      <c r="AS41" s="1697">
        <v>34</v>
      </c>
    </row>
    <row s="4153"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114</v>
      </c>
      <c r="T42" s="1321" t="s">
        <v>115</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221</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128</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0"/>
      <c r="AP43" s="1690" t="str">
        <f>IF(T43="","",T43)</f>
        <v>Наименование тарифа</v>
      </c>
      <c r="AQ43" s="1690"/>
      <c r="AR43" s="1690"/>
      <c r="AS43" s="1697">
        <v>21</v>
      </c>
    </row>
    <row customHeight="1" ht="22.049999999999997">
      <c r="A44" s="1333" t="s">
        <v>221</v>
      </c>
      <c r="B44" s="1333" t="s">
        <v>222</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1690"/>
      <c r="AP44" s="1690" t="str">
        <f>IF(T44="","",T44)</f>
        <v>Территория действия тарифа</v>
      </c>
      <c r="AQ44" s="1690"/>
      <c r="AR44" s="1690"/>
      <c r="AS44" s="1697">
        <v>21</v>
      </c>
    </row>
    <row customHeight="1" ht="24">
      <c r="A45" s="1333" t="s">
        <v>221</v>
      </c>
      <c r="B45" s="1333" t="s">
        <v>222</v>
      </c>
      <c r="C45" s="1333" t="s">
        <v>223</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1690"/>
      <c r="AP45" s="1690" t="str">
        <f>IF(T45="","",T45)</f>
        <v>Наименование системы теплоснабжения </v>
      </c>
      <c r="AQ45" s="1690"/>
      <c r="AR45" s="1690"/>
      <c r="AS45" s="1697">
        <v>23</v>
      </c>
    </row>
    <row customHeight="1" ht="22.049999999999997">
      <c r="A46" s="1333" t="s">
        <v>221</v>
      </c>
      <c r="B46" s="1333" t="s">
        <v>222</v>
      </c>
      <c r="C46" s="1333" t="s">
        <v>223</v>
      </c>
      <c r="D46" s="1333" t="s">
        <v>224</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1690"/>
      <c r="AP46" s="1690" t="str">
        <f>IF(T46="","",T46)</f>
        <v>Источник тепловой энергии  </v>
      </c>
      <c r="AQ46" s="1690"/>
      <c r="AR46" s="1690"/>
      <c r="AS46" s="1697">
        <v>21</v>
      </c>
    </row>
    <row customHeight="1" ht="49.5">
      <c r="A47" s="1333" t="s">
        <v>221</v>
      </c>
      <c r="B47" s="1333" t="s">
        <v>222</v>
      </c>
      <c r="C47" s="1333" t="s">
        <v>223</v>
      </c>
      <c r="D47" s="1333" t="s">
        <v>224</v>
      </c>
      <c r="E47" s="2356"/>
      <c r="F47" s="2356"/>
      <c r="G47" s="2356"/>
      <c r="H47" s="2356"/>
      <c r="I47" s="2193" t="str">
        <f>S46&amp;".1"</f>
        <v>....1</v>
      </c>
      <c r="J47" s="1333"/>
      <c r="K47" s="1333"/>
      <c r="L47" s="1376" t="s">
        <v>412</v>
      </c>
      <c r="P47" s="2323">
        <v>1</v>
      </c>
      <c r="Q47" s="2020"/>
      <c r="R47" s="422"/>
      <c r="S47" s="2024" t="str">
        <f>$I47</f>
        <v>....1</v>
      </c>
      <c r="T47" s="351" t="s">
        <v>413</v>
      </c>
      <c r="U47" s="366"/>
      <c r="V47" s="2311"/>
      <c r="W47" s="2312"/>
      <c r="X47" s="2312"/>
      <c r="Y47" s="2312"/>
      <c r="Z47" s="2312"/>
      <c r="AA47" s="2312"/>
      <c r="AB47" s="2312"/>
      <c r="AC47" s="2313"/>
      <c r="AD47" s="2311"/>
      <c r="AE47" s="2312"/>
      <c r="AF47" s="2312"/>
      <c r="AG47" s="2312"/>
      <c r="AH47" s="2312"/>
      <c r="AI47" s="2312"/>
      <c r="AJ47" s="2312"/>
      <c r="AK47" s="2312"/>
      <c r="AL47" s="2313"/>
      <c r="AM47" s="1324" t="s">
        <v>414</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221</v>
      </c>
      <c r="B48" s="1333" t="s">
        <v>222</v>
      </c>
      <c r="C48" s="1333" t="s">
        <v>223</v>
      </c>
      <c r="D48" s="1333" t="s">
        <v>224</v>
      </c>
      <c r="E48" s="2356"/>
      <c r="F48" s="2356"/>
      <c r="G48" s="2356"/>
      <c r="H48" s="2356"/>
      <c r="I48" s="2167"/>
      <c r="J48" s="2193" t="str">
        <f>I47&amp;".1"</f>
        <v>....1.1</v>
      </c>
      <c r="K48" s="1333"/>
      <c r="L48" s="1376" t="s">
        <v>415</v>
      </c>
      <c r="P48" s="2323"/>
      <c r="Q48" s="2323">
        <v>1</v>
      </c>
      <c r="R48" s="423"/>
      <c r="S48" s="2024" t="str">
        <f>$J48</f>
        <v>....1.1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1690"/>
      <c r="AP48" s="1690" t="str">
        <f>IF(T48="","",T48)</f>
        <v>Группа потребителей</v>
      </c>
      <c r="AQ48" s="1690"/>
      <c r="AR48" s="1690"/>
      <c r="AS48" s="1697">
        <v>21</v>
      </c>
    </row>
    <row customHeight="1" ht="22.049999999999997">
      <c r="A49" s="1333" t="s">
        <v>221</v>
      </c>
      <c r="B49" s="1333" t="s">
        <v>222</v>
      </c>
      <c r="C49" s="1333" t="s">
        <v>223</v>
      </c>
      <c r="D49" s="1333" t="s">
        <v>224</v>
      </c>
      <c r="E49" s="2356"/>
      <c r="F49" s="2356"/>
      <c r="G49" s="2356"/>
      <c r="H49" s="2356"/>
      <c r="I49" s="2167"/>
      <c r="J49" s="2167"/>
      <c r="K49" s="2193" t="str">
        <f>J48&amp;".1"</f>
        <v>....1.1.1</v>
      </c>
      <c r="L49" s="1376" t="s">
        <v>418</v>
      </c>
      <c r="P49" s="2323"/>
      <c r="Q49" s="2323"/>
      <c r="R49" s="423">
        <v>1</v>
      </c>
      <c r="S49" s="2024" t="str">
        <f>$K49</f>
        <v>....1.1.1</v>
      </c>
      <c r="T49" s="1413"/>
      <c r="U49" s="366"/>
      <c r="V49" s="817"/>
      <c r="W49" s="391"/>
      <c r="X49" s="817"/>
      <c r="Y49" s="1323"/>
      <c r="Z49" s="2331"/>
      <c r="AA49" s="2173" t="s">
        <v>71</v>
      </c>
      <c r="AB49" s="2331"/>
      <c r="AC49" s="2173" t="s">
        <v>71</v>
      </c>
      <c r="AD49" s="817"/>
      <c r="AE49" s="391"/>
      <c r="AF49" s="817"/>
      <c r="AG49" s="1323"/>
      <c r="AH49" s="2331"/>
      <c r="AI49" s="2173" t="s">
        <v>71</v>
      </c>
      <c r="AJ49" s="2353"/>
      <c r="AK49" s="2173" t="s">
        <v>71</v>
      </c>
      <c r="AL49" s="1414"/>
      <c r="AM49" s="2319" t="s">
        <v>419</v>
      </c>
      <c r="AN49" s="1702">
        <f>STRCHECKDATE(V50:AL50)</f>
      </c>
      <c r="AO49" s="1690"/>
      <c r="AP49" s="1690" t="str">
        <f>IF(T49="","",T49)</f>
        <v/>
      </c>
      <c r="AQ49" s="1690"/>
      <c r="AR49" s="1690"/>
      <c r="AS49" s="1697">
        <v>21</v>
      </c>
    </row>
    <row customHeight="1" ht="1.05">
      <c r="A50" s="1333" t="s">
        <v>221</v>
      </c>
      <c r="B50" s="1333" t="s">
        <v>222</v>
      </c>
      <c r="C50" s="1333" t="s">
        <v>223</v>
      </c>
      <c r="D50" s="1333" t="s">
        <v>224</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221</v>
      </c>
      <c r="B51" s="1333" t="s">
        <v>222</v>
      </c>
      <c r="C51" s="1333" t="s">
        <v>223</v>
      </c>
      <c r="D51" s="1333" t="s">
        <v>224</v>
      </c>
      <c r="E51" s="2356"/>
      <c r="F51" s="2356"/>
      <c r="G51" s="2356"/>
      <c r="H51" s="2356"/>
      <c r="I51" s="2167"/>
      <c r="J51" s="2193"/>
      <c r="K51" s="1333"/>
      <c r="L51" s="1376"/>
      <c r="P51" s="2323"/>
      <c r="Q51" s="2323"/>
      <c r="R51" s="422"/>
      <c r="S51" s="1344"/>
      <c r="T51" s="354" t="s">
        <v>420</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221</v>
      </c>
      <c r="B52" s="1333" t="s">
        <v>222</v>
      </c>
      <c r="C52" s="1333" t="s">
        <v>223</v>
      </c>
      <c r="D52" s="1333" t="s">
        <v>224</v>
      </c>
      <c r="E52" s="2356"/>
      <c r="F52" s="2356"/>
      <c r="G52" s="2356"/>
      <c r="H52" s="2356"/>
      <c r="I52" s="2193"/>
      <c r="J52" s="1333"/>
      <c r="K52" s="1333"/>
      <c r="L52" s="1376"/>
      <c r="P52" s="2323"/>
      <c r="Q52" s="2020"/>
      <c r="R52" s="422"/>
      <c r="S52" s="1344"/>
      <c r="T52" s="353" t="s">
        <v>421</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221</v>
      </c>
      <c r="B53" s="1333" t="s">
        <v>222</v>
      </c>
      <c r="C53" s="1333" t="s">
        <v>223</v>
      </c>
      <c r="D53" s="1333" t="s">
        <v>224</v>
      </c>
      <c r="E53" s="2356"/>
      <c r="F53" s="2356"/>
      <c r="G53" s="2356"/>
      <c r="H53" s="2355"/>
      <c r="I53" s="1333"/>
      <c r="J53" s="1333"/>
      <c r="K53" s="1333"/>
      <c r="L53" s="1376"/>
      <c r="M53" s="1676"/>
      <c r="N53" s="1676"/>
      <c r="O53" s="1701"/>
      <c r="P53" s="426"/>
      <c r="Q53" s="441"/>
      <c r="R53" s="421"/>
      <c r="S53" s="1344"/>
      <c r="T53" s="431" t="s">
        <v>422</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562" customFormat="1" customHeight="1" ht="1.05">
      <c r="A54" s="1333" t="s">
        <v>221</v>
      </c>
      <c r="B54" s="1333" t="s">
        <v>222</v>
      </c>
      <c r="C54" s="1333" t="s">
        <v>223</v>
      </c>
      <c r="D54" s="2040"/>
      <c r="E54" s="2356"/>
      <c r="F54" s="2356"/>
      <c r="G54" s="2355"/>
      <c r="H54" s="2040"/>
      <c r="I54" s="2040"/>
      <c r="J54" s="2040"/>
      <c r="K54" s="2040"/>
      <c r="L54" s="1446"/>
      <c r="M54" s="1676"/>
      <c r="N54" s="1676"/>
      <c r="O54" s="1701"/>
      <c r="P54" s="1382"/>
      <c r="Q54" s="1383"/>
      <c r="R54" s="1382"/>
      <c r="S54" s="1388"/>
      <c r="T54" s="1391" t="s">
        <v>173</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1</v>
      </c>
    </row>
    <row s="4562" customFormat="1" customHeight="1" ht="1.05">
      <c r="A55" s="1333" t="s">
        <v>221</v>
      </c>
      <c r="B55" s="1333" t="s">
        <v>222</v>
      </c>
      <c r="C55" s="2040"/>
      <c r="D55" s="2040"/>
      <c r="E55" s="2356"/>
      <c r="F55" s="2355"/>
      <c r="G55" s="2040"/>
      <c r="H55" s="2040"/>
      <c r="I55" s="2040"/>
      <c r="J55" s="2040"/>
      <c r="K55" s="2040"/>
      <c r="L55" s="1446"/>
      <c r="M55" s="2041"/>
      <c r="N55" s="2041"/>
      <c r="O55" s="1701"/>
      <c r="P55" s="1382"/>
      <c r="Q55" s="1383"/>
      <c r="R55" s="1382"/>
      <c r="S55" s="1388"/>
      <c r="T55" s="1391" t="s">
        <v>174</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1</v>
      </c>
    </row>
    <row s="4562" customFormat="1" customHeight="1" ht="1.05">
      <c r="A56" s="1333" t="s">
        <v>221</v>
      </c>
      <c r="B56" s="1333"/>
      <c r="C56" s="1333"/>
      <c r="D56" s="1333"/>
      <c r="E56" s="2355"/>
      <c r="F56" s="1333"/>
      <c r="G56" s="1333"/>
      <c r="H56" s="1333"/>
      <c r="I56" s="1333"/>
      <c r="J56" s="1333"/>
      <c r="K56" s="1333"/>
      <c r="L56" s="1376"/>
      <c r="M56" s="2041"/>
      <c r="N56" s="2041"/>
      <c r="O56" s="1701"/>
      <c r="P56" s="446"/>
      <c r="Q56" s="1410"/>
      <c r="R56" s="446"/>
      <c r="S56" s="1388"/>
      <c r="T56" s="1391" t="s">
        <v>175</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1</v>
      </c>
    </row>
    <row s="4562" customFormat="1" customHeight="1" ht="1.05">
      <c r="A57" s="2040"/>
      <c r="B57" s="2040"/>
      <c r="C57" s="2040"/>
      <c r="D57" s="2040"/>
      <c r="E57" s="1333"/>
      <c r="F57" s="2040"/>
      <c r="G57" s="2040"/>
      <c r="H57" s="2040"/>
      <c r="I57" s="2040"/>
      <c r="J57" s="2040"/>
      <c r="K57" s="2040"/>
      <c r="L57" s="1446"/>
      <c r="M57" s="2041"/>
      <c r="N57" s="2041"/>
      <c r="O57" s="1701"/>
      <c r="P57" s="1382"/>
      <c r="Q57" s="1383"/>
      <c r="R57" s="1382"/>
      <c r="S57" s="1388"/>
      <c r="T57" s="1391" t="s">
        <v>176</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1</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87</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CA2E7-2BE2-321D-FA79-B1BEE74BB2F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002" width="10.57421875" hidden="1"/>
    <col min="2" max="2" style="5002" width="11.00390625" hidden="1" customWidth="1"/>
    <col min="3" max="3" style="5002" width="10.57421875" hidden="1"/>
    <col min="4" max="4" style="5002" width="11.8515625" hidden="1" customWidth="1"/>
    <col min="5" max="5" style="5002" width="10.00390625" hidden="1" customWidth="1"/>
    <col min="6" max="6" style="5002" width="8.7109375" hidden="1" customWidth="1"/>
    <col min="7" max="7" style="5002" width="7.57421875" hidden="1" customWidth="1"/>
    <col min="8" max="8" style="5002" width="11.421875" hidden="1" customWidth="1"/>
    <col min="9" max="9" style="5002" width="12.00390625" hidden="1" customWidth="1"/>
    <col min="10" max="10" style="5002" width="9.8515625" hidden="1" customWidth="1"/>
    <col min="11" max="11" style="5002" width="11.421875" hidden="1" customWidth="1"/>
    <col min="12" max="12" style="5519" width="19.140625" hidden="1" customWidth="1"/>
    <col min="13" max="14" style="4246" width="12.28125" hidden="1" customWidth="1"/>
    <col min="15" max="15" style="4246" width="23.421875" hidden="1" customWidth="1"/>
    <col min="16" max="16" style="5737" width="3.00390625" customWidth="1"/>
    <col min="17" max="18" style="5023" width="3.00390625" customWidth="1"/>
    <col min="19" max="19" style="5711" width="12.00390625" customWidth="1"/>
    <col min="20" max="20" style="5053" width="31.00390625" customWidth="1"/>
    <col min="21" max="21" style="5053" width="0.7109375" hidden="1" customWidth="1"/>
    <col min="22" max="22" style="5053" width="1.7109375" hidden="1" customWidth="1"/>
    <col min="23" max="23" style="5053" width="24.7109375" hidden="1" customWidth="1"/>
    <col min="24" max="25" style="5053" width="0.140625" hidden="1" customWidth="1"/>
    <col min="26" max="26" style="5053" width="11.7109375" hidden="1" customWidth="1"/>
    <col min="27" max="27" style="5053" width="3.7109375" hidden="1" customWidth="1"/>
    <col min="28" max="28" style="5053" width="11.7109375" hidden="1" customWidth="1"/>
    <col min="29" max="29" style="5053" width="8.57421875" hidden="1" customWidth="1"/>
    <col min="30" max="30" style="5053" width="0.140625" customWidth="1"/>
    <col min="31" max="31" style="5053" width="24.00390625" customWidth="1"/>
    <col min="32" max="33" style="5053" width="0.140625" customWidth="1"/>
    <col min="34" max="34" style="5053" width="11.00390625" customWidth="1"/>
    <col min="35" max="35" style="5053" width="3.7109375" customWidth="1"/>
    <col min="36" max="36" style="5053" width="11.00390625" customWidth="1"/>
    <col min="37" max="37" style="5053" width="8.57421875" hidden="1" customWidth="1"/>
    <col min="38" max="38" style="5053" width="4.00390625" customWidth="1"/>
    <col min="39" max="39" style="5053" width="115.00390625" customWidth="1"/>
    <col min="40" max="44" style="4562" width="10.00390625" customWidth="1"/>
    <col min="45" max="45" style="5053"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128</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409</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411</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412</v>
      </c>
      <c r="M6" s="603"/>
      <c r="P6" s="2323">
        <v>1</v>
      </c>
      <c r="Q6" s="1397"/>
      <c r="R6" s="422"/>
      <c r="S6" s="1402">
        <f>$I6</f>
      </c>
      <c r="T6" s="351" t="s">
        <v>413</v>
      </c>
      <c r="U6" s="366"/>
      <c r="V6" s="2311"/>
      <c r="W6" s="2312"/>
      <c r="X6" s="2312"/>
      <c r="Y6" s="2312"/>
      <c r="Z6" s="2312"/>
      <c r="AA6" s="2312"/>
      <c r="AB6" s="2312"/>
      <c r="AC6" s="2313"/>
      <c r="AD6" s="2311"/>
      <c r="AE6" s="2312"/>
      <c r="AF6" s="2312"/>
      <c r="AG6" s="2312"/>
      <c r="AH6" s="2312"/>
      <c r="AI6" s="2312"/>
      <c r="AJ6" s="2312"/>
      <c r="AK6" s="2312"/>
      <c r="AL6" s="2313"/>
      <c r="AM6" s="1324" t="s">
        <v>414</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415</v>
      </c>
      <c r="M7" s="603"/>
      <c r="N7" s="1432"/>
      <c r="P7" s="2323"/>
      <c r="Q7" s="2323">
        <v>1</v>
      </c>
      <c r="R7" s="423"/>
      <c r="S7" s="1402">
        <f>$J7</f>
      </c>
      <c r="T7" s="352" t="s">
        <v>416</v>
      </c>
      <c r="U7" s="366"/>
      <c r="V7" s="2311"/>
      <c r="W7" s="2312"/>
      <c r="X7" s="2312"/>
      <c r="Y7" s="2312"/>
      <c r="Z7" s="2312"/>
      <c r="AA7" s="2312"/>
      <c r="AB7" s="2312"/>
      <c r="AC7" s="2313"/>
      <c r="AD7" s="2311"/>
      <c r="AE7" s="2312"/>
      <c r="AF7" s="2312"/>
      <c r="AG7" s="2312"/>
      <c r="AH7" s="2312"/>
      <c r="AI7" s="2312"/>
      <c r="AJ7" s="2312"/>
      <c r="AK7" s="2312"/>
      <c r="AL7" s="2313"/>
      <c r="AM7" s="1324" t="s">
        <v>417</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418</v>
      </c>
      <c r="M8" s="603"/>
      <c r="N8" s="1432"/>
      <c r="O8" s="1432"/>
      <c r="P8" s="2323"/>
      <c r="Q8" s="2323"/>
      <c r="R8" s="423">
        <v>1</v>
      </c>
      <c r="S8" s="1402">
        <f>$K8</f>
      </c>
      <c r="T8" s="1413"/>
      <c r="U8" s="366"/>
      <c r="V8" s="391"/>
      <c r="W8" s="817"/>
      <c r="X8" s="391"/>
      <c r="Y8" s="450"/>
      <c r="Z8" s="2331"/>
      <c r="AA8" s="2173" t="s">
        <v>71</v>
      </c>
      <c r="AB8" s="2331"/>
      <c r="AC8" s="2173" t="s">
        <v>71</v>
      </c>
      <c r="AD8" s="391"/>
      <c r="AE8" s="817"/>
      <c r="AF8" s="391"/>
      <c r="AG8" s="450"/>
      <c r="AH8" s="2331"/>
      <c r="AI8" s="2173" t="s">
        <v>71</v>
      </c>
      <c r="AJ8" s="2331"/>
      <c r="AK8" s="2173" t="s">
        <v>71</v>
      </c>
      <c r="AL8" s="391"/>
      <c r="AM8" s="2319" t="s">
        <v>419</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420</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421</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422</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562"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173</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562"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174</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562"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175</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71</v>
      </c>
      <c r="AJ17" s="2333"/>
      <c r="AK17" s="2334" t="s">
        <v>71</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5002" customFormat="1" customHeight="1" ht="22.5" hidden="1">
      <c r="L20" s="1395"/>
      <c r="M20" s="1428"/>
      <c r="N20" s="1428"/>
      <c r="O20" s="1433" t="s">
        <v>423</v>
      </c>
      <c r="P20" s="1428"/>
      <c r="Q20" s="1437"/>
      <c r="R20" s="1437"/>
      <c r="S20" s="795"/>
      <c r="Z20" s="1433"/>
      <c r="AB20" s="1433"/>
      <c r="AC20" s="1432"/>
      <c r="AH20" s="1433"/>
      <c r="AJ20" s="1433"/>
      <c r="AK20" s="1432"/>
      <c r="AN20" s="577"/>
      <c r="AO20" s="577"/>
      <c r="AP20" s="577"/>
      <c r="AQ20" s="577"/>
      <c r="AR20" s="577"/>
      <c r="AS20" s="1226">
        <v>0</v>
      </c>
    </row>
    <row s="5002" customFormat="1" customHeight="1" ht="14.25" hidden="1">
      <c r="L21" s="1395"/>
      <c r="M21" s="1428"/>
      <c r="N21" s="1428"/>
      <c r="O21" s="1428"/>
      <c r="P21" s="1428"/>
      <c r="Q21" s="1437"/>
      <c r="R21" s="1437"/>
      <c r="S21" s="795"/>
      <c r="AC21" s="1432"/>
      <c r="AK21" s="1432"/>
      <c r="AN21" s="577"/>
      <c r="AO21" s="577"/>
      <c r="AP21" s="577"/>
      <c r="AQ21" s="577"/>
      <c r="AR21" s="577"/>
      <c r="AS21" s="1226">
        <v>0</v>
      </c>
    </row>
    <row s="5002" customFormat="1" customHeight="1" ht="33.75" hidden="1">
      <c r="L22" s="1395"/>
      <c r="M22" s="1428"/>
      <c r="N22" s="1428"/>
      <c r="O22" s="1430" t="s">
        <v>424</v>
      </c>
      <c r="P22" s="1428"/>
      <c r="Q22" s="1437"/>
      <c r="R22" s="1437"/>
      <c r="S22" s="795"/>
      <c r="T22" s="1226" t="s">
        <v>425</v>
      </c>
      <c r="AA22" s="252" t="s">
        <v>426</v>
      </c>
      <c r="AC22" s="252" t="s">
        <v>427</v>
      </c>
      <c r="AD22" s="1226" t="s">
        <v>425</v>
      </c>
      <c r="AI22" s="252" t="s">
        <v>428</v>
      </c>
      <c r="AK22" s="252" t="s">
        <v>427</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29.25">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221">
        <v>28</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597"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Департамент тарифной политики, энергетики и ЖКК ЯНАО </v>
      </c>
      <c r="W29" s="2317"/>
      <c r="X29" s="2317"/>
      <c r="Y29" s="2317"/>
      <c r="Z29" s="2317"/>
      <c r="AA29" s="2317"/>
      <c r="AB29" s="2317"/>
      <c r="AC29" s="392"/>
      <c r="AD29" s="2317" t="str">
        <f>IF(TITLE_NAME_OR_PR_CHANGE="",IF(TITLE_NAME_OR_PR="","",TITLE_NAME_OR_PR),TITLE_NAME_OR_PR_CHANGE)</f>
        <v>Департамент тарифной политики, энергетики и ЖКК ЯНАО </v>
      </c>
      <c r="AE29" s="2317"/>
      <c r="AF29" s="2317"/>
      <c r="AG29" s="2317"/>
      <c r="AH29" s="2317"/>
      <c r="AI29" s="2317"/>
      <c r="AJ29" s="2317"/>
      <c r="AK29" s="392"/>
      <c r="AL29" s="392"/>
      <c r="AM29" s="346"/>
      <c r="AN29" s="434"/>
      <c r="AO29" s="434"/>
      <c r="AP29" s="434"/>
      <c r="AQ29" s="434"/>
      <c r="AR29" s="434"/>
      <c r="AS29" s="484">
        <v>0</v>
      </c>
    </row>
    <row s="5597" customFormat="1" customHeight="1" ht="18.75">
      <c r="A30" s="1434"/>
      <c r="B30" s="1434"/>
      <c r="C30" s="1434"/>
      <c r="D30" s="1434"/>
      <c r="E30" s="1434"/>
      <c r="F30" s="1434"/>
      <c r="G30" s="1434"/>
      <c r="H30" s="1434"/>
      <c r="I30" s="1434"/>
      <c r="J30" s="1434"/>
      <c r="K30" s="1434"/>
      <c r="L30" s="1435"/>
      <c r="M30" s="1434"/>
      <c r="N30" s="1434"/>
      <c r="O30" s="1434"/>
      <c r="S30" s="2316" t="s">
        <v>429</v>
      </c>
      <c r="T30" s="2316"/>
      <c r="U30" s="1438"/>
      <c r="V30" s="2330" t="str">
        <f>IF(TITLE_DATE_PR_CHANGE="",IF(TITLE_DATE_PR="","",TITLE_DATE_PR),TITLE_DATE_PR_CHANGE)</f>
        <v>45631.41619212963</v>
      </c>
      <c r="W30" s="2330"/>
      <c r="X30" s="2330"/>
      <c r="Y30" s="2330"/>
      <c r="Z30" s="2330"/>
      <c r="AA30" s="2330"/>
      <c r="AB30" s="2330"/>
      <c r="AC30" s="392"/>
      <c r="AD30" s="2330" t="str">
        <f>IF(TITLE_DATE_PR_CHANGE="",IF(TITLE_DATE_PR="","",TITLE_DATE_PR),TITLE_DATE_PR_CHANGE)</f>
        <v>45631.41619212963</v>
      </c>
      <c r="AE30" s="2330"/>
      <c r="AF30" s="2330"/>
      <c r="AG30" s="2330"/>
      <c r="AH30" s="2330"/>
      <c r="AI30" s="2330"/>
      <c r="AJ30" s="2330"/>
      <c r="AK30" s="392"/>
      <c r="AL30" s="392"/>
      <c r="AM30" s="346"/>
      <c r="AN30" s="434"/>
      <c r="AO30" s="434"/>
      <c r="AP30" s="434"/>
      <c r="AQ30" s="434"/>
      <c r="AR30" s="434"/>
      <c r="AS30" s="484">
        <v>0</v>
      </c>
    </row>
    <row s="5597" customFormat="1" customHeight="1" ht="18.75">
      <c r="A31" s="1434"/>
      <c r="B31" s="1434"/>
      <c r="C31" s="1434"/>
      <c r="D31" s="1434"/>
      <c r="E31" s="1434"/>
      <c r="F31" s="1434"/>
      <c r="G31" s="1434"/>
      <c r="H31" s="1434"/>
      <c r="I31" s="1434"/>
      <c r="J31" s="1434"/>
      <c r="K31" s="1434"/>
      <c r="L31" s="1435"/>
      <c r="M31" s="1434"/>
      <c r="N31" s="1434"/>
      <c r="O31" s="1434"/>
      <c r="S31" s="2316" t="s">
        <v>430</v>
      </c>
      <c r="T31" s="2316"/>
      <c r="U31" s="1438"/>
      <c r="V31" s="2317" t="str">
        <f>IF(TITLE_NUMBER_PR_CHANGE="",IF(TITLE_NUMBER_PR="","",TITLE_NUMBER_PR),TITLE_NUMBER_PR_CHANGE)</f>
        <v>447-т</v>
      </c>
      <c r="W31" s="2317"/>
      <c r="X31" s="2317"/>
      <c r="Y31" s="2317"/>
      <c r="Z31" s="2317"/>
      <c r="AA31" s="2317"/>
      <c r="AB31" s="2317"/>
      <c r="AC31" s="392"/>
      <c r="AD31" s="2317" t="str">
        <f>IF(TITLE_NUMBER_PR_CHANGE="",IF(TITLE_NUMBER_PR="","",TITLE_NUMBER_PR),TITLE_NUMBER_PR_CHANGE)</f>
        <v>447-т</v>
      </c>
      <c r="AE31" s="2317"/>
      <c r="AF31" s="2317"/>
      <c r="AG31" s="2317"/>
      <c r="AH31" s="2317"/>
      <c r="AI31" s="2317"/>
      <c r="AJ31" s="2317"/>
      <c r="AK31" s="392"/>
      <c r="AL31" s="392"/>
      <c r="AM31" s="346"/>
      <c r="AN31" s="434"/>
      <c r="AO31" s="434"/>
      <c r="AP31" s="434"/>
      <c r="AQ31" s="434"/>
      <c r="AR31" s="434"/>
      <c r="AS31" s="484">
        <v>0</v>
      </c>
    </row>
    <row s="5597"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Официальный сайт Департамента тарифной политики, энергетики и ЖКК ЯНАО, https://rek-yamal.ru, 05.12.2024</v>
      </c>
      <c r="W32" s="2317"/>
      <c r="X32" s="2317"/>
      <c r="Y32" s="2317"/>
      <c r="Z32" s="2317"/>
      <c r="AA32" s="2317"/>
      <c r="AB32" s="2317"/>
      <c r="AC32" s="392"/>
      <c r="AD32" s="2317" t="str">
        <f>IF(TITLE_IST_PUB_CHANGE="",IF(TITLE_IST_PUB="","",TITLE_IST_PUB),TITLE_IST_PUB_CHANGE)</f>
        <v>Официальный сайт Департамента тарифной политики, энергетики и ЖКК ЯНАО, https://rek-yamal.ru, 05.12.2024</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597" customFormat="1" customHeight="1" ht="18.75" hidden="1">
      <c r="A34" s="1434"/>
      <c r="B34" s="1434"/>
      <c r="C34" s="1434"/>
      <c r="D34" s="1434"/>
      <c r="E34" s="1434"/>
      <c r="F34" s="1434"/>
      <c r="G34" s="1434"/>
      <c r="H34" s="1434"/>
      <c r="I34" s="1434"/>
      <c r="J34" s="1434"/>
      <c r="K34" s="1434"/>
      <c r="L34" s="1435"/>
      <c r="M34" s="1434"/>
      <c r="N34" s="1434"/>
      <c r="O34" s="1434"/>
      <c r="S34" s="2316" t="s">
        <v>431</v>
      </c>
      <c r="T34" s="2316"/>
      <c r="U34" s="1438"/>
      <c r="V34" s="2330" t="str">
        <f>IF(TITLE_DATE_PR_CHANGE="",IF(TITLE_DATE_PR="","",TITLE_DATE_PR),TITLE_DATE_PR_CHANGE)</f>
        <v>45631.41619212963</v>
      </c>
      <c r="W34" s="2330"/>
      <c r="X34" s="2330"/>
      <c r="Y34" s="2330"/>
      <c r="Z34" s="2330"/>
      <c r="AA34" s="2330"/>
      <c r="AB34" s="2330"/>
      <c r="AC34" s="392"/>
      <c r="AD34" s="2330" t="str">
        <f>IF(TITLE_DATE_PR_CHANGE="",IF(TITLE_DATE_PR="","",TITLE_DATE_PR),TITLE_DATE_PR_CHANGE)</f>
        <v>45631.41619212963</v>
      </c>
      <c r="AE34" s="2330"/>
      <c r="AF34" s="2330"/>
      <c r="AG34" s="2330"/>
      <c r="AH34" s="2330"/>
      <c r="AI34" s="2330"/>
      <c r="AJ34" s="2330"/>
      <c r="AK34" s="392"/>
      <c r="AL34" s="392"/>
      <c r="AM34" s="346"/>
      <c r="AN34" s="434"/>
      <c r="AO34" s="434"/>
      <c r="AP34" s="434"/>
      <c r="AQ34" s="434"/>
      <c r="AR34" s="434"/>
      <c r="AS34" s="484">
        <v>0</v>
      </c>
    </row>
    <row s="5597" customFormat="1" customHeight="1" ht="18.75" hidden="1">
      <c r="A35" s="1434"/>
      <c r="B35" s="1434"/>
      <c r="C35" s="1434"/>
      <c r="D35" s="1434"/>
      <c r="E35" s="1434"/>
      <c r="F35" s="1434"/>
      <c r="G35" s="1434"/>
      <c r="H35" s="1434"/>
      <c r="I35" s="1434"/>
      <c r="J35" s="1434"/>
      <c r="K35" s="1434"/>
      <c r="L35" s="1435"/>
      <c r="M35" s="1434"/>
      <c r="N35" s="1434"/>
      <c r="O35" s="1434"/>
      <c r="S35" s="2316" t="s">
        <v>432</v>
      </c>
      <c r="T35" s="2316"/>
      <c r="U35" s="1438"/>
      <c r="V35" s="2317" t="str">
        <f>IF(TITLE_NUMBER_PR_CHANGE="",IF(TITLE_NUMBER_PR="","",TITLE_NUMBER_PR),TITLE_NUMBER_PR_CHANGE)</f>
        <v>447-т</v>
      </c>
      <c r="W35" s="2317"/>
      <c r="X35" s="2317"/>
      <c r="Y35" s="2317"/>
      <c r="Z35" s="2317"/>
      <c r="AA35" s="2317"/>
      <c r="AB35" s="2317"/>
      <c r="AC35" s="392"/>
      <c r="AD35" s="2317" t="str">
        <f>IF(TITLE_NUMBER_PR_CHANGE="",IF(TITLE_NUMBER_PR="","",TITLE_NUMBER_PR),TITLE_NUMBER_PR_CHANGE)</f>
        <v>447-т</v>
      </c>
      <c r="AE35" s="2317"/>
      <c r="AF35" s="2317"/>
      <c r="AG35" s="2317"/>
      <c r="AH35" s="2317"/>
      <c r="AI35" s="2317"/>
      <c r="AJ35" s="2317"/>
      <c r="AK35" s="392"/>
      <c r="AL35" s="392"/>
      <c r="AM35" s="346"/>
      <c r="AN35" s="434"/>
      <c r="AO35" s="434"/>
      <c r="AP35" s="434"/>
      <c r="AQ35" s="434"/>
      <c r="AR35" s="434"/>
      <c r="AS35" s="484">
        <v>0</v>
      </c>
    </row>
    <row s="5597"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433</v>
      </c>
      <c r="AD36" s="392"/>
      <c r="AE36" s="392"/>
      <c r="AF36" s="392"/>
      <c r="AG36" s="392"/>
      <c r="AH36" s="392"/>
      <c r="AI36" s="392"/>
      <c r="AJ36" s="392"/>
      <c r="AK36" s="344" t="s">
        <v>433</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221">
        <v>14</v>
      </c>
    </row>
    <row customHeight="1" ht="14.699999999999998">
      <c r="Q39" s="442"/>
      <c r="R39" s="442"/>
      <c r="S39" s="2339" t="s">
        <v>93</v>
      </c>
      <c r="T39" s="2275" t="s">
        <v>434</v>
      </c>
      <c r="U39" s="367"/>
      <c r="V39" s="2340" t="s">
        <v>435</v>
      </c>
      <c r="W39" s="2341"/>
      <c r="X39" s="2357"/>
      <c r="Y39" s="2357"/>
      <c r="Z39" s="2341"/>
      <c r="AA39" s="2341"/>
      <c r="AB39" s="2342"/>
      <c r="AC39" s="2343" t="s">
        <v>436</v>
      </c>
      <c r="AD39" s="2340" t="s">
        <v>435</v>
      </c>
      <c r="AE39" s="2341"/>
      <c r="AF39" s="2357"/>
      <c r="AG39" s="2357"/>
      <c r="AH39" s="2341"/>
      <c r="AI39" s="2341"/>
      <c r="AJ39" s="2342"/>
      <c r="AK39" s="2343" t="s">
        <v>437</v>
      </c>
      <c r="AL39" s="2346" t="s">
        <v>438</v>
      </c>
      <c r="AM39" s="2193"/>
      <c r="AS39" s="1221">
        <v>14</v>
      </c>
    </row>
    <row customHeight="1" ht="24">
      <c r="Q40" s="442"/>
      <c r="R40" s="442"/>
      <c r="S40" s="2339"/>
      <c r="T40" s="2275"/>
      <c r="U40" s="1097"/>
      <c r="V40" s="2358" t="s">
        <v>439</v>
      </c>
      <c r="W40" s="2360" t="s">
        <v>440</v>
      </c>
      <c r="X40" s="1442" t="s">
        <v>441</v>
      </c>
      <c r="Y40" s="1442"/>
      <c r="Z40" s="2335" t="s">
        <v>442</v>
      </c>
      <c r="AA40" s="2335"/>
      <c r="AB40" s="2329"/>
      <c r="AC40" s="2344"/>
      <c r="AD40" s="2358" t="s">
        <v>439</v>
      </c>
      <c r="AE40" s="2360" t="s">
        <v>440</v>
      </c>
      <c r="AF40" s="1442" t="s">
        <v>441</v>
      </c>
      <c r="AG40" s="1442"/>
      <c r="AH40" s="2335" t="s">
        <v>442</v>
      </c>
      <c r="AI40" s="2335"/>
      <c r="AJ40" s="2329"/>
      <c r="AK40" s="2344"/>
      <c r="AL40" s="2347"/>
      <c r="AM40" s="2193"/>
      <c r="AS40" s="1221">
        <v>23</v>
      </c>
    </row>
    <row s="5129" customFormat="1" customHeight="1" ht="24">
      <c r="A41" s="1436"/>
      <c r="B41" s="1436" t="s">
        <v>140</v>
      </c>
      <c r="C41" s="1436" t="s">
        <v>141</v>
      </c>
      <c r="D41" s="1436" t="s">
        <v>142</v>
      </c>
      <c r="E41" s="1430" t="s">
        <v>443</v>
      </c>
      <c r="F41" s="1430" t="s">
        <v>444</v>
      </c>
      <c r="G41" s="1430" t="s">
        <v>445</v>
      </c>
      <c r="H41" s="1430" t="s">
        <v>446</v>
      </c>
      <c r="I41" s="1430" t="s">
        <v>447</v>
      </c>
      <c r="J41" s="1430" t="s">
        <v>448</v>
      </c>
      <c r="K41" s="1430" t="s">
        <v>449</v>
      </c>
      <c r="L41" s="1430" t="s">
        <v>424</v>
      </c>
      <c r="M41" s="1428"/>
      <c r="N41" s="1428"/>
      <c r="O41" s="1428"/>
      <c r="P41" s="1394"/>
      <c r="Q41" s="442"/>
      <c r="R41" s="442"/>
      <c r="S41" s="2339"/>
      <c r="T41" s="2275"/>
      <c r="U41" s="368"/>
      <c r="V41" s="2359"/>
      <c r="W41" s="2361"/>
      <c r="X41" s="1439" t="s">
        <v>450</v>
      </c>
      <c r="Y41" s="1439" t="s">
        <v>451</v>
      </c>
      <c r="Z41" s="1400" t="s">
        <v>452</v>
      </c>
      <c r="AA41" s="2336" t="s">
        <v>453</v>
      </c>
      <c r="AB41" s="2337"/>
      <c r="AC41" s="2345"/>
      <c r="AD41" s="2359"/>
      <c r="AE41" s="2361"/>
      <c r="AF41" s="1439" t="s">
        <v>450</v>
      </c>
      <c r="AG41" s="1439" t="s">
        <v>451</v>
      </c>
      <c r="AH41" s="1400" t="s">
        <v>452</v>
      </c>
      <c r="AI41" s="2336" t="s">
        <v>453</v>
      </c>
      <c r="AJ41" s="2337"/>
      <c r="AK41" s="2345"/>
      <c r="AL41" s="2348"/>
      <c r="AM41" s="2193"/>
      <c r="AN41" s="577"/>
      <c r="AO41" s="566"/>
      <c r="AP41" s="566"/>
      <c r="AQ41" s="566"/>
      <c r="AR41" s="566"/>
      <c r="AS41" s="648">
        <v>23</v>
      </c>
    </row>
    <row s="4153"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114</v>
      </c>
      <c r="T42" s="1321" t="s">
        <v>115</v>
      </c>
      <c r="U42" s="1311" t="str">
        <f>OFFSET(U42,0,-1)</f>
        <v>2</v>
      </c>
      <c r="V42" s="1401">
        <f>OFFSET(V42,0,-1)+1</f>
        <v>3</v>
      </c>
      <c r="W42" s="1401"/>
      <c r="X42" s="1407">
        <f>OFFSET(X42,0,-1)+1</f>
        <v>1</v>
      </c>
      <c r="Y42" s="1407">
        <f>OFFSET(Y42,0,-1)+1</f>
        <v>2</v>
      </c>
      <c r="Z42" s="1401">
        <f>OFFSET(Z42,0,-1)+1</f>
        <v>3</v>
      </c>
      <c r="AA42" s="2338">
        <f>OFFSET(AA42,0,-1)+1</f>
        <v>4</v>
      </c>
      <c r="AB42" s="2338"/>
      <c r="AC42" s="1401">
        <f>OFFSET(AC42,0,-2)+1</f>
        <v>5</v>
      </c>
      <c r="AD42" s="1401">
        <f>OFFSET(AD42,0,-1)+1</f>
        <v>6</v>
      </c>
      <c r="AE42" s="1401"/>
      <c r="AF42" s="1407">
        <f>OFFSET(AF42,0,-1)+1</f>
        <v>1</v>
      </c>
      <c r="AG42" s="1407">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203</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128</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203</v>
      </c>
      <c r="B44" s="1429" t="s">
        <v>204</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566"/>
      <c r="AP44" s="566" t="str">
        <f>IF(T44="","",T44)</f>
        <v>Территория действия тарифа</v>
      </c>
      <c r="AQ44" s="566"/>
      <c r="AR44" s="566"/>
      <c r="AS44" s="1221">
        <v>21</v>
      </c>
    </row>
    <row customHeight="1" ht="24">
      <c r="A45" s="1429" t="s">
        <v>203</v>
      </c>
      <c r="B45" s="1429" t="s">
        <v>204</v>
      </c>
      <c r="C45" s="1429" t="s">
        <v>205</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566"/>
      <c r="AP45" s="566" t="str">
        <f>IF(T45="","",T45)</f>
        <v>Наименование системы теплоснабжения </v>
      </c>
      <c r="AQ45" s="566"/>
      <c r="AR45" s="566"/>
      <c r="AS45" s="1221">
        <v>23</v>
      </c>
    </row>
    <row customHeight="1" ht="22.049999999999997">
      <c r="A46" s="1429" t="s">
        <v>203</v>
      </c>
      <c r="B46" s="1429" t="s">
        <v>204</v>
      </c>
      <c r="C46" s="1429" t="s">
        <v>205</v>
      </c>
      <c r="D46" s="1429" t="s">
        <v>206</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566"/>
      <c r="AP46" s="566" t="str">
        <f>IF(T46="","",T46)</f>
        <v>Источник тепловой энергии  </v>
      </c>
      <c r="AQ46" s="566"/>
      <c r="AR46" s="566"/>
      <c r="AS46" s="1221">
        <v>21</v>
      </c>
    </row>
    <row customHeight="1" ht="49.5">
      <c r="A47" s="1429" t="s">
        <v>203</v>
      </c>
      <c r="B47" s="1429" t="s">
        <v>204</v>
      </c>
      <c r="C47" s="1429" t="s">
        <v>205</v>
      </c>
      <c r="D47" s="1429" t="s">
        <v>206</v>
      </c>
      <c r="E47" s="2325"/>
      <c r="F47" s="2325"/>
      <c r="G47" s="2325"/>
      <c r="H47" s="2325"/>
      <c r="I47" s="2322" t="str">
        <f>S46&amp;".1"</f>
        <v>....1</v>
      </c>
      <c r="J47" s="1429"/>
      <c r="K47" s="1429"/>
      <c r="L47" s="1430" t="s">
        <v>412</v>
      </c>
      <c r="P47" s="2323">
        <v>1</v>
      </c>
      <c r="Q47" s="1397"/>
      <c r="R47" s="422"/>
      <c r="S47" s="1402" t="str">
        <f>$I47</f>
        <v>....1</v>
      </c>
      <c r="T47" s="351" t="s">
        <v>413</v>
      </c>
      <c r="U47" s="366"/>
      <c r="V47" s="2311"/>
      <c r="W47" s="2312"/>
      <c r="X47" s="2312"/>
      <c r="Y47" s="2312"/>
      <c r="Z47" s="2312"/>
      <c r="AA47" s="2312"/>
      <c r="AB47" s="2312"/>
      <c r="AC47" s="2313"/>
      <c r="AD47" s="2311"/>
      <c r="AE47" s="2312"/>
      <c r="AF47" s="2312"/>
      <c r="AG47" s="2312"/>
      <c r="AH47" s="2312"/>
      <c r="AI47" s="2312"/>
      <c r="AJ47" s="2312"/>
      <c r="AK47" s="2312"/>
      <c r="AL47" s="2313"/>
      <c r="AM47" s="1324" t="s">
        <v>414</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203</v>
      </c>
      <c r="B48" s="1429" t="s">
        <v>204</v>
      </c>
      <c r="C48" s="1429" t="s">
        <v>205</v>
      </c>
      <c r="D48" s="1429" t="s">
        <v>206</v>
      </c>
      <c r="E48" s="2325"/>
      <c r="F48" s="2325"/>
      <c r="G48" s="2325"/>
      <c r="H48" s="2325"/>
      <c r="I48" s="2352"/>
      <c r="J48" s="2322" t="str">
        <f>I47&amp;".1"</f>
        <v>....1.1</v>
      </c>
      <c r="K48" s="1429"/>
      <c r="L48" s="1430" t="s">
        <v>415</v>
      </c>
      <c r="P48" s="2323"/>
      <c r="Q48" s="2323">
        <v>1</v>
      </c>
      <c r="R48" s="423"/>
      <c r="S48" s="1402" t="str">
        <f>$J48</f>
        <v>....1.1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566"/>
      <c r="AP48" s="566" t="str">
        <f>IF(T48="","",T48)</f>
        <v>Группа потребителей</v>
      </c>
      <c r="AQ48" s="566"/>
      <c r="AR48" s="566"/>
      <c r="AS48" s="1221">
        <v>21</v>
      </c>
    </row>
    <row customHeight="1" ht="22.049999999999997">
      <c r="A49" s="1429" t="s">
        <v>203</v>
      </c>
      <c r="B49" s="1429" t="s">
        <v>204</v>
      </c>
      <c r="C49" s="1429" t="s">
        <v>205</v>
      </c>
      <c r="D49" s="1429" t="s">
        <v>206</v>
      </c>
      <c r="E49" s="2325"/>
      <c r="F49" s="2325"/>
      <c r="G49" s="2325"/>
      <c r="H49" s="2325"/>
      <c r="I49" s="2352"/>
      <c r="J49" s="2352"/>
      <c r="K49" s="2322" t="str">
        <f>J48&amp;".1"</f>
        <v>....1.1.1</v>
      </c>
      <c r="L49" s="1430" t="s">
        <v>418</v>
      </c>
      <c r="P49" s="2323"/>
      <c r="Q49" s="2323"/>
      <c r="R49" s="423">
        <v>1</v>
      </c>
      <c r="S49" s="1402" t="str">
        <f>$K49</f>
        <v>....1.1.1</v>
      </c>
      <c r="T49" s="1413"/>
      <c r="U49" s="366"/>
      <c r="V49" s="391"/>
      <c r="W49" s="817"/>
      <c r="X49" s="391"/>
      <c r="Y49" s="450"/>
      <c r="Z49" s="2331"/>
      <c r="AA49" s="2173" t="s">
        <v>71</v>
      </c>
      <c r="AB49" s="2331"/>
      <c r="AC49" s="2173" t="s">
        <v>71</v>
      </c>
      <c r="AD49" s="391"/>
      <c r="AE49" s="817"/>
      <c r="AF49" s="391"/>
      <c r="AG49" s="450"/>
      <c r="AH49" s="2331"/>
      <c r="AI49" s="2173" t="s">
        <v>71</v>
      </c>
      <c r="AJ49" s="2353"/>
      <c r="AK49" s="2173" t="s">
        <v>71</v>
      </c>
      <c r="AL49" s="1414"/>
      <c r="AM49" s="2319" t="s">
        <v>419</v>
      </c>
      <c r="AN49" s="577">
        <f>STRCHECKDATE(V50:AL50)</f>
      </c>
      <c r="AO49" s="566"/>
      <c r="AP49" s="566" t="str">
        <f>IF(T49="","",T49)</f>
        <v/>
      </c>
      <c r="AQ49" s="566"/>
      <c r="AR49" s="566"/>
      <c r="AS49" s="1221">
        <v>21</v>
      </c>
    </row>
    <row customHeight="1" ht="1.05">
      <c r="A50" s="1429" t="s">
        <v>203</v>
      </c>
      <c r="B50" s="1429" t="s">
        <v>204</v>
      </c>
      <c r="C50" s="1429" t="s">
        <v>205</v>
      </c>
      <c r="D50" s="1429" t="s">
        <v>206</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203</v>
      </c>
      <c r="B51" s="1429" t="s">
        <v>204</v>
      </c>
      <c r="C51" s="1429" t="s">
        <v>205</v>
      </c>
      <c r="D51" s="1429" t="s">
        <v>206</v>
      </c>
      <c r="E51" s="2325"/>
      <c r="F51" s="2325"/>
      <c r="G51" s="2325"/>
      <c r="H51" s="2325"/>
      <c r="I51" s="2352"/>
      <c r="J51" s="2322"/>
      <c r="K51" s="1429"/>
      <c r="L51" s="1430"/>
      <c r="P51" s="2323"/>
      <c r="Q51" s="2323"/>
      <c r="R51" s="422"/>
      <c r="S51" s="1344"/>
      <c r="T51" s="354" t="s">
        <v>420</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203</v>
      </c>
      <c r="B52" s="1429" t="s">
        <v>204</v>
      </c>
      <c r="C52" s="1429" t="s">
        <v>205</v>
      </c>
      <c r="D52" s="1429" t="s">
        <v>206</v>
      </c>
      <c r="E52" s="2325"/>
      <c r="F52" s="2325"/>
      <c r="G52" s="2325"/>
      <c r="H52" s="2325"/>
      <c r="I52" s="2322"/>
      <c r="J52" s="1429"/>
      <c r="K52" s="1429"/>
      <c r="L52" s="1430"/>
      <c r="P52" s="2323"/>
      <c r="Q52" s="1397"/>
      <c r="R52" s="422"/>
      <c r="S52" s="1344"/>
      <c r="T52" s="353" t="s">
        <v>421</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203</v>
      </c>
      <c r="B53" s="1429" t="s">
        <v>204</v>
      </c>
      <c r="C53" s="1429" t="s">
        <v>205</v>
      </c>
      <c r="D53" s="1429" t="s">
        <v>206</v>
      </c>
      <c r="E53" s="2325"/>
      <c r="F53" s="2325"/>
      <c r="G53" s="2325"/>
      <c r="H53" s="2324"/>
      <c r="I53" s="1429"/>
      <c r="J53" s="1429"/>
      <c r="K53" s="1429"/>
      <c r="L53" s="1430"/>
      <c r="M53" s="1431"/>
      <c r="N53" s="1431"/>
      <c r="O53" s="603"/>
      <c r="P53" s="426"/>
      <c r="Q53" s="441"/>
      <c r="R53" s="421"/>
      <c r="S53" s="1344"/>
      <c r="T53" s="431" t="s">
        <v>422</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562" customFormat="1" customHeight="1" ht="1.05">
      <c r="A54" s="1409" t="s">
        <v>203</v>
      </c>
      <c r="B54" s="1409" t="s">
        <v>204</v>
      </c>
      <c r="C54" s="1409" t="s">
        <v>205</v>
      </c>
      <c r="D54" s="1380"/>
      <c r="E54" s="2325"/>
      <c r="F54" s="2325"/>
      <c r="G54" s="2324"/>
      <c r="H54" s="1380"/>
      <c r="I54" s="1380"/>
      <c r="J54" s="1380"/>
      <c r="K54" s="1380"/>
      <c r="L54" s="1405"/>
      <c r="M54" s="1381"/>
      <c r="N54" s="1381"/>
      <c r="P54" s="1382"/>
      <c r="Q54" s="1383"/>
      <c r="R54" s="1382"/>
      <c r="S54" s="1388"/>
      <c r="T54" s="1391" t="s">
        <v>173</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562" customFormat="1" customHeight="1" ht="1.05">
      <c r="A55" s="1409" t="s">
        <v>203</v>
      </c>
      <c r="B55" s="1409" t="s">
        <v>204</v>
      </c>
      <c r="C55" s="1380"/>
      <c r="D55" s="1380"/>
      <c r="E55" s="2325"/>
      <c r="F55" s="2324"/>
      <c r="G55" s="1380"/>
      <c r="H55" s="1380"/>
      <c r="I55" s="1380"/>
      <c r="J55" s="1380"/>
      <c r="K55" s="1380"/>
      <c r="L55" s="1405"/>
      <c r="M55" s="1387"/>
      <c r="N55" s="1387"/>
      <c r="P55" s="1382"/>
      <c r="Q55" s="1383"/>
      <c r="R55" s="1382"/>
      <c r="S55" s="1388"/>
      <c r="T55" s="1391" t="s">
        <v>174</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562" customFormat="1" customHeight="1" ht="1.05">
      <c r="A56" s="1409" t="s">
        <v>203</v>
      </c>
      <c r="B56" s="1409"/>
      <c r="C56" s="1409"/>
      <c r="D56" s="1409"/>
      <c r="E56" s="2324"/>
      <c r="F56" s="1409"/>
      <c r="G56" s="1409"/>
      <c r="H56" s="1409"/>
      <c r="I56" s="1409"/>
      <c r="J56" s="1409"/>
      <c r="K56" s="1409"/>
      <c r="L56" s="1412"/>
      <c r="M56" s="1387"/>
      <c r="N56" s="1387"/>
      <c r="O56" s="584"/>
      <c r="P56" s="446"/>
      <c r="Q56" s="1410"/>
      <c r="R56" s="446"/>
      <c r="S56" s="1388"/>
      <c r="T56" s="1391" t="s">
        <v>175</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562"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78.7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75</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39.7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38</v>
      </c>
    </row>
    <row customHeight="1" ht="22.5" hidden="1">
      <c r="A65" s="1226" t="s">
        <v>87</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0</v>
      </c>
      <c r="AE65" s="1221">
        <v>24</v>
      </c>
      <c r="AF65" s="1221">
        <v>0</v>
      </c>
      <c r="AG65" s="1221">
        <v>0</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8D924-5FBB-F11B-650E-77A9AC663E3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002" width="10.57421875" hidden="1"/>
    <col min="2" max="2" style="5002" width="11.00390625" hidden="1" customWidth="1"/>
    <col min="3" max="3" style="5002" width="10.57421875" hidden="1"/>
    <col min="4" max="4" style="5002" width="11.8515625" hidden="1" customWidth="1"/>
    <col min="5" max="5" style="5002" width="10.00390625" hidden="1" customWidth="1"/>
    <col min="6" max="6" style="5002" width="8.7109375" hidden="1" customWidth="1"/>
    <col min="7" max="7" style="5002" width="7.57421875" hidden="1" customWidth="1"/>
    <col min="8" max="8" style="5002" width="11.421875" hidden="1" customWidth="1"/>
    <col min="9" max="9" style="5002" width="12.00390625" hidden="1" customWidth="1"/>
    <col min="10" max="10" style="5002" width="9.8515625" hidden="1" customWidth="1"/>
    <col min="11" max="11" style="5002" width="11.421875" hidden="1" customWidth="1"/>
    <col min="12" max="12" style="5519" width="19.140625" hidden="1" customWidth="1"/>
    <col min="13" max="14" style="4246" width="12.28125" hidden="1" customWidth="1"/>
    <col min="15" max="15" style="4246" width="23.421875" hidden="1" customWidth="1"/>
    <col min="16" max="16" style="5737" width="3.7109375" hidden="1" customWidth="1"/>
    <col min="17" max="18" style="5023" width="3.00390625" customWidth="1"/>
    <col min="19" max="19" style="5711" width="12.00390625" customWidth="1"/>
    <col min="20" max="20" style="5053" width="31.00390625" customWidth="1"/>
    <col min="21" max="21" style="5053" width="0.140625" customWidth="1"/>
    <col min="22" max="22" style="5053" width="24.7109375" hidden="1" customWidth="1"/>
    <col min="23" max="23" style="5053" width="0.140625" hidden="1" customWidth="1"/>
    <col min="24" max="25" style="5053" width="24.7109375" hidden="1" customWidth="1"/>
    <col min="26" max="26" style="5053" width="11.7109375" hidden="1" customWidth="1"/>
    <col min="27" max="27" style="5053" width="3.7109375" hidden="1" customWidth="1"/>
    <col min="28" max="28" style="5053" width="11.7109375" hidden="1" customWidth="1"/>
    <col min="29" max="29" style="5053" width="8.57421875" hidden="1" customWidth="1"/>
    <col min="30" max="30" style="5053" width="24.7109375" customWidth="1"/>
    <col min="31" max="31" style="5053" width="0.140625" customWidth="1"/>
    <col min="32" max="33" style="5053" width="24.00390625" customWidth="1"/>
    <col min="34" max="34" style="5053" width="11.00390625" customWidth="1"/>
    <col min="35" max="35" style="5053" width="3.7109375" customWidth="1"/>
    <col min="36" max="36" style="5053" width="11.00390625" customWidth="1"/>
    <col min="37" max="37" style="5053" width="8.57421875" hidden="1" customWidth="1"/>
    <col min="38" max="38" style="5053" width="4.00390625" customWidth="1"/>
    <col min="39" max="39" style="5053" width="115.00390625" customWidth="1"/>
    <col min="40" max="44" style="4562" width="10.00390625" customWidth="1"/>
    <col min="45" max="45" style="5053" width="8.421875" hidden="1" customWidth="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128</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409</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411</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412</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415</v>
      </c>
      <c r="M7" s="603"/>
      <c r="N7" s="1432"/>
      <c r="P7" s="2323"/>
      <c r="Q7" s="2323">
        <v>1</v>
      </c>
      <c r="R7" s="423"/>
      <c r="S7" s="1402">
        <f>$J7</f>
      </c>
      <c r="T7" s="352" t="s">
        <v>416</v>
      </c>
      <c r="U7" s="366"/>
      <c r="V7" s="2311"/>
      <c r="W7" s="2312"/>
      <c r="X7" s="2312"/>
      <c r="Y7" s="2312"/>
      <c r="Z7" s="2312"/>
      <c r="AA7" s="2312"/>
      <c r="AB7" s="2312"/>
      <c r="AC7" s="2313"/>
      <c r="AD7" s="2311"/>
      <c r="AE7" s="2312"/>
      <c r="AF7" s="2312"/>
      <c r="AG7" s="2312"/>
      <c r="AH7" s="2312"/>
      <c r="AI7" s="2312"/>
      <c r="AJ7" s="2312"/>
      <c r="AK7" s="2312"/>
      <c r="AL7" s="2313"/>
      <c r="AM7" s="1324" t="s">
        <v>417</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418</v>
      </c>
      <c r="M8" s="603"/>
      <c r="N8" s="1432"/>
      <c r="O8" s="1432"/>
      <c r="P8" s="2323"/>
      <c r="Q8" s="2323"/>
      <c r="R8" s="423">
        <v>1</v>
      </c>
      <c r="S8" s="1402">
        <f>$K8</f>
      </c>
      <c r="T8" s="1413"/>
      <c r="U8" s="366"/>
      <c r="V8" s="817"/>
      <c r="W8" s="391"/>
      <c r="X8" s="817"/>
      <c r="Y8" s="1323"/>
      <c r="Z8" s="2331"/>
      <c r="AA8" s="2173" t="s">
        <v>71</v>
      </c>
      <c r="AB8" s="2331"/>
      <c r="AC8" s="2173" t="s">
        <v>71</v>
      </c>
      <c r="AD8" s="817"/>
      <c r="AE8" s="391"/>
      <c r="AF8" s="817"/>
      <c r="AG8" s="1323"/>
      <c r="AH8" s="2331"/>
      <c r="AI8" s="2173" t="s">
        <v>71</v>
      </c>
      <c r="AJ8" s="2331"/>
      <c r="AK8" s="2173" t="s">
        <v>71</v>
      </c>
      <c r="AL8" s="391"/>
      <c r="AM8" s="2319" t="s">
        <v>419</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420</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431" t="s">
        <v>421</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562"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173</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562"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174</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562"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175</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71</v>
      </c>
      <c r="AJ17" s="2333"/>
      <c r="AK17" s="2334" t="s">
        <v>71</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5002" customFormat="1" customHeight="1" ht="22.5" hidden="1">
      <c r="L20" s="1395"/>
      <c r="M20" s="1428"/>
      <c r="N20" s="1428"/>
      <c r="O20" s="1433" t="s">
        <v>423</v>
      </c>
      <c r="P20" s="1428"/>
      <c r="Q20" s="1437"/>
      <c r="R20" s="1437"/>
      <c r="S20" s="795"/>
      <c r="Z20" s="1433"/>
      <c r="AB20" s="1433"/>
      <c r="AC20" s="1432"/>
      <c r="AH20" s="1433"/>
      <c r="AJ20" s="1433"/>
      <c r="AK20" s="1432"/>
      <c r="AN20" s="577"/>
      <c r="AO20" s="577"/>
      <c r="AP20" s="577"/>
      <c r="AQ20" s="577"/>
      <c r="AR20" s="577"/>
      <c r="AS20" s="1226">
        <v>0</v>
      </c>
    </row>
    <row s="5002" customFormat="1" customHeight="1" ht="14.25" hidden="1">
      <c r="L21" s="1395"/>
      <c r="M21" s="1428"/>
      <c r="N21" s="1428"/>
      <c r="O21" s="1428"/>
      <c r="P21" s="1428"/>
      <c r="Q21" s="1437"/>
      <c r="R21" s="1437"/>
      <c r="S21" s="795"/>
      <c r="AC21" s="1432"/>
      <c r="AK21" s="1432"/>
      <c r="AN21" s="577"/>
      <c r="AO21" s="577"/>
      <c r="AP21" s="577"/>
      <c r="AQ21" s="577"/>
      <c r="AR21" s="577"/>
      <c r="AS21" s="1226">
        <v>0</v>
      </c>
    </row>
    <row s="5002" customFormat="1" customHeight="1" ht="14.25" hidden="1">
      <c r="L22" s="1395"/>
      <c r="M22" s="1428"/>
      <c r="N22" s="1428"/>
      <c r="O22" s="1430" t="s">
        <v>424</v>
      </c>
      <c r="P22" s="1428"/>
      <c r="Q22" s="1437"/>
      <c r="R22" s="1437"/>
      <c r="S22" s="795"/>
      <c r="T22" s="1226" t="s">
        <v>425</v>
      </c>
      <c r="AA22" s="252" t="s">
        <v>426</v>
      </c>
      <c r="AC22" s="252" t="s">
        <v>427</v>
      </c>
      <c r="AD22" s="1226" t="s">
        <v>425</v>
      </c>
      <c r="AI22" s="252" t="s">
        <v>428</v>
      </c>
      <c r="AK22" s="252" t="s">
        <v>427</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63">
      <c r="Q26" s="442"/>
      <c r="R26" s="442"/>
      <c r="S26" s="23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60</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597"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Департамент тарифной политики, энергетики и ЖКК ЯНАО </v>
      </c>
      <c r="W29" s="2317"/>
      <c r="X29" s="2317"/>
      <c r="Y29" s="2317"/>
      <c r="Z29" s="2317"/>
      <c r="AA29" s="2317"/>
      <c r="AB29" s="2317"/>
      <c r="AC29" s="392"/>
      <c r="AD29" s="2317" t="str">
        <f>IF(TITLE_NAME_OR_PR_CHANGE="",IF(TITLE_NAME_OR_PR="","",TITLE_NAME_OR_PR),TITLE_NAME_OR_PR_CHANGE)</f>
        <v>Департамент тарифной политики, энергетики и ЖКК ЯНАО </v>
      </c>
      <c r="AE29" s="2317"/>
      <c r="AF29" s="2317"/>
      <c r="AG29" s="2317"/>
      <c r="AH29" s="2317"/>
      <c r="AI29" s="2317"/>
      <c r="AJ29" s="2317"/>
      <c r="AK29" s="392"/>
      <c r="AL29" s="392"/>
      <c r="AM29" s="346"/>
      <c r="AN29" s="434"/>
      <c r="AO29" s="434"/>
      <c r="AP29" s="434"/>
      <c r="AQ29" s="434"/>
      <c r="AR29" s="434"/>
      <c r="AS29" s="484">
        <v>0</v>
      </c>
    </row>
    <row s="5597" customFormat="1" customHeight="1" ht="18.75">
      <c r="A30" s="1434"/>
      <c r="B30" s="1434"/>
      <c r="C30" s="1434"/>
      <c r="D30" s="1434"/>
      <c r="E30" s="1434"/>
      <c r="F30" s="1434"/>
      <c r="G30" s="1434"/>
      <c r="H30" s="1434"/>
      <c r="I30" s="1434"/>
      <c r="J30" s="1434"/>
      <c r="K30" s="1434"/>
      <c r="L30" s="1435"/>
      <c r="M30" s="1434"/>
      <c r="N30" s="1434"/>
      <c r="O30" s="1434"/>
      <c r="S30" s="2316" t="s">
        <v>429</v>
      </c>
      <c r="T30" s="2316"/>
      <c r="U30" s="1438"/>
      <c r="V30" s="2330" t="str">
        <f>IF(TITLE_DATE_PR_CHANGE="",IF(TITLE_DATE_PR="","",TITLE_DATE_PR),TITLE_DATE_PR_CHANGE)</f>
        <v>45631.41619212963</v>
      </c>
      <c r="W30" s="2330"/>
      <c r="X30" s="2330"/>
      <c r="Y30" s="2330"/>
      <c r="Z30" s="2330"/>
      <c r="AA30" s="2330"/>
      <c r="AB30" s="2330"/>
      <c r="AC30" s="392"/>
      <c r="AD30" s="2330" t="str">
        <f>IF(TITLE_DATE_PR_CHANGE="",IF(TITLE_DATE_PR="","",TITLE_DATE_PR),TITLE_DATE_PR_CHANGE)</f>
        <v>45631.41619212963</v>
      </c>
      <c r="AE30" s="2330"/>
      <c r="AF30" s="2330"/>
      <c r="AG30" s="2330"/>
      <c r="AH30" s="2330"/>
      <c r="AI30" s="2330"/>
      <c r="AJ30" s="2330"/>
      <c r="AK30" s="392"/>
      <c r="AL30" s="392"/>
      <c r="AM30" s="346"/>
      <c r="AN30" s="434"/>
      <c r="AO30" s="434"/>
      <c r="AP30" s="434"/>
      <c r="AQ30" s="434"/>
      <c r="AR30" s="434"/>
      <c r="AS30" s="484">
        <v>0</v>
      </c>
    </row>
    <row s="5597" customFormat="1" customHeight="1" ht="18.75">
      <c r="A31" s="1434"/>
      <c r="B31" s="1434"/>
      <c r="C31" s="1434"/>
      <c r="D31" s="1434"/>
      <c r="E31" s="1434"/>
      <c r="F31" s="1434"/>
      <c r="G31" s="1434"/>
      <c r="H31" s="1434"/>
      <c r="I31" s="1434"/>
      <c r="J31" s="1434"/>
      <c r="K31" s="1434"/>
      <c r="L31" s="1435"/>
      <c r="M31" s="1434"/>
      <c r="N31" s="1434"/>
      <c r="O31" s="1434"/>
      <c r="S31" s="2316" t="s">
        <v>430</v>
      </c>
      <c r="T31" s="2316"/>
      <c r="U31" s="1438"/>
      <c r="V31" s="2317" t="str">
        <f>IF(TITLE_NUMBER_PR_CHANGE="",IF(TITLE_NUMBER_PR="","",TITLE_NUMBER_PR),TITLE_NUMBER_PR_CHANGE)</f>
        <v>447-т</v>
      </c>
      <c r="W31" s="2317"/>
      <c r="X31" s="2317"/>
      <c r="Y31" s="2317"/>
      <c r="Z31" s="2317"/>
      <c r="AA31" s="2317"/>
      <c r="AB31" s="2317"/>
      <c r="AC31" s="392"/>
      <c r="AD31" s="2317" t="str">
        <f>IF(TITLE_NUMBER_PR_CHANGE="",IF(TITLE_NUMBER_PR="","",TITLE_NUMBER_PR),TITLE_NUMBER_PR_CHANGE)</f>
        <v>447-т</v>
      </c>
      <c r="AE31" s="2317"/>
      <c r="AF31" s="2317"/>
      <c r="AG31" s="2317"/>
      <c r="AH31" s="2317"/>
      <c r="AI31" s="2317"/>
      <c r="AJ31" s="2317"/>
      <c r="AK31" s="392"/>
      <c r="AL31" s="392"/>
      <c r="AM31" s="346"/>
      <c r="AN31" s="434"/>
      <c r="AO31" s="434"/>
      <c r="AP31" s="434"/>
      <c r="AQ31" s="434"/>
      <c r="AR31" s="434"/>
      <c r="AS31" s="484">
        <v>0</v>
      </c>
    </row>
    <row s="5597"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Официальный сайт Департамента тарифной политики, энергетики и ЖКК ЯНАО, https://rek-yamal.ru, 05.12.2024</v>
      </c>
      <c r="W32" s="2317"/>
      <c r="X32" s="2317"/>
      <c r="Y32" s="2317"/>
      <c r="Z32" s="2317"/>
      <c r="AA32" s="2317"/>
      <c r="AB32" s="2317"/>
      <c r="AC32" s="392"/>
      <c r="AD32" s="2317" t="str">
        <f>IF(TITLE_IST_PUB_CHANGE="",IF(TITLE_IST_PUB="","",TITLE_IST_PUB),TITLE_IST_PUB_CHANGE)</f>
        <v>Официальный сайт Департамента тарифной политики, энергетики и ЖКК ЯНАО, https://rek-yamal.ru, 05.12.2024</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597" customFormat="1" customHeight="1" ht="18.75" hidden="1">
      <c r="A34" s="1434"/>
      <c r="B34" s="1434"/>
      <c r="C34" s="1434"/>
      <c r="D34" s="1434"/>
      <c r="E34" s="1434"/>
      <c r="F34" s="1434"/>
      <c r="G34" s="1434"/>
      <c r="H34" s="1434"/>
      <c r="I34" s="1434"/>
      <c r="J34" s="1434"/>
      <c r="K34" s="1434"/>
      <c r="L34" s="1435"/>
      <c r="M34" s="1434"/>
      <c r="N34" s="1434"/>
      <c r="O34" s="1434"/>
      <c r="S34" s="2316" t="s">
        <v>431</v>
      </c>
      <c r="T34" s="2316"/>
      <c r="U34" s="1438"/>
      <c r="V34" s="2330" t="str">
        <f>IF(TITLE_DATE_PR_CHANGE="",IF(TITLE_DATE_PR="","",TITLE_DATE_PR),TITLE_DATE_PR_CHANGE)</f>
        <v>45631.41619212963</v>
      </c>
      <c r="W34" s="2330"/>
      <c r="X34" s="2330"/>
      <c r="Y34" s="2330"/>
      <c r="Z34" s="2330"/>
      <c r="AA34" s="2330"/>
      <c r="AB34" s="2330"/>
      <c r="AC34" s="392"/>
      <c r="AD34" s="2330" t="str">
        <f>IF(TITLE_DATE_PR_CHANGE="",IF(TITLE_DATE_PR="","",TITLE_DATE_PR),TITLE_DATE_PR_CHANGE)</f>
        <v>45631.41619212963</v>
      </c>
      <c r="AE34" s="2330"/>
      <c r="AF34" s="2330"/>
      <c r="AG34" s="2330"/>
      <c r="AH34" s="2330"/>
      <c r="AI34" s="2330"/>
      <c r="AJ34" s="2330"/>
      <c r="AK34" s="392"/>
      <c r="AL34" s="392"/>
      <c r="AM34" s="346"/>
      <c r="AN34" s="434"/>
      <c r="AO34" s="434"/>
      <c r="AP34" s="434"/>
      <c r="AQ34" s="434"/>
      <c r="AR34" s="434"/>
      <c r="AS34" s="484">
        <v>0</v>
      </c>
    </row>
    <row s="5597" customFormat="1" customHeight="1" ht="18.75" hidden="1">
      <c r="A35" s="1434"/>
      <c r="B35" s="1434"/>
      <c r="C35" s="1434"/>
      <c r="D35" s="1434"/>
      <c r="E35" s="1434"/>
      <c r="F35" s="1434"/>
      <c r="G35" s="1434"/>
      <c r="H35" s="1434"/>
      <c r="I35" s="1434"/>
      <c r="J35" s="1434"/>
      <c r="K35" s="1434"/>
      <c r="L35" s="1435"/>
      <c r="M35" s="1434"/>
      <c r="N35" s="1434"/>
      <c r="O35" s="1434"/>
      <c r="S35" s="2316" t="s">
        <v>432</v>
      </c>
      <c r="T35" s="2316"/>
      <c r="U35" s="1438"/>
      <c r="V35" s="2317" t="str">
        <f>IF(TITLE_NUMBER_PR_CHANGE="",IF(TITLE_NUMBER_PR="","",TITLE_NUMBER_PR),TITLE_NUMBER_PR_CHANGE)</f>
        <v>447-т</v>
      </c>
      <c r="W35" s="2317"/>
      <c r="X35" s="2317"/>
      <c r="Y35" s="2317"/>
      <c r="Z35" s="2317"/>
      <c r="AA35" s="2317"/>
      <c r="AB35" s="2317"/>
      <c r="AC35" s="392"/>
      <c r="AD35" s="2317" t="str">
        <f>IF(TITLE_NUMBER_PR_CHANGE="",IF(TITLE_NUMBER_PR="","",TITLE_NUMBER_PR),TITLE_NUMBER_PR_CHANGE)</f>
        <v>447-т</v>
      </c>
      <c r="AE35" s="2317"/>
      <c r="AF35" s="2317"/>
      <c r="AG35" s="2317"/>
      <c r="AH35" s="2317"/>
      <c r="AI35" s="2317"/>
      <c r="AJ35" s="2317"/>
      <c r="AK35" s="392"/>
      <c r="AL35" s="392"/>
      <c r="AM35" s="346"/>
      <c r="AN35" s="434"/>
      <c r="AO35" s="434"/>
      <c r="AP35" s="434"/>
      <c r="AQ35" s="434"/>
      <c r="AR35" s="434"/>
      <c r="AS35" s="484">
        <v>0</v>
      </c>
    </row>
    <row s="5597"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433</v>
      </c>
      <c r="AD36" s="392"/>
      <c r="AE36" s="392"/>
      <c r="AF36" s="392"/>
      <c r="AG36" s="392"/>
      <c r="AH36" s="392"/>
      <c r="AI36" s="392"/>
      <c r="AJ36" s="392"/>
      <c r="AK36" s="344" t="s">
        <v>433</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221">
        <v>14</v>
      </c>
    </row>
    <row customHeight="1" ht="14.699999999999998">
      <c r="Q39" s="442"/>
      <c r="R39" s="442"/>
      <c r="S39" s="2339" t="s">
        <v>93</v>
      </c>
      <c r="T39" s="2275" t="s">
        <v>434</v>
      </c>
      <c r="U39" s="367"/>
      <c r="V39" s="2340" t="s">
        <v>435</v>
      </c>
      <c r="W39" s="2341"/>
      <c r="X39" s="2341"/>
      <c r="Y39" s="2341"/>
      <c r="Z39" s="2341"/>
      <c r="AA39" s="2341"/>
      <c r="AB39" s="2342"/>
      <c r="AC39" s="2343" t="s">
        <v>436</v>
      </c>
      <c r="AD39" s="2340" t="s">
        <v>435</v>
      </c>
      <c r="AE39" s="2341"/>
      <c r="AF39" s="2341"/>
      <c r="AG39" s="2341"/>
      <c r="AH39" s="2341"/>
      <c r="AI39" s="2341"/>
      <c r="AJ39" s="2342"/>
      <c r="AK39" s="2343" t="s">
        <v>437</v>
      </c>
      <c r="AL39" s="2346" t="s">
        <v>438</v>
      </c>
      <c r="AM39" s="2193"/>
      <c r="AS39" s="1221">
        <v>14</v>
      </c>
    </row>
    <row customHeight="1" ht="35.699999999999996">
      <c r="Q40" s="442"/>
      <c r="R40" s="442"/>
      <c r="S40" s="2339"/>
      <c r="T40" s="2275"/>
      <c r="U40" s="1097"/>
      <c r="V40" s="2326" t="s">
        <v>439</v>
      </c>
      <c r="W40" s="2349"/>
      <c r="X40" s="2328" t="s">
        <v>441</v>
      </c>
      <c r="Y40" s="2329"/>
      <c r="Z40" s="2328" t="s">
        <v>442</v>
      </c>
      <c r="AA40" s="2335"/>
      <c r="AB40" s="2329"/>
      <c r="AC40" s="2344"/>
      <c r="AD40" s="2326" t="s">
        <v>459</v>
      </c>
      <c r="AE40" s="2349"/>
      <c r="AF40" s="2328" t="s">
        <v>441</v>
      </c>
      <c r="AG40" s="2329"/>
      <c r="AH40" s="2328" t="s">
        <v>442</v>
      </c>
      <c r="AI40" s="2335"/>
      <c r="AJ40" s="2329"/>
      <c r="AK40" s="2344"/>
      <c r="AL40" s="2347"/>
      <c r="AM40" s="2193"/>
      <c r="AS40" s="1221">
        <v>34</v>
      </c>
    </row>
    <row customHeight="1" ht="35.699999999999996">
      <c r="A41" s="1436"/>
      <c r="B41" s="1436" t="s">
        <v>140</v>
      </c>
      <c r="C41" s="1436" t="s">
        <v>141</v>
      </c>
      <c r="D41" s="1436" t="s">
        <v>142</v>
      </c>
      <c r="E41" s="1430" t="s">
        <v>443</v>
      </c>
      <c r="F41" s="1430" t="s">
        <v>444</v>
      </c>
      <c r="G41" s="1430" t="s">
        <v>445</v>
      </c>
      <c r="H41" s="1430" t="s">
        <v>446</v>
      </c>
      <c r="I41" s="1430" t="s">
        <v>447</v>
      </c>
      <c r="J41" s="1430" t="s">
        <v>448</v>
      </c>
      <c r="K41" s="1430" t="s">
        <v>449</v>
      </c>
      <c r="L41" s="1430" t="s">
        <v>424</v>
      </c>
      <c r="Q41" s="442"/>
      <c r="R41" s="442"/>
      <c r="S41" s="2339"/>
      <c r="T41" s="2275"/>
      <c r="U41" s="368"/>
      <c r="V41" s="2327"/>
      <c r="W41" s="2350"/>
      <c r="X41" s="1288" t="s">
        <v>450</v>
      </c>
      <c r="Y41" s="1288" t="s">
        <v>451</v>
      </c>
      <c r="Z41" s="1404" t="s">
        <v>452</v>
      </c>
      <c r="AA41" s="2336" t="s">
        <v>453</v>
      </c>
      <c r="AB41" s="2337"/>
      <c r="AC41" s="2345"/>
      <c r="AD41" s="2327"/>
      <c r="AE41" s="2350"/>
      <c r="AF41" s="1288" t="s">
        <v>450</v>
      </c>
      <c r="AG41" s="1288" t="s">
        <v>451</v>
      </c>
      <c r="AH41" s="1404" t="s">
        <v>452</v>
      </c>
      <c r="AI41" s="2336" t="s">
        <v>453</v>
      </c>
      <c r="AJ41" s="2337"/>
      <c r="AK41" s="2345"/>
      <c r="AL41" s="2348"/>
      <c r="AM41" s="2193"/>
      <c r="AS41" s="1221">
        <v>34</v>
      </c>
    </row>
    <row s="4153"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114</v>
      </c>
      <c r="T42" s="1321" t="s">
        <v>115</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179</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128</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179</v>
      </c>
      <c r="B44" s="1429" t="s">
        <v>180</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566"/>
      <c r="AP44" s="566" t="str">
        <f>IF(T44="","",T44)</f>
        <v>Территория действия тарифа</v>
      </c>
      <c r="AQ44" s="566"/>
      <c r="AR44" s="566"/>
      <c r="AS44" s="1221">
        <v>21</v>
      </c>
    </row>
    <row customHeight="1" ht="24">
      <c r="A45" s="1429" t="s">
        <v>179</v>
      </c>
      <c r="B45" s="1429" t="s">
        <v>180</v>
      </c>
      <c r="C45" s="1429" t="s">
        <v>181</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566"/>
      <c r="AP45" s="566" t="str">
        <f>IF(T45="","",T45)</f>
        <v>Наименование системы теплоснабжения </v>
      </c>
      <c r="AQ45" s="566"/>
      <c r="AR45" s="566"/>
      <c r="AS45" s="1221">
        <v>23</v>
      </c>
    </row>
    <row customHeight="1" ht="22.049999999999997">
      <c r="A46" s="1429" t="s">
        <v>179</v>
      </c>
      <c r="B46" s="1429" t="s">
        <v>180</v>
      </c>
      <c r="C46" s="1429" t="s">
        <v>181</v>
      </c>
      <c r="D46" s="1429" t="s">
        <v>182</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566"/>
      <c r="AP46" s="566" t="str">
        <f>IF(T46="","",T46)</f>
        <v>Источник тепловой энергии  </v>
      </c>
      <c r="AQ46" s="566"/>
      <c r="AR46" s="566"/>
      <c r="AS46" s="1221">
        <v>21</v>
      </c>
    </row>
    <row s="4562" customFormat="1" customHeight="1" ht="0">
      <c r="A47" s="1409" t="s">
        <v>179</v>
      </c>
      <c r="B47" s="1409" t="s">
        <v>180</v>
      </c>
      <c r="C47" s="1409" t="s">
        <v>181</v>
      </c>
      <c r="D47" s="1409" t="s">
        <v>182</v>
      </c>
      <c r="E47" s="2325"/>
      <c r="F47" s="2325"/>
      <c r="G47" s="2325"/>
      <c r="H47" s="2325"/>
      <c r="I47" s="2322" t="str">
        <f>S46&amp;".1"</f>
        <v>....1</v>
      </c>
      <c r="J47" s="1409"/>
      <c r="K47" s="1409"/>
      <c r="L47" s="1412" t="s">
        <v>412</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179</v>
      </c>
      <c r="B48" s="1429" t="s">
        <v>180</v>
      </c>
      <c r="C48" s="1429" t="s">
        <v>181</v>
      </c>
      <c r="D48" s="1429" t="s">
        <v>182</v>
      </c>
      <c r="E48" s="2325"/>
      <c r="F48" s="2325"/>
      <c r="G48" s="2325"/>
      <c r="H48" s="2325"/>
      <c r="I48" s="2352"/>
      <c r="J48" s="2322" t="str">
        <f>S46&amp;".1"</f>
        <v>....1</v>
      </c>
      <c r="K48" s="1429"/>
      <c r="L48" s="1430" t="s">
        <v>415</v>
      </c>
      <c r="P48" s="2323"/>
      <c r="Q48" s="2323">
        <v>1</v>
      </c>
      <c r="R48" s="423"/>
      <c r="S48" s="1402" t="str">
        <f>$J48</f>
        <v>....1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566"/>
      <c r="AP48" s="566" t="str">
        <f>IF(T48="","",T48)</f>
        <v>Группа потребителей</v>
      </c>
      <c r="AQ48" s="566"/>
      <c r="AR48" s="566"/>
      <c r="AS48" s="1221">
        <v>21</v>
      </c>
    </row>
    <row customHeight="1" ht="22.049999999999997">
      <c r="A49" s="1429" t="s">
        <v>179</v>
      </c>
      <c r="B49" s="1429" t="s">
        <v>180</v>
      </c>
      <c r="C49" s="1429" t="s">
        <v>181</v>
      </c>
      <c r="D49" s="1429" t="s">
        <v>182</v>
      </c>
      <c r="E49" s="2325"/>
      <c r="F49" s="2325"/>
      <c r="G49" s="2325"/>
      <c r="H49" s="2325"/>
      <c r="I49" s="2352"/>
      <c r="J49" s="2352"/>
      <c r="K49" s="2322" t="str">
        <f>J48&amp;".1"</f>
        <v>....1.1</v>
      </c>
      <c r="L49" s="1430" t="s">
        <v>418</v>
      </c>
      <c r="P49" s="2323"/>
      <c r="Q49" s="2323"/>
      <c r="R49" s="423">
        <v>1</v>
      </c>
      <c r="S49" s="1402" t="str">
        <f>$K49</f>
        <v>....1.1</v>
      </c>
      <c r="T49" s="1413"/>
      <c r="U49" s="366"/>
      <c r="V49" s="817"/>
      <c r="W49" s="391"/>
      <c r="X49" s="817"/>
      <c r="Y49" s="1323"/>
      <c r="Z49" s="2331"/>
      <c r="AA49" s="2173" t="s">
        <v>71</v>
      </c>
      <c r="AB49" s="2331"/>
      <c r="AC49" s="2173" t="s">
        <v>71</v>
      </c>
      <c r="AD49" s="817"/>
      <c r="AE49" s="391"/>
      <c r="AF49" s="817"/>
      <c r="AG49" s="1323"/>
      <c r="AH49" s="2331"/>
      <c r="AI49" s="2173" t="s">
        <v>71</v>
      </c>
      <c r="AJ49" s="2353"/>
      <c r="AK49" s="2173" t="s">
        <v>71</v>
      </c>
      <c r="AL49" s="1414"/>
      <c r="AM49" s="2319" t="s">
        <v>460</v>
      </c>
      <c r="AN49" s="577">
        <f>STRCHECKDATE(V50:AL50)</f>
      </c>
      <c r="AO49" s="566"/>
      <c r="AP49" s="566" t="str">
        <f>IF(T49="","",T49)</f>
        <v/>
      </c>
      <c r="AQ49" s="566"/>
      <c r="AR49" s="566"/>
      <c r="AS49" s="1221">
        <v>21</v>
      </c>
    </row>
    <row customHeight="1" ht="1.05">
      <c r="A50" s="1429" t="s">
        <v>179</v>
      </c>
      <c r="B50" s="1429" t="s">
        <v>180</v>
      </c>
      <c r="C50" s="1429" t="s">
        <v>181</v>
      </c>
      <c r="D50" s="1429" t="s">
        <v>182</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179</v>
      </c>
      <c r="B51" s="1429" t="s">
        <v>180</v>
      </c>
      <c r="C51" s="1429" t="s">
        <v>181</v>
      </c>
      <c r="D51" s="1429" t="s">
        <v>182</v>
      </c>
      <c r="E51" s="2325"/>
      <c r="F51" s="2325"/>
      <c r="G51" s="2325"/>
      <c r="H51" s="2325"/>
      <c r="I51" s="2352"/>
      <c r="J51" s="2322"/>
      <c r="K51" s="1429"/>
      <c r="L51" s="1430"/>
      <c r="P51" s="2323"/>
      <c r="Q51" s="2323"/>
      <c r="R51" s="422"/>
      <c r="S51" s="1344"/>
      <c r="T51" s="353" t="s">
        <v>420</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179</v>
      </c>
      <c r="B52" s="1429" t="s">
        <v>180</v>
      </c>
      <c r="C52" s="1429" t="s">
        <v>181</v>
      </c>
      <c r="D52" s="1429" t="s">
        <v>182</v>
      </c>
      <c r="E52" s="2325"/>
      <c r="F52" s="2325"/>
      <c r="G52" s="2325"/>
      <c r="H52" s="2325"/>
      <c r="I52" s="2322"/>
      <c r="J52" s="1429"/>
      <c r="K52" s="1429"/>
      <c r="L52" s="1430"/>
      <c r="P52" s="2323"/>
      <c r="Q52" s="1397"/>
      <c r="R52" s="422"/>
      <c r="S52" s="1344"/>
      <c r="T52" s="431" t="s">
        <v>421</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179</v>
      </c>
      <c r="B53" s="1429" t="s">
        <v>180</v>
      </c>
      <c r="C53" s="1429" t="s">
        <v>181</v>
      </c>
      <c r="D53" s="1429" t="s">
        <v>182</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562" customFormat="1" customHeight="1" ht="1.05">
      <c r="A54" s="1409" t="s">
        <v>179</v>
      </c>
      <c r="B54" s="1409" t="s">
        <v>180</v>
      </c>
      <c r="C54" s="1409" t="s">
        <v>181</v>
      </c>
      <c r="D54" s="1380"/>
      <c r="E54" s="2325"/>
      <c r="F54" s="2325"/>
      <c r="G54" s="2324"/>
      <c r="H54" s="1380"/>
      <c r="I54" s="1380"/>
      <c r="J54" s="1380"/>
      <c r="K54" s="1380"/>
      <c r="L54" s="1405"/>
      <c r="M54" s="1381"/>
      <c r="N54" s="1381"/>
      <c r="P54" s="1382"/>
      <c r="Q54" s="1383"/>
      <c r="R54" s="1382"/>
      <c r="S54" s="1388"/>
      <c r="T54" s="1391" t="s">
        <v>173</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562" customFormat="1" customHeight="1" ht="1.05">
      <c r="A55" s="1409" t="s">
        <v>179</v>
      </c>
      <c r="B55" s="1409" t="s">
        <v>180</v>
      </c>
      <c r="C55" s="1380"/>
      <c r="D55" s="1380"/>
      <c r="E55" s="2325"/>
      <c r="F55" s="2324"/>
      <c r="G55" s="1380"/>
      <c r="H55" s="1380"/>
      <c r="I55" s="1380"/>
      <c r="J55" s="1380"/>
      <c r="K55" s="1380"/>
      <c r="L55" s="1405"/>
      <c r="M55" s="1387"/>
      <c r="N55" s="1387"/>
      <c r="P55" s="1382"/>
      <c r="Q55" s="1383"/>
      <c r="R55" s="1382"/>
      <c r="S55" s="1388"/>
      <c r="T55" s="1391" t="s">
        <v>174</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562" customFormat="1" customHeight="1" ht="1.05">
      <c r="A56" s="1409" t="s">
        <v>179</v>
      </c>
      <c r="B56" s="1409"/>
      <c r="C56" s="1409"/>
      <c r="D56" s="1409"/>
      <c r="E56" s="2324"/>
      <c r="F56" s="1409"/>
      <c r="G56" s="1409"/>
      <c r="H56" s="1409"/>
      <c r="I56" s="1409"/>
      <c r="J56" s="1409"/>
      <c r="K56" s="1409"/>
      <c r="L56" s="1412"/>
      <c r="M56" s="1387"/>
      <c r="N56" s="1387"/>
      <c r="O56" s="584"/>
      <c r="P56" s="446"/>
      <c r="Q56" s="1410"/>
      <c r="R56" s="446"/>
      <c r="S56" s="1388"/>
      <c r="T56" s="1391" t="s">
        <v>175</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562"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19.9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19</v>
      </c>
    </row>
    <row customHeight="1" ht="29.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28</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87</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97BB9-F9F8-D0AE-82EE-B492A0CD26B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002" width="10.57421875" hidden="1"/>
    <col min="2" max="2" style="5002" width="11.00390625" hidden="1" customWidth="1"/>
    <col min="3" max="3" style="5002" width="10.57421875" hidden="1"/>
    <col min="4" max="4" style="5002" width="11.8515625" hidden="1" customWidth="1"/>
    <col min="5" max="5" style="5002" width="10.00390625" hidden="1" customWidth="1"/>
    <col min="6" max="6" style="5002" width="8.7109375" hidden="1" customWidth="1"/>
    <col min="7" max="7" style="5002" width="7.57421875" hidden="1" customWidth="1"/>
    <col min="8" max="8" style="5002" width="11.421875" hidden="1" customWidth="1"/>
    <col min="9" max="9" style="5002" width="12.00390625" hidden="1" customWidth="1"/>
    <col min="10" max="10" style="5002" width="9.8515625" hidden="1" customWidth="1"/>
    <col min="11" max="11" style="5002" width="11.421875" hidden="1" customWidth="1"/>
    <col min="12" max="12" style="5519" width="19.140625" hidden="1" customWidth="1"/>
    <col min="13" max="14" style="4246" width="12.28125" hidden="1" customWidth="1"/>
    <col min="15" max="15" style="4246" width="23.421875" hidden="1" customWidth="1"/>
    <col min="16" max="16" style="5737" width="3.7109375" hidden="1" customWidth="1"/>
    <col min="17" max="18" style="5023" width="3.00390625" customWidth="1"/>
    <col min="19" max="19" style="5711" width="12.00390625" customWidth="1"/>
    <col min="20" max="20" style="5053" width="31.00390625" customWidth="1"/>
    <col min="21" max="21" style="5053" width="0.140625" customWidth="1"/>
    <col min="22" max="22" style="5053" width="24.7109375" hidden="1" customWidth="1"/>
    <col min="23" max="23" style="5053" width="0.140625" hidden="1" customWidth="1"/>
    <col min="24" max="25" style="5053" width="24.7109375" hidden="1" customWidth="1"/>
    <col min="26" max="26" style="5053" width="11.7109375" hidden="1" customWidth="1"/>
    <col min="27" max="27" style="5053" width="3.7109375" hidden="1" customWidth="1"/>
    <col min="28" max="28" style="5053" width="11.7109375" hidden="1" customWidth="1"/>
    <col min="29" max="29" style="5053" width="8.57421875" hidden="1" customWidth="1"/>
    <col min="30" max="30" style="5053" width="24.7109375" customWidth="1"/>
    <col min="31" max="31" style="5053" width="0.140625" customWidth="1"/>
    <col min="32" max="33" style="5053" width="24.00390625" customWidth="1"/>
    <col min="34" max="34" style="5053" width="11.00390625" customWidth="1"/>
    <col min="35" max="35" style="5053" width="3.7109375" customWidth="1"/>
    <col min="36" max="36" style="5053" width="11.00390625" customWidth="1"/>
    <col min="37" max="37" style="5053" width="8.57421875" hidden="1" customWidth="1"/>
    <col min="38" max="38" style="5053" width="4.00390625" customWidth="1"/>
    <col min="39" max="39" style="5053" width="115.00390625" customWidth="1"/>
    <col min="40" max="44" style="4562" width="10.00390625" customWidth="1"/>
    <col min="45" max="45" style="5053" width="10.57421875" hidden="1"/>
  </cols>
  <sheetData>
    <row customHeight="1" ht="22.5" hidden="1">
      <c r="A1" s="1937"/>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128</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2074">
        <f>INDEX(PT_DIFFERENTIATION_NUM_CS,MATCH(C4,PT_DIFFERENTIATION_CS_ID,0))</f>
      </c>
      <c r="T4" s="2078" t="s">
        <v>408</v>
      </c>
      <c r="U4" s="2079"/>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24" t="s">
        <v>409</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1701"/>
      <c r="S5" s="2073">
        <f>INDEX(PT_DIFFERENTIATION_NUM_IST_TE,MATCH(D5,PT_DIFFERENTIATION_IST_TE_ID,0))</f>
      </c>
      <c r="T5" s="376" t="s">
        <v>410</v>
      </c>
      <c r="U5" s="366"/>
      <c r="V5" s="2369"/>
      <c r="W5" s="2369"/>
      <c r="X5" s="2369"/>
      <c r="Y5" s="2369"/>
      <c r="Z5" s="2369"/>
      <c r="AA5" s="2369"/>
      <c r="AB5" s="2369"/>
      <c r="AC5" s="2369"/>
      <c r="AD5" s="2369">
        <f>INDEX(PT_DIFFERENTIATION_IST_TE,MATCH(D5,PT_DIFFERENTIATION_IST_TE_ID,0))</f>
      </c>
      <c r="AE5" s="2369"/>
      <c r="AF5" s="2369"/>
      <c r="AG5" s="2369"/>
      <c r="AH5" s="2369"/>
      <c r="AI5" s="2369"/>
      <c r="AJ5" s="2369"/>
      <c r="AK5" s="2369"/>
      <c r="AL5" s="2369"/>
      <c r="AM5" s="2076" t="s">
        <v>411</v>
      </c>
      <c r="AO5" s="566"/>
      <c r="AP5" s="566" t="str">
        <f>IF(T5="","",T5)</f>
        <v>Источник тепловой энергии  </v>
      </c>
      <c r="AQ5" s="566"/>
      <c r="AR5" s="566"/>
      <c r="AS5" s="1221">
        <v>0</v>
      </c>
    </row>
    <row customHeight="1" ht="0.75" hidden="1">
      <c r="A6" s="1429"/>
      <c r="B6" s="1429"/>
      <c r="C6" s="1429"/>
      <c r="D6" s="1429"/>
      <c r="E6" s="2325"/>
      <c r="F6" s="2325"/>
      <c r="G6" s="2325"/>
      <c r="H6" s="2325"/>
      <c r="I6" s="2322">
        <f>S5&amp;".1"</f>
      </c>
      <c r="J6" s="1429"/>
      <c r="K6" s="1429"/>
      <c r="L6" s="1430" t="s">
        <v>412</v>
      </c>
      <c r="M6" s="603"/>
      <c r="P6" s="2323">
        <v>1</v>
      </c>
      <c r="Q6" s="1397"/>
      <c r="R6" s="2072"/>
      <c r="S6" s="1108"/>
      <c r="T6" s="1449"/>
      <c r="U6" s="1450"/>
      <c r="V6" s="2370"/>
      <c r="W6" s="2370"/>
      <c r="X6" s="2370"/>
      <c r="Y6" s="2370"/>
      <c r="Z6" s="2370"/>
      <c r="AA6" s="2370"/>
      <c r="AB6" s="2370"/>
      <c r="AC6" s="2370"/>
      <c r="AD6" s="2370"/>
      <c r="AE6" s="2370"/>
      <c r="AF6" s="2370"/>
      <c r="AG6" s="2370"/>
      <c r="AH6" s="2370"/>
      <c r="AI6" s="2370"/>
      <c r="AJ6" s="2370"/>
      <c r="AK6" s="2370"/>
      <c r="AL6" s="2370"/>
      <c r="AM6" s="2077"/>
      <c r="AO6" s="566"/>
      <c r="AP6" s="566" t="str">
        <f>IF(T6="","",T6)</f>
        <v/>
      </c>
      <c r="AQ6" s="566"/>
      <c r="AR6" s="566"/>
      <c r="AS6" s="1221">
        <v>0</v>
      </c>
    </row>
    <row customHeight="1" ht="84" hidden="1">
      <c r="A7" s="1429"/>
      <c r="B7" s="1429"/>
      <c r="C7" s="1429"/>
      <c r="D7" s="1429"/>
      <c r="E7" s="2325"/>
      <c r="F7" s="2325"/>
      <c r="G7" s="2325"/>
      <c r="H7" s="2325"/>
      <c r="I7" s="2352"/>
      <c r="J7" s="2322">
        <f>I6&amp;".1"</f>
      </c>
      <c r="K7" s="1429"/>
      <c r="L7" s="1430" t="s">
        <v>415</v>
      </c>
      <c r="M7" s="603"/>
      <c r="N7" s="1432"/>
      <c r="P7" s="2323"/>
      <c r="Q7" s="2323">
        <v>1</v>
      </c>
      <c r="R7" s="1708"/>
      <c r="S7" s="2073">
        <f>$J7</f>
      </c>
      <c r="T7" s="352" t="s">
        <v>416</v>
      </c>
      <c r="U7" s="366"/>
      <c r="V7" s="2371"/>
      <c r="W7" s="2371"/>
      <c r="X7" s="2371"/>
      <c r="Y7" s="2371"/>
      <c r="Z7" s="2371"/>
      <c r="AA7" s="2371"/>
      <c r="AB7" s="2371"/>
      <c r="AC7" s="2371"/>
      <c r="AD7" s="2371"/>
      <c r="AE7" s="2371"/>
      <c r="AF7" s="2371"/>
      <c r="AG7" s="2371"/>
      <c r="AH7" s="2371"/>
      <c r="AI7" s="2371"/>
      <c r="AJ7" s="2371"/>
      <c r="AK7" s="2371"/>
      <c r="AL7" s="2371"/>
      <c r="AM7" s="2076" t="s">
        <v>417</v>
      </c>
      <c r="AO7" s="566"/>
      <c r="AP7" s="566" t="str">
        <f>IF(T7="","",T7)</f>
        <v>Группа потребителей</v>
      </c>
      <c r="AQ7" s="566"/>
      <c r="AR7" s="566"/>
      <c r="AS7" s="1221">
        <v>0</v>
      </c>
    </row>
    <row customHeight="1" ht="11.25" hidden="1">
      <c r="A8" s="1429"/>
      <c r="B8" s="1429"/>
      <c r="C8" s="1429"/>
      <c r="D8" s="1429"/>
      <c r="E8" s="2325"/>
      <c r="F8" s="2325"/>
      <c r="G8" s="2325"/>
      <c r="H8" s="2325"/>
      <c r="I8" s="2352"/>
      <c r="J8" s="2352"/>
      <c r="K8" s="2322">
        <f>J7&amp;".1"</f>
      </c>
      <c r="L8" s="1430" t="s">
        <v>418</v>
      </c>
      <c r="M8" s="603"/>
      <c r="N8" s="1432"/>
      <c r="O8" s="1432"/>
      <c r="P8" s="2323"/>
      <c r="Q8" s="2323"/>
      <c r="R8" s="423">
        <v>1</v>
      </c>
      <c r="S8" s="2075">
        <f>$K8</f>
      </c>
      <c r="T8" s="2080"/>
      <c r="U8" s="2081"/>
      <c r="V8" s="2082"/>
      <c r="W8" s="1415"/>
      <c r="X8" s="2082"/>
      <c r="Y8" s="2083"/>
      <c r="Z8" s="2372"/>
      <c r="AA8" s="2178" t="s">
        <v>71</v>
      </c>
      <c r="AB8" s="2372"/>
      <c r="AC8" s="2178" t="s">
        <v>71</v>
      </c>
      <c r="AD8" s="2082"/>
      <c r="AE8" s="1415"/>
      <c r="AF8" s="2082"/>
      <c r="AG8" s="2083"/>
      <c r="AH8" s="2372"/>
      <c r="AI8" s="2178" t="s">
        <v>71</v>
      </c>
      <c r="AJ8" s="2372"/>
      <c r="AK8" s="2178" t="s">
        <v>71</v>
      </c>
      <c r="AL8" s="1415"/>
      <c r="AM8" s="2319" t="s">
        <v>419</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1.25" hidden="1">
      <c r="A10" s="1429"/>
      <c r="B10" s="1429"/>
      <c r="C10" s="1429"/>
      <c r="D10" s="1429"/>
      <c r="E10" s="2325"/>
      <c r="F10" s="2325"/>
      <c r="G10" s="2325"/>
      <c r="H10" s="2325"/>
      <c r="I10" s="2352"/>
      <c r="J10" s="2322"/>
      <c r="K10" s="1429"/>
      <c r="L10" s="1430"/>
      <c r="M10" s="603"/>
      <c r="N10" s="1432"/>
      <c r="P10" s="2323"/>
      <c r="Q10" s="2323"/>
      <c r="R10" s="422"/>
      <c r="S10" s="1344"/>
      <c r="T10" s="353" t="s">
        <v>420</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421</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0.7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562"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173</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562"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174</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562"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175</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71</v>
      </c>
      <c r="AJ17" s="2333"/>
      <c r="AK17" s="2334" t="s">
        <v>71</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5002" customFormat="1" customHeight="1" ht="22.5" hidden="1">
      <c r="L20" s="1395"/>
      <c r="M20" s="1428"/>
      <c r="N20" s="1428"/>
      <c r="O20" s="1433" t="s">
        <v>423</v>
      </c>
      <c r="P20" s="1428"/>
      <c r="Q20" s="1437"/>
      <c r="R20" s="1437"/>
      <c r="S20" s="795"/>
      <c r="Z20" s="1433"/>
      <c r="AB20" s="1433"/>
      <c r="AC20" s="1432"/>
      <c r="AH20" s="1433"/>
      <c r="AJ20" s="1433"/>
      <c r="AK20" s="1432"/>
      <c r="AN20" s="577"/>
      <c r="AO20" s="577"/>
      <c r="AP20" s="577"/>
      <c r="AQ20" s="577"/>
      <c r="AR20" s="577"/>
      <c r="AS20" s="1226">
        <v>0</v>
      </c>
    </row>
    <row s="5002" customFormat="1" customHeight="1" ht="14.25" hidden="1">
      <c r="L21" s="1395"/>
      <c r="M21" s="1428"/>
      <c r="N21" s="1428"/>
      <c r="O21" s="1428"/>
      <c r="P21" s="1428"/>
      <c r="Q21" s="1437"/>
      <c r="R21" s="1437"/>
      <c r="S21" s="795"/>
      <c r="AC21" s="1432"/>
      <c r="AK21" s="1432"/>
      <c r="AN21" s="577"/>
      <c r="AO21" s="577"/>
      <c r="AP21" s="577"/>
      <c r="AQ21" s="577"/>
      <c r="AR21" s="577"/>
      <c r="AS21" s="1226">
        <v>0</v>
      </c>
    </row>
    <row s="5002" customFormat="1" customHeight="1" ht="14.25" hidden="1">
      <c r="L22" s="1395"/>
      <c r="M22" s="1428"/>
      <c r="N22" s="1428"/>
      <c r="O22" s="1430" t="s">
        <v>424</v>
      </c>
      <c r="P22" s="1428"/>
      <c r="Q22" s="1437"/>
      <c r="R22" s="1437"/>
      <c r="S22" s="795"/>
      <c r="T22" s="1226" t="s">
        <v>425</v>
      </c>
      <c r="AA22" s="252" t="s">
        <v>426</v>
      </c>
      <c r="AC22" s="252" t="s">
        <v>427</v>
      </c>
      <c r="AD22" s="1226" t="s">
        <v>425</v>
      </c>
      <c r="AI22" s="252" t="s">
        <v>428</v>
      </c>
      <c r="AK22" s="252" t="s">
        <v>427</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4.75">
      <c r="Q26" s="442"/>
      <c r="R26" s="442"/>
      <c r="S26" s="237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09"/>
      <c r="AS26" s="1221">
        <v>52</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597"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Департамент тарифной политики, энергетики и ЖКК ЯНАО </v>
      </c>
      <c r="W29" s="2317"/>
      <c r="X29" s="2317"/>
      <c r="Y29" s="2317"/>
      <c r="Z29" s="2317"/>
      <c r="AA29" s="2317"/>
      <c r="AB29" s="2317"/>
      <c r="AC29" s="392"/>
      <c r="AD29" s="2317" t="str">
        <f>IF(TITLE_NAME_OR_PR_CHANGE="",IF(TITLE_NAME_OR_PR="","",TITLE_NAME_OR_PR),TITLE_NAME_OR_PR_CHANGE)</f>
        <v>Департамент тарифной политики, энергетики и ЖКК ЯНАО </v>
      </c>
      <c r="AE29" s="2317"/>
      <c r="AF29" s="2317"/>
      <c r="AG29" s="2317"/>
      <c r="AH29" s="2317"/>
      <c r="AI29" s="2317"/>
      <c r="AJ29" s="2317"/>
      <c r="AK29" s="392"/>
      <c r="AL29" s="392"/>
      <c r="AM29" s="346"/>
      <c r="AN29" s="434"/>
      <c r="AO29" s="434"/>
      <c r="AP29" s="434"/>
      <c r="AQ29" s="434"/>
      <c r="AR29" s="434"/>
      <c r="AS29" s="484">
        <v>0</v>
      </c>
    </row>
    <row s="5597" customFormat="1" customHeight="1" ht="18.75">
      <c r="A30" s="1434"/>
      <c r="B30" s="1434"/>
      <c r="C30" s="1434"/>
      <c r="D30" s="1434"/>
      <c r="E30" s="1434"/>
      <c r="F30" s="1434"/>
      <c r="G30" s="1434"/>
      <c r="H30" s="1434"/>
      <c r="I30" s="1434"/>
      <c r="J30" s="1434"/>
      <c r="K30" s="1434"/>
      <c r="L30" s="1435"/>
      <c r="M30" s="1434"/>
      <c r="N30" s="1434"/>
      <c r="O30" s="1434"/>
      <c r="S30" s="2316" t="s">
        <v>429</v>
      </c>
      <c r="T30" s="2316"/>
      <c r="U30" s="1438"/>
      <c r="V30" s="2330" t="str">
        <f>IF(TITLE_DATE_PR_CHANGE="",IF(TITLE_DATE_PR="","",TITLE_DATE_PR),TITLE_DATE_PR_CHANGE)</f>
        <v>45631.41619212963</v>
      </c>
      <c r="W30" s="2330"/>
      <c r="X30" s="2330"/>
      <c r="Y30" s="2330"/>
      <c r="Z30" s="2330"/>
      <c r="AA30" s="2330"/>
      <c r="AB30" s="2330"/>
      <c r="AC30" s="392"/>
      <c r="AD30" s="2330" t="str">
        <f>IF(TITLE_DATE_PR_CHANGE="",IF(TITLE_DATE_PR="","",TITLE_DATE_PR),TITLE_DATE_PR_CHANGE)</f>
        <v>45631.41619212963</v>
      </c>
      <c r="AE30" s="2330"/>
      <c r="AF30" s="2330"/>
      <c r="AG30" s="2330"/>
      <c r="AH30" s="2330"/>
      <c r="AI30" s="2330"/>
      <c r="AJ30" s="2330"/>
      <c r="AK30" s="392"/>
      <c r="AL30" s="392"/>
      <c r="AM30" s="346"/>
      <c r="AN30" s="434"/>
      <c r="AO30" s="434"/>
      <c r="AP30" s="434"/>
      <c r="AQ30" s="434"/>
      <c r="AR30" s="434"/>
      <c r="AS30" s="484">
        <v>0</v>
      </c>
    </row>
    <row s="5597" customFormat="1" customHeight="1" ht="18.75">
      <c r="A31" s="1434"/>
      <c r="B31" s="1434"/>
      <c r="C31" s="1434"/>
      <c r="D31" s="1434"/>
      <c r="E31" s="1434"/>
      <c r="F31" s="1434"/>
      <c r="G31" s="1434"/>
      <c r="H31" s="1434"/>
      <c r="I31" s="1434"/>
      <c r="J31" s="1434"/>
      <c r="K31" s="1434"/>
      <c r="L31" s="1435"/>
      <c r="M31" s="1434"/>
      <c r="N31" s="1434"/>
      <c r="O31" s="1434"/>
      <c r="S31" s="2316" t="s">
        <v>430</v>
      </c>
      <c r="T31" s="2316"/>
      <c r="U31" s="1438"/>
      <c r="V31" s="2317" t="str">
        <f>IF(TITLE_NUMBER_PR_CHANGE="",IF(TITLE_NUMBER_PR="","",TITLE_NUMBER_PR),TITLE_NUMBER_PR_CHANGE)</f>
        <v>447-т</v>
      </c>
      <c r="W31" s="2317"/>
      <c r="X31" s="2317"/>
      <c r="Y31" s="2317"/>
      <c r="Z31" s="2317"/>
      <c r="AA31" s="2317"/>
      <c r="AB31" s="2317"/>
      <c r="AC31" s="392"/>
      <c r="AD31" s="2317" t="str">
        <f>IF(TITLE_NUMBER_PR_CHANGE="",IF(TITLE_NUMBER_PR="","",TITLE_NUMBER_PR),TITLE_NUMBER_PR_CHANGE)</f>
        <v>447-т</v>
      </c>
      <c r="AE31" s="2317"/>
      <c r="AF31" s="2317"/>
      <c r="AG31" s="2317"/>
      <c r="AH31" s="2317"/>
      <c r="AI31" s="2317"/>
      <c r="AJ31" s="2317"/>
      <c r="AK31" s="392"/>
      <c r="AL31" s="392"/>
      <c r="AM31" s="346"/>
      <c r="AN31" s="434"/>
      <c r="AO31" s="434"/>
      <c r="AP31" s="434"/>
      <c r="AQ31" s="434"/>
      <c r="AR31" s="434"/>
      <c r="AS31" s="484">
        <v>0</v>
      </c>
    </row>
    <row s="5597"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Официальный сайт Департамента тарифной политики, энергетики и ЖКК ЯНАО, https://rek-yamal.ru, 05.12.2024</v>
      </c>
      <c r="W32" s="2317"/>
      <c r="X32" s="2317"/>
      <c r="Y32" s="2317"/>
      <c r="Z32" s="2317"/>
      <c r="AA32" s="2317"/>
      <c r="AB32" s="2317"/>
      <c r="AC32" s="392"/>
      <c r="AD32" s="2317" t="str">
        <f>IF(TITLE_IST_PUB_CHANGE="",IF(TITLE_IST_PUB="","",TITLE_IST_PUB),TITLE_IST_PUB_CHANGE)</f>
        <v>Официальный сайт Департамента тарифной политики, энергетики и ЖКК ЯНАО, https://rek-yamal.ru, 05.12.2024</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597" customFormat="1" customHeight="1" ht="18.75" hidden="1">
      <c r="A34" s="1434"/>
      <c r="B34" s="1434"/>
      <c r="C34" s="1434"/>
      <c r="D34" s="1434"/>
      <c r="E34" s="1434"/>
      <c r="F34" s="1434"/>
      <c r="G34" s="1434"/>
      <c r="H34" s="1434"/>
      <c r="I34" s="1434"/>
      <c r="J34" s="1434"/>
      <c r="K34" s="1434"/>
      <c r="L34" s="1435"/>
      <c r="M34" s="1434"/>
      <c r="N34" s="1434"/>
      <c r="O34" s="1434"/>
      <c r="S34" s="2316" t="s">
        <v>431</v>
      </c>
      <c r="T34" s="2316"/>
      <c r="U34" s="1438"/>
      <c r="V34" s="2330" t="str">
        <f>IF(TITLE_DATE_PR_CHANGE="",IF(TITLE_DATE_PR="","",TITLE_DATE_PR),TITLE_DATE_PR_CHANGE)</f>
        <v>45631.41619212963</v>
      </c>
      <c r="W34" s="2330"/>
      <c r="X34" s="2330"/>
      <c r="Y34" s="2330"/>
      <c r="Z34" s="2330"/>
      <c r="AA34" s="2330"/>
      <c r="AB34" s="2330"/>
      <c r="AC34" s="392"/>
      <c r="AD34" s="2330" t="str">
        <f>IF(TITLE_DATE_PR_CHANGE="",IF(TITLE_DATE_PR="","",TITLE_DATE_PR),TITLE_DATE_PR_CHANGE)</f>
        <v>45631.41619212963</v>
      </c>
      <c r="AE34" s="2330"/>
      <c r="AF34" s="2330"/>
      <c r="AG34" s="2330"/>
      <c r="AH34" s="2330"/>
      <c r="AI34" s="2330"/>
      <c r="AJ34" s="2330"/>
      <c r="AK34" s="392"/>
      <c r="AL34" s="392"/>
      <c r="AM34" s="346"/>
      <c r="AN34" s="434"/>
      <c r="AO34" s="434"/>
      <c r="AP34" s="434"/>
      <c r="AQ34" s="434"/>
      <c r="AR34" s="434"/>
      <c r="AS34" s="484">
        <v>0</v>
      </c>
    </row>
    <row s="5597" customFormat="1" customHeight="1" ht="18.75" hidden="1">
      <c r="A35" s="1434"/>
      <c r="B35" s="1434"/>
      <c r="C35" s="1434"/>
      <c r="D35" s="1434"/>
      <c r="E35" s="1434"/>
      <c r="F35" s="1434"/>
      <c r="G35" s="1434"/>
      <c r="H35" s="1434"/>
      <c r="I35" s="1434"/>
      <c r="J35" s="1434"/>
      <c r="K35" s="1434"/>
      <c r="L35" s="1435"/>
      <c r="M35" s="1434"/>
      <c r="N35" s="1434"/>
      <c r="O35" s="1434"/>
      <c r="S35" s="2316" t="s">
        <v>432</v>
      </c>
      <c r="T35" s="2316"/>
      <c r="U35" s="1438"/>
      <c r="V35" s="2317" t="str">
        <f>IF(TITLE_NUMBER_PR_CHANGE="",IF(TITLE_NUMBER_PR="","",TITLE_NUMBER_PR),TITLE_NUMBER_PR_CHANGE)</f>
        <v>447-т</v>
      </c>
      <c r="W35" s="2317"/>
      <c r="X35" s="2317"/>
      <c r="Y35" s="2317"/>
      <c r="Z35" s="2317"/>
      <c r="AA35" s="2317"/>
      <c r="AB35" s="2317"/>
      <c r="AC35" s="392"/>
      <c r="AD35" s="2317" t="str">
        <f>IF(TITLE_NUMBER_PR_CHANGE="",IF(TITLE_NUMBER_PR="","",TITLE_NUMBER_PR),TITLE_NUMBER_PR_CHANGE)</f>
        <v>447-т</v>
      </c>
      <c r="AE35" s="2317"/>
      <c r="AF35" s="2317"/>
      <c r="AG35" s="2317"/>
      <c r="AH35" s="2317"/>
      <c r="AI35" s="2317"/>
      <c r="AJ35" s="2317"/>
      <c r="AK35" s="392"/>
      <c r="AL35" s="392"/>
      <c r="AM35" s="346"/>
      <c r="AN35" s="434"/>
      <c r="AO35" s="434"/>
      <c r="AP35" s="434"/>
      <c r="AQ35" s="434"/>
      <c r="AR35" s="434"/>
      <c r="AS35" s="484">
        <v>0</v>
      </c>
    </row>
    <row s="5597"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433</v>
      </c>
      <c r="AD36" s="392"/>
      <c r="AE36" s="392"/>
      <c r="AF36" s="392"/>
      <c r="AG36" s="392"/>
      <c r="AH36" s="392"/>
      <c r="AI36" s="392"/>
      <c r="AJ36" s="392"/>
      <c r="AK36" s="344" t="s">
        <v>433</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221">
        <v>14</v>
      </c>
    </row>
    <row customHeight="1" ht="14.699999999999998">
      <c r="Q39" s="442"/>
      <c r="R39" s="442"/>
      <c r="S39" s="2339" t="s">
        <v>93</v>
      </c>
      <c r="T39" s="2275" t="s">
        <v>434</v>
      </c>
      <c r="U39" s="367"/>
      <c r="V39" s="2340" t="s">
        <v>435</v>
      </c>
      <c r="W39" s="2341"/>
      <c r="X39" s="2341"/>
      <c r="Y39" s="2341"/>
      <c r="Z39" s="2341"/>
      <c r="AA39" s="2341"/>
      <c r="AB39" s="2342"/>
      <c r="AC39" s="2343" t="s">
        <v>436</v>
      </c>
      <c r="AD39" s="2340" t="s">
        <v>435</v>
      </c>
      <c r="AE39" s="2341"/>
      <c r="AF39" s="2341"/>
      <c r="AG39" s="2341"/>
      <c r="AH39" s="2341"/>
      <c r="AI39" s="2341"/>
      <c r="AJ39" s="2342"/>
      <c r="AK39" s="2343" t="s">
        <v>437</v>
      </c>
      <c r="AL39" s="2346" t="s">
        <v>438</v>
      </c>
      <c r="AM39" s="2193"/>
      <c r="AS39" s="1221">
        <v>14</v>
      </c>
    </row>
    <row customHeight="1" ht="35.699999999999996">
      <c r="Q40" s="442"/>
      <c r="R40" s="442"/>
      <c r="S40" s="2339"/>
      <c r="T40" s="2275"/>
      <c r="U40" s="1097"/>
      <c r="V40" s="2326" t="s">
        <v>439</v>
      </c>
      <c r="W40" s="2349"/>
      <c r="X40" s="2328" t="s">
        <v>441</v>
      </c>
      <c r="Y40" s="2329"/>
      <c r="Z40" s="2328" t="s">
        <v>442</v>
      </c>
      <c r="AA40" s="2335"/>
      <c r="AB40" s="2329"/>
      <c r="AC40" s="2344"/>
      <c r="AD40" s="2326" t="s">
        <v>459</v>
      </c>
      <c r="AE40" s="2349"/>
      <c r="AF40" s="2328" t="s">
        <v>441</v>
      </c>
      <c r="AG40" s="2329"/>
      <c r="AH40" s="2328" t="s">
        <v>442</v>
      </c>
      <c r="AI40" s="2335"/>
      <c r="AJ40" s="2329"/>
      <c r="AK40" s="2344"/>
      <c r="AL40" s="2347"/>
      <c r="AM40" s="2193"/>
      <c r="AS40" s="1221">
        <v>34</v>
      </c>
    </row>
    <row customHeight="1" ht="35.699999999999996">
      <c r="A41" s="1436"/>
      <c r="B41" s="1436" t="s">
        <v>140</v>
      </c>
      <c r="C41" s="1436" t="s">
        <v>141</v>
      </c>
      <c r="D41" s="1436" t="s">
        <v>142</v>
      </c>
      <c r="E41" s="1430" t="s">
        <v>443</v>
      </c>
      <c r="F41" s="1430" t="s">
        <v>444</v>
      </c>
      <c r="G41" s="1430" t="s">
        <v>445</v>
      </c>
      <c r="H41" s="1430" t="s">
        <v>446</v>
      </c>
      <c r="I41" s="1430" t="s">
        <v>447</v>
      </c>
      <c r="J41" s="1430" t="s">
        <v>448</v>
      </c>
      <c r="K41" s="1430" t="s">
        <v>449</v>
      </c>
      <c r="L41" s="1430" t="s">
        <v>424</v>
      </c>
      <c r="Q41" s="442"/>
      <c r="R41" s="442"/>
      <c r="S41" s="2339"/>
      <c r="T41" s="2275"/>
      <c r="U41" s="368"/>
      <c r="V41" s="2327"/>
      <c r="W41" s="2350"/>
      <c r="X41" s="1288" t="s">
        <v>450</v>
      </c>
      <c r="Y41" s="1288" t="s">
        <v>451</v>
      </c>
      <c r="Z41" s="1404" t="s">
        <v>452</v>
      </c>
      <c r="AA41" s="2336" t="s">
        <v>453</v>
      </c>
      <c r="AB41" s="2337"/>
      <c r="AC41" s="2345"/>
      <c r="AD41" s="2327"/>
      <c r="AE41" s="2350"/>
      <c r="AF41" s="1288" t="s">
        <v>450</v>
      </c>
      <c r="AG41" s="1288" t="s">
        <v>451</v>
      </c>
      <c r="AH41" s="1404" t="s">
        <v>452</v>
      </c>
      <c r="AI41" s="2336" t="s">
        <v>453</v>
      </c>
      <c r="AJ41" s="2337"/>
      <c r="AK41" s="2345"/>
      <c r="AL41" s="2348"/>
      <c r="AM41" s="2193"/>
      <c r="AS41" s="1221">
        <v>34</v>
      </c>
    </row>
    <row s="4153"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114</v>
      </c>
      <c r="T42" s="1321" t="s">
        <v>115</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191</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128</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191</v>
      </c>
      <c r="B44" s="1429" t="s">
        <v>192</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566"/>
      <c r="AP44" s="566" t="str">
        <f>IF(T44="","",T44)</f>
        <v>Территория действия тарифа</v>
      </c>
      <c r="AQ44" s="566"/>
      <c r="AR44" s="566"/>
      <c r="AS44" s="1221">
        <v>21</v>
      </c>
    </row>
    <row customHeight="1" ht="24">
      <c r="A45" s="1429" t="s">
        <v>191</v>
      </c>
      <c r="B45" s="1429" t="s">
        <v>192</v>
      </c>
      <c r="C45" s="1429" t="s">
        <v>193</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566"/>
      <c r="AP45" s="566" t="str">
        <f>IF(T45="","",T45)</f>
        <v>Наименование системы теплоснабжения </v>
      </c>
      <c r="AQ45" s="566"/>
      <c r="AR45" s="566"/>
      <c r="AS45" s="1221">
        <v>23</v>
      </c>
    </row>
    <row customHeight="1" ht="22.049999999999997">
      <c r="A46" s="1429" t="s">
        <v>191</v>
      </c>
      <c r="B46" s="1429" t="s">
        <v>192</v>
      </c>
      <c r="C46" s="1429" t="s">
        <v>193</v>
      </c>
      <c r="D46" s="1429" t="s">
        <v>194</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566"/>
      <c r="AP46" s="566" t="str">
        <f>IF(T46="","",T46)</f>
        <v>Источник тепловой энергии  </v>
      </c>
      <c r="AQ46" s="566"/>
      <c r="AR46" s="566"/>
      <c r="AS46" s="1221">
        <v>21</v>
      </c>
    </row>
    <row s="4562" customFormat="1" customHeight="1" ht="0">
      <c r="A47" s="1409" t="s">
        <v>191</v>
      </c>
      <c r="B47" s="1409" t="s">
        <v>192</v>
      </c>
      <c r="C47" s="1409" t="s">
        <v>193</v>
      </c>
      <c r="D47" s="1409" t="s">
        <v>194</v>
      </c>
      <c r="E47" s="2325"/>
      <c r="F47" s="2325"/>
      <c r="G47" s="2325"/>
      <c r="H47" s="2325"/>
      <c r="I47" s="2322" t="str">
        <f>S46&amp;".1"</f>
        <v>....1</v>
      </c>
      <c r="J47" s="1409"/>
      <c r="K47" s="1409"/>
      <c r="L47" s="1412" t="s">
        <v>412</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191</v>
      </c>
      <c r="B48" s="1429" t="s">
        <v>192</v>
      </c>
      <c r="C48" s="1429" t="s">
        <v>193</v>
      </c>
      <c r="D48" s="1429" t="s">
        <v>194</v>
      </c>
      <c r="E48" s="2325"/>
      <c r="F48" s="2325"/>
      <c r="G48" s="2325"/>
      <c r="H48" s="2325"/>
      <c r="I48" s="2352"/>
      <c r="J48" s="2322" t="str">
        <f>S46&amp;".1"</f>
        <v>....1</v>
      </c>
      <c r="K48" s="1429"/>
      <c r="L48" s="1430" t="s">
        <v>415</v>
      </c>
      <c r="P48" s="2323"/>
      <c r="Q48" s="2323">
        <v>1</v>
      </c>
      <c r="R48" s="423"/>
      <c r="S48" s="1402" t="str">
        <f>$J48</f>
        <v>....1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566"/>
      <c r="AP48" s="566" t="str">
        <f>IF(T48="","",T48)</f>
        <v>Группа потребителей</v>
      </c>
      <c r="AQ48" s="566"/>
      <c r="AR48" s="566"/>
      <c r="AS48" s="1221">
        <v>21</v>
      </c>
    </row>
    <row customHeight="1" ht="22.049999999999997">
      <c r="A49" s="1429" t="s">
        <v>191</v>
      </c>
      <c r="B49" s="1429" t="s">
        <v>192</v>
      </c>
      <c r="C49" s="1429" t="s">
        <v>193</v>
      </c>
      <c r="D49" s="1429" t="s">
        <v>194</v>
      </c>
      <c r="E49" s="2325"/>
      <c r="F49" s="2325"/>
      <c r="G49" s="2325"/>
      <c r="H49" s="2325"/>
      <c r="I49" s="2352"/>
      <c r="J49" s="2352"/>
      <c r="K49" s="2322" t="str">
        <f>J48&amp;".1"</f>
        <v>....1.1</v>
      </c>
      <c r="L49" s="1430" t="s">
        <v>418</v>
      </c>
      <c r="P49" s="2323"/>
      <c r="Q49" s="2323"/>
      <c r="R49" s="423">
        <v>1</v>
      </c>
      <c r="S49" s="1402" t="str">
        <f>$K49</f>
        <v>....1.1</v>
      </c>
      <c r="T49" s="1413"/>
      <c r="U49" s="366"/>
      <c r="V49" s="817"/>
      <c r="W49" s="391"/>
      <c r="X49" s="817"/>
      <c r="Y49" s="1323"/>
      <c r="Z49" s="2331"/>
      <c r="AA49" s="2173" t="s">
        <v>71</v>
      </c>
      <c r="AB49" s="2331"/>
      <c r="AC49" s="2173" t="s">
        <v>71</v>
      </c>
      <c r="AD49" s="817"/>
      <c r="AE49" s="391"/>
      <c r="AF49" s="817"/>
      <c r="AG49" s="1323"/>
      <c r="AH49" s="2331"/>
      <c r="AI49" s="2173" t="s">
        <v>71</v>
      </c>
      <c r="AJ49" s="2353"/>
      <c r="AK49" s="2173" t="s">
        <v>71</v>
      </c>
      <c r="AL49" s="1414"/>
      <c r="AM49" s="2319" t="s">
        <v>460</v>
      </c>
      <c r="AN49" s="577">
        <f>STRCHECKDATE(V50:AL50)</f>
      </c>
      <c r="AO49" s="566"/>
      <c r="AP49" s="566" t="str">
        <f>IF(T49="","",T49)</f>
        <v/>
      </c>
      <c r="AQ49" s="566"/>
      <c r="AR49" s="566"/>
      <c r="AS49" s="1221">
        <v>21</v>
      </c>
    </row>
    <row customHeight="1" ht="1.05">
      <c r="A50" s="1429" t="s">
        <v>191</v>
      </c>
      <c r="B50" s="1429" t="s">
        <v>192</v>
      </c>
      <c r="C50" s="1429" t="s">
        <v>193</v>
      </c>
      <c r="D50" s="1429" t="s">
        <v>194</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191</v>
      </c>
      <c r="B51" s="1429" t="s">
        <v>192</v>
      </c>
      <c r="C51" s="1429" t="s">
        <v>193</v>
      </c>
      <c r="D51" s="1429" t="s">
        <v>194</v>
      </c>
      <c r="E51" s="2325"/>
      <c r="F51" s="2325"/>
      <c r="G51" s="2325"/>
      <c r="H51" s="2325"/>
      <c r="I51" s="2352"/>
      <c r="J51" s="2322"/>
      <c r="K51" s="1429"/>
      <c r="L51" s="1430"/>
      <c r="P51" s="2323"/>
      <c r="Q51" s="2323"/>
      <c r="R51" s="422"/>
      <c r="S51" s="1344"/>
      <c r="T51" s="353" t="s">
        <v>420</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191</v>
      </c>
      <c r="B52" s="1429" t="s">
        <v>192</v>
      </c>
      <c r="C52" s="1429" t="s">
        <v>193</v>
      </c>
      <c r="D52" s="1429" t="s">
        <v>194</v>
      </c>
      <c r="E52" s="2325"/>
      <c r="F52" s="2325"/>
      <c r="G52" s="2325"/>
      <c r="H52" s="2325"/>
      <c r="I52" s="2322"/>
      <c r="J52" s="1429"/>
      <c r="K52" s="1429"/>
      <c r="L52" s="1430"/>
      <c r="P52" s="2323"/>
      <c r="Q52" s="1397"/>
      <c r="R52" s="422"/>
      <c r="S52" s="1344"/>
      <c r="T52" s="431" t="s">
        <v>421</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191</v>
      </c>
      <c r="B53" s="1429" t="s">
        <v>192</v>
      </c>
      <c r="C53" s="1429" t="s">
        <v>193</v>
      </c>
      <c r="D53" s="1429" t="s">
        <v>194</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562" customFormat="1" customHeight="1" ht="1.05">
      <c r="A54" s="1409" t="s">
        <v>191</v>
      </c>
      <c r="B54" s="1409" t="s">
        <v>192</v>
      </c>
      <c r="C54" s="1409" t="s">
        <v>193</v>
      </c>
      <c r="D54" s="1380"/>
      <c r="E54" s="2325"/>
      <c r="F54" s="2325"/>
      <c r="G54" s="2324"/>
      <c r="H54" s="1380"/>
      <c r="I54" s="1380"/>
      <c r="J54" s="1380"/>
      <c r="K54" s="1380"/>
      <c r="L54" s="1405"/>
      <c r="M54" s="1381"/>
      <c r="N54" s="1381"/>
      <c r="P54" s="1382"/>
      <c r="Q54" s="1383"/>
      <c r="R54" s="1382"/>
      <c r="S54" s="1388"/>
      <c r="T54" s="1391" t="s">
        <v>173</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562" customFormat="1" customHeight="1" ht="1.05">
      <c r="A55" s="1409" t="s">
        <v>191</v>
      </c>
      <c r="B55" s="1409" t="s">
        <v>192</v>
      </c>
      <c r="C55" s="1380"/>
      <c r="D55" s="1380"/>
      <c r="E55" s="2325"/>
      <c r="F55" s="2324"/>
      <c r="G55" s="1380"/>
      <c r="H55" s="1380"/>
      <c r="I55" s="1380"/>
      <c r="J55" s="1380"/>
      <c r="K55" s="1380"/>
      <c r="L55" s="1405"/>
      <c r="M55" s="1387"/>
      <c r="N55" s="1387"/>
      <c r="P55" s="1382"/>
      <c r="Q55" s="1383"/>
      <c r="R55" s="1382"/>
      <c r="S55" s="1388"/>
      <c r="T55" s="1391" t="s">
        <v>174</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562" customFormat="1" customHeight="1" ht="1.05">
      <c r="A56" s="1409" t="s">
        <v>191</v>
      </c>
      <c r="B56" s="1409"/>
      <c r="C56" s="1409"/>
      <c r="D56" s="1409"/>
      <c r="E56" s="2324"/>
      <c r="F56" s="1409"/>
      <c r="G56" s="1409"/>
      <c r="H56" s="1409"/>
      <c r="I56" s="1409"/>
      <c r="J56" s="1409"/>
      <c r="K56" s="1409"/>
      <c r="L56" s="1412"/>
      <c r="M56" s="1387"/>
      <c r="N56" s="1387"/>
      <c r="O56" s="584"/>
      <c r="P56" s="446"/>
      <c r="Q56" s="1410"/>
      <c r="R56" s="446"/>
      <c r="S56" s="1388"/>
      <c r="T56" s="1391" t="s">
        <v>175</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562"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3.2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22</v>
      </c>
    </row>
    <row customHeight="1" ht="30.4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29</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87</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234F9-5657-672C-AF63-484F60C87FD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002" width="10.57421875" hidden="1"/>
    <col min="2" max="2" style="5002" width="11.00390625" hidden="1" customWidth="1"/>
    <col min="3" max="3" style="5002" width="10.57421875" hidden="1"/>
    <col min="4" max="4" style="5002" width="11.8515625" hidden="1" customWidth="1"/>
    <col min="5" max="5" style="5002" width="10.00390625" hidden="1" customWidth="1"/>
    <col min="6" max="6" style="5002" width="8.7109375" hidden="1" customWidth="1"/>
    <col min="7" max="7" style="5002" width="7.57421875" hidden="1" customWidth="1"/>
    <col min="8" max="8" style="5002" width="11.421875" hidden="1" customWidth="1"/>
    <col min="9" max="9" style="5002" width="12.00390625" hidden="1" customWidth="1"/>
    <col min="10" max="10" style="5002" width="9.8515625" hidden="1" customWidth="1"/>
    <col min="11" max="11" style="5002" width="11.421875" hidden="1" customWidth="1"/>
    <col min="12" max="12" style="5519" width="19.140625" hidden="1" customWidth="1"/>
    <col min="13" max="14" style="4246" width="12.28125" hidden="1" customWidth="1"/>
    <col min="15" max="15" style="4246" width="23.421875" hidden="1" customWidth="1"/>
    <col min="16" max="16" style="5737" width="3.7109375" hidden="1" customWidth="1"/>
    <col min="17" max="18" style="5023" width="3.00390625" customWidth="1"/>
    <col min="19" max="19" style="5711" width="12.00390625" customWidth="1"/>
    <col min="20" max="20" style="5053" width="31.00390625" customWidth="1"/>
    <col min="21" max="21" style="5053" width="0.140625" customWidth="1"/>
    <col min="22" max="22" style="5053" width="24.7109375" hidden="1" customWidth="1"/>
    <col min="23" max="23" style="5053" width="0.140625" hidden="1" customWidth="1"/>
    <col min="24" max="25" style="5053" width="24.7109375" hidden="1" customWidth="1"/>
    <col min="26" max="26" style="5053" width="11.7109375" hidden="1" customWidth="1"/>
    <col min="27" max="27" style="5053" width="3.7109375" hidden="1" customWidth="1"/>
    <col min="28" max="28" style="5053" width="11.7109375" hidden="1" customWidth="1"/>
    <col min="29" max="29" style="5053" width="8.57421875" hidden="1" customWidth="1"/>
    <col min="30" max="30" style="5053" width="24.7109375" customWidth="1"/>
    <col min="31" max="31" style="5053" width="0.140625" customWidth="1"/>
    <col min="32" max="33" style="5053" width="24.00390625" customWidth="1"/>
    <col min="34" max="34" style="5053" width="11.00390625" customWidth="1"/>
    <col min="35" max="35" style="5053" width="3.7109375" customWidth="1"/>
    <col min="36" max="36" style="5053" width="11.00390625" customWidth="1"/>
    <col min="37" max="37" style="5053" width="8.57421875" hidden="1" customWidth="1"/>
    <col min="38" max="38" style="5053" width="4.00390625" customWidth="1"/>
    <col min="39" max="39" style="5053" width="115.00390625" customWidth="1"/>
    <col min="40" max="44" style="4562" width="10.00390625" customWidth="1"/>
    <col min="45" max="45" style="5053"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128</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409</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411</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412</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415</v>
      </c>
      <c r="M7" s="603"/>
      <c r="N7" s="1432"/>
      <c r="P7" s="2323"/>
      <c r="Q7" s="2323">
        <v>1</v>
      </c>
      <c r="R7" s="423"/>
      <c r="S7" s="1402">
        <f>$J7</f>
      </c>
      <c r="T7" s="352" t="s">
        <v>416</v>
      </c>
      <c r="U7" s="366"/>
      <c r="V7" s="2311"/>
      <c r="W7" s="2312"/>
      <c r="X7" s="2312"/>
      <c r="Y7" s="2312"/>
      <c r="Z7" s="2312"/>
      <c r="AA7" s="2312"/>
      <c r="AB7" s="2312"/>
      <c r="AC7" s="2313"/>
      <c r="AD7" s="2311"/>
      <c r="AE7" s="2312"/>
      <c r="AF7" s="2312"/>
      <c r="AG7" s="2312"/>
      <c r="AH7" s="2312"/>
      <c r="AI7" s="2312"/>
      <c r="AJ7" s="2312"/>
      <c r="AK7" s="2312"/>
      <c r="AL7" s="2313"/>
      <c r="AM7" s="1324" t="s">
        <v>417</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418</v>
      </c>
      <c r="M8" s="603"/>
      <c r="N8" s="1432"/>
      <c r="O8" s="1432"/>
      <c r="P8" s="2323"/>
      <c r="Q8" s="2323"/>
      <c r="R8" s="423">
        <v>1</v>
      </c>
      <c r="S8" s="1402">
        <f>$K8</f>
      </c>
      <c r="T8" s="1413"/>
      <c r="U8" s="366"/>
      <c r="V8" s="817"/>
      <c r="W8" s="391"/>
      <c r="X8" s="817"/>
      <c r="Y8" s="1323"/>
      <c r="Z8" s="2331"/>
      <c r="AA8" s="2173" t="s">
        <v>71</v>
      </c>
      <c r="AB8" s="2331"/>
      <c r="AC8" s="2173" t="s">
        <v>71</v>
      </c>
      <c r="AD8" s="817"/>
      <c r="AE8" s="391"/>
      <c r="AF8" s="817"/>
      <c r="AG8" s="1323"/>
      <c r="AH8" s="2331"/>
      <c r="AI8" s="2173" t="s">
        <v>71</v>
      </c>
      <c r="AJ8" s="2331"/>
      <c r="AK8" s="2173" t="s">
        <v>71</v>
      </c>
      <c r="AL8" s="391"/>
      <c r="AM8" s="2319" t="s">
        <v>419</v>
      </c>
      <c r="AN8" s="577">
        <f>STRCHECKDATE(V9:AL9)</f>
      </c>
      <c r="AO8" s="566"/>
      <c r="AP8" s="566" t="str">
        <f>IF(T8="","",T8)</f>
        <v/>
      </c>
      <c r="AQ8" s="566"/>
      <c r="AR8" s="566"/>
      <c r="AS8" s="1221">
        <v>0</v>
      </c>
    </row>
    <row customHeight="1" ht="14.2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420</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421</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562" customFormat="1" customHeight="1" ht="14.25" hidden="1">
      <c r="A13" s="1380"/>
      <c r="B13" s="1380"/>
      <c r="C13" s="1380"/>
      <c r="D13" s="1380"/>
      <c r="E13" s="2325"/>
      <c r="F13" s="2325"/>
      <c r="G13" s="2324"/>
      <c r="H13" s="1380"/>
      <c r="I13" s="1380"/>
      <c r="J13" s="1380"/>
      <c r="K13" s="1380"/>
      <c r="L13" s="1405"/>
      <c r="M13" s="1381"/>
      <c r="N13" s="1381"/>
      <c r="P13" s="1382"/>
      <c r="Q13" s="1383"/>
      <c r="R13" s="1382"/>
      <c r="S13" s="1384"/>
      <c r="T13" s="1385" t="s">
        <v>173</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562" customFormat="1" customHeight="1" ht="14.25" hidden="1">
      <c r="A14" s="1380"/>
      <c r="B14" s="1380"/>
      <c r="C14" s="1380"/>
      <c r="D14" s="1380"/>
      <c r="E14" s="2325"/>
      <c r="F14" s="2324"/>
      <c r="G14" s="1380"/>
      <c r="H14" s="1380"/>
      <c r="I14" s="1380"/>
      <c r="J14" s="1380"/>
      <c r="K14" s="1380"/>
      <c r="L14" s="1405"/>
      <c r="M14" s="1387"/>
      <c r="N14" s="1387"/>
      <c r="P14" s="1382"/>
      <c r="Q14" s="1383"/>
      <c r="R14" s="1382"/>
      <c r="S14" s="1388"/>
      <c r="T14" s="1389" t="s">
        <v>174</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562" customFormat="1" customHeight="1" ht="14.25" hidden="1">
      <c r="A15" s="1380"/>
      <c r="B15" s="1380"/>
      <c r="C15" s="1380"/>
      <c r="D15" s="1380"/>
      <c r="E15" s="2324"/>
      <c r="F15" s="1380"/>
      <c r="G15" s="1380"/>
      <c r="H15" s="1380"/>
      <c r="I15" s="1380"/>
      <c r="J15" s="1380"/>
      <c r="K15" s="1380"/>
      <c r="L15" s="1405"/>
      <c r="M15" s="1387"/>
      <c r="N15" s="1387"/>
      <c r="P15" s="1382"/>
      <c r="Q15" s="1383"/>
      <c r="R15" s="1382"/>
      <c r="S15" s="1388"/>
      <c r="T15" s="1391" t="s">
        <v>175</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71</v>
      </c>
      <c r="AJ17" s="2333"/>
      <c r="AK17" s="2334" t="s">
        <v>71</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5002" customFormat="1" customHeight="1" ht="22.5" hidden="1">
      <c r="L20" s="1395"/>
      <c r="M20" s="1428"/>
      <c r="N20" s="1428"/>
      <c r="O20" s="1433" t="s">
        <v>423</v>
      </c>
      <c r="P20" s="1428"/>
      <c r="Q20" s="1437"/>
      <c r="R20" s="1437"/>
      <c r="S20" s="795"/>
      <c r="Z20" s="1433"/>
      <c r="AB20" s="1433"/>
      <c r="AC20" s="1432"/>
      <c r="AH20" s="1433"/>
      <c r="AJ20" s="1433"/>
      <c r="AK20" s="1432"/>
      <c r="AN20" s="577"/>
      <c r="AO20" s="577"/>
      <c r="AP20" s="577"/>
      <c r="AQ20" s="577"/>
      <c r="AR20" s="577"/>
      <c r="AS20" s="1226">
        <v>0</v>
      </c>
    </row>
    <row s="5002" customFormat="1" customHeight="1" ht="14.25" hidden="1">
      <c r="L21" s="1395"/>
      <c r="M21" s="1428"/>
      <c r="N21" s="1428"/>
      <c r="O21" s="1428"/>
      <c r="P21" s="1428"/>
      <c r="Q21" s="1437"/>
      <c r="R21" s="1437"/>
      <c r="S21" s="795"/>
      <c r="AC21" s="1432"/>
      <c r="AK21" s="1432"/>
      <c r="AN21" s="577"/>
      <c r="AO21" s="577"/>
      <c r="AP21" s="577"/>
      <c r="AQ21" s="577"/>
      <c r="AR21" s="577"/>
      <c r="AS21" s="1226">
        <v>0</v>
      </c>
    </row>
    <row s="5002" customFormat="1" customHeight="1" ht="14.25" hidden="1">
      <c r="L22" s="1395"/>
      <c r="M22" s="1428"/>
      <c r="N22" s="1428"/>
      <c r="O22" s="1430" t="s">
        <v>424</v>
      </c>
      <c r="P22" s="1428"/>
      <c r="Q22" s="1437"/>
      <c r="R22" s="1437"/>
      <c r="S22" s="795"/>
      <c r="T22" s="1226" t="s">
        <v>425</v>
      </c>
      <c r="AA22" s="252" t="s">
        <v>426</v>
      </c>
      <c r="AC22" s="252" t="s">
        <v>427</v>
      </c>
      <c r="AD22" s="1226" t="s">
        <v>425</v>
      </c>
      <c r="AI22" s="252" t="s">
        <v>428</v>
      </c>
      <c r="AK22" s="252" t="s">
        <v>427</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3.54999999999999">
      <c r="Q26" s="442"/>
      <c r="R26" s="442"/>
      <c r="S26" s="23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51</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597"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Департамент тарифной политики, энергетики и ЖКК ЯНАО </v>
      </c>
      <c r="W29" s="2317"/>
      <c r="X29" s="2317"/>
      <c r="Y29" s="2317"/>
      <c r="Z29" s="2317"/>
      <c r="AA29" s="2317"/>
      <c r="AB29" s="2317"/>
      <c r="AC29" s="392"/>
      <c r="AD29" s="2317" t="str">
        <f>IF(TITLE_NAME_OR_PR_CHANGE="",IF(TITLE_NAME_OR_PR="","",TITLE_NAME_OR_PR),TITLE_NAME_OR_PR_CHANGE)</f>
        <v>Департамент тарифной политики, энергетики и ЖКК ЯНАО </v>
      </c>
      <c r="AE29" s="2317"/>
      <c r="AF29" s="2317"/>
      <c r="AG29" s="2317"/>
      <c r="AH29" s="2317"/>
      <c r="AI29" s="2317"/>
      <c r="AJ29" s="2317"/>
      <c r="AK29" s="392"/>
      <c r="AL29" s="392"/>
      <c r="AM29" s="346"/>
      <c r="AN29" s="434"/>
      <c r="AO29" s="434"/>
      <c r="AP29" s="434"/>
      <c r="AQ29" s="434"/>
      <c r="AR29" s="434"/>
      <c r="AS29" s="484">
        <v>0</v>
      </c>
    </row>
    <row s="5597" customFormat="1" customHeight="1" ht="18.75">
      <c r="A30" s="1434"/>
      <c r="B30" s="1434"/>
      <c r="C30" s="1434"/>
      <c r="D30" s="1434"/>
      <c r="E30" s="1434"/>
      <c r="F30" s="1434"/>
      <c r="G30" s="1434"/>
      <c r="H30" s="1434"/>
      <c r="I30" s="1434"/>
      <c r="J30" s="1434"/>
      <c r="K30" s="1434"/>
      <c r="L30" s="1435"/>
      <c r="M30" s="1434"/>
      <c r="N30" s="1434"/>
      <c r="O30" s="1434"/>
      <c r="S30" s="2316" t="s">
        <v>429</v>
      </c>
      <c r="T30" s="2316"/>
      <c r="U30" s="1438"/>
      <c r="V30" s="2330" t="str">
        <f>IF(TITLE_DATE_PR_CHANGE="",IF(TITLE_DATE_PR="","",TITLE_DATE_PR),TITLE_DATE_PR_CHANGE)</f>
        <v>45631.41619212963</v>
      </c>
      <c r="W30" s="2330"/>
      <c r="X30" s="2330"/>
      <c r="Y30" s="2330"/>
      <c r="Z30" s="2330"/>
      <c r="AA30" s="2330"/>
      <c r="AB30" s="2330"/>
      <c r="AC30" s="392"/>
      <c r="AD30" s="2330" t="str">
        <f>IF(TITLE_DATE_PR_CHANGE="",IF(TITLE_DATE_PR="","",TITLE_DATE_PR),TITLE_DATE_PR_CHANGE)</f>
        <v>45631.41619212963</v>
      </c>
      <c r="AE30" s="2330"/>
      <c r="AF30" s="2330"/>
      <c r="AG30" s="2330"/>
      <c r="AH30" s="2330"/>
      <c r="AI30" s="2330"/>
      <c r="AJ30" s="2330"/>
      <c r="AK30" s="392"/>
      <c r="AL30" s="392"/>
      <c r="AM30" s="346"/>
      <c r="AN30" s="434"/>
      <c r="AO30" s="434"/>
      <c r="AP30" s="434"/>
      <c r="AQ30" s="434"/>
      <c r="AR30" s="434"/>
      <c r="AS30" s="484">
        <v>0</v>
      </c>
    </row>
    <row s="5597" customFormat="1" customHeight="1" ht="18.75">
      <c r="A31" s="1434"/>
      <c r="B31" s="1434"/>
      <c r="C31" s="1434"/>
      <c r="D31" s="1434"/>
      <c r="E31" s="1434"/>
      <c r="F31" s="1434"/>
      <c r="G31" s="1434"/>
      <c r="H31" s="1434"/>
      <c r="I31" s="1434"/>
      <c r="J31" s="1434"/>
      <c r="K31" s="1434"/>
      <c r="L31" s="1435"/>
      <c r="M31" s="1434"/>
      <c r="N31" s="1434"/>
      <c r="O31" s="1434"/>
      <c r="S31" s="2316" t="s">
        <v>430</v>
      </c>
      <c r="T31" s="2316"/>
      <c r="U31" s="1438"/>
      <c r="V31" s="2317" t="str">
        <f>IF(TITLE_NUMBER_PR_CHANGE="",IF(TITLE_NUMBER_PR="","",TITLE_NUMBER_PR),TITLE_NUMBER_PR_CHANGE)</f>
        <v>447-т</v>
      </c>
      <c r="W31" s="2317"/>
      <c r="X31" s="2317"/>
      <c r="Y31" s="2317"/>
      <c r="Z31" s="2317"/>
      <c r="AA31" s="2317"/>
      <c r="AB31" s="2317"/>
      <c r="AC31" s="392"/>
      <c r="AD31" s="2317" t="str">
        <f>IF(TITLE_NUMBER_PR_CHANGE="",IF(TITLE_NUMBER_PR="","",TITLE_NUMBER_PR),TITLE_NUMBER_PR_CHANGE)</f>
        <v>447-т</v>
      </c>
      <c r="AE31" s="2317"/>
      <c r="AF31" s="2317"/>
      <c r="AG31" s="2317"/>
      <c r="AH31" s="2317"/>
      <c r="AI31" s="2317"/>
      <c r="AJ31" s="2317"/>
      <c r="AK31" s="392"/>
      <c r="AL31" s="392"/>
      <c r="AM31" s="346"/>
      <c r="AN31" s="434"/>
      <c r="AO31" s="434"/>
      <c r="AP31" s="434"/>
      <c r="AQ31" s="434"/>
      <c r="AR31" s="434"/>
      <c r="AS31" s="484">
        <v>0</v>
      </c>
    </row>
    <row s="5597"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Официальный сайт Департамента тарифной политики, энергетики и ЖКК ЯНАО, https://rek-yamal.ru, 05.12.2024</v>
      </c>
      <c r="W32" s="2317"/>
      <c r="X32" s="2317"/>
      <c r="Y32" s="2317"/>
      <c r="Z32" s="2317"/>
      <c r="AA32" s="2317"/>
      <c r="AB32" s="2317"/>
      <c r="AC32" s="392"/>
      <c r="AD32" s="2317" t="str">
        <f>IF(TITLE_IST_PUB_CHANGE="",IF(TITLE_IST_PUB="","",TITLE_IST_PUB),TITLE_IST_PUB_CHANGE)</f>
        <v>Официальный сайт Департамента тарифной политики, энергетики и ЖКК ЯНАО, https://rek-yamal.ru, 05.12.2024</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597" customFormat="1" customHeight="1" ht="18.75" hidden="1">
      <c r="A34" s="1434"/>
      <c r="B34" s="1434"/>
      <c r="C34" s="1434"/>
      <c r="D34" s="1434"/>
      <c r="E34" s="1434"/>
      <c r="F34" s="1434"/>
      <c r="G34" s="1434"/>
      <c r="H34" s="1434"/>
      <c r="I34" s="1434"/>
      <c r="J34" s="1434"/>
      <c r="K34" s="1434"/>
      <c r="L34" s="1435"/>
      <c r="M34" s="1434"/>
      <c r="N34" s="1434"/>
      <c r="O34" s="1434"/>
      <c r="S34" s="2316" t="s">
        <v>431</v>
      </c>
      <c r="T34" s="2316"/>
      <c r="U34" s="1438"/>
      <c r="V34" s="2330" t="str">
        <f>IF(TITLE_DATE_PR_CHANGE="",IF(TITLE_DATE_PR="","",TITLE_DATE_PR),TITLE_DATE_PR_CHANGE)</f>
        <v>45631.41619212963</v>
      </c>
      <c r="W34" s="2330"/>
      <c r="X34" s="2330"/>
      <c r="Y34" s="2330"/>
      <c r="Z34" s="2330"/>
      <c r="AA34" s="2330"/>
      <c r="AB34" s="2330"/>
      <c r="AC34" s="392"/>
      <c r="AD34" s="2330" t="str">
        <f>IF(TITLE_DATE_PR_CHANGE="",IF(TITLE_DATE_PR="","",TITLE_DATE_PR),TITLE_DATE_PR_CHANGE)</f>
        <v>45631.41619212963</v>
      </c>
      <c r="AE34" s="2330"/>
      <c r="AF34" s="2330"/>
      <c r="AG34" s="2330"/>
      <c r="AH34" s="2330"/>
      <c r="AI34" s="2330"/>
      <c r="AJ34" s="2330"/>
      <c r="AK34" s="392"/>
      <c r="AL34" s="392"/>
      <c r="AM34" s="346"/>
      <c r="AN34" s="434"/>
      <c r="AO34" s="434"/>
      <c r="AP34" s="434"/>
      <c r="AQ34" s="434"/>
      <c r="AR34" s="434"/>
      <c r="AS34" s="484">
        <v>0</v>
      </c>
    </row>
    <row s="5597" customFormat="1" customHeight="1" ht="25.5" hidden="1">
      <c r="A35" s="1434"/>
      <c r="B35" s="1434"/>
      <c r="C35" s="1434"/>
      <c r="D35" s="1434"/>
      <c r="E35" s="1434"/>
      <c r="F35" s="1434"/>
      <c r="G35" s="1434"/>
      <c r="H35" s="1434"/>
      <c r="I35" s="1434"/>
      <c r="J35" s="1434"/>
      <c r="K35" s="1434"/>
      <c r="L35" s="1435"/>
      <c r="M35" s="1434"/>
      <c r="N35" s="1434"/>
      <c r="O35" s="1434"/>
      <c r="S35" s="2316" t="s">
        <v>432</v>
      </c>
      <c r="T35" s="2316"/>
      <c r="U35" s="1438"/>
      <c r="V35" s="2317" t="str">
        <f>IF(TITLE_NUMBER_PR_CHANGE="",IF(TITLE_NUMBER_PR="","",TITLE_NUMBER_PR),TITLE_NUMBER_PR_CHANGE)</f>
        <v>447-т</v>
      </c>
      <c r="W35" s="2317"/>
      <c r="X35" s="2317"/>
      <c r="Y35" s="2317"/>
      <c r="Z35" s="2317"/>
      <c r="AA35" s="2317"/>
      <c r="AB35" s="2317"/>
      <c r="AC35" s="392"/>
      <c r="AD35" s="2317" t="str">
        <f>IF(TITLE_NUMBER_PR_CHANGE="",IF(TITLE_NUMBER_PR="","",TITLE_NUMBER_PR),TITLE_NUMBER_PR_CHANGE)</f>
        <v>447-т</v>
      </c>
      <c r="AE35" s="2317"/>
      <c r="AF35" s="2317"/>
      <c r="AG35" s="2317"/>
      <c r="AH35" s="2317"/>
      <c r="AI35" s="2317"/>
      <c r="AJ35" s="2317"/>
      <c r="AK35" s="392"/>
      <c r="AL35" s="392"/>
      <c r="AM35" s="346"/>
      <c r="AN35" s="434"/>
      <c r="AO35" s="434"/>
      <c r="AP35" s="434"/>
      <c r="AQ35" s="434"/>
      <c r="AR35" s="434"/>
      <c r="AS35" s="484">
        <v>0</v>
      </c>
    </row>
    <row s="5597"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433</v>
      </c>
      <c r="AD36" s="392"/>
      <c r="AE36" s="392"/>
      <c r="AF36" s="392"/>
      <c r="AG36" s="392"/>
      <c r="AH36" s="392"/>
      <c r="AI36" s="392"/>
      <c r="AJ36" s="392"/>
      <c r="AK36" s="344" t="s">
        <v>433</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221">
        <v>14</v>
      </c>
    </row>
    <row customHeight="1" ht="14.699999999999998">
      <c r="Q39" s="442"/>
      <c r="R39" s="442"/>
      <c r="S39" s="2339" t="s">
        <v>93</v>
      </c>
      <c r="T39" s="2275" t="s">
        <v>434</v>
      </c>
      <c r="U39" s="367"/>
      <c r="V39" s="2340" t="s">
        <v>435</v>
      </c>
      <c r="W39" s="2341"/>
      <c r="X39" s="2341"/>
      <c r="Y39" s="2341"/>
      <c r="Z39" s="2341"/>
      <c r="AA39" s="2341"/>
      <c r="AB39" s="2342"/>
      <c r="AC39" s="2343" t="s">
        <v>436</v>
      </c>
      <c r="AD39" s="2340" t="s">
        <v>435</v>
      </c>
      <c r="AE39" s="2341"/>
      <c r="AF39" s="2341"/>
      <c r="AG39" s="2341"/>
      <c r="AH39" s="2341"/>
      <c r="AI39" s="2341"/>
      <c r="AJ39" s="2342"/>
      <c r="AK39" s="2343" t="s">
        <v>437</v>
      </c>
      <c r="AL39" s="2346" t="s">
        <v>438</v>
      </c>
      <c r="AM39" s="2193"/>
      <c r="AS39" s="1221">
        <v>14</v>
      </c>
    </row>
    <row customHeight="1" ht="35.699999999999996">
      <c r="Q40" s="442"/>
      <c r="R40" s="442"/>
      <c r="S40" s="2339"/>
      <c r="T40" s="2275"/>
      <c r="U40" s="1097"/>
      <c r="V40" s="2326" t="s">
        <v>439</v>
      </c>
      <c r="W40" s="2349"/>
      <c r="X40" s="2328" t="s">
        <v>441</v>
      </c>
      <c r="Y40" s="2329"/>
      <c r="Z40" s="2328" t="s">
        <v>442</v>
      </c>
      <c r="AA40" s="2335"/>
      <c r="AB40" s="2329"/>
      <c r="AC40" s="2344"/>
      <c r="AD40" s="2326" t="s">
        <v>459</v>
      </c>
      <c r="AE40" s="2349"/>
      <c r="AF40" s="2328" t="s">
        <v>441</v>
      </c>
      <c r="AG40" s="2329"/>
      <c r="AH40" s="2328" t="s">
        <v>442</v>
      </c>
      <c r="AI40" s="2335"/>
      <c r="AJ40" s="2329"/>
      <c r="AK40" s="2344"/>
      <c r="AL40" s="2347"/>
      <c r="AM40" s="2193"/>
      <c r="AS40" s="1221">
        <v>34</v>
      </c>
    </row>
    <row customHeight="1" ht="35.699999999999996">
      <c r="A41" s="1436"/>
      <c r="B41" s="1436" t="s">
        <v>140</v>
      </c>
      <c r="C41" s="1436" t="s">
        <v>141</v>
      </c>
      <c r="D41" s="1436" t="s">
        <v>142</v>
      </c>
      <c r="E41" s="1430" t="s">
        <v>443</v>
      </c>
      <c r="F41" s="1430" t="s">
        <v>444</v>
      </c>
      <c r="G41" s="1430" t="s">
        <v>445</v>
      </c>
      <c r="H41" s="1430" t="s">
        <v>446</v>
      </c>
      <c r="I41" s="1430" t="s">
        <v>447</v>
      </c>
      <c r="J41" s="1430" t="s">
        <v>448</v>
      </c>
      <c r="K41" s="1430" t="s">
        <v>449</v>
      </c>
      <c r="L41" s="1430" t="s">
        <v>424</v>
      </c>
      <c r="Q41" s="442"/>
      <c r="R41" s="442"/>
      <c r="S41" s="2339"/>
      <c r="T41" s="2275"/>
      <c r="U41" s="368"/>
      <c r="V41" s="2327"/>
      <c r="W41" s="2350"/>
      <c r="X41" s="1288" t="s">
        <v>450</v>
      </c>
      <c r="Y41" s="1288" t="s">
        <v>451</v>
      </c>
      <c r="Z41" s="1404" t="s">
        <v>452</v>
      </c>
      <c r="AA41" s="2336" t="s">
        <v>453</v>
      </c>
      <c r="AB41" s="2337"/>
      <c r="AC41" s="2345"/>
      <c r="AD41" s="2327"/>
      <c r="AE41" s="2350"/>
      <c r="AF41" s="1288" t="s">
        <v>450</v>
      </c>
      <c r="AG41" s="1288" t="s">
        <v>451</v>
      </c>
      <c r="AH41" s="1404" t="s">
        <v>452</v>
      </c>
      <c r="AI41" s="2336" t="s">
        <v>453</v>
      </c>
      <c r="AJ41" s="2337"/>
      <c r="AK41" s="2345"/>
      <c r="AL41" s="2348"/>
      <c r="AM41" s="2193"/>
      <c r="AS41" s="1221">
        <v>34</v>
      </c>
    </row>
    <row s="4153"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114</v>
      </c>
      <c r="T42" s="1321" t="s">
        <v>115</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197</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128</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197</v>
      </c>
      <c r="B44" s="1429" t="s">
        <v>198</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566"/>
      <c r="AP44" s="566" t="str">
        <f>IF(T44="","",T44)</f>
        <v>Территория действия тарифа</v>
      </c>
      <c r="AQ44" s="566"/>
      <c r="AR44" s="566"/>
      <c r="AS44" s="1221">
        <v>21</v>
      </c>
    </row>
    <row customHeight="1" ht="24">
      <c r="A45" s="1429" t="s">
        <v>197</v>
      </c>
      <c r="B45" s="1429" t="s">
        <v>198</v>
      </c>
      <c r="C45" s="1429" t="s">
        <v>199</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566"/>
      <c r="AP45" s="566" t="str">
        <f>IF(T45="","",T45)</f>
        <v>Наименование системы теплоснабжения </v>
      </c>
      <c r="AQ45" s="566"/>
      <c r="AR45" s="566"/>
      <c r="AS45" s="1221">
        <v>23</v>
      </c>
    </row>
    <row customHeight="1" ht="22.049999999999997">
      <c r="A46" s="1429" t="s">
        <v>197</v>
      </c>
      <c r="B46" s="1429" t="s">
        <v>198</v>
      </c>
      <c r="C46" s="1429" t="s">
        <v>199</v>
      </c>
      <c r="D46" s="1429" t="s">
        <v>200</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566"/>
      <c r="AP46" s="566" t="str">
        <f>IF(T46="","",T46)</f>
        <v>Источник тепловой энергии  </v>
      </c>
      <c r="AQ46" s="566"/>
      <c r="AR46" s="566"/>
      <c r="AS46" s="1221">
        <v>21</v>
      </c>
    </row>
    <row s="4562" customFormat="1" customHeight="1" ht="0">
      <c r="A47" s="1409" t="s">
        <v>197</v>
      </c>
      <c r="B47" s="1409" t="s">
        <v>198</v>
      </c>
      <c r="C47" s="1409" t="s">
        <v>199</v>
      </c>
      <c r="D47" s="1409" t="s">
        <v>200</v>
      </c>
      <c r="E47" s="2325"/>
      <c r="F47" s="2325"/>
      <c r="G47" s="2325"/>
      <c r="H47" s="2325"/>
      <c r="I47" s="2322" t="str">
        <f>S46&amp;".1"</f>
        <v>....1</v>
      </c>
      <c r="J47" s="1409"/>
      <c r="K47" s="1409"/>
      <c r="L47" s="1412" t="s">
        <v>412</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197</v>
      </c>
      <c r="B48" s="1429" t="s">
        <v>198</v>
      </c>
      <c r="C48" s="1429" t="s">
        <v>199</v>
      </c>
      <c r="D48" s="1429" t="s">
        <v>200</v>
      </c>
      <c r="E48" s="2325"/>
      <c r="F48" s="2325"/>
      <c r="G48" s="2325"/>
      <c r="H48" s="2325"/>
      <c r="I48" s="2352"/>
      <c r="J48" s="2322" t="str">
        <f>S46&amp;".1"</f>
        <v>....1</v>
      </c>
      <c r="K48" s="1429"/>
      <c r="L48" s="1430" t="s">
        <v>415</v>
      </c>
      <c r="P48" s="2323"/>
      <c r="Q48" s="2323">
        <v>1</v>
      </c>
      <c r="R48" s="423"/>
      <c r="S48" s="1402" t="str">
        <f>$J48</f>
        <v>....1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566"/>
      <c r="AP48" s="566" t="str">
        <f>IF(T48="","",T48)</f>
        <v>Группа потребителей</v>
      </c>
      <c r="AQ48" s="566"/>
      <c r="AR48" s="566"/>
      <c r="AS48" s="1221">
        <v>21</v>
      </c>
    </row>
    <row customHeight="1" ht="22.049999999999997">
      <c r="A49" s="1429" t="s">
        <v>197</v>
      </c>
      <c r="B49" s="1429" t="s">
        <v>198</v>
      </c>
      <c r="C49" s="1429" t="s">
        <v>199</v>
      </c>
      <c r="D49" s="1429" t="s">
        <v>200</v>
      </c>
      <c r="E49" s="2325"/>
      <c r="F49" s="2325"/>
      <c r="G49" s="2325"/>
      <c r="H49" s="2325"/>
      <c r="I49" s="2352"/>
      <c r="J49" s="2352"/>
      <c r="K49" s="2322" t="str">
        <f>J48&amp;".1"</f>
        <v>....1.1</v>
      </c>
      <c r="L49" s="1430" t="s">
        <v>418</v>
      </c>
      <c r="P49" s="2323"/>
      <c r="Q49" s="2323"/>
      <c r="R49" s="423">
        <v>1</v>
      </c>
      <c r="S49" s="1402" t="str">
        <f>$K49</f>
        <v>....1.1</v>
      </c>
      <c r="T49" s="1413"/>
      <c r="U49" s="366"/>
      <c r="V49" s="817"/>
      <c r="W49" s="391"/>
      <c r="X49" s="817"/>
      <c r="Y49" s="1323"/>
      <c r="Z49" s="2331"/>
      <c r="AA49" s="2173" t="s">
        <v>71</v>
      </c>
      <c r="AB49" s="2331"/>
      <c r="AC49" s="2173" t="s">
        <v>71</v>
      </c>
      <c r="AD49" s="817"/>
      <c r="AE49" s="391"/>
      <c r="AF49" s="817"/>
      <c r="AG49" s="1323"/>
      <c r="AH49" s="2331"/>
      <c r="AI49" s="2173" t="s">
        <v>71</v>
      </c>
      <c r="AJ49" s="2353"/>
      <c r="AK49" s="2173" t="s">
        <v>71</v>
      </c>
      <c r="AL49" s="1414"/>
      <c r="AM49" s="2319" t="s">
        <v>460</v>
      </c>
      <c r="AN49" s="577">
        <f>STRCHECKDATE(V50:AL50)</f>
      </c>
      <c r="AO49" s="566"/>
      <c r="AP49" s="566" t="str">
        <f>IF(T49="","",T49)</f>
        <v/>
      </c>
      <c r="AQ49" s="566"/>
      <c r="AR49" s="566"/>
      <c r="AS49" s="1221">
        <v>21</v>
      </c>
    </row>
    <row customHeight="1" ht="0">
      <c r="A50" s="1429" t="s">
        <v>197</v>
      </c>
      <c r="B50" s="1429" t="s">
        <v>198</v>
      </c>
      <c r="C50" s="1429" t="s">
        <v>199</v>
      </c>
      <c r="D50" s="1429" t="s">
        <v>200</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0</v>
      </c>
    </row>
    <row customHeight="1" ht="11.549999999999999">
      <c r="A51" s="1429" t="s">
        <v>197</v>
      </c>
      <c r="B51" s="1429" t="s">
        <v>198</v>
      </c>
      <c r="C51" s="1429" t="s">
        <v>199</v>
      </c>
      <c r="D51" s="1429" t="s">
        <v>200</v>
      </c>
      <c r="E51" s="2325"/>
      <c r="F51" s="2325"/>
      <c r="G51" s="2325"/>
      <c r="H51" s="2325"/>
      <c r="I51" s="2352"/>
      <c r="J51" s="2322"/>
      <c r="K51" s="1429"/>
      <c r="L51" s="1430"/>
      <c r="P51" s="2323"/>
      <c r="Q51" s="2323"/>
      <c r="R51" s="422"/>
      <c r="S51" s="1344"/>
      <c r="T51" s="353" t="s">
        <v>420</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197</v>
      </c>
      <c r="B52" s="1429" t="s">
        <v>198</v>
      </c>
      <c r="C52" s="1429" t="s">
        <v>199</v>
      </c>
      <c r="D52" s="1429" t="s">
        <v>200</v>
      </c>
      <c r="E52" s="2325"/>
      <c r="F52" s="2325"/>
      <c r="G52" s="2325"/>
      <c r="H52" s="2325"/>
      <c r="I52" s="2322"/>
      <c r="J52" s="1429"/>
      <c r="K52" s="1429"/>
      <c r="L52" s="1430"/>
      <c r="P52" s="2323"/>
      <c r="Q52" s="1397"/>
      <c r="R52" s="422"/>
      <c r="S52" s="1344"/>
      <c r="T52" s="431" t="s">
        <v>421</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197</v>
      </c>
      <c r="B53" s="1429" t="s">
        <v>198</v>
      </c>
      <c r="C53" s="1429" t="s">
        <v>199</v>
      </c>
      <c r="D53" s="1429" t="s">
        <v>200</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562" customFormat="1" customHeight="1" ht="0">
      <c r="A54" s="1409" t="s">
        <v>197</v>
      </c>
      <c r="B54" s="1409" t="s">
        <v>198</v>
      </c>
      <c r="C54" s="1409" t="s">
        <v>199</v>
      </c>
      <c r="D54" s="1380"/>
      <c r="E54" s="2325"/>
      <c r="F54" s="2325"/>
      <c r="G54" s="2324"/>
      <c r="H54" s="1380"/>
      <c r="I54" s="1380"/>
      <c r="J54" s="1380"/>
      <c r="K54" s="1380"/>
      <c r="L54" s="1405"/>
      <c r="M54" s="1381"/>
      <c r="N54" s="1381"/>
      <c r="P54" s="1382"/>
      <c r="Q54" s="1383"/>
      <c r="R54" s="1382"/>
      <c r="S54" s="1388"/>
      <c r="T54" s="1391" t="s">
        <v>173</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0</v>
      </c>
    </row>
    <row s="4562" customFormat="1" customHeight="1" ht="0">
      <c r="A55" s="1409" t="s">
        <v>197</v>
      </c>
      <c r="B55" s="1409" t="s">
        <v>198</v>
      </c>
      <c r="C55" s="1380"/>
      <c r="D55" s="1380"/>
      <c r="E55" s="2325"/>
      <c r="F55" s="2324"/>
      <c r="G55" s="1380"/>
      <c r="H55" s="1380"/>
      <c r="I55" s="1380"/>
      <c r="J55" s="1380"/>
      <c r="K55" s="1380"/>
      <c r="L55" s="1405"/>
      <c r="M55" s="1387"/>
      <c r="N55" s="1387"/>
      <c r="P55" s="1382"/>
      <c r="Q55" s="1383"/>
      <c r="R55" s="1382"/>
      <c r="S55" s="1388"/>
      <c r="T55" s="1391" t="s">
        <v>174</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0</v>
      </c>
    </row>
    <row s="4562" customFormat="1" customHeight="1" ht="0">
      <c r="A56" s="1409" t="s">
        <v>197</v>
      </c>
      <c r="B56" s="1409"/>
      <c r="C56" s="1409"/>
      <c r="D56" s="1409"/>
      <c r="E56" s="2324"/>
      <c r="F56" s="1409"/>
      <c r="G56" s="1409"/>
      <c r="H56" s="1409"/>
      <c r="I56" s="1409"/>
      <c r="J56" s="1409"/>
      <c r="K56" s="1409"/>
      <c r="L56" s="1412"/>
      <c r="M56" s="1387"/>
      <c r="N56" s="1387"/>
      <c r="O56" s="584"/>
      <c r="P56" s="446"/>
      <c r="Q56" s="1410"/>
      <c r="R56" s="446"/>
      <c r="S56" s="1388"/>
      <c r="T56" s="1391" t="s">
        <v>175</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0</v>
      </c>
    </row>
    <row s="4562" customFormat="1" customHeight="1" ht="4.2">
      <c r="A57" s="1380"/>
      <c r="B57" s="1380"/>
      <c r="C57" s="1380"/>
      <c r="D57" s="1380"/>
      <c r="E57" s="1409"/>
      <c r="F57" s="1380"/>
      <c r="G57" s="1380"/>
      <c r="H57" s="1380"/>
      <c r="I57" s="1380"/>
      <c r="J57" s="1380"/>
      <c r="K57" s="1380"/>
      <c r="L57" s="1405"/>
      <c r="M57" s="1387"/>
      <c r="N57" s="1387"/>
      <c r="P57" s="1382"/>
      <c r="Q57" s="1383"/>
      <c r="R57" s="1382"/>
      <c r="S57" s="1388"/>
      <c r="T57" s="1391" t="s">
        <v>176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4</v>
      </c>
    </row>
    <row customHeight="1" ht="11.549999999999999">
      <c r="M58" s="1226"/>
      <c r="N58" s="1226"/>
      <c r="O58" s="603"/>
      <c r="P58" s="1221"/>
      <c r="Q58" s="1221"/>
      <c r="R58" s="1221"/>
      <c r="S58" s="1221"/>
      <c r="AN58" s="1221"/>
      <c r="AO58" s="1221"/>
      <c r="AP58" s="1221"/>
      <c r="AQ58" s="1221"/>
      <c r="AR58" s="1221"/>
      <c r="AS58" s="1221">
        <v>11</v>
      </c>
    </row>
    <row customHeight="1" ht="14.699999999999998">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14</v>
      </c>
    </row>
    <row customHeight="1" ht="14.699999999999998">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14</v>
      </c>
    </row>
    <row customHeight="1" ht="14.699999999999998">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14</v>
      </c>
    </row>
    <row customHeight="1" ht="14.699999999999998">
      <c r="O62" s="603"/>
      <c r="AS62" s="1221">
        <v>14</v>
      </c>
    </row>
    <row customHeight="1" ht="14.699999999999998">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14</v>
      </c>
    </row>
    <row customHeight="1" ht="14.699999999999998">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14</v>
      </c>
    </row>
    <row customHeight="1" ht="14.699999999999998">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14</v>
      </c>
    </row>
    <row customHeight="1" ht="22.5" hidden="1">
      <c r="A66" s="1226" t="s">
        <v>87</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F7AB5-0634-8D5D-1FDF-97DC82AC1CE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5053" width="10.57421875" hidden="1"/>
    <col min="2" max="2" style="5053" width="11.00390625" hidden="1" customWidth="1"/>
    <col min="3" max="3" style="5053" width="10.57421875" hidden="1"/>
    <col min="4" max="4" style="5053" width="11.8515625" hidden="1" customWidth="1"/>
    <col min="5" max="5" style="5053" width="10.00390625" hidden="1" customWidth="1"/>
    <col min="6" max="6" style="5053" width="8.7109375" hidden="1" customWidth="1"/>
    <col min="7" max="7" style="5053" width="7.57421875" hidden="1" customWidth="1"/>
    <col min="8" max="8" style="5053" width="11.421875" hidden="1" customWidth="1"/>
    <col min="9" max="9" style="5053" width="12.00390625" hidden="1" customWidth="1"/>
    <col min="10" max="10" style="5053" width="9.8515625" hidden="1" customWidth="1"/>
    <col min="11" max="12" style="5053" width="11.421875" hidden="1" customWidth="1"/>
    <col min="13" max="13" style="5718" width="19.140625" hidden="1" customWidth="1"/>
    <col min="14" max="15" style="5737" width="12.28125" hidden="1" customWidth="1"/>
    <col min="16" max="16" style="5737" width="23.421875" hidden="1" customWidth="1"/>
    <col min="17" max="17" style="5737" width="3.7109375" hidden="1" customWidth="1"/>
    <col min="18" max="20" style="5023" width="3.00390625" customWidth="1"/>
    <col min="21" max="21" style="5711" width="12.00390625" customWidth="1"/>
    <col min="22" max="22" style="5053" width="31.00390625" customWidth="1"/>
    <col min="23" max="23" style="5053" width="0.140625" customWidth="1"/>
    <col min="24" max="28" style="5053" width="21.7109375" hidden="1" customWidth="1"/>
    <col min="29" max="29" style="5053" width="11.7109375" hidden="1" customWidth="1"/>
    <col min="30" max="30" style="5053" width="3.7109375" hidden="1" customWidth="1"/>
    <col min="31" max="31" style="5053" width="11.7109375" hidden="1" customWidth="1"/>
    <col min="32" max="32" style="5053" width="8.57421875" hidden="1" customWidth="1"/>
    <col min="33" max="33" style="5053" width="21.7109375" customWidth="1"/>
    <col min="34" max="37" style="5053" width="21.00390625" customWidth="1"/>
    <col min="38" max="38" style="5053" width="11.00390625" customWidth="1"/>
    <col min="39" max="39" style="5053" width="3.7109375" customWidth="1"/>
    <col min="40" max="40" style="5053" width="11.00390625" customWidth="1"/>
    <col min="41" max="41" style="5053" width="8.57421875" hidden="1" customWidth="1"/>
    <col min="42" max="42" style="5053" width="4.00390625" customWidth="1"/>
    <col min="43" max="43" style="5053" width="115.00390625" customWidth="1"/>
    <col min="44" max="48" style="4562" width="10.00390625" customWidth="1"/>
    <col min="49" max="49" style="5053" width="10.57421875" hidden="1"/>
  </cols>
  <sheetData>
    <row customHeight="1" ht="22.5" hidden="1">
      <c r="AB1" s="393"/>
      <c r="AC1" s="393"/>
      <c r="AK1" s="393"/>
      <c r="AL1" s="393"/>
      <c r="AW1" s="1221" t="s">
        <v>14</v>
      </c>
    </row>
    <row customHeight="1" ht="21" hidden="1">
      <c r="A2" s="1333"/>
      <c r="B2" s="1333"/>
      <c r="C2" s="1333"/>
      <c r="D2" s="1333"/>
      <c r="E2" s="2355">
        <v>1</v>
      </c>
      <c r="F2" s="1333"/>
      <c r="G2" s="1333"/>
      <c r="H2" s="1333"/>
      <c r="I2" s="1333"/>
      <c r="J2" s="1333"/>
      <c r="K2" s="1333"/>
      <c r="L2" s="1333"/>
      <c r="M2" s="1376"/>
      <c r="N2" s="754"/>
      <c r="O2" s="754"/>
      <c r="P2" s="754"/>
      <c r="Q2" s="427"/>
      <c r="R2" s="426"/>
      <c r="S2" s="426"/>
      <c r="T2" s="421"/>
      <c r="U2" s="1402">
        <f>INDEX(PT_DIFFERENTIATION_NUM_NTAR,MATCH(A2,PT_DIFFERENTIATION_NTAR_ID,0))</f>
      </c>
      <c r="V2" s="364" t="s">
        <v>128</v>
      </c>
      <c r="W2" s="366"/>
      <c r="X2" s="2308"/>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10"/>
      <c r="AQ2" s="1324" t="s">
        <v>405</v>
      </c>
      <c r="AS2" s="566"/>
      <c r="AT2" s="566" t="str">
        <f>IF(V2="","",V2)</f>
        <v>Наименование тарифа</v>
      </c>
      <c r="AU2" s="566"/>
      <c r="AV2" s="566"/>
      <c r="AW2" s="1221">
        <v>0</v>
      </c>
    </row>
    <row customHeight="1" ht="21" hidden="1">
      <c r="A3" s="1333"/>
      <c r="B3" s="1333"/>
      <c r="C3" s="1333"/>
      <c r="D3" s="1333"/>
      <c r="E3" s="2356"/>
      <c r="F3" s="2355">
        <v>1</v>
      </c>
      <c r="G3" s="1333"/>
      <c r="H3" s="1333"/>
      <c r="I3" s="1333"/>
      <c r="J3" s="1333"/>
      <c r="K3" s="1333"/>
      <c r="L3" s="1333"/>
      <c r="M3" s="1376"/>
      <c r="N3" s="754"/>
      <c r="O3" s="754"/>
      <c r="P3" s="754"/>
      <c r="Q3" s="1398"/>
      <c r="R3" s="418"/>
      <c r="S3" s="575"/>
      <c r="T3" s="419"/>
      <c r="U3" s="1402">
        <f>INDEX(PT_DIFFERENTIATION_NUM_TER,MATCH(B3,PT_DIFFERENTIATION_TER_ID,0))</f>
      </c>
      <c r="V3" s="374" t="s">
        <v>406</v>
      </c>
      <c r="W3" s="366"/>
      <c r="X3" s="2308"/>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10"/>
      <c r="AQ3" s="1324" t="s">
        <v>407</v>
      </c>
      <c r="AS3" s="566"/>
      <c r="AT3" s="566" t="str">
        <f>IF(V3="","",V3)</f>
        <v>Территория действия тарифа</v>
      </c>
      <c r="AU3" s="566"/>
      <c r="AV3" s="566"/>
      <c r="AW3" s="1221">
        <v>0</v>
      </c>
    </row>
    <row customHeight="1" ht="22.5" hidden="1">
      <c r="A4" s="1333"/>
      <c r="B4" s="1333"/>
      <c r="C4" s="1333"/>
      <c r="D4" s="1333"/>
      <c r="E4" s="2356"/>
      <c r="F4" s="2356"/>
      <c r="G4" s="2355">
        <v>1</v>
      </c>
      <c r="H4" s="1333"/>
      <c r="I4" s="1333"/>
      <c r="J4" s="1333"/>
      <c r="K4" s="1333"/>
      <c r="L4" s="1333"/>
      <c r="M4" s="1376"/>
      <c r="N4" s="754"/>
      <c r="O4" s="754"/>
      <c r="P4" s="754"/>
      <c r="Q4" s="420"/>
      <c r="R4" s="418"/>
      <c r="S4" s="575"/>
      <c r="T4" s="419"/>
      <c r="U4" s="1402">
        <f>INDEX(PT_DIFFERENTIATION_NUM_CS,MATCH(C4,PT_DIFFERENTIATION_CS_ID,0))</f>
      </c>
      <c r="V4" s="375" t="s">
        <v>408</v>
      </c>
      <c r="W4" s="366"/>
      <c r="X4" s="2308"/>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10"/>
      <c r="AQ4" s="1324" t="s">
        <v>409</v>
      </c>
      <c r="AS4" s="566"/>
      <c r="AT4" s="566" t="str">
        <f>IF(V4="","",V4)</f>
        <v>Наименование системы теплоснабжения </v>
      </c>
      <c r="AU4" s="566"/>
      <c r="AV4" s="566"/>
      <c r="AW4" s="1221">
        <v>0</v>
      </c>
    </row>
    <row customHeight="1" ht="21" hidden="1">
      <c r="A5" s="1333"/>
      <c r="B5" s="1333"/>
      <c r="C5" s="1333"/>
      <c r="D5" s="1333"/>
      <c r="E5" s="2356"/>
      <c r="F5" s="2356"/>
      <c r="G5" s="2356"/>
      <c r="H5" s="2355">
        <v>1</v>
      </c>
      <c r="I5" s="1333"/>
      <c r="J5" s="1333"/>
      <c r="K5" s="1333"/>
      <c r="L5" s="1333"/>
      <c r="M5" s="1376"/>
      <c r="N5" s="754"/>
      <c r="O5" s="754"/>
      <c r="P5" s="754"/>
      <c r="Q5" s="420"/>
      <c r="R5" s="418"/>
      <c r="S5" s="575"/>
      <c r="T5" s="419"/>
      <c r="U5" s="1402">
        <f>INDEX(PT_DIFFERENTIATION_NUM_IST_TE,MATCH(D5,PT_DIFFERENTIATION_IST_TE_ID,0))</f>
      </c>
      <c r="V5" s="376" t="s">
        <v>410</v>
      </c>
      <c r="W5" s="366"/>
      <c r="X5" s="2308"/>
      <c r="Y5" s="2309"/>
      <c r="Z5" s="2309"/>
      <c r="AA5" s="2309"/>
      <c r="AB5" s="2309"/>
      <c r="AC5" s="2309"/>
      <c r="AD5" s="2309"/>
      <c r="AE5" s="2309"/>
      <c r="AF5" s="2310"/>
      <c r="AG5" s="2308">
        <f>INDEX(PT_DIFFERENTIATION_IST_TE,MATCH(D5,PT_DIFFERENTIATION_IST_TE_ID,0))</f>
      </c>
      <c r="AH5" s="2309"/>
      <c r="AI5" s="2309"/>
      <c r="AJ5" s="2309"/>
      <c r="AK5" s="2309"/>
      <c r="AL5" s="2309"/>
      <c r="AM5" s="2309"/>
      <c r="AN5" s="2309"/>
      <c r="AO5" s="2309"/>
      <c r="AP5" s="2310"/>
      <c r="AQ5" s="1324" t="s">
        <v>411</v>
      </c>
      <c r="AS5" s="566"/>
      <c r="AT5" s="566" t="str">
        <f>IF(V5="","",V5)</f>
        <v>Источник тепловой энергии  </v>
      </c>
      <c r="AU5" s="566"/>
      <c r="AV5" s="566"/>
      <c r="AW5" s="1221">
        <v>0</v>
      </c>
    </row>
    <row customHeight="1" ht="14.25" hidden="1">
      <c r="A6" s="1333"/>
      <c r="B6" s="1333"/>
      <c r="C6" s="1333"/>
      <c r="D6" s="1333"/>
      <c r="E6" s="2356"/>
      <c r="F6" s="2356"/>
      <c r="G6" s="2356"/>
      <c r="H6" s="2356"/>
      <c r="I6" s="2193">
        <f>U5&amp;".1"</f>
      </c>
      <c r="J6" s="1333"/>
      <c r="K6" s="1333"/>
      <c r="L6" s="1333"/>
      <c r="M6" s="1376" t="s">
        <v>412</v>
      </c>
      <c r="N6" s="575"/>
      <c r="Q6" s="2323">
        <v>1</v>
      </c>
      <c r="R6" s="1397"/>
      <c r="S6" s="1397"/>
      <c r="T6" s="422"/>
      <c r="U6" s="1108"/>
      <c r="V6" s="1449"/>
      <c r="W6" s="1450"/>
      <c r="X6" s="2362"/>
      <c r="Y6" s="2363"/>
      <c r="Z6" s="2363"/>
      <c r="AA6" s="2363"/>
      <c r="AB6" s="2363"/>
      <c r="AC6" s="2363"/>
      <c r="AD6" s="2363"/>
      <c r="AE6" s="2363"/>
      <c r="AF6" s="2364"/>
      <c r="AG6" s="2362"/>
      <c r="AH6" s="2363"/>
      <c r="AI6" s="2363"/>
      <c r="AJ6" s="2363"/>
      <c r="AK6" s="2363"/>
      <c r="AL6" s="2363"/>
      <c r="AM6" s="2363"/>
      <c r="AN6" s="2363"/>
      <c r="AO6" s="2363"/>
      <c r="AP6" s="2364"/>
      <c r="AQ6" s="1451"/>
      <c r="AS6" s="566"/>
      <c r="AT6" s="566" t="str">
        <f>IF(V6="","",V6)</f>
        <v/>
      </c>
      <c r="AU6" s="566"/>
      <c r="AV6" s="566"/>
      <c r="AW6" s="1221">
        <v>0</v>
      </c>
    </row>
    <row customHeight="1" ht="21" hidden="1">
      <c r="A7" s="1333"/>
      <c r="B7" s="1333"/>
      <c r="C7" s="1333"/>
      <c r="D7" s="1333"/>
      <c r="E7" s="2356"/>
      <c r="F7" s="2356"/>
      <c r="G7" s="2356"/>
      <c r="H7" s="2356"/>
      <c r="I7" s="2167"/>
      <c r="J7" s="2193">
        <f>I6&amp;".1"</f>
      </c>
      <c r="K7" s="1333"/>
      <c r="L7" s="1333"/>
      <c r="M7" s="1376" t="s">
        <v>415</v>
      </c>
      <c r="N7" s="575"/>
      <c r="O7" s="393"/>
      <c r="Q7" s="2323"/>
      <c r="R7" s="2323">
        <v>1</v>
      </c>
      <c r="S7" s="584"/>
      <c r="T7" s="423"/>
      <c r="U7" s="1402">
        <f>$J7</f>
      </c>
      <c r="V7" s="352" t="s">
        <v>416</v>
      </c>
      <c r="W7" s="366"/>
      <c r="X7" s="2311"/>
      <c r="Y7" s="2312"/>
      <c r="Z7" s="2312"/>
      <c r="AA7" s="2312"/>
      <c r="AB7" s="2312"/>
      <c r="AC7" s="2301"/>
      <c r="AD7" s="2301"/>
      <c r="AE7" s="2301"/>
      <c r="AF7" s="2374"/>
      <c r="AG7" s="2311"/>
      <c r="AH7" s="2312"/>
      <c r="AI7" s="2312"/>
      <c r="AJ7" s="2312"/>
      <c r="AK7" s="2312"/>
      <c r="AL7" s="2312"/>
      <c r="AM7" s="2312"/>
      <c r="AN7" s="2312"/>
      <c r="AO7" s="2312"/>
      <c r="AP7" s="2313"/>
      <c r="AQ7" s="1324" t="s">
        <v>417</v>
      </c>
      <c r="AS7" s="566"/>
      <c r="AT7" s="566" t="str">
        <f>IF(V7="","",V7)</f>
        <v>Группа потребителей</v>
      </c>
      <c r="AU7" s="566"/>
      <c r="AV7" s="566"/>
      <c r="AW7" s="1221">
        <v>0</v>
      </c>
    </row>
    <row customHeight="1" ht="21" hidden="1">
      <c r="A8" s="1333"/>
      <c r="B8" s="1333"/>
      <c r="C8" s="1333"/>
      <c r="D8" s="1333"/>
      <c r="E8" s="2356"/>
      <c r="F8" s="2356"/>
      <c r="G8" s="2356"/>
      <c r="H8" s="2356"/>
      <c r="I8" s="2167"/>
      <c r="J8" s="2167"/>
      <c r="K8" s="2193">
        <f>J7&amp;".1"</f>
      </c>
      <c r="L8" s="205"/>
      <c r="M8" s="1376" t="s">
        <v>418</v>
      </c>
      <c r="N8" s="575"/>
      <c r="O8" s="393"/>
      <c r="P8" s="393"/>
      <c r="Q8" s="2323"/>
      <c r="R8" s="2323"/>
      <c r="S8" s="2323">
        <v>1</v>
      </c>
      <c r="T8" s="423"/>
      <c r="U8" s="1402">
        <f>$K8</f>
      </c>
      <c r="V8" s="1413"/>
      <c r="W8" s="366"/>
      <c r="X8" s="817"/>
      <c r="Y8" s="817"/>
      <c r="Z8" s="817"/>
      <c r="AA8" s="817"/>
      <c r="AB8" s="1471"/>
      <c r="AC8" s="2331"/>
      <c r="AD8" s="2173" t="s">
        <v>71</v>
      </c>
      <c r="AE8" s="2331"/>
      <c r="AF8" s="2173" t="s">
        <v>71</v>
      </c>
      <c r="AG8" s="1473"/>
      <c r="AH8" s="817"/>
      <c r="AI8" s="817"/>
      <c r="AJ8" s="817"/>
      <c r="AK8" s="1323"/>
      <c r="AL8" s="2331"/>
      <c r="AM8" s="2173" t="s">
        <v>71</v>
      </c>
      <c r="AN8" s="2331"/>
      <c r="AO8" s="2173" t="s">
        <v>71</v>
      </c>
      <c r="AP8" s="391"/>
      <c r="AQ8" s="1373" t="s">
        <v>461</v>
      </c>
      <c r="AR8" s="577">
        <f>STRCHECKDATE(X10:AP10)</f>
      </c>
      <c r="AS8" s="566"/>
      <c r="AT8" s="566" t="str">
        <f>IF(V8="","",V8)</f>
        <v/>
      </c>
      <c r="AU8" s="566"/>
      <c r="AV8" s="566"/>
      <c r="AW8" s="1221">
        <v>0</v>
      </c>
    </row>
    <row customHeight="1" ht="21" hidden="1">
      <c r="A9" s="1333"/>
      <c r="B9" s="1333"/>
      <c r="C9" s="1333"/>
      <c r="D9" s="1333"/>
      <c r="E9" s="2356"/>
      <c r="F9" s="2356"/>
      <c r="G9" s="2356"/>
      <c r="H9" s="2356"/>
      <c r="I9" s="2167"/>
      <c r="J9" s="2167"/>
      <c r="K9" s="2167"/>
      <c r="L9" s="2193">
        <f>K8&amp;".1"</f>
      </c>
      <c r="M9" s="1376"/>
      <c r="N9" s="575"/>
      <c r="O9" s="393"/>
      <c r="P9" s="393"/>
      <c r="Q9" s="2323"/>
      <c r="R9" s="2323"/>
      <c r="S9" s="2323"/>
      <c r="T9" s="423"/>
      <c r="U9" s="1402">
        <f>$L9</f>
      </c>
      <c r="V9" s="1457"/>
      <c r="W9" s="366"/>
      <c r="X9" s="391"/>
      <c r="Y9" s="817"/>
      <c r="Z9" s="817"/>
      <c r="AA9" s="817"/>
      <c r="AB9" s="1471"/>
      <c r="AC9" s="2375"/>
      <c r="AD9" s="2173"/>
      <c r="AE9" s="2375"/>
      <c r="AF9" s="2173"/>
      <c r="AG9" s="1473"/>
      <c r="AH9" s="817"/>
      <c r="AI9" s="817"/>
      <c r="AJ9" s="817"/>
      <c r="AK9" s="1323"/>
      <c r="AL9" s="2375"/>
      <c r="AM9" s="2173"/>
      <c r="AN9" s="2375"/>
      <c r="AO9" s="2173"/>
      <c r="AP9" s="391"/>
      <c r="AQ9" s="2319" t="s">
        <v>462</v>
      </c>
      <c r="AS9" s="566"/>
      <c r="AT9" s="566"/>
      <c r="AU9" s="566"/>
      <c r="AV9" s="566"/>
      <c r="AW9" s="1221">
        <v>0</v>
      </c>
    </row>
    <row customHeight="1" ht="14.25" hidden="1">
      <c r="A10" s="1333"/>
      <c r="B10" s="1333"/>
      <c r="C10" s="1333"/>
      <c r="D10" s="1333"/>
      <c r="E10" s="2356"/>
      <c r="F10" s="2356"/>
      <c r="G10" s="2356"/>
      <c r="H10" s="2356"/>
      <c r="I10" s="2167"/>
      <c r="J10" s="2167"/>
      <c r="K10" s="2167"/>
      <c r="L10" s="2193"/>
      <c r="M10" s="1376"/>
      <c r="N10" s="575"/>
      <c r="O10" s="393"/>
      <c r="P10" s="393"/>
      <c r="Q10" s="2323"/>
      <c r="R10" s="2323"/>
      <c r="S10" s="2323"/>
      <c r="T10" s="423"/>
      <c r="U10" s="1408"/>
      <c r="V10" s="366"/>
      <c r="W10" s="366"/>
      <c r="X10" s="391"/>
      <c r="Y10" s="391"/>
      <c r="Z10" s="391"/>
      <c r="AA10" s="391"/>
      <c r="AB10" s="1472" t="str">
        <f>AC8&amp;"-"&amp;AE8</f>
        <v>-</v>
      </c>
      <c r="AC10" s="2375"/>
      <c r="AD10" s="2173"/>
      <c r="AE10" s="2375"/>
      <c r="AF10" s="2173"/>
      <c r="AG10" s="1448"/>
      <c r="AH10" s="391"/>
      <c r="AI10" s="391"/>
      <c r="AJ10" s="391"/>
      <c r="AK10" s="394" t="str">
        <f>AL8&amp;"-"&amp;AN8</f>
        <v>-</v>
      </c>
      <c r="AL10" s="2375"/>
      <c r="AM10" s="2173"/>
      <c r="AN10" s="2375"/>
      <c r="AO10" s="2173"/>
      <c r="AP10" s="391"/>
      <c r="AQ10" s="2320"/>
      <c r="AS10" s="566"/>
      <c r="AT10" s="566" t="str">
        <f>IF(V10="","",V10)</f>
        <v/>
      </c>
      <c r="AU10" s="566"/>
      <c r="AV10" s="566"/>
      <c r="AW10" s="1221">
        <v>0</v>
      </c>
    </row>
    <row customHeight="1" ht="11.25" hidden="1">
      <c r="A11" s="1333"/>
      <c r="B11" s="1333"/>
      <c r="C11" s="1333"/>
      <c r="D11" s="1333"/>
      <c r="E11" s="2356"/>
      <c r="F11" s="2356"/>
      <c r="G11" s="2356"/>
      <c r="H11" s="2356"/>
      <c r="I11" s="2167"/>
      <c r="J11" s="2167"/>
      <c r="K11" s="2193"/>
      <c r="L11" s="1333"/>
      <c r="M11" s="1376"/>
      <c r="N11" s="575"/>
      <c r="O11" s="393"/>
      <c r="P11" s="393"/>
      <c r="Q11" s="2323"/>
      <c r="R11" s="2323"/>
      <c r="S11" s="2323"/>
      <c r="T11" s="423"/>
      <c r="U11" s="1344"/>
      <c r="V11" s="354" t="s">
        <v>463</v>
      </c>
      <c r="W11" s="1458"/>
      <c r="X11" s="1459"/>
      <c r="Y11" s="1459"/>
      <c r="Z11" s="1459"/>
      <c r="AA11" s="1459"/>
      <c r="AB11" s="1460"/>
      <c r="AC11" s="2375"/>
      <c r="AD11" s="2173"/>
      <c r="AE11" s="2375"/>
      <c r="AF11" s="2173"/>
      <c r="AG11" s="1459"/>
      <c r="AH11" s="1459"/>
      <c r="AI11" s="1459"/>
      <c r="AJ11" s="1459"/>
      <c r="AK11" s="1460"/>
      <c r="AL11" s="2375"/>
      <c r="AM11" s="2173"/>
      <c r="AN11" s="2375"/>
      <c r="AO11" s="2173"/>
      <c r="AP11" s="1461"/>
      <c r="AQ11" s="2320"/>
      <c r="AS11" s="566"/>
      <c r="AT11" s="566"/>
      <c r="AU11" s="566"/>
      <c r="AV11" s="566"/>
      <c r="AW11" s="1221">
        <v>0</v>
      </c>
    </row>
    <row customHeight="1" ht="15" hidden="1">
      <c r="A12" s="1333"/>
      <c r="B12" s="1333"/>
      <c r="C12" s="1333"/>
      <c r="D12" s="1333"/>
      <c r="E12" s="2356"/>
      <c r="F12" s="2356"/>
      <c r="G12" s="2356"/>
      <c r="H12" s="2356"/>
      <c r="I12" s="2167"/>
      <c r="J12" s="2193"/>
      <c r="K12" s="1333"/>
      <c r="L12" s="1333"/>
      <c r="M12" s="1376"/>
      <c r="N12" s="575"/>
      <c r="O12" s="393"/>
      <c r="Q12" s="2323"/>
      <c r="R12" s="2323"/>
      <c r="S12" s="1397"/>
      <c r="T12" s="422"/>
      <c r="U12" s="1344"/>
      <c r="V12" s="353" t="s">
        <v>420</v>
      </c>
      <c r="W12" s="433"/>
      <c r="X12" s="433"/>
      <c r="Y12" s="433"/>
      <c r="Z12" s="433"/>
      <c r="AA12" s="433"/>
      <c r="AB12" s="433"/>
      <c r="AC12" s="1474"/>
      <c r="AD12" s="1474"/>
      <c r="AE12" s="1474"/>
      <c r="AF12" s="1474"/>
      <c r="AG12" s="433"/>
      <c r="AH12" s="433"/>
      <c r="AI12" s="433"/>
      <c r="AJ12" s="433"/>
      <c r="AK12" s="433"/>
      <c r="AL12" s="433"/>
      <c r="AM12" s="433"/>
      <c r="AN12" s="433"/>
      <c r="AO12" s="433"/>
      <c r="AP12" s="390"/>
      <c r="AQ12" s="2321"/>
      <c r="AS12" s="566"/>
      <c r="AT12" s="566" t="str">
        <f>IF(V12="","",V12)</f>
        <v>Добавить вид теплоносителя (параметры теплоносителя)</v>
      </c>
      <c r="AU12" s="566"/>
      <c r="AV12" s="566"/>
      <c r="AW12" s="1221">
        <v>0</v>
      </c>
    </row>
    <row customHeight="1" ht="11.25" hidden="1">
      <c r="A13" s="1333"/>
      <c r="B13" s="1333"/>
      <c r="C13" s="1333"/>
      <c r="D13" s="1333"/>
      <c r="E13" s="2356"/>
      <c r="F13" s="2356"/>
      <c r="G13" s="2356"/>
      <c r="H13" s="2356"/>
      <c r="I13" s="2193"/>
      <c r="J13" s="1333"/>
      <c r="K13" s="1333"/>
      <c r="L13" s="1333"/>
      <c r="M13" s="1376"/>
      <c r="N13" s="575"/>
      <c r="Q13" s="2323"/>
      <c r="R13" s="1397"/>
      <c r="S13" s="1397"/>
      <c r="T13" s="422"/>
      <c r="U13" s="1344"/>
      <c r="V13" s="431" t="s">
        <v>421</v>
      </c>
      <c r="W13" s="433"/>
      <c r="X13" s="433"/>
      <c r="Y13" s="433"/>
      <c r="Z13" s="433"/>
      <c r="AA13" s="433"/>
      <c r="AB13" s="433"/>
      <c r="AC13" s="433"/>
      <c r="AD13" s="433"/>
      <c r="AE13" s="433"/>
      <c r="AF13" s="432"/>
      <c r="AG13" s="433"/>
      <c r="AH13" s="433"/>
      <c r="AI13" s="433"/>
      <c r="AJ13" s="433"/>
      <c r="AK13" s="433"/>
      <c r="AL13" s="433"/>
      <c r="AM13" s="433"/>
      <c r="AN13" s="433"/>
      <c r="AO13" s="432"/>
      <c r="AP13" s="433"/>
      <c r="AQ13" s="369"/>
      <c r="AS13" s="566"/>
      <c r="AT13" s="566" t="str">
        <f>IF(V13="","",V13)</f>
        <v>Добавить группу потребителей</v>
      </c>
      <c r="AU13" s="566"/>
      <c r="AV13" s="566"/>
      <c r="AW13" s="1221">
        <v>0</v>
      </c>
    </row>
    <row customHeight="1" ht="14.25" hidden="1">
      <c r="A14" s="1333"/>
      <c r="B14" s="1333"/>
      <c r="C14" s="1333"/>
      <c r="D14" s="1333"/>
      <c r="E14" s="2356"/>
      <c r="F14" s="2356"/>
      <c r="G14" s="2356"/>
      <c r="H14" s="2355"/>
      <c r="I14" s="1333"/>
      <c r="J14" s="1333"/>
      <c r="K14" s="1333"/>
      <c r="L14" s="1333"/>
      <c r="M14" s="1376"/>
      <c r="N14" s="754"/>
      <c r="O14" s="754"/>
      <c r="P14" s="575"/>
      <c r="Q14" s="426"/>
      <c r="R14" s="441"/>
      <c r="S14" s="421"/>
      <c r="T14" s="426"/>
      <c r="U14" s="1452"/>
      <c r="V14" s="1453"/>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5"/>
      <c r="AS14" s="566"/>
      <c r="AT14" s="566" t="str">
        <f>IF(V14="","",V14)</f>
        <v/>
      </c>
      <c r="AU14" s="566"/>
      <c r="AV14" s="566"/>
      <c r="AW14" s="1221">
        <v>0</v>
      </c>
    </row>
    <row s="4562" customFormat="1" customHeight="1" ht="14.25" hidden="1">
      <c r="A15" s="1440"/>
      <c r="B15" s="1440"/>
      <c r="C15" s="1440"/>
      <c r="D15" s="1440"/>
      <c r="E15" s="2356"/>
      <c r="F15" s="2356"/>
      <c r="G15" s="2355"/>
      <c r="H15" s="1440"/>
      <c r="I15" s="1440"/>
      <c r="J15" s="1440"/>
      <c r="K15" s="1440"/>
      <c r="L15" s="1440"/>
      <c r="M15" s="1443"/>
      <c r="N15" s="1444"/>
      <c r="O15" s="1444"/>
      <c r="P15" s="417"/>
      <c r="Q15" s="1382"/>
      <c r="R15" s="1383"/>
      <c r="S15" s="1382"/>
      <c r="T15" s="1382"/>
      <c r="U15" s="1384"/>
      <c r="V15" s="1385" t="s">
        <v>173</v>
      </c>
      <c r="W15" s="1386"/>
      <c r="X15" s="1386"/>
      <c r="Y15" s="1386"/>
      <c r="Z15" s="1386"/>
      <c r="AA15" s="1386"/>
      <c r="AB15" s="1386"/>
      <c r="AC15" s="1386"/>
      <c r="AD15" s="1386"/>
      <c r="AE15" s="1386"/>
      <c r="AF15" s="1386"/>
      <c r="AG15" s="1386"/>
      <c r="AH15" s="1386"/>
      <c r="AI15" s="1386"/>
      <c r="AJ15" s="1386"/>
      <c r="AK15" s="1386"/>
      <c r="AL15" s="1386"/>
      <c r="AM15" s="1386"/>
      <c r="AN15" s="1386"/>
      <c r="AO15" s="1386"/>
      <c r="AP15" s="1386"/>
      <c r="AQ15" s="1386"/>
      <c r="AS15" s="855"/>
      <c r="AT15" s="855" t="str">
        <f>IF(V15="","",V15)</f>
        <v>Добавить источник для дифференциации</v>
      </c>
      <c r="AU15" s="855"/>
      <c r="AV15" s="855"/>
      <c r="AW15" s="584">
        <v>0</v>
      </c>
    </row>
    <row s="4562" customFormat="1" customHeight="1" ht="14.25" hidden="1">
      <c r="A16" s="1440"/>
      <c r="B16" s="1440"/>
      <c r="C16" s="1440"/>
      <c r="D16" s="1440"/>
      <c r="E16" s="2356"/>
      <c r="F16" s="2355"/>
      <c r="G16" s="1440"/>
      <c r="H16" s="1440"/>
      <c r="I16" s="1440"/>
      <c r="J16" s="1440"/>
      <c r="K16" s="1440"/>
      <c r="L16" s="1440"/>
      <c r="M16" s="1443"/>
      <c r="N16" s="1445"/>
      <c r="O16" s="1445"/>
      <c r="P16" s="417"/>
      <c r="Q16" s="1382"/>
      <c r="R16" s="1383"/>
      <c r="S16" s="1382"/>
      <c r="T16" s="1382"/>
      <c r="U16" s="1388"/>
      <c r="V16" s="1389" t="s">
        <v>174</v>
      </c>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S16" s="855"/>
      <c r="AT16" s="855" t="str">
        <f>IF(V16="","",V16)</f>
        <v>Добавить централизованную систему для дифференциации</v>
      </c>
      <c r="AU16" s="855"/>
      <c r="AV16" s="855"/>
      <c r="AW16" s="584">
        <v>0</v>
      </c>
    </row>
    <row s="4562" customFormat="1" customHeight="1" ht="14.25" hidden="1">
      <c r="A17" s="1440"/>
      <c r="B17" s="1440"/>
      <c r="C17" s="1440"/>
      <c r="D17" s="1440"/>
      <c r="E17" s="2355"/>
      <c r="F17" s="1440"/>
      <c r="G17" s="1440"/>
      <c r="H17" s="1440"/>
      <c r="I17" s="1440"/>
      <c r="J17" s="1440"/>
      <c r="K17" s="1440"/>
      <c r="L17" s="1440"/>
      <c r="M17" s="1443"/>
      <c r="N17" s="1445"/>
      <c r="O17" s="1445"/>
      <c r="P17" s="417"/>
      <c r="Q17" s="1382"/>
      <c r="R17" s="1383"/>
      <c r="S17" s="1382"/>
      <c r="T17" s="1382"/>
      <c r="U17" s="1388"/>
      <c r="V17" s="1391" t="s">
        <v>175</v>
      </c>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S17" s="855"/>
      <c r="AT17" s="855" t="str">
        <f>IF(V17="","",V17)</f>
        <v>Добавить территорию для дифференциации</v>
      </c>
      <c r="AU17" s="855"/>
      <c r="AV17" s="855"/>
      <c r="AW17" s="584">
        <v>0</v>
      </c>
    </row>
    <row customHeight="1" ht="14.25" hidden="1">
      <c r="AF18" s="393"/>
      <c r="AO18" s="393"/>
      <c r="AW18" s="1221">
        <v>0</v>
      </c>
    </row>
    <row customHeight="1" ht="14.25" hidden="1">
      <c r="AG19" s="1426"/>
      <c r="AH19" s="1426"/>
      <c r="AI19" s="1426"/>
      <c r="AJ19" s="1426"/>
      <c r="AK19" s="1427"/>
      <c r="AL19" s="2333"/>
      <c r="AM19" s="2334" t="s">
        <v>71</v>
      </c>
      <c r="AN19" s="2333"/>
      <c r="AO19" s="2334" t="s">
        <v>71</v>
      </c>
      <c r="AW19" s="1221">
        <v>0</v>
      </c>
    </row>
    <row customHeight="1" ht="14.25" hidden="1">
      <c r="AG20" s="1426"/>
      <c r="AH20" s="1426"/>
      <c r="AI20" s="1426"/>
      <c r="AJ20" s="1426"/>
      <c r="AK20" s="1427"/>
      <c r="AL20" s="2333"/>
      <c r="AM20" s="2334"/>
      <c r="AN20" s="2333"/>
      <c r="AO20" s="2334"/>
      <c r="AW20" s="1221">
        <v>0</v>
      </c>
    </row>
    <row customHeight="1" ht="14.25" hidden="1">
      <c r="AG21" s="1426"/>
      <c r="AH21" s="1426"/>
      <c r="AI21" s="1426"/>
      <c r="AJ21" s="1426"/>
      <c r="AK21" s="1427"/>
      <c r="AL21" s="2333"/>
      <c r="AM21" s="2334"/>
      <c r="AN21" s="2333"/>
      <c r="AO21" s="2334"/>
      <c r="AW21" s="1221">
        <v>0</v>
      </c>
    </row>
    <row customHeight="1" ht="14.25" hidden="1">
      <c r="AG22" s="1426"/>
      <c r="AH22" s="1426"/>
      <c r="AI22" s="1426"/>
      <c r="AJ22" s="1426"/>
      <c r="AK22" s="394" t="str">
        <f>AL19&amp;"-"&amp;AN19</f>
        <v>-</v>
      </c>
      <c r="AL22" s="2334"/>
      <c r="AM22" s="2334"/>
      <c r="AN22" s="2334"/>
      <c r="AO22" s="2334"/>
      <c r="AW22" s="1221">
        <v>0</v>
      </c>
    </row>
    <row customHeight="1" ht="14.25" hidden="1">
      <c r="AO23" s="393"/>
      <c r="AW23" s="1221">
        <v>0</v>
      </c>
    </row>
    <row s="5002" customFormat="1" customHeight="1" ht="22.5" hidden="1">
      <c r="A24" s="1221"/>
      <c r="B24" s="1221"/>
      <c r="C24" s="1221"/>
      <c r="D24" s="1221"/>
      <c r="E24" s="1221"/>
      <c r="F24" s="1221"/>
      <c r="G24" s="1221"/>
      <c r="H24" s="1221"/>
      <c r="I24" s="1221"/>
      <c r="J24" s="1221"/>
      <c r="K24" s="1221"/>
      <c r="L24" s="1221"/>
      <c r="M24" s="1393"/>
      <c r="N24" s="1394"/>
      <c r="O24" s="1394"/>
      <c r="P24" s="1411" t="s">
        <v>423</v>
      </c>
      <c r="Q24" s="1428"/>
      <c r="R24" s="1437"/>
      <c r="S24" s="1437"/>
      <c r="T24" s="1437"/>
      <c r="U24" s="795"/>
      <c r="AC24" s="1433"/>
      <c r="AE24" s="1433"/>
      <c r="AF24" s="1432"/>
      <c r="AL24" s="1433"/>
      <c r="AN24" s="1433"/>
      <c r="AO24" s="1432"/>
      <c r="AR24" s="577"/>
      <c r="AS24" s="577"/>
      <c r="AT24" s="577"/>
      <c r="AU24" s="577"/>
      <c r="AV24" s="577"/>
      <c r="AW24" s="1226">
        <v>0</v>
      </c>
    </row>
    <row s="5002" customFormat="1" customHeight="1" ht="14.25" hidden="1">
      <c r="A25" s="1221"/>
      <c r="B25" s="1221"/>
      <c r="C25" s="1221"/>
      <c r="D25" s="1221"/>
      <c r="E25" s="1221"/>
      <c r="F25" s="1221"/>
      <c r="G25" s="1221"/>
      <c r="H25" s="1221"/>
      <c r="I25" s="1221"/>
      <c r="J25" s="1221"/>
      <c r="K25" s="1221"/>
      <c r="L25" s="1221"/>
      <c r="M25" s="1393"/>
      <c r="N25" s="1394"/>
      <c r="O25" s="1394"/>
      <c r="P25" s="1394"/>
      <c r="Q25" s="1428"/>
      <c r="R25" s="1437"/>
      <c r="S25" s="1437"/>
      <c r="T25" s="1437"/>
      <c r="U25" s="795"/>
      <c r="AF25" s="1432"/>
      <c r="AO25" s="1432"/>
      <c r="AR25" s="577"/>
      <c r="AS25" s="577"/>
      <c r="AT25" s="577"/>
      <c r="AU25" s="577"/>
      <c r="AV25" s="577"/>
      <c r="AW25" s="1226">
        <v>0</v>
      </c>
    </row>
    <row s="5002" customFormat="1" customHeight="1" ht="14.25" hidden="1">
      <c r="A26" s="1221"/>
      <c r="B26" s="1221"/>
      <c r="C26" s="1221"/>
      <c r="D26" s="1221"/>
      <c r="E26" s="1221"/>
      <c r="F26" s="1221"/>
      <c r="G26" s="1221"/>
      <c r="H26" s="1221"/>
      <c r="I26" s="1221"/>
      <c r="J26" s="1221"/>
      <c r="K26" s="1221"/>
      <c r="L26" s="1221"/>
      <c r="M26" s="1393"/>
      <c r="N26" s="1394"/>
      <c r="O26" s="1394"/>
      <c r="P26" s="1376" t="s">
        <v>424</v>
      </c>
      <c r="Q26" s="1428"/>
      <c r="R26" s="1437"/>
      <c r="S26" s="1437"/>
      <c r="T26" s="1437"/>
      <c r="U26" s="795"/>
      <c r="V26" s="1226" t="s">
        <v>425</v>
      </c>
      <c r="AD26" s="252" t="s">
        <v>426</v>
      </c>
      <c r="AF26" s="252" t="s">
        <v>427</v>
      </c>
      <c r="AG26" s="1226" t="s">
        <v>425</v>
      </c>
      <c r="AM26" s="252" t="s">
        <v>428</v>
      </c>
      <c r="AO26" s="252" t="s">
        <v>427</v>
      </c>
      <c r="AR26" s="577"/>
      <c r="AS26" s="577"/>
      <c r="AT26" s="577"/>
      <c r="AU26" s="577"/>
      <c r="AV26" s="577"/>
      <c r="AW26" s="1226">
        <v>0</v>
      </c>
    </row>
    <row customHeight="1" ht="14.25" hidden="1">
      <c r="P27" s="1376"/>
      <c r="AW27" s="1221">
        <v>0</v>
      </c>
    </row>
    <row customHeight="1" ht="14.25" hidden="1">
      <c r="P28" s="1376"/>
      <c r="AW28" s="1221">
        <v>0</v>
      </c>
    </row>
    <row customHeight="1" ht="14.699999999999998">
      <c r="R29" s="442"/>
      <c r="S29" s="442"/>
      <c r="T29" s="442"/>
      <c r="U29" s="1341"/>
      <c r="V29" s="429"/>
      <c r="W29" s="429"/>
      <c r="X29" s="575"/>
      <c r="Y29" s="575"/>
      <c r="Z29" s="575"/>
      <c r="AA29" s="575"/>
      <c r="AB29" s="575"/>
      <c r="AC29" s="575"/>
      <c r="AD29" s="575"/>
      <c r="AE29" s="575"/>
      <c r="AF29" s="575"/>
      <c r="AG29" s="575"/>
      <c r="AH29" s="575"/>
      <c r="AI29" s="575"/>
      <c r="AJ29" s="575"/>
      <c r="AK29" s="575"/>
      <c r="AL29" s="575"/>
      <c r="AM29" s="575"/>
      <c r="AN29" s="575"/>
      <c r="AO29" s="575"/>
      <c r="AW29" s="1221">
        <v>14</v>
      </c>
    </row>
    <row customHeight="1" ht="56.699999999999996">
      <c r="R30" s="442"/>
      <c r="S30" s="442"/>
      <c r="T30" s="442"/>
      <c r="U30" s="231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4"/>
      <c r="W30" s="2314"/>
      <c r="X30" s="2314"/>
      <c r="Y30" s="2314"/>
      <c r="Z30" s="2314"/>
      <c r="AA30" s="2314"/>
      <c r="AB30" s="2314"/>
      <c r="AC30" s="2314"/>
      <c r="AD30" s="2314"/>
      <c r="AE30" s="2314"/>
      <c r="AF30" s="2314"/>
      <c r="AG30" s="2314"/>
      <c r="AH30" s="2314"/>
      <c r="AI30" s="2314"/>
      <c r="AJ30" s="2314"/>
      <c r="AK30" s="2314"/>
      <c r="AL30" s="2314"/>
      <c r="AM30" s="2314"/>
      <c r="AN30" s="2314"/>
      <c r="AO30" s="1309"/>
      <c r="AW30" s="1221">
        <v>54</v>
      </c>
    </row>
    <row customHeight="1" ht="14.699999999999998">
      <c r="R31" s="442"/>
      <c r="S31" s="442"/>
      <c r="T31" s="442"/>
      <c r="U31" s="2315" t="str">
        <f>IF(org=0,"Не определено",org)</f>
        <v>Филиал "Уренгойская ГРЭС" АО "Интер РАО - Электрогенерация"</v>
      </c>
      <c r="V31" s="2315"/>
      <c r="W31" s="2315"/>
      <c r="X31" s="2315"/>
      <c r="Y31" s="2315"/>
      <c r="Z31" s="2315"/>
      <c r="AA31" s="2315"/>
      <c r="AB31" s="2315"/>
      <c r="AC31" s="2315"/>
      <c r="AD31" s="2315"/>
      <c r="AE31" s="2315"/>
      <c r="AF31" s="2315"/>
      <c r="AG31" s="2315"/>
      <c r="AH31" s="2315"/>
      <c r="AI31" s="2315"/>
      <c r="AJ31" s="2315"/>
      <c r="AK31" s="2315"/>
      <c r="AL31" s="2315"/>
      <c r="AM31" s="2315"/>
      <c r="AN31" s="2315"/>
      <c r="AO31" s="1309"/>
      <c r="AW31" s="1221">
        <v>14</v>
      </c>
    </row>
    <row customHeight="1" ht="14.25">
      <c r="R32" s="442"/>
      <c r="S32" s="442"/>
      <c r="T32" s="442"/>
      <c r="U32" s="1341"/>
      <c r="V32" s="429"/>
      <c r="W32" s="429"/>
      <c r="X32" s="388"/>
      <c r="Y32" s="388"/>
      <c r="Z32" s="388"/>
      <c r="AA32" s="388"/>
      <c r="AB32" s="388"/>
      <c r="AC32" s="388"/>
      <c r="AD32" s="388"/>
      <c r="AE32" s="388"/>
      <c r="AF32" s="388"/>
      <c r="AG32" s="388"/>
      <c r="AH32" s="388"/>
      <c r="AI32" s="388"/>
      <c r="AJ32" s="388"/>
      <c r="AK32" s="388"/>
      <c r="AL32" s="388"/>
      <c r="AM32" s="388"/>
      <c r="AN32" s="388"/>
      <c r="AO32" s="388"/>
      <c r="AP32" s="575"/>
      <c r="AW32" s="1221">
        <v>0</v>
      </c>
    </row>
    <row s="5597" customFormat="1" customHeight="1" ht="25.5">
      <c r="A33" s="1314"/>
      <c r="B33" s="1314"/>
      <c r="C33" s="1314"/>
      <c r="D33" s="1314"/>
      <c r="E33" s="1314"/>
      <c r="F33" s="1314"/>
      <c r="G33" s="1314"/>
      <c r="H33" s="1314"/>
      <c r="I33" s="1314"/>
      <c r="J33" s="1314"/>
      <c r="K33" s="1314"/>
      <c r="L33" s="1314"/>
      <c r="M33" s="1446"/>
      <c r="N33" s="1314"/>
      <c r="O33" s="1314"/>
      <c r="P33" s="1314"/>
      <c r="U33" s="2316" t="s">
        <v>42</v>
      </c>
      <c r="V33" s="2316"/>
      <c r="W33" s="1438"/>
      <c r="X33" s="2317" t="str">
        <f>IF(TITLE_NAME_OR_PR_CHANGE="",IF(TITLE_NAME_OR_PR="","",TITLE_NAME_OR_PR),TITLE_NAME_OR_PR_CHANGE)</f>
        <v>Департамент тарифной политики, энергетики и ЖКК ЯНАО </v>
      </c>
      <c r="Y33" s="2317"/>
      <c r="Z33" s="2317"/>
      <c r="AA33" s="2317"/>
      <c r="AB33" s="2317"/>
      <c r="AC33" s="2317"/>
      <c r="AD33" s="2317"/>
      <c r="AE33" s="2317"/>
      <c r="AF33" s="392"/>
      <c r="AG33" s="2317" t="str">
        <f>IF(TITLE_NAME_OR_PR_CHANGE="",IF(TITLE_NAME_OR_PR="","",TITLE_NAME_OR_PR),TITLE_NAME_OR_PR_CHANGE)</f>
        <v>Департамент тарифной политики, энергетики и ЖКК ЯНАО </v>
      </c>
      <c r="AH33" s="2317"/>
      <c r="AI33" s="2317"/>
      <c r="AJ33" s="2317"/>
      <c r="AK33" s="2317"/>
      <c r="AL33" s="2317"/>
      <c r="AM33" s="2317"/>
      <c r="AN33" s="2317"/>
      <c r="AO33" s="392"/>
      <c r="AP33" s="392"/>
      <c r="AQ33" s="346"/>
      <c r="AR33" s="434"/>
      <c r="AS33" s="434"/>
      <c r="AT33" s="434"/>
      <c r="AU33" s="434"/>
      <c r="AV33" s="434"/>
      <c r="AW33" s="484">
        <v>0</v>
      </c>
    </row>
    <row s="5597" customFormat="1" customHeight="1" ht="18.75">
      <c r="A34" s="1314"/>
      <c r="B34" s="1314"/>
      <c r="C34" s="1314"/>
      <c r="D34" s="1314"/>
      <c r="E34" s="1314"/>
      <c r="F34" s="1314"/>
      <c r="G34" s="1314"/>
      <c r="H34" s="1314"/>
      <c r="I34" s="1314"/>
      <c r="J34" s="1314"/>
      <c r="K34" s="1314"/>
      <c r="L34" s="1314"/>
      <c r="M34" s="1446"/>
      <c r="N34" s="1314"/>
      <c r="O34" s="1314"/>
      <c r="P34" s="1314"/>
      <c r="U34" s="2316" t="s">
        <v>429</v>
      </c>
      <c r="V34" s="2316"/>
      <c r="W34" s="1438"/>
      <c r="X34" s="2330" t="str">
        <f>IF(TITLE_DATE_PR_CHANGE="",IF(TITLE_DATE_PR="","",TITLE_DATE_PR),TITLE_DATE_PR_CHANGE)</f>
        <v>45631.41619212963</v>
      </c>
      <c r="Y34" s="2330"/>
      <c r="Z34" s="2330"/>
      <c r="AA34" s="2330"/>
      <c r="AB34" s="2330"/>
      <c r="AC34" s="2330"/>
      <c r="AD34" s="2330"/>
      <c r="AE34" s="2330"/>
      <c r="AF34" s="392"/>
      <c r="AG34" s="2330" t="str">
        <f>IF(TITLE_DATE_PR_CHANGE="",IF(TITLE_DATE_PR="","",TITLE_DATE_PR),TITLE_DATE_PR_CHANGE)</f>
        <v>45631.41619212963</v>
      </c>
      <c r="AH34" s="2330"/>
      <c r="AI34" s="2330"/>
      <c r="AJ34" s="2330"/>
      <c r="AK34" s="2330"/>
      <c r="AL34" s="2330"/>
      <c r="AM34" s="2330"/>
      <c r="AN34" s="2330"/>
      <c r="AO34" s="392"/>
      <c r="AP34" s="392"/>
      <c r="AQ34" s="346"/>
      <c r="AR34" s="434"/>
      <c r="AS34" s="434"/>
      <c r="AT34" s="434"/>
      <c r="AU34" s="434"/>
      <c r="AV34" s="434"/>
      <c r="AW34" s="484">
        <v>0</v>
      </c>
    </row>
    <row s="5597" customFormat="1" customHeight="1" ht="18.75">
      <c r="A35" s="1314"/>
      <c r="B35" s="1314"/>
      <c r="C35" s="1314"/>
      <c r="D35" s="1314"/>
      <c r="E35" s="1314"/>
      <c r="F35" s="1314"/>
      <c r="G35" s="1314"/>
      <c r="H35" s="1314"/>
      <c r="I35" s="1314"/>
      <c r="J35" s="1314"/>
      <c r="K35" s="1314"/>
      <c r="L35" s="1314"/>
      <c r="M35" s="1446"/>
      <c r="N35" s="1314"/>
      <c r="O35" s="1314"/>
      <c r="P35" s="1314"/>
      <c r="U35" s="2316" t="s">
        <v>430</v>
      </c>
      <c r="V35" s="2316"/>
      <c r="W35" s="1438"/>
      <c r="X35" s="2317" t="str">
        <f>IF(TITLE_NUMBER_PR_CHANGE="",IF(TITLE_NUMBER_PR="","",TITLE_NUMBER_PR),TITLE_NUMBER_PR_CHANGE)</f>
        <v>447-т</v>
      </c>
      <c r="Y35" s="2317"/>
      <c r="Z35" s="2317"/>
      <c r="AA35" s="2317"/>
      <c r="AB35" s="2317"/>
      <c r="AC35" s="2317"/>
      <c r="AD35" s="2317"/>
      <c r="AE35" s="2317"/>
      <c r="AF35" s="392"/>
      <c r="AG35" s="2317" t="str">
        <f>IF(TITLE_NUMBER_PR_CHANGE="",IF(TITLE_NUMBER_PR="","",TITLE_NUMBER_PR),TITLE_NUMBER_PR_CHANGE)</f>
        <v>447-т</v>
      </c>
      <c r="AH35" s="2317"/>
      <c r="AI35" s="2317"/>
      <c r="AJ35" s="2317"/>
      <c r="AK35" s="2317"/>
      <c r="AL35" s="2317"/>
      <c r="AM35" s="2317"/>
      <c r="AN35" s="2317"/>
      <c r="AO35" s="392"/>
      <c r="AP35" s="392"/>
      <c r="AQ35" s="346"/>
      <c r="AR35" s="434"/>
      <c r="AS35" s="434"/>
      <c r="AT35" s="434"/>
      <c r="AU35" s="434"/>
      <c r="AV35" s="434"/>
      <c r="AW35" s="484">
        <v>0</v>
      </c>
    </row>
    <row s="5597" customFormat="1" customHeight="1" ht="18.75">
      <c r="A36" s="1314"/>
      <c r="B36" s="1314"/>
      <c r="C36" s="1314"/>
      <c r="D36" s="1314"/>
      <c r="E36" s="1314"/>
      <c r="F36" s="1314"/>
      <c r="G36" s="1314"/>
      <c r="H36" s="1314"/>
      <c r="I36" s="1314"/>
      <c r="J36" s="1314"/>
      <c r="K36" s="1314"/>
      <c r="L36" s="1314"/>
      <c r="M36" s="1446"/>
      <c r="N36" s="1314"/>
      <c r="O36" s="1314"/>
      <c r="P36" s="1314"/>
      <c r="U36" s="2316" t="s">
        <v>44</v>
      </c>
      <c r="V36" s="2316"/>
      <c r="W36" s="1438"/>
      <c r="X36" s="2317" t="str">
        <f>IF(TITLE_IST_PUB_CHANGE="",IF(TITLE_IST_PUB="","",TITLE_IST_PUB),TITLE_IST_PUB_CHANGE)</f>
        <v>Официальный сайт Департамента тарифной политики, энергетики и ЖКК ЯНАО, https://rek-yamal.ru, 05.12.2024</v>
      </c>
      <c r="Y36" s="2317"/>
      <c r="Z36" s="2317"/>
      <c r="AA36" s="2317"/>
      <c r="AB36" s="2317"/>
      <c r="AC36" s="2317"/>
      <c r="AD36" s="2317"/>
      <c r="AE36" s="2317"/>
      <c r="AF36" s="392"/>
      <c r="AG36" s="2317" t="str">
        <f>IF(TITLE_IST_PUB_CHANGE="",IF(TITLE_IST_PUB="","",TITLE_IST_PUB),TITLE_IST_PUB_CHANGE)</f>
        <v>Официальный сайт Департамента тарифной политики, энергетики и ЖКК ЯНАО, https://rek-yamal.ru, 05.12.2024</v>
      </c>
      <c r="AH36" s="2317"/>
      <c r="AI36" s="2317"/>
      <c r="AJ36" s="2317"/>
      <c r="AK36" s="2317"/>
      <c r="AL36" s="2317"/>
      <c r="AM36" s="2317"/>
      <c r="AN36" s="2317"/>
      <c r="AO36" s="392"/>
      <c r="AP36" s="392"/>
      <c r="AQ36" s="346"/>
      <c r="AR36" s="434"/>
      <c r="AS36" s="434"/>
      <c r="AT36" s="434"/>
      <c r="AU36" s="434"/>
      <c r="AV36" s="434"/>
      <c r="AW36" s="484">
        <v>0</v>
      </c>
    </row>
    <row customHeight="1" ht="14.25" hidden="1">
      <c r="R37" s="442"/>
      <c r="S37" s="442"/>
      <c r="T37" s="442"/>
      <c r="U37" s="1341"/>
      <c r="V37" s="429"/>
      <c r="W37" s="429"/>
      <c r="X37" s="388"/>
      <c r="Y37" s="388"/>
      <c r="Z37" s="388"/>
      <c r="AA37" s="388"/>
      <c r="AB37" s="388"/>
      <c r="AC37" s="388"/>
      <c r="AD37" s="388"/>
      <c r="AE37" s="388"/>
      <c r="AF37" s="388"/>
      <c r="AG37" s="388"/>
      <c r="AH37" s="388"/>
      <c r="AI37" s="388"/>
      <c r="AJ37" s="388"/>
      <c r="AK37" s="388"/>
      <c r="AL37" s="388"/>
      <c r="AM37" s="388"/>
      <c r="AN37" s="388"/>
      <c r="AO37" s="388"/>
      <c r="AP37" s="575"/>
      <c r="AW37" s="1221">
        <v>0</v>
      </c>
    </row>
    <row s="5597" customFormat="1" customHeight="1" ht="18.75" hidden="1">
      <c r="A38" s="1314"/>
      <c r="B38" s="1314"/>
      <c r="C38" s="1314"/>
      <c r="D38" s="1314"/>
      <c r="E38" s="1314"/>
      <c r="F38" s="1314"/>
      <c r="G38" s="1314"/>
      <c r="H38" s="1314"/>
      <c r="I38" s="1314"/>
      <c r="J38" s="1314"/>
      <c r="K38" s="1314"/>
      <c r="L38" s="1314"/>
      <c r="M38" s="1446"/>
      <c r="N38" s="1314"/>
      <c r="O38" s="1314"/>
      <c r="P38" s="1314"/>
      <c r="U38" s="2316" t="s">
        <v>431</v>
      </c>
      <c r="V38" s="2316"/>
      <c r="W38" s="1438"/>
      <c r="X38" s="2330" t="str">
        <f>IF(TITLE_DATE_PR_CHANGE="",IF(TITLE_DATE_PR="","",TITLE_DATE_PR),TITLE_DATE_PR_CHANGE)</f>
        <v>45631.41619212963</v>
      </c>
      <c r="Y38" s="2330"/>
      <c r="Z38" s="2330"/>
      <c r="AA38" s="2330"/>
      <c r="AB38" s="2330"/>
      <c r="AC38" s="2330"/>
      <c r="AD38" s="2330"/>
      <c r="AE38" s="2330"/>
      <c r="AF38" s="392"/>
      <c r="AG38" s="2330" t="str">
        <f>IF(TITLE_DATE_PR_CHANGE="",IF(TITLE_DATE_PR="","",TITLE_DATE_PR),TITLE_DATE_PR_CHANGE)</f>
        <v>45631.41619212963</v>
      </c>
      <c r="AH38" s="2330"/>
      <c r="AI38" s="2330"/>
      <c r="AJ38" s="2330"/>
      <c r="AK38" s="2330"/>
      <c r="AL38" s="2330"/>
      <c r="AM38" s="2330"/>
      <c r="AN38" s="2330"/>
      <c r="AO38" s="392"/>
      <c r="AP38" s="392"/>
      <c r="AQ38" s="346"/>
      <c r="AR38" s="434"/>
      <c r="AS38" s="434"/>
      <c r="AT38" s="434"/>
      <c r="AU38" s="434"/>
      <c r="AV38" s="434"/>
      <c r="AW38" s="484">
        <v>0</v>
      </c>
    </row>
    <row s="5597" customFormat="1" customHeight="1" ht="18.75" hidden="1">
      <c r="A39" s="1314"/>
      <c r="B39" s="1314"/>
      <c r="C39" s="1314"/>
      <c r="D39" s="1314"/>
      <c r="E39" s="1314"/>
      <c r="F39" s="1314"/>
      <c r="G39" s="1314"/>
      <c r="H39" s="1314"/>
      <c r="I39" s="1314"/>
      <c r="J39" s="1314"/>
      <c r="K39" s="1314"/>
      <c r="L39" s="1314"/>
      <c r="M39" s="1446"/>
      <c r="N39" s="1314"/>
      <c r="O39" s="1314"/>
      <c r="P39" s="1314"/>
      <c r="U39" s="2316" t="s">
        <v>432</v>
      </c>
      <c r="V39" s="2316"/>
      <c r="W39" s="1438"/>
      <c r="X39" s="2317" t="str">
        <f>IF(TITLE_NUMBER_PR_CHANGE="",IF(TITLE_NUMBER_PR="","",TITLE_NUMBER_PR),TITLE_NUMBER_PR_CHANGE)</f>
        <v>447-т</v>
      </c>
      <c r="Y39" s="2317"/>
      <c r="Z39" s="2317"/>
      <c r="AA39" s="2317"/>
      <c r="AB39" s="2317"/>
      <c r="AC39" s="2317"/>
      <c r="AD39" s="2317"/>
      <c r="AE39" s="2317"/>
      <c r="AF39" s="392"/>
      <c r="AG39" s="2317" t="str">
        <f>IF(TITLE_NUMBER_PR_CHANGE="",IF(TITLE_NUMBER_PR="","",TITLE_NUMBER_PR),TITLE_NUMBER_PR_CHANGE)</f>
        <v>447-т</v>
      </c>
      <c r="AH39" s="2317"/>
      <c r="AI39" s="2317"/>
      <c r="AJ39" s="2317"/>
      <c r="AK39" s="2317"/>
      <c r="AL39" s="2317"/>
      <c r="AM39" s="2317"/>
      <c r="AN39" s="2317"/>
      <c r="AO39" s="392"/>
      <c r="AP39" s="392"/>
      <c r="AQ39" s="346"/>
      <c r="AR39" s="434"/>
      <c r="AS39" s="434"/>
      <c r="AT39" s="434"/>
      <c r="AU39" s="434"/>
      <c r="AV39" s="434"/>
      <c r="AW39" s="484">
        <v>0</v>
      </c>
    </row>
    <row s="5597" customFormat="1" customHeight="1" ht="0">
      <c r="A40" s="1314"/>
      <c r="B40" s="1314"/>
      <c r="C40" s="1314"/>
      <c r="D40" s="1314"/>
      <c r="E40" s="1314"/>
      <c r="F40" s="1314"/>
      <c r="G40" s="1314"/>
      <c r="H40" s="1314"/>
      <c r="I40" s="1314"/>
      <c r="J40" s="1314"/>
      <c r="K40" s="1314"/>
      <c r="L40" s="1314"/>
      <c r="M40" s="1446"/>
      <c r="N40" s="1314"/>
      <c r="O40" s="1314"/>
      <c r="P40" s="1314"/>
      <c r="U40" s="389"/>
      <c r="V40" s="389"/>
      <c r="W40" s="1406"/>
      <c r="X40" s="392"/>
      <c r="Y40" s="392"/>
      <c r="Z40" s="392"/>
      <c r="AA40" s="392"/>
      <c r="AB40" s="392"/>
      <c r="AC40" s="392"/>
      <c r="AD40" s="392"/>
      <c r="AE40" s="392"/>
      <c r="AF40" s="344" t="s">
        <v>433</v>
      </c>
      <c r="AG40" s="392"/>
      <c r="AH40" s="392"/>
      <c r="AI40" s="392"/>
      <c r="AJ40" s="392"/>
      <c r="AK40" s="392"/>
      <c r="AL40" s="392"/>
      <c r="AM40" s="392"/>
      <c r="AN40" s="392"/>
      <c r="AO40" s="344" t="s">
        <v>433</v>
      </c>
      <c r="AR40" s="434"/>
      <c r="AS40" s="434"/>
      <c r="AT40" s="434"/>
      <c r="AU40" s="434"/>
      <c r="AV40" s="434"/>
      <c r="AW40" s="484">
        <v>0</v>
      </c>
    </row>
    <row customHeight="1" ht="14.699999999999998">
      <c r="R41" s="442"/>
      <c r="S41" s="442"/>
      <c r="T41" s="442"/>
      <c r="U41" s="1341"/>
      <c r="V41" s="429"/>
      <c r="W41" s="1310"/>
      <c r="X41" s="2318"/>
      <c r="Y41" s="2318"/>
      <c r="Z41" s="2318"/>
      <c r="AA41" s="2318"/>
      <c r="AB41" s="2318"/>
      <c r="AC41" s="2318"/>
      <c r="AD41" s="2318"/>
      <c r="AE41" s="2318"/>
      <c r="AF41" s="2318"/>
      <c r="AG41" s="2318"/>
      <c r="AH41" s="2318"/>
      <c r="AI41" s="2318"/>
      <c r="AJ41" s="2318"/>
      <c r="AK41" s="2318"/>
      <c r="AL41" s="2318"/>
      <c r="AM41" s="2318"/>
      <c r="AN41" s="2318"/>
      <c r="AO41" s="2318"/>
      <c r="AW41" s="1221">
        <v>14</v>
      </c>
    </row>
    <row customHeight="1" ht="14.699999999999998">
      <c r="R42" s="442"/>
      <c r="S42" s="442"/>
      <c r="T42" s="442"/>
      <c r="U42" s="2193" t="s">
        <v>309</v>
      </c>
      <c r="V42" s="2193"/>
      <c r="W42" s="2193"/>
      <c r="X42" s="2193"/>
      <c r="Y42" s="2193"/>
      <c r="Z42" s="2193"/>
      <c r="AA42" s="2193"/>
      <c r="AB42" s="2193"/>
      <c r="AC42" s="2193"/>
      <c r="AD42" s="2193"/>
      <c r="AE42" s="2193"/>
      <c r="AF42" s="2193"/>
      <c r="AG42" s="2193"/>
      <c r="AH42" s="2193"/>
      <c r="AI42" s="2193"/>
      <c r="AJ42" s="2193"/>
      <c r="AK42" s="2193"/>
      <c r="AL42" s="2193"/>
      <c r="AM42" s="2193"/>
      <c r="AN42" s="2193"/>
      <c r="AO42" s="2193"/>
      <c r="AP42" s="2193"/>
      <c r="AQ42" s="2193" t="s">
        <v>310</v>
      </c>
      <c r="AW42" s="1221">
        <v>14</v>
      </c>
    </row>
    <row customHeight="1" ht="14.699999999999998">
      <c r="R43" s="442"/>
      <c r="S43" s="442"/>
      <c r="T43" s="442"/>
      <c r="U43" s="2339" t="s">
        <v>93</v>
      </c>
      <c r="V43" s="2275" t="s">
        <v>434</v>
      </c>
      <c r="W43" s="367"/>
      <c r="X43" s="2340" t="s">
        <v>435</v>
      </c>
      <c r="Y43" s="2357"/>
      <c r="Z43" s="2357"/>
      <c r="AA43" s="2357"/>
      <c r="AB43" s="2357"/>
      <c r="AC43" s="2341"/>
      <c r="AD43" s="2341"/>
      <c r="AE43" s="2342"/>
      <c r="AF43" s="2343" t="s">
        <v>436</v>
      </c>
      <c r="AG43" s="2340" t="s">
        <v>435</v>
      </c>
      <c r="AH43" s="2357"/>
      <c r="AI43" s="2357"/>
      <c r="AJ43" s="2357"/>
      <c r="AK43" s="2357"/>
      <c r="AL43" s="2341"/>
      <c r="AM43" s="2341"/>
      <c r="AN43" s="2342"/>
      <c r="AO43" s="2343" t="s">
        <v>437</v>
      </c>
      <c r="AP43" s="2346" t="s">
        <v>438</v>
      </c>
      <c r="AQ43" s="2193"/>
      <c r="AW43" s="1221">
        <v>14</v>
      </c>
    </row>
    <row customHeight="1" ht="35.699999999999996">
      <c r="R44" s="442"/>
      <c r="S44" s="442"/>
      <c r="T44" s="442"/>
      <c r="U44" s="2339"/>
      <c r="V44" s="2275"/>
      <c r="W44" s="1097"/>
      <c r="X44" s="2360" t="s">
        <v>464</v>
      </c>
      <c r="Y44" s="2378" t="s">
        <v>465</v>
      </c>
      <c r="Z44" s="2378"/>
      <c r="AA44" s="2378"/>
      <c r="AB44" s="2378"/>
      <c r="AC44" s="2360" t="s">
        <v>442</v>
      </c>
      <c r="AD44" s="2677"/>
      <c r="AE44" s="2380"/>
      <c r="AF44" s="2344"/>
      <c r="AG44" s="2360" t="s">
        <v>464</v>
      </c>
      <c r="AH44" s="2378" t="s">
        <v>465</v>
      </c>
      <c r="AI44" s="2378"/>
      <c r="AJ44" s="2378"/>
      <c r="AK44" s="2378"/>
      <c r="AL44" s="2360" t="s">
        <v>442</v>
      </c>
      <c r="AM44" s="2677"/>
      <c r="AN44" s="2380"/>
      <c r="AO44" s="2344"/>
      <c r="AP44" s="2347"/>
      <c r="AQ44" s="2193"/>
      <c r="AW44" s="1221">
        <v>34</v>
      </c>
    </row>
    <row customHeight="1" ht="14.699999999999998">
      <c r="R45" s="442"/>
      <c r="S45" s="442"/>
      <c r="T45" s="442"/>
      <c r="U45" s="2339"/>
      <c r="V45" s="2275"/>
      <c r="W45" s="1097"/>
      <c r="X45" s="2391"/>
      <c r="Y45" s="2383" t="s">
        <v>466</v>
      </c>
      <c r="Z45" s="2336" t="s">
        <v>467</v>
      </c>
      <c r="AA45" s="2386"/>
      <c r="AB45" s="2337"/>
      <c r="AC45" s="2361"/>
      <c r="AD45" s="2678"/>
      <c r="AE45" s="2382"/>
      <c r="AF45" s="2344"/>
      <c r="AG45" s="2391"/>
      <c r="AH45" s="2383" t="s">
        <v>466</v>
      </c>
      <c r="AI45" s="2336" t="s">
        <v>467</v>
      </c>
      <c r="AJ45" s="2386"/>
      <c r="AK45" s="2337"/>
      <c r="AL45" s="2361"/>
      <c r="AM45" s="2678"/>
      <c r="AN45" s="2382"/>
      <c r="AO45" s="2344"/>
      <c r="AP45" s="2347"/>
      <c r="AQ45" s="2193"/>
      <c r="AW45" s="1221">
        <v>14</v>
      </c>
    </row>
    <row customHeight="1" ht="27.299999999999997">
      <c r="R46" s="442"/>
      <c r="S46" s="442"/>
      <c r="T46" s="442"/>
      <c r="U46" s="2339"/>
      <c r="V46" s="2275"/>
      <c r="W46" s="1097"/>
      <c r="X46" s="2391"/>
      <c r="Y46" s="2384"/>
      <c r="Z46" s="2383" t="s">
        <v>468</v>
      </c>
      <c r="AA46" s="2336" t="s">
        <v>469</v>
      </c>
      <c r="AB46" s="2337"/>
      <c r="AC46" s="2383" t="s">
        <v>452</v>
      </c>
      <c r="AD46" s="2387" t="s">
        <v>453</v>
      </c>
      <c r="AE46" s="2388"/>
      <c r="AF46" s="2344"/>
      <c r="AG46" s="2391"/>
      <c r="AH46" s="2384"/>
      <c r="AI46" s="2383" t="s">
        <v>468</v>
      </c>
      <c r="AJ46" s="2336" t="s">
        <v>469</v>
      </c>
      <c r="AK46" s="2337"/>
      <c r="AL46" s="2383" t="s">
        <v>452</v>
      </c>
      <c r="AM46" s="2387" t="s">
        <v>453</v>
      </c>
      <c r="AN46" s="2388"/>
      <c r="AO46" s="2344"/>
      <c r="AP46" s="2347"/>
      <c r="AQ46" s="2193"/>
      <c r="AW46" s="1221">
        <v>26</v>
      </c>
    </row>
    <row customHeight="1" ht="65.25">
      <c r="A47" s="1325"/>
      <c r="B47" s="1325" t="s">
        <v>140</v>
      </c>
      <c r="C47" s="1325" t="s">
        <v>141</v>
      </c>
      <c r="D47" s="1325" t="s">
        <v>142</v>
      </c>
      <c r="E47" s="1376" t="s">
        <v>443</v>
      </c>
      <c r="F47" s="1376" t="s">
        <v>444</v>
      </c>
      <c r="G47" s="1376" t="s">
        <v>445</v>
      </c>
      <c r="H47" s="1376" t="s">
        <v>446</v>
      </c>
      <c r="I47" s="1376" t="s">
        <v>447</v>
      </c>
      <c r="J47" s="1376" t="s">
        <v>448</v>
      </c>
      <c r="K47" s="1376" t="s">
        <v>449</v>
      </c>
      <c r="L47" s="1376" t="s">
        <v>470</v>
      </c>
      <c r="M47" s="1376" t="s">
        <v>424</v>
      </c>
      <c r="R47" s="442"/>
      <c r="S47" s="442"/>
      <c r="T47" s="442"/>
      <c r="U47" s="2339"/>
      <c r="V47" s="2275"/>
      <c r="W47" s="368"/>
      <c r="X47" s="2361"/>
      <c r="Y47" s="2385"/>
      <c r="Z47" s="2385"/>
      <c r="AA47" s="1288" t="s">
        <v>471</v>
      </c>
      <c r="AB47" s="1288" t="s">
        <v>472</v>
      </c>
      <c r="AC47" s="2385"/>
      <c r="AD47" s="2389"/>
      <c r="AE47" s="2390"/>
      <c r="AF47" s="2345"/>
      <c r="AG47" s="2361"/>
      <c r="AH47" s="2385"/>
      <c r="AI47" s="2385"/>
      <c r="AJ47" s="1288" t="s">
        <v>471</v>
      </c>
      <c r="AK47" s="1288" t="s">
        <v>472</v>
      </c>
      <c r="AL47" s="2385"/>
      <c r="AM47" s="2389"/>
      <c r="AN47" s="2390"/>
      <c r="AO47" s="2345"/>
      <c r="AP47" s="2348"/>
      <c r="AQ47" s="2193"/>
      <c r="AW47" s="1221">
        <v>62</v>
      </c>
    </row>
    <row s="4153" customFormat="1" customHeight="1" ht="11.25" hidden="1">
      <c r="A48" s="1325"/>
      <c r="B48" s="1325"/>
      <c r="C48" s="1325"/>
      <c r="D48" s="1325"/>
      <c r="E48" s="1325"/>
      <c r="F48" s="1325"/>
      <c r="G48" s="1325"/>
      <c r="H48" s="1325"/>
      <c r="I48" s="1325"/>
      <c r="J48" s="1325"/>
      <c r="K48" s="1325"/>
      <c r="L48" s="1325"/>
      <c r="M48" s="1376"/>
      <c r="N48" s="1394"/>
      <c r="O48" s="1394"/>
      <c r="P48" s="1394"/>
      <c r="Q48" s="1312"/>
      <c r="R48" s="1313"/>
      <c r="S48" s="1320">
        <v>1</v>
      </c>
      <c r="T48" s="1320"/>
      <c r="U48" s="1343" t="s">
        <v>114</v>
      </c>
      <c r="V48" s="1321" t="s">
        <v>115</v>
      </c>
      <c r="W48" s="1311" t="str">
        <f>OFFSET(W48,0,-1)</f>
        <v>2</v>
      </c>
      <c r="X48" s="1401">
        <f>OFFSET(X48,0,-1)+1</f>
        <v>3</v>
      </c>
      <c r="Y48" s="1407"/>
      <c r="Z48" s="1407"/>
      <c r="AA48" s="1407">
        <f>OFFSET(AA48,0,-1)+1</f>
        <v>1</v>
      </c>
      <c r="AB48" s="1407">
        <f>OFFSET(AB48,0,-1)+1</f>
        <v>2</v>
      </c>
      <c r="AC48" s="1401">
        <f>OFFSET(AC48,0,-1)+1</f>
        <v>3</v>
      </c>
      <c r="AD48" s="2338">
        <f>OFFSET(AD48,0,-1)+1</f>
        <v>4</v>
      </c>
      <c r="AE48" s="2338"/>
      <c r="AF48" s="1401">
        <f>OFFSET(AF48,0,-2)+1</f>
        <v>5</v>
      </c>
      <c r="AG48" s="1401">
        <f>OFFSET(AG48,0,-1)+1</f>
        <v>6</v>
      </c>
      <c r="AH48" s="1401"/>
      <c r="AI48" s="1401"/>
      <c r="AJ48" s="1401">
        <f>OFFSET(AJ48,0,-1)+1</f>
        <v>1</v>
      </c>
      <c r="AK48" s="1401">
        <f>OFFSET(AK48,0,-1)+1</f>
        <v>2</v>
      </c>
      <c r="AL48" s="1401">
        <f>OFFSET(AL48,0,-1)+1</f>
        <v>3</v>
      </c>
      <c r="AM48" s="2338">
        <f>OFFSET(AM48,0,-1)+1</f>
        <v>4</v>
      </c>
      <c r="AN48" s="2338"/>
      <c r="AO48" s="1401">
        <f>OFFSET(AO48,0,-2)+1</f>
        <v>5</v>
      </c>
      <c r="AP48" s="1311">
        <f>OFFSET(AP48,0,-1)</f>
        <v>5</v>
      </c>
      <c r="AQ48" s="1401">
        <f>OFFSET(AQ48,0,-1)+1</f>
        <v>6</v>
      </c>
      <c r="AR48" s="577"/>
      <c r="AS48" s="577"/>
      <c r="AT48" s="577"/>
      <c r="AU48" s="577"/>
      <c r="AV48" s="577"/>
      <c r="AW48" s="562">
        <v>0</v>
      </c>
    </row>
    <row customHeight="1" ht="22.049999999999997">
      <c r="A49" s="1333" t="s">
        <v>185</v>
      </c>
      <c r="B49" s="1333"/>
      <c r="C49" s="1333"/>
      <c r="D49" s="1333"/>
      <c r="E49" s="2355">
        <v>1</v>
      </c>
      <c r="F49" s="1333"/>
      <c r="G49" s="1333"/>
      <c r="H49" s="1333"/>
      <c r="I49" s="1333"/>
      <c r="J49" s="1333"/>
      <c r="K49" s="1333"/>
      <c r="L49" s="1333"/>
      <c r="M49" s="1376"/>
      <c r="N49" s="754"/>
      <c r="O49" s="754"/>
      <c r="P49" s="754"/>
      <c r="Q49" s="427"/>
      <c r="R49" s="426"/>
      <c r="S49" s="426"/>
      <c r="T49" s="421"/>
      <c r="U49" s="1402">
        <f>INDEX(PT_DIFFERENTIATION_NUM_NTAR,MATCH(A49,PT_DIFFERENTIATION_NTAR_ID,0))</f>
        <v>0</v>
      </c>
      <c r="V49" s="364" t="s">
        <v>128</v>
      </c>
      <c r="W49" s="366"/>
      <c r="X49" s="2308"/>
      <c r="Y49" s="2309"/>
      <c r="Z49" s="2309"/>
      <c r="AA49" s="2309"/>
      <c r="AB49" s="2309"/>
      <c r="AC49" s="2309"/>
      <c r="AD49" s="2309"/>
      <c r="AE49" s="2309"/>
      <c r="AF49" s="2310"/>
      <c r="AG49" s="2308" t="str">
        <f>INDEX(PT_DIFFERENTIATION_NTAR,MATCH(A49,PT_DIFFERENTIATION_NTAR_ID,0))</f>
        <v/>
      </c>
      <c r="AH49" s="2309"/>
      <c r="AI49" s="2309"/>
      <c r="AJ49" s="2309"/>
      <c r="AK49" s="2309"/>
      <c r="AL49" s="2309"/>
      <c r="AM49" s="2309"/>
      <c r="AN49" s="2309"/>
      <c r="AO49" s="2309"/>
      <c r="AP49" s="2310"/>
      <c r="AQ49"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6"/>
      <c r="AT49" s="566" t="str">
        <f>IF(V49="","",V49)</f>
        <v>Наименование тарифа</v>
      </c>
      <c r="AU49" s="566"/>
      <c r="AV49" s="566"/>
      <c r="AW49" s="1221">
        <v>21</v>
      </c>
    </row>
    <row customHeight="1" ht="22.049999999999997">
      <c r="A50" s="1333" t="s">
        <v>185</v>
      </c>
      <c r="B50" s="1333" t="s">
        <v>186</v>
      </c>
      <c r="C50" s="1333"/>
      <c r="D50" s="1333"/>
      <c r="E50" s="2356"/>
      <c r="F50" s="2355">
        <v>1</v>
      </c>
      <c r="G50" s="1333"/>
      <c r="H50" s="1333"/>
      <c r="I50" s="1333"/>
      <c r="J50" s="1333"/>
      <c r="K50" s="1333"/>
      <c r="L50" s="1333"/>
      <c r="M50" s="1376"/>
      <c r="N50" s="754"/>
      <c r="O50" s="754"/>
      <c r="P50" s="754"/>
      <c r="Q50" s="1398"/>
      <c r="R50" s="418"/>
      <c r="S50" s="575"/>
      <c r="T50" s="419"/>
      <c r="U50" s="1402" t="str">
        <f>INDEX(PT_DIFFERENTIATION_NUM_TER,MATCH(B50,PT_DIFFERENTIATION_TER_ID,0))</f>
        <v>.</v>
      </c>
      <c r="V50" s="374" t="s">
        <v>406</v>
      </c>
      <c r="W50" s="366"/>
      <c r="X50" s="2308"/>
      <c r="Y50" s="2309"/>
      <c r="Z50" s="2309"/>
      <c r="AA50" s="2309"/>
      <c r="AB50" s="2309"/>
      <c r="AC50" s="2309"/>
      <c r="AD50" s="2309"/>
      <c r="AE50" s="2309"/>
      <c r="AF50" s="2310"/>
      <c r="AG50" s="2308" t="str">
        <f>INDEX(PT_DIFFERENTIATION_TER,MATCH(B50,PT_DIFFERENTIATION_TER_ID,0))</f>
        <v/>
      </c>
      <c r="AH50" s="2309"/>
      <c r="AI50" s="2309"/>
      <c r="AJ50" s="2309"/>
      <c r="AK50" s="2309"/>
      <c r="AL50" s="2309"/>
      <c r="AM50" s="2309"/>
      <c r="AN50" s="2309"/>
      <c r="AO50" s="2309"/>
      <c r="AP50" s="2310"/>
      <c r="AQ50" s="1324" t="s">
        <v>407</v>
      </c>
      <c r="AS50" s="566"/>
      <c r="AT50" s="566" t="str">
        <f>IF(V50="","",V50)</f>
        <v>Территория действия тарифа</v>
      </c>
      <c r="AU50" s="566"/>
      <c r="AV50" s="566"/>
      <c r="AW50" s="1221">
        <v>21</v>
      </c>
    </row>
    <row customHeight="1" ht="24">
      <c r="A51" s="1333" t="s">
        <v>185</v>
      </c>
      <c r="B51" s="1333" t="s">
        <v>186</v>
      </c>
      <c r="C51" s="1333" t="s">
        <v>187</v>
      </c>
      <c r="D51" s="1333"/>
      <c r="E51" s="2356"/>
      <c r="F51" s="2356"/>
      <c r="G51" s="2355">
        <v>1</v>
      </c>
      <c r="H51" s="1333"/>
      <c r="I51" s="1333"/>
      <c r="J51" s="1333"/>
      <c r="K51" s="1333"/>
      <c r="L51" s="1333"/>
      <c r="M51" s="1376"/>
      <c r="N51" s="754"/>
      <c r="O51" s="754"/>
      <c r="P51" s="754"/>
      <c r="Q51" s="420"/>
      <c r="R51" s="418"/>
      <c r="S51" s="575"/>
      <c r="T51" s="419"/>
      <c r="U51" s="1402" t="str">
        <f>INDEX(PT_DIFFERENTIATION_NUM_CS,MATCH(C51,PT_DIFFERENTIATION_CS_ID,0))</f>
        <v>..</v>
      </c>
      <c r="V51" s="375" t="s">
        <v>408</v>
      </c>
      <c r="W51" s="366"/>
      <c r="X51" s="2308"/>
      <c r="Y51" s="2309"/>
      <c r="Z51" s="2309"/>
      <c r="AA51" s="2309"/>
      <c r="AB51" s="2309"/>
      <c r="AC51" s="2309"/>
      <c r="AD51" s="2309"/>
      <c r="AE51" s="2309"/>
      <c r="AF51" s="2310"/>
      <c r="AG51" s="2308" t="str">
        <f>INDEX(PT_DIFFERENTIATION_CS,MATCH(C51,PT_DIFFERENTIATION_CS_ID,0))</f>
        <v/>
      </c>
      <c r="AH51" s="2309"/>
      <c r="AI51" s="2309"/>
      <c r="AJ51" s="2309"/>
      <c r="AK51" s="2309"/>
      <c r="AL51" s="2309"/>
      <c r="AM51" s="2309"/>
      <c r="AN51" s="2309"/>
      <c r="AO51" s="2309"/>
      <c r="AP51" s="2310"/>
      <c r="AQ51" s="1324" t="s">
        <v>409</v>
      </c>
      <c r="AS51" s="566"/>
      <c r="AT51" s="566" t="str">
        <f>IF(V51="","",V51)</f>
        <v>Наименование системы теплоснабжения </v>
      </c>
      <c r="AU51" s="566"/>
      <c r="AV51" s="566"/>
      <c r="AW51" s="1221">
        <v>23</v>
      </c>
    </row>
    <row customHeight="1" ht="22.049999999999997">
      <c r="A52" s="1333" t="s">
        <v>185</v>
      </c>
      <c r="B52" s="1333" t="s">
        <v>186</v>
      </c>
      <c r="C52" s="1333" t="s">
        <v>187</v>
      </c>
      <c r="D52" s="1333" t="s">
        <v>188</v>
      </c>
      <c r="E52" s="2356"/>
      <c r="F52" s="2356"/>
      <c r="G52" s="2356"/>
      <c r="H52" s="2376">
        <v>1</v>
      </c>
      <c r="I52" s="1333"/>
      <c r="J52" s="1333"/>
      <c r="K52" s="1333"/>
      <c r="L52" s="1333"/>
      <c r="M52" s="1376"/>
      <c r="N52" s="754"/>
      <c r="O52" s="754"/>
      <c r="P52" s="754"/>
      <c r="Q52" s="420"/>
      <c r="R52" s="418"/>
      <c r="S52" s="575"/>
      <c r="T52" s="419"/>
      <c r="U52" s="1402" t="str">
        <f>INDEX(PT_DIFFERENTIATION_NUM_IST_TE,MATCH(D52,PT_DIFFERENTIATION_IST_TE_ID,0))</f>
        <v>...</v>
      </c>
      <c r="V52" s="376" t="s">
        <v>410</v>
      </c>
      <c r="W52" s="366"/>
      <c r="X52" s="2308"/>
      <c r="Y52" s="2309"/>
      <c r="Z52" s="2309"/>
      <c r="AA52" s="2309"/>
      <c r="AB52" s="2309"/>
      <c r="AC52" s="2309"/>
      <c r="AD52" s="2309"/>
      <c r="AE52" s="2309"/>
      <c r="AF52" s="2310"/>
      <c r="AG52" s="2308" t="str">
        <f>INDEX(PT_DIFFERENTIATION_IST_TE,MATCH(D52,PT_DIFFERENTIATION_IST_TE_ID,0))</f>
        <v/>
      </c>
      <c r="AH52" s="2309"/>
      <c r="AI52" s="2309"/>
      <c r="AJ52" s="2309"/>
      <c r="AK52" s="2309"/>
      <c r="AL52" s="2309"/>
      <c r="AM52" s="2309"/>
      <c r="AN52" s="2309"/>
      <c r="AO52" s="2309"/>
      <c r="AP52" s="2310"/>
      <c r="AQ52" s="1324" t="s">
        <v>411</v>
      </c>
      <c r="AS52" s="566"/>
      <c r="AT52" s="566" t="str">
        <f>IF(V52="","",V52)</f>
        <v>Источник тепловой энергии  </v>
      </c>
      <c r="AU52" s="566"/>
      <c r="AV52" s="566"/>
      <c r="AW52" s="1221">
        <v>21</v>
      </c>
    </row>
    <row s="4562" customFormat="1" customHeight="1" ht="0">
      <c r="A53" s="1441" t="s">
        <v>185</v>
      </c>
      <c r="B53" s="1441" t="s">
        <v>186</v>
      </c>
      <c r="C53" s="1441" t="s">
        <v>187</v>
      </c>
      <c r="D53" s="1441" t="s">
        <v>188</v>
      </c>
      <c r="E53" s="2356"/>
      <c r="F53" s="2356"/>
      <c r="G53" s="2356"/>
      <c r="H53" s="2377"/>
      <c r="I53" s="2193" t="str">
        <f>U52&amp;".1"</f>
        <v>....1</v>
      </c>
      <c r="J53" s="1441"/>
      <c r="K53" s="1441"/>
      <c r="L53" s="1441"/>
      <c r="M53" s="1447" t="s">
        <v>412</v>
      </c>
      <c r="N53" s="1312"/>
      <c r="O53" s="1312"/>
      <c r="P53" s="1312"/>
      <c r="Q53" s="2323">
        <v>1</v>
      </c>
      <c r="R53" s="1397"/>
      <c r="S53" s="1397"/>
      <c r="T53" s="422"/>
      <c r="U53" s="1108"/>
      <c r="V53" s="1449"/>
      <c r="W53" s="1450"/>
      <c r="X53" s="2362"/>
      <c r="Y53" s="2363"/>
      <c r="Z53" s="2363"/>
      <c r="AA53" s="2363"/>
      <c r="AB53" s="2363"/>
      <c r="AC53" s="2363"/>
      <c r="AD53" s="2363"/>
      <c r="AE53" s="2363"/>
      <c r="AF53" s="2364"/>
      <c r="AG53" s="2362"/>
      <c r="AH53" s="2363"/>
      <c r="AI53" s="2363"/>
      <c r="AJ53" s="2363"/>
      <c r="AK53" s="2363"/>
      <c r="AL53" s="2363"/>
      <c r="AM53" s="2363"/>
      <c r="AN53" s="2363"/>
      <c r="AO53" s="2363"/>
      <c r="AP53" s="2364"/>
      <c r="AQ53" s="1451"/>
      <c r="AS53" s="566"/>
      <c r="AT53" s="566" t="str">
        <f>IF(V53="","",V53)</f>
        <v/>
      </c>
      <c r="AU53" s="566"/>
      <c r="AV53" s="566"/>
      <c r="AW53" s="577">
        <v>0</v>
      </c>
    </row>
    <row customHeight="1" ht="22.049999999999997">
      <c r="A54" s="1333" t="s">
        <v>185</v>
      </c>
      <c r="B54" s="1333" t="s">
        <v>186</v>
      </c>
      <c r="C54" s="1333" t="s">
        <v>187</v>
      </c>
      <c r="D54" s="1333" t="s">
        <v>188</v>
      </c>
      <c r="E54" s="2356"/>
      <c r="F54" s="2356"/>
      <c r="G54" s="2356"/>
      <c r="H54" s="2377"/>
      <c r="I54" s="2167"/>
      <c r="J54" s="2193" t="str">
        <f>I53&amp;".1"</f>
        <v>....1.1</v>
      </c>
      <c r="K54" s="1333"/>
      <c r="L54" s="1333"/>
      <c r="M54" s="1376" t="s">
        <v>415</v>
      </c>
      <c r="Q54" s="2323"/>
      <c r="R54" s="2323">
        <v>1</v>
      </c>
      <c r="S54" s="584"/>
      <c r="T54" s="423"/>
      <c r="U54" s="1402" t="str">
        <f>$J54</f>
        <v>....1.1</v>
      </c>
      <c r="V54" s="352" t="s">
        <v>416</v>
      </c>
      <c r="W54" s="366"/>
      <c r="X54" s="2311"/>
      <c r="Y54" s="2312"/>
      <c r="Z54" s="2312"/>
      <c r="AA54" s="2312"/>
      <c r="AB54" s="2312"/>
      <c r="AC54" s="2301"/>
      <c r="AD54" s="2301"/>
      <c r="AE54" s="2301"/>
      <c r="AF54" s="2374"/>
      <c r="AG54" s="2311"/>
      <c r="AH54" s="2312"/>
      <c r="AI54" s="2312"/>
      <c r="AJ54" s="2312"/>
      <c r="AK54" s="2312"/>
      <c r="AL54" s="2312"/>
      <c r="AM54" s="2312"/>
      <c r="AN54" s="2312"/>
      <c r="AO54" s="2312"/>
      <c r="AP54" s="2313"/>
      <c r="AQ54" s="1324" t="s">
        <v>417</v>
      </c>
      <c r="AS54" s="566"/>
      <c r="AT54" s="566" t="str">
        <f>IF(V54="","",V54)</f>
        <v>Группа потребителей</v>
      </c>
      <c r="AU54" s="566"/>
      <c r="AV54" s="566"/>
      <c r="AW54" s="1221">
        <v>21</v>
      </c>
    </row>
    <row customHeight="1" ht="22.049999999999997">
      <c r="A55" s="1333" t="s">
        <v>185</v>
      </c>
      <c r="B55" s="1333" t="s">
        <v>186</v>
      </c>
      <c r="C55" s="1333" t="s">
        <v>187</v>
      </c>
      <c r="D55" s="1333" t="s">
        <v>188</v>
      </c>
      <c r="E55" s="2356"/>
      <c r="F55" s="2356"/>
      <c r="G55" s="2356"/>
      <c r="H55" s="2377"/>
      <c r="I55" s="2167"/>
      <c r="J55" s="2167"/>
      <c r="K55" s="2193" t="str">
        <f>J54&amp;".1"</f>
        <v>....1.1.1</v>
      </c>
      <c r="L55" s="205"/>
      <c r="M55" s="1376" t="s">
        <v>418</v>
      </c>
      <c r="Q55" s="2323"/>
      <c r="R55" s="2323"/>
      <c r="S55" s="584">
        <v>1</v>
      </c>
      <c r="T55" s="423"/>
      <c r="U55" s="1402" t="str">
        <f>$K55</f>
        <v>....1.1.1</v>
      </c>
      <c r="V55" s="1413"/>
      <c r="W55" s="366"/>
      <c r="X55" s="817"/>
      <c r="Y55" s="817"/>
      <c r="Z55" s="817"/>
      <c r="AA55" s="817"/>
      <c r="AB55" s="1471"/>
      <c r="AC55" s="2331"/>
      <c r="AD55" s="2173" t="s">
        <v>71</v>
      </c>
      <c r="AE55" s="2331"/>
      <c r="AF55" s="2173" t="s">
        <v>71</v>
      </c>
      <c r="AG55" s="1473"/>
      <c r="AH55" s="817"/>
      <c r="AI55" s="817"/>
      <c r="AJ55" s="817"/>
      <c r="AK55" s="1323"/>
      <c r="AL55" s="2331"/>
      <c r="AM55" s="2173" t="s">
        <v>71</v>
      </c>
      <c r="AN55" s="2331"/>
      <c r="AO55" s="2173" t="s">
        <v>71</v>
      </c>
      <c r="AP55" s="1414"/>
      <c r="AQ55" s="1373" t="s">
        <v>461</v>
      </c>
      <c r="AR55" s="577">
        <f>STRCHECKDATE(X57:AP57)</f>
      </c>
      <c r="AS55" s="566"/>
      <c r="AT55" s="566" t="str">
        <f>IF(V55="","",V55)</f>
        <v/>
      </c>
      <c r="AU55" s="566"/>
      <c r="AV55" s="566"/>
      <c r="AW55" s="1221">
        <v>21</v>
      </c>
    </row>
    <row customHeight="1" ht="11.549999999999999">
      <c r="A56" s="1333" t="s">
        <v>185</v>
      </c>
      <c r="B56" s="1333" t="s">
        <v>186</v>
      </c>
      <c r="C56" s="1333" t="s">
        <v>187</v>
      </c>
      <c r="D56" s="1333" t="s">
        <v>188</v>
      </c>
      <c r="E56" s="2356"/>
      <c r="F56" s="2356"/>
      <c r="G56" s="2356"/>
      <c r="H56" s="2377"/>
      <c r="I56" s="2167"/>
      <c r="J56" s="2167"/>
      <c r="K56" s="2167"/>
      <c r="L56" s="2193" t="str">
        <f>K55&amp;".1"</f>
        <v>....1.1.1.1</v>
      </c>
      <c r="M56" s="1376"/>
      <c r="Q56" s="2323"/>
      <c r="R56" s="2323"/>
      <c r="S56" s="584">
        <v>1</v>
      </c>
      <c r="T56" s="423"/>
      <c r="U56" s="1402" t="str">
        <f>$L56</f>
        <v>....1.1.1.1</v>
      </c>
      <c r="V56" s="1457"/>
      <c r="W56" s="366"/>
      <c r="X56" s="391"/>
      <c r="Y56" s="817"/>
      <c r="Z56" s="817"/>
      <c r="AA56" s="817"/>
      <c r="AB56" s="1471"/>
      <c r="AC56" s="2375"/>
      <c r="AD56" s="2173"/>
      <c r="AE56" s="2375"/>
      <c r="AF56" s="2173"/>
      <c r="AG56" s="1473"/>
      <c r="AH56" s="817"/>
      <c r="AI56" s="817"/>
      <c r="AJ56" s="817"/>
      <c r="AK56" s="1323"/>
      <c r="AL56" s="2375"/>
      <c r="AM56" s="2173"/>
      <c r="AN56" s="2375"/>
      <c r="AO56" s="2173"/>
      <c r="AP56" s="1414"/>
      <c r="AQ56" s="2319" t="s">
        <v>462</v>
      </c>
      <c r="AR56" s="577">
        <f>STRCHECKDATE(X58:AP58)</f>
      </c>
      <c r="AS56" s="566"/>
      <c r="AT56" s="566" t="str">
        <f>IF(V56="","",V56)</f>
        <v/>
      </c>
      <c r="AU56" s="566"/>
      <c r="AV56" s="566"/>
      <c r="AW56" s="1221">
        <v>11</v>
      </c>
    </row>
    <row customHeight="1" ht="0">
      <c r="A57" s="1333" t="s">
        <v>185</v>
      </c>
      <c r="B57" s="1333" t="s">
        <v>186</v>
      </c>
      <c r="C57" s="1333" t="s">
        <v>187</v>
      </c>
      <c r="D57" s="1333" t="s">
        <v>188</v>
      </c>
      <c r="E57" s="2356"/>
      <c r="F57" s="2356"/>
      <c r="G57" s="2356"/>
      <c r="H57" s="2377"/>
      <c r="I57" s="2167"/>
      <c r="J57" s="2167"/>
      <c r="K57" s="2167"/>
      <c r="L57" s="2193"/>
      <c r="M57" s="1376"/>
      <c r="Q57" s="2323"/>
      <c r="R57" s="2323"/>
      <c r="S57" s="584"/>
      <c r="T57" s="423"/>
      <c r="U57" s="1408"/>
      <c r="V57" s="366"/>
      <c r="W57" s="366"/>
      <c r="X57" s="391"/>
      <c r="Y57" s="391"/>
      <c r="Z57" s="391"/>
      <c r="AA57" s="391"/>
      <c r="AB57" s="1472" t="str">
        <f>AC55&amp;"-"&amp;AE55</f>
        <v>-</v>
      </c>
      <c r="AC57" s="2375"/>
      <c r="AD57" s="2173"/>
      <c r="AE57" s="2375"/>
      <c r="AF57" s="2173"/>
      <c r="AG57" s="1448"/>
      <c r="AH57" s="391"/>
      <c r="AI57" s="391"/>
      <c r="AJ57" s="391"/>
      <c r="AK57" s="394" t="str">
        <f>AL55&amp;"-"&amp;AN55</f>
        <v>-</v>
      </c>
      <c r="AL57" s="2375"/>
      <c r="AM57" s="2173"/>
      <c r="AN57" s="2375"/>
      <c r="AO57" s="2173"/>
      <c r="AP57" s="1415"/>
      <c r="AQ57" s="2320"/>
      <c r="AS57" s="566"/>
      <c r="AT57" s="566" t="str">
        <f>IF(V57="","",V57)</f>
        <v/>
      </c>
      <c r="AU57" s="566"/>
      <c r="AV57" s="566"/>
      <c r="AW57" s="1221">
        <v>0</v>
      </c>
    </row>
    <row customHeight="1" ht="11.549999999999999">
      <c r="A58" s="1333" t="s">
        <v>185</v>
      </c>
      <c r="B58" s="1333" t="s">
        <v>186</v>
      </c>
      <c r="C58" s="1333" t="s">
        <v>187</v>
      </c>
      <c r="D58" s="1333" t="s">
        <v>188</v>
      </c>
      <c r="E58" s="2356"/>
      <c r="F58" s="2356"/>
      <c r="G58" s="2356"/>
      <c r="H58" s="2377"/>
      <c r="I58" s="2167"/>
      <c r="J58" s="2167"/>
      <c r="K58" s="2193"/>
      <c r="L58" s="1333"/>
      <c r="M58" s="1376"/>
      <c r="Q58" s="2323"/>
      <c r="R58" s="2323"/>
      <c r="S58" s="1397"/>
      <c r="T58" s="422"/>
      <c r="U58" s="1344"/>
      <c r="V58" s="354" t="s">
        <v>463</v>
      </c>
      <c r="W58" s="433"/>
      <c r="X58" s="433"/>
      <c r="Y58" s="433"/>
      <c r="Z58" s="433"/>
      <c r="AA58" s="433"/>
      <c r="AB58" s="433"/>
      <c r="AC58" s="2375"/>
      <c r="AD58" s="2173"/>
      <c r="AE58" s="2375"/>
      <c r="AF58" s="2173"/>
      <c r="AG58" s="433"/>
      <c r="AH58" s="433"/>
      <c r="AI58" s="433"/>
      <c r="AJ58" s="433"/>
      <c r="AK58" s="433"/>
      <c r="AL58" s="2375"/>
      <c r="AM58" s="2173"/>
      <c r="AN58" s="2375"/>
      <c r="AO58" s="2173"/>
      <c r="AP58" s="390"/>
      <c r="AQ58" s="2320"/>
      <c r="AS58" s="566"/>
      <c r="AT58" s="566" t="str">
        <f>IF(V58="","",V58)</f>
        <v>Добавить наименование поставщика</v>
      </c>
      <c r="AU58" s="566"/>
      <c r="AV58" s="566"/>
      <c r="AW58" s="1221">
        <v>11</v>
      </c>
    </row>
    <row customHeight="1" ht="11.549999999999999">
      <c r="A59" s="1333" t="s">
        <v>185</v>
      </c>
      <c r="B59" s="1333" t="s">
        <v>186</v>
      </c>
      <c r="C59" s="1333" t="s">
        <v>187</v>
      </c>
      <c r="D59" s="1333" t="s">
        <v>188</v>
      </c>
      <c r="E59" s="2356"/>
      <c r="F59" s="2356"/>
      <c r="G59" s="2356"/>
      <c r="H59" s="2377"/>
      <c r="I59" s="2167"/>
      <c r="J59" s="2193"/>
      <c r="K59" s="1333"/>
      <c r="L59" s="1333"/>
      <c r="M59" s="1376"/>
      <c r="Q59" s="2323"/>
      <c r="R59" s="2323"/>
      <c r="S59" s="1397"/>
      <c r="T59" s="422"/>
      <c r="U59" s="1344"/>
      <c r="V59" s="353" t="s">
        <v>420</v>
      </c>
      <c r="W59" s="433"/>
      <c r="X59" s="433"/>
      <c r="Y59" s="433"/>
      <c r="Z59" s="433"/>
      <c r="AA59" s="433"/>
      <c r="AB59" s="433"/>
      <c r="AC59" s="1474"/>
      <c r="AD59" s="1474"/>
      <c r="AE59" s="1474"/>
      <c r="AF59" s="1474"/>
      <c r="AG59" s="433"/>
      <c r="AH59" s="433"/>
      <c r="AI59" s="433"/>
      <c r="AJ59" s="433"/>
      <c r="AK59" s="433"/>
      <c r="AL59" s="433"/>
      <c r="AM59" s="433"/>
      <c r="AN59" s="433"/>
      <c r="AO59" s="433"/>
      <c r="AP59" s="390"/>
      <c r="AQ59" s="2321"/>
      <c r="AS59" s="566"/>
      <c r="AT59" s="566" t="str">
        <f>IF(V59="","",V59)</f>
        <v>Добавить вид теплоносителя (параметры теплоносителя)</v>
      </c>
      <c r="AU59" s="566"/>
      <c r="AV59" s="566"/>
      <c r="AW59" s="1221">
        <v>11</v>
      </c>
    </row>
    <row customHeight="1" ht="11.549999999999999">
      <c r="A60" s="1333" t="s">
        <v>185</v>
      </c>
      <c r="B60" s="1333" t="s">
        <v>186</v>
      </c>
      <c r="C60" s="1333" t="s">
        <v>187</v>
      </c>
      <c r="D60" s="1333" t="s">
        <v>188</v>
      </c>
      <c r="E60" s="2356"/>
      <c r="F60" s="2356"/>
      <c r="G60" s="2356"/>
      <c r="H60" s="2377"/>
      <c r="I60" s="2193"/>
      <c r="J60" s="1333"/>
      <c r="K60" s="1333"/>
      <c r="L60" s="1333"/>
      <c r="M60" s="1376"/>
      <c r="Q60" s="2323"/>
      <c r="R60" s="1397"/>
      <c r="S60" s="1397"/>
      <c r="T60" s="422"/>
      <c r="U60" s="1344"/>
      <c r="V60" s="431" t="s">
        <v>421</v>
      </c>
      <c r="W60" s="433"/>
      <c r="X60" s="433"/>
      <c r="Y60" s="433"/>
      <c r="Z60" s="433"/>
      <c r="AA60" s="433"/>
      <c r="AB60" s="433"/>
      <c r="AC60" s="433"/>
      <c r="AD60" s="433"/>
      <c r="AE60" s="433"/>
      <c r="AF60" s="432"/>
      <c r="AG60" s="433"/>
      <c r="AH60" s="433"/>
      <c r="AI60" s="433"/>
      <c r="AJ60" s="433"/>
      <c r="AK60" s="433"/>
      <c r="AL60" s="433"/>
      <c r="AM60" s="433"/>
      <c r="AN60" s="433"/>
      <c r="AO60" s="432"/>
      <c r="AP60" s="433"/>
      <c r="AQ60" s="369"/>
      <c r="AS60" s="566"/>
      <c r="AT60" s="566" t="str">
        <f>IF(V60="","",V60)</f>
        <v>Добавить группу потребителей</v>
      </c>
      <c r="AU60" s="566"/>
      <c r="AV60" s="566"/>
      <c r="AW60" s="1221">
        <v>11</v>
      </c>
    </row>
    <row customHeight="1" ht="0">
      <c r="A61" s="1333" t="s">
        <v>185</v>
      </c>
      <c r="B61" s="1333" t="s">
        <v>186</v>
      </c>
      <c r="C61" s="1333" t="s">
        <v>187</v>
      </c>
      <c r="D61" s="1333" t="s">
        <v>188</v>
      </c>
      <c r="E61" s="2356"/>
      <c r="F61" s="2356"/>
      <c r="G61" s="2356"/>
      <c r="H61" s="2376"/>
      <c r="I61" s="1333"/>
      <c r="J61" s="1333"/>
      <c r="K61" s="1333"/>
      <c r="L61" s="1333"/>
      <c r="M61" s="1376"/>
      <c r="N61" s="754"/>
      <c r="O61" s="754"/>
      <c r="P61" s="575"/>
      <c r="Q61" s="426"/>
      <c r="R61" s="441"/>
      <c r="S61" s="421"/>
      <c r="T61" s="426"/>
      <c r="U61" s="1452"/>
      <c r="V61" s="1453"/>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5"/>
      <c r="AS61" s="566"/>
      <c r="AT61" s="566" t="str">
        <f>IF(V61="","",V61)</f>
        <v/>
      </c>
      <c r="AU61" s="566"/>
      <c r="AV61" s="566"/>
      <c r="AW61" s="1221">
        <v>0</v>
      </c>
    </row>
    <row s="4562" customFormat="1" customHeight="1" ht="0">
      <c r="A62" s="1441" t="s">
        <v>185</v>
      </c>
      <c r="B62" s="1441" t="s">
        <v>186</v>
      </c>
      <c r="C62" s="1441" t="s">
        <v>187</v>
      </c>
      <c r="D62" s="1440"/>
      <c r="E62" s="2356"/>
      <c r="F62" s="2356"/>
      <c r="G62" s="2355"/>
      <c r="H62" s="1440"/>
      <c r="I62" s="1440"/>
      <c r="J62" s="1440"/>
      <c r="K62" s="1440"/>
      <c r="L62" s="1440"/>
      <c r="M62" s="1443"/>
      <c r="N62" s="1444"/>
      <c r="O62" s="1444"/>
      <c r="P62" s="417"/>
      <c r="Q62" s="1382"/>
      <c r="R62" s="1383"/>
      <c r="S62" s="1382"/>
      <c r="T62" s="1382"/>
      <c r="U62" s="1388"/>
      <c r="V62" s="1391" t="s">
        <v>173</v>
      </c>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S62" s="855"/>
      <c r="AT62" s="855" t="str">
        <f>IF(V62="","",V62)</f>
        <v>Добавить источник для дифференциации</v>
      </c>
      <c r="AU62" s="855"/>
      <c r="AV62" s="855"/>
      <c r="AW62" s="584">
        <v>0</v>
      </c>
    </row>
    <row s="4562" customFormat="1" customHeight="1" ht="0">
      <c r="A63" s="1441" t="s">
        <v>185</v>
      </c>
      <c r="B63" s="1441" t="s">
        <v>186</v>
      </c>
      <c r="C63" s="1440"/>
      <c r="D63" s="1440"/>
      <c r="E63" s="2356"/>
      <c r="F63" s="2355"/>
      <c r="G63" s="1440"/>
      <c r="H63" s="1440"/>
      <c r="I63" s="1440"/>
      <c r="J63" s="1440"/>
      <c r="K63" s="1440"/>
      <c r="L63" s="1440"/>
      <c r="M63" s="1443"/>
      <c r="N63" s="1445"/>
      <c r="O63" s="1445"/>
      <c r="P63" s="417"/>
      <c r="Q63" s="1382"/>
      <c r="R63" s="1383"/>
      <c r="S63" s="1382"/>
      <c r="T63" s="1382"/>
      <c r="U63" s="1388"/>
      <c r="V63" s="1391" t="s">
        <v>174</v>
      </c>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S63" s="855"/>
      <c r="AT63" s="855" t="str">
        <f>IF(V63="","",V63)</f>
        <v>Добавить централизованную систему для дифференциации</v>
      </c>
      <c r="AU63" s="855"/>
      <c r="AV63" s="855"/>
      <c r="AW63" s="584">
        <v>0</v>
      </c>
    </row>
    <row s="4562" customFormat="1" customHeight="1" ht="0">
      <c r="A64" s="1441" t="s">
        <v>185</v>
      </c>
      <c r="B64" s="1441"/>
      <c r="C64" s="1441"/>
      <c r="D64" s="1441"/>
      <c r="E64" s="2355"/>
      <c r="F64" s="1441"/>
      <c r="G64" s="1441"/>
      <c r="H64" s="1441"/>
      <c r="I64" s="1441"/>
      <c r="J64" s="1441"/>
      <c r="K64" s="1441"/>
      <c r="L64" s="1441"/>
      <c r="M64" s="1447"/>
      <c r="N64" s="1445"/>
      <c r="O64" s="1445"/>
      <c r="P64" s="417"/>
      <c r="Q64" s="446"/>
      <c r="R64" s="1410"/>
      <c r="S64" s="446"/>
      <c r="T64" s="446"/>
      <c r="U64" s="1388"/>
      <c r="V64" s="1391" t="s">
        <v>175</v>
      </c>
      <c r="W64" s="1390"/>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S64" s="566"/>
      <c r="AT64" s="566" t="str">
        <f>IF(V64="","",V64)</f>
        <v>Добавить территорию для дифференциации</v>
      </c>
      <c r="AU64" s="566"/>
      <c r="AV64" s="566"/>
      <c r="AW64" s="577">
        <v>0</v>
      </c>
    </row>
    <row s="4562" customFormat="1" customHeight="1" ht="4.2">
      <c r="A65" s="1440"/>
      <c r="B65" s="1440"/>
      <c r="C65" s="1440"/>
      <c r="D65" s="1440"/>
      <c r="E65" s="1441"/>
      <c r="F65" s="1440"/>
      <c r="G65" s="1440"/>
      <c r="H65" s="1440"/>
      <c r="I65" s="1440"/>
      <c r="J65" s="1440"/>
      <c r="K65" s="1440"/>
      <c r="L65" s="1440"/>
      <c r="M65" s="1443"/>
      <c r="N65" s="1445"/>
      <c r="O65" s="1445"/>
      <c r="P65" s="417"/>
      <c r="Q65" s="1382"/>
      <c r="R65" s="1383"/>
      <c r="S65" s="1382"/>
      <c r="T65" s="1382"/>
      <c r="U65" s="1388"/>
      <c r="V65" s="1391" t="s">
        <v>176</v>
      </c>
      <c r="W65" s="1390"/>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S65" s="855"/>
      <c r="AT65" s="855" t="str">
        <f>IF(V65="","",V65)</f>
        <v>Добавить наименование тарифа</v>
      </c>
      <c r="AU65" s="855"/>
      <c r="AV65" s="855"/>
      <c r="AW65" s="584">
        <v>4</v>
      </c>
    </row>
    <row customHeight="1" ht="11.549999999999999">
      <c r="N66" s="1221"/>
      <c r="O66" s="1221"/>
      <c r="P66" s="575"/>
      <c r="Q66" s="1221"/>
      <c r="R66" s="1221"/>
      <c r="S66" s="1221"/>
      <c r="T66" s="1221"/>
      <c r="U66" s="1221"/>
      <c r="AR66" s="1221"/>
      <c r="AS66" s="1221"/>
      <c r="AT66" s="1221"/>
      <c r="AU66" s="1221"/>
      <c r="AV66" s="1221"/>
      <c r="AW66" s="1221">
        <v>11</v>
      </c>
    </row>
    <row customHeight="1" ht="35.699999999999996">
      <c r="P67" s="575"/>
      <c r="U67" s="1319"/>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W67" s="1221">
        <v>34</v>
      </c>
    </row>
    <row customHeight="1" ht="21">
      <c r="P68" s="575"/>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W68" s="1221">
        <v>20</v>
      </c>
    </row>
    <row customHeight="1" ht="14.699999999999998">
      <c r="P69" s="575"/>
      <c r="AW69" s="1221">
        <v>14</v>
      </c>
    </row>
    <row customHeight="1" ht="28.5">
      <c r="P70" s="575"/>
      <c r="V70" s="2351"/>
      <c r="W70" s="2351"/>
      <c r="X70" s="2351"/>
      <c r="Y70" s="2351"/>
      <c r="Z70" s="2351"/>
      <c r="AA70" s="2351"/>
      <c r="AB70" s="2351"/>
      <c r="AC70" s="2351"/>
      <c r="AD70" s="2351"/>
      <c r="AE70" s="2351"/>
      <c r="AF70" s="2351"/>
      <c r="AG70" s="2351"/>
      <c r="AH70" s="2351"/>
      <c r="AI70" s="2351"/>
      <c r="AJ70" s="2351"/>
      <c r="AK70" s="2351"/>
      <c r="AL70" s="2351"/>
      <c r="AM70" s="2351"/>
      <c r="AN70" s="2351"/>
      <c r="AO70" s="2351"/>
      <c r="AP70" s="2351"/>
      <c r="AQ70" s="2351"/>
      <c r="AW70" s="1221">
        <v>27</v>
      </c>
    </row>
    <row customHeight="1" ht="18.75">
      <c r="P71" s="575"/>
      <c r="V71" s="2351"/>
      <c r="W71" s="2351"/>
      <c r="X71" s="2351"/>
      <c r="Y71" s="2351"/>
      <c r="Z71" s="2351"/>
      <c r="AA71" s="2351"/>
      <c r="AB71" s="2351"/>
      <c r="AC71" s="2351"/>
      <c r="AD71" s="2351"/>
      <c r="AE71" s="2351"/>
      <c r="AF71" s="2351"/>
      <c r="AG71" s="2351"/>
      <c r="AH71" s="2351"/>
      <c r="AI71" s="2351"/>
      <c r="AJ71" s="2351"/>
      <c r="AK71" s="2351"/>
      <c r="AL71" s="2351"/>
      <c r="AM71" s="2351"/>
      <c r="AN71" s="2351"/>
      <c r="AO71" s="2351"/>
      <c r="AP71" s="2351"/>
      <c r="AQ71" s="2351"/>
      <c r="AW71" s="1221">
        <v>18</v>
      </c>
    </row>
    <row customHeight="1" ht="22.5" hidden="1">
      <c r="A72" s="1221" t="s">
        <v>87</v>
      </c>
      <c r="B72" s="1221">
        <v>0</v>
      </c>
      <c r="C72" s="1221">
        <v>0</v>
      </c>
      <c r="D72" s="1221">
        <v>0</v>
      </c>
      <c r="E72" s="1221">
        <v>0</v>
      </c>
      <c r="F72" s="1221">
        <v>0</v>
      </c>
      <c r="G72" s="1221">
        <v>0</v>
      </c>
      <c r="H72" s="1221">
        <v>0</v>
      </c>
      <c r="I72" s="1221">
        <v>0</v>
      </c>
      <c r="J72" s="1221">
        <v>0</v>
      </c>
      <c r="K72" s="1221">
        <v>0</v>
      </c>
      <c r="L72" s="1221">
        <v>0</v>
      </c>
      <c r="M72" s="1393">
        <v>0</v>
      </c>
      <c r="N72" s="1394">
        <v>0</v>
      </c>
      <c r="O72" s="1394">
        <v>0</v>
      </c>
      <c r="P72" s="1394">
        <v>0</v>
      </c>
      <c r="Q72" s="1394">
        <v>0</v>
      </c>
      <c r="R72" s="410">
        <v>3</v>
      </c>
      <c r="S72" s="410">
        <v>3</v>
      </c>
      <c r="T72" s="410">
        <v>3</v>
      </c>
      <c r="U72" s="647">
        <v>12</v>
      </c>
      <c r="V72" s="1221">
        <v>31</v>
      </c>
      <c r="W72" s="1221">
        <v>0</v>
      </c>
      <c r="X72" s="1221">
        <v>0</v>
      </c>
      <c r="Y72" s="1221">
        <v>0</v>
      </c>
      <c r="Z72" s="1221">
        <v>0</v>
      </c>
      <c r="AA72" s="1221">
        <v>0</v>
      </c>
      <c r="AB72" s="1221">
        <v>0</v>
      </c>
      <c r="AC72" s="1221">
        <v>0</v>
      </c>
      <c r="AD72" s="1221">
        <v>0</v>
      </c>
      <c r="AE72" s="1221">
        <v>0</v>
      </c>
      <c r="AF72" s="1221">
        <v>0</v>
      </c>
      <c r="AG72" s="1221">
        <v>21</v>
      </c>
      <c r="AH72" s="1221">
        <v>21</v>
      </c>
      <c r="AI72" s="1221">
        <v>21</v>
      </c>
      <c r="AJ72" s="1221">
        <v>21</v>
      </c>
      <c r="AK72" s="1221">
        <v>21</v>
      </c>
      <c r="AL72" s="1221">
        <v>11</v>
      </c>
      <c r="AM72" s="1221">
        <v>3</v>
      </c>
      <c r="AN72" s="1221">
        <v>11</v>
      </c>
      <c r="AO72" s="1221">
        <v>8</v>
      </c>
      <c r="AP72" s="1221">
        <v>4</v>
      </c>
      <c r="AQ72" s="1221">
        <v>115</v>
      </c>
      <c r="AR72" s="577">
        <v>10</v>
      </c>
      <c r="AS72" s="577">
        <v>10</v>
      </c>
      <c r="AT72" s="577">
        <v>10</v>
      </c>
      <c r="AU72" s="577">
        <v>10</v>
      </c>
      <c r="AV72" s="577">
        <v>10</v>
      </c>
      <c r="AW72" s="122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C9D0E4C-60BB-CE44-C596-C7151918BE66}" mc:Ignorable="x14ac xr xr2 xr3">
  <sheetPr>
    <tabColor rgb="FFCCCCFF"/>
  </sheetPr>
  <dimension ref="A1:Q79"/>
  <sheetViews>
    <sheetView topLeftCell="C1" showGridLines="0" zoomScale="90" workbookViewId="0" tabSelected="1">
      <selection activeCell="F18" sqref="F18"/>
    </sheetView>
  </sheetViews>
  <sheetFormatPr defaultColWidth="9.140625" customHeight="1" defaultRowHeight="11.25"/>
  <cols>
    <col min="1" max="1" style="2842" width="10.7109375" hidden="1" customWidth="1"/>
    <col min="2" max="2" style="2855" width="10.7109375" hidden="1" customWidth="1"/>
    <col min="3" max="3" style="2854" width="3.00390625" customWidth="1"/>
    <col min="4" max="4" style="5053" width="1.00390625" customWidth="1"/>
    <col min="5" max="6" style="5053" width="55.00390625" customWidth="1"/>
    <col min="7" max="7" style="5718" width="1.00390625" customWidth="1"/>
    <col min="8" max="8" style="5053" width="18.00390625" hidden="1" customWidth="1"/>
    <col min="9" max="9" style="2831" width="59.00390625" customWidth="1"/>
    <col min="10" max="10" style="5002" width="52.140625" hidden="1" customWidth="1"/>
    <col min="11" max="11" style="5053" width="8.00390625" customWidth="1"/>
    <col min="12" max="12" style="5053" width="77.00390625" customWidth="1"/>
    <col min="13" max="16" style="5053" width="8.00390625" customWidth="1"/>
    <col min="17" max="17" style="5053" width="12.00390625" hidden="1" customWidth="1"/>
  </cols>
  <sheetData>
    <row s="4470" customFormat="1" customHeight="1" ht="3">
      <c r="A1" s="849"/>
      <c r="B1" s="307"/>
      <c r="F1" s="308" t="s">
        <v>13</v>
      </c>
      <c r="G1" s="477"/>
      <c r="H1" s="137"/>
      <c r="I1" s="477"/>
      <c r="J1" s="937"/>
      <c r="Q1" s="308" t="s">
        <v>14</v>
      </c>
    </row>
    <row s="5297" customFormat="1" customHeight="1" ht="14.25">
      <c r="A2" s="849"/>
      <c r="B2" s="164"/>
      <c r="E2" s="1806" t="str">
        <f>code</f>
        <v>Код отчёта: PP110.OPEN.INFO.PRICE.HEAT.EIAS</v>
      </c>
      <c r="F2" s="335"/>
      <c r="G2" s="311"/>
      <c r="H2" s="311"/>
      <c r="I2" s="311"/>
      <c r="J2" s="938"/>
      <c r="K2" s="311"/>
      <c r="Q2" s="137">
        <v>14</v>
      </c>
    </row>
    <row customHeight="1" ht="14.699999999999998">
      <c r="E3" s="312" t="str">
        <f>version</f>
        <v>Версия отчёта: 1.1.1</v>
      </c>
      <c r="F3" s="335"/>
      <c r="G3" s="836"/>
      <c r="H3" s="836"/>
      <c r="I3" s="836"/>
      <c r="J3" s="939"/>
      <c r="K3" s="154"/>
      <c r="Q3" s="140">
        <v>14</v>
      </c>
    </row>
    <row s="3392" customFormat="1" customHeight="1" ht="6.3">
      <c r="A4" s="850"/>
      <c r="B4" s="298"/>
      <c r="C4" s="299"/>
      <c r="D4" s="300"/>
      <c r="E4" s="309"/>
      <c r="F4" s="310"/>
      <c r="G4" s="837"/>
      <c r="H4" s="475"/>
      <c r="I4" s="477"/>
      <c r="J4" s="940"/>
      <c r="Q4" s="302">
        <v>6</v>
      </c>
    </row>
    <row customHeight="1" ht="39.75">
      <c r="D5" s="141"/>
      <c r="E5" s="2161" t="str">
        <f>NameTemplatesInTitle</f>
        <v>Показатели, подлежащие раскрытию в сфере теплоснабжения (цены и тарифы)</v>
      </c>
      <c r="F5" s="2162"/>
      <c r="G5" s="838"/>
      <c r="J5" s="941"/>
      <c r="Q5" s="140">
        <v>38</v>
      </c>
    </row>
    <row s="3392" customFormat="1" customHeight="1" ht="6.3">
      <c r="A6" s="850"/>
      <c r="B6" s="298"/>
      <c r="C6" s="299"/>
      <c r="D6" s="300"/>
      <c r="E6" s="303"/>
      <c r="F6" s="304"/>
      <c r="G6" s="838"/>
      <c r="H6" s="475"/>
      <c r="I6" s="477"/>
      <c r="J6" s="940"/>
      <c r="Q6" s="302">
        <v>6</v>
      </c>
    </row>
    <row customHeight="1" ht="21">
      <c r="D7" s="141"/>
      <c r="E7" s="457" t="s">
        <v>15</v>
      </c>
      <c r="F7" s="281" t="s">
        <v>16</v>
      </c>
      <c r="G7" s="838"/>
      <c r="Q7" s="140">
        <v>20</v>
      </c>
    </row>
    <row s="3392" customFormat="1" customHeight="1" ht="6.3">
      <c r="A8" s="851"/>
      <c r="B8" s="298"/>
      <c r="C8" s="299"/>
      <c r="D8" s="305"/>
      <c r="E8" s="303"/>
      <c r="F8" s="306"/>
      <c r="G8" s="143"/>
      <c r="H8" s="475"/>
      <c r="I8" s="477"/>
      <c r="J8" s="943"/>
      <c r="Q8" s="302">
        <v>6</v>
      </c>
    </row>
    <row s="5053" customFormat="1" customHeight="1" ht="19.5" hidden="1">
      <c r="A9" s="850"/>
      <c r="B9" s="164"/>
      <c r="C9" s="474"/>
      <c r="D9" s="476"/>
      <c r="E9" s="1231" t="s">
        <v>17</v>
      </c>
      <c r="F9" s="1987"/>
      <c r="G9" s="838"/>
      <c r="I9" s="1966" t="str">
        <f>IF(TITLE_STRUCTURE_INFO_ROIV="","","раскрывается "&amp;INDEX(ROIV_INFO_COMMENT,MATCH(TITLE_STRUCTURE_INFO_ROIV,ROIV_INFO_LIST,0)))</f>
        <v/>
      </c>
      <c r="J9" s="942"/>
      <c r="Q9" s="475">
        <v>0</v>
      </c>
    </row>
    <row s="3392" customFormat="1" customHeight="1" ht="24" hidden="1">
      <c r="A10" s="851"/>
      <c r="B10" s="492"/>
      <c r="C10" s="493"/>
      <c r="D10" s="305"/>
      <c r="E10" s="1231" t="s">
        <v>18</v>
      </c>
      <c r="F10" s="2132" t="s">
        <v>19</v>
      </c>
      <c r="G10" s="143"/>
      <c r="H10" s="475"/>
      <c r="I10" s="477"/>
      <c r="J10" s="943"/>
      <c r="Q10" s="496">
        <v>24</v>
      </c>
    </row>
    <row customHeight="1" ht="22.5">
      <c r="A11" s="2164" t="s">
        <v>20</v>
      </c>
      <c r="D11" s="141"/>
      <c r="E11" s="1231" t="s">
        <v>21</v>
      </c>
      <c r="F11" s="2796">
        <v>45292.5809375</v>
      </c>
      <c r="G11" s="143"/>
      <c r="H11" s="839" t="s">
        <v>22</v>
      </c>
      <c r="J11" s="942" t="s">
        <v>23</v>
      </c>
      <c r="Q11" s="140">
        <v>0</v>
      </c>
    </row>
    <row customHeight="1" ht="22.5">
      <c r="A12" s="2164"/>
      <c r="D12" s="141"/>
      <c r="E12" s="1231" t="s">
        <v>24</v>
      </c>
      <c r="F12" s="2796">
        <v>47118.581030092595</v>
      </c>
      <c r="G12" s="139"/>
      <c r="J12" s="942" t="s">
        <v>25</v>
      </c>
      <c r="Q12" s="140">
        <v>0</v>
      </c>
    </row>
    <row s="5053" customFormat="1" customHeight="1" ht="22.5" hidden="1">
      <c r="A13" s="854" t="s">
        <v>26</v>
      </c>
      <c r="B13" s="164"/>
      <c r="C13" s="474"/>
      <c r="D13" s="476"/>
      <c r="E13" s="1841" t="s">
        <v>27</v>
      </c>
      <c r="F13" s="1798" t="s">
        <v>28</v>
      </c>
      <c r="G13" s="143"/>
      <c r="H13" s="836"/>
      <c r="I13" s="477"/>
      <c r="J13" s="1842" t="s">
        <v>29</v>
      </c>
      <c r="Q13" s="475">
        <v>0</v>
      </c>
    </row>
    <row s="5053" customFormat="1" customHeight="1" ht="27" hidden="1">
      <c r="A14" s="854" t="s">
        <v>30</v>
      </c>
      <c r="B14" s="164"/>
      <c r="C14" s="474"/>
      <c r="D14" s="476"/>
      <c r="E14" s="1231" t="s">
        <v>31</v>
      </c>
      <c r="F14" s="1833"/>
      <c r="G14" s="143"/>
      <c r="H14" s="836"/>
      <c r="I14" s="477"/>
      <c r="J14" s="942" t="s">
        <v>32</v>
      </c>
      <c r="Q14" s="475">
        <v>0</v>
      </c>
    </row>
    <row s="5053" customFormat="1" customHeight="1" ht="19.5" hidden="1">
      <c r="A15" s="854" t="s">
        <v>33</v>
      </c>
      <c r="B15" s="164"/>
      <c r="C15" s="474"/>
      <c r="D15" s="476"/>
      <c r="E15" s="1231" t="s">
        <v>34</v>
      </c>
      <c r="F15" s="1833"/>
      <c r="G15" s="143"/>
      <c r="H15" s="836"/>
      <c r="I15" s="477"/>
      <c r="J15" s="942" t="s">
        <v>35</v>
      </c>
      <c r="Q15" s="475">
        <v>0</v>
      </c>
    </row>
    <row s="3392" customFormat="1" customHeight="1" ht="6.3">
      <c r="A16" s="851"/>
      <c r="B16" s="298"/>
      <c r="C16" s="299"/>
      <c r="D16" s="305"/>
      <c r="E16" s="303"/>
      <c r="F16" s="306"/>
      <c r="G16" s="143"/>
      <c r="H16" s="475"/>
      <c r="I16" s="477"/>
      <c r="J16" s="940"/>
      <c r="Q16" s="302">
        <v>6</v>
      </c>
    </row>
    <row customHeight="1" ht="21">
      <c r="D17" s="141"/>
      <c r="E17" s="457" t="s">
        <v>36</v>
      </c>
      <c r="F17" s="5558" t="s">
        <v>37</v>
      </c>
      <c r="G17" s="139"/>
      <c r="H17" s="839" t="s">
        <v>22</v>
      </c>
      <c r="Q17" s="140">
        <v>20</v>
      </c>
    </row>
    <row customHeight="1" ht="25.5">
      <c r="D18" s="141"/>
      <c r="E18" s="1841" t="s">
        <v>38</v>
      </c>
      <c r="F18" s="6077">
        <v>45650.415972222225</v>
      </c>
      <c r="G18" s="139"/>
      <c r="I18" s="840"/>
      <c r="J18" s="2163" t="s">
        <v>39</v>
      </c>
      <c r="Q18" s="140">
        <v>0</v>
      </c>
    </row>
    <row customHeight="1" ht="25.5">
      <c r="D19" s="141"/>
      <c r="E19" s="123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6077">
        <v>45658.41605324074</v>
      </c>
      <c r="G19" s="139"/>
      <c r="I19" s="840"/>
      <c r="J19" s="2163"/>
      <c r="Q19" s="140">
        <v>0</v>
      </c>
    </row>
    <row customHeight="1" ht="22.5">
      <c r="D20" s="141"/>
      <c r="E20" s="142"/>
      <c r="F20" s="336" t="str">
        <f>"Первичное "&amp;IF(TEMPLATE_GROUP="P","установление тарифов","предложение по тарифам")</f>
        <v>Первичное установление тарифов</v>
      </c>
      <c r="G20" s="139"/>
      <c r="I20" s="460"/>
      <c r="J20" s="941" t="s">
        <v>40</v>
      </c>
      <c r="Q20" s="140">
        <v>0</v>
      </c>
    </row>
    <row customHeight="1" ht="19.5">
      <c r="D21" s="141"/>
      <c r="E21" s="457" t="str">
        <f>"Дата "&amp;IF(TEMPLATE_GROUP="P","документа","подачи заявления")&amp;" об утверждении тарифов"</f>
        <v>Дата документа об утверждении тарифов</v>
      </c>
      <c r="F21" s="2796">
        <v>45278.5812037037</v>
      </c>
      <c r="G21" s="139"/>
      <c r="I21" s="841"/>
      <c r="Q21" s="140">
        <v>0</v>
      </c>
    </row>
    <row customHeight="1" ht="13.5">
      <c r="D22" s="141"/>
      <c r="E22" s="457" t="str">
        <f>"Номер "&amp;IF(TEMPLATE_GROUP="P","документа","подачи заявления")&amp;" об утверждении тарифов"</f>
        <v>Номер документа об утверждении тарифов</v>
      </c>
      <c r="F22" s="282" t="s">
        <v>41</v>
      </c>
      <c r="G22" s="139"/>
      <c r="I22" s="841"/>
      <c r="Q22" s="140">
        <v>0</v>
      </c>
    </row>
    <row customHeight="1" ht="24">
      <c r="D23" s="141"/>
      <c r="E23" s="457" t="s">
        <v>42</v>
      </c>
      <c r="F23" s="282" t="s">
        <v>43</v>
      </c>
      <c r="G23" s="139"/>
      <c r="Q23" s="140">
        <v>0</v>
      </c>
    </row>
    <row customHeight="1" ht="24">
      <c r="D24" s="141"/>
      <c r="E24" s="457" t="s">
        <v>44</v>
      </c>
      <c r="F24" s="282" t="s">
        <v>45</v>
      </c>
      <c r="G24" s="139"/>
      <c r="Q24" s="140">
        <v>0</v>
      </c>
    </row>
    <row customHeight="1" ht="22.5">
      <c r="D25" s="141"/>
      <c r="E25" s="142"/>
      <c r="F25" s="336" t="str">
        <f>"Изменение "&amp;IF(TEMPLATE_GROUP="P","тарифов","предложения по тарифам")</f>
        <v>Изменение тарифов</v>
      </c>
      <c r="G25" s="139"/>
      <c r="J25" s="941" t="s">
        <v>46</v>
      </c>
      <c r="Q25" s="140">
        <v>0</v>
      </c>
    </row>
    <row customHeight="1" ht="19.5">
      <c r="D26" s="141"/>
      <c r="E26" s="457" t="str">
        <f>"Дата "&amp;IF(TEMPLATE_GROUP="P","принятия решения","подачи заявления")&amp;" об изменении тарифов"</f>
        <v>Дата принятия решения об изменении тарифов</v>
      </c>
      <c r="F26" s="6077">
        <v>45631.41619212963</v>
      </c>
      <c r="G26" s="139"/>
      <c r="Q26" s="140">
        <v>0</v>
      </c>
    </row>
    <row customHeight="1" ht="13.5">
      <c r="D27" s="141"/>
      <c r="E27" s="1231" t="str">
        <f>"Номер "&amp;IF(TEMPLATE_GROUP="P","принятия решения","заявления")&amp;" об изменении тарифов"</f>
        <v>Номер принятия решения об изменении тарифов</v>
      </c>
      <c r="F27" s="6078" t="s">
        <v>47</v>
      </c>
      <c r="G27" s="139"/>
      <c r="Q27" s="140">
        <v>0</v>
      </c>
    </row>
    <row customHeight="1" ht="24">
      <c r="D28" s="141"/>
      <c r="E28" s="457" t="s">
        <v>48</v>
      </c>
      <c r="F28" s="6078" t="s">
        <v>49</v>
      </c>
      <c r="G28" s="139"/>
      <c r="Q28" s="140">
        <v>0</v>
      </c>
    </row>
    <row customHeight="1" ht="24">
      <c r="D29" s="141"/>
      <c r="E29" s="457" t="s">
        <v>44</v>
      </c>
      <c r="F29" s="6078" t="s">
        <v>50</v>
      </c>
      <c r="G29" s="139"/>
      <c r="Q29" s="140">
        <v>0</v>
      </c>
    </row>
    <row s="3392" customFormat="1" customHeight="1" ht="6.3">
      <c r="A30" s="851"/>
      <c r="B30" s="298"/>
      <c r="C30" s="299"/>
      <c r="D30" s="305"/>
      <c r="E30" s="303"/>
      <c r="F30" s="306"/>
      <c r="G30" s="143"/>
      <c r="H30" s="475"/>
      <c r="I30" s="477"/>
      <c r="J30" s="940"/>
      <c r="Q30" s="302">
        <v>6</v>
      </c>
    </row>
    <row customHeight="1" ht="21">
      <c r="C31" s="144"/>
      <c r="D31" s="145"/>
      <c r="E31" s="457" t="str">
        <f>"Наименование "&amp;IF(TEMPLATE_GROUP="ROIV","органа тарифного регулирования","ЮЛ / ИП")</f>
        <v>Наименование ЮЛ / ИП</v>
      </c>
      <c r="F31" s="283" t="s">
        <v>51</v>
      </c>
      <c r="G31" s="842"/>
      <c r="Q31" s="140">
        <v>20</v>
      </c>
    </row>
    <row customHeight="1" ht="21" hidden="1">
      <c r="C32" s="144"/>
      <c r="D32" s="145"/>
      <c r="E32" s="458" t="s">
        <v>52</v>
      </c>
      <c r="F32" s="283"/>
      <c r="G32" s="842"/>
      <c r="Q32" s="140">
        <v>20</v>
      </c>
    </row>
    <row customHeight="1" ht="21">
      <c r="C33" s="144"/>
      <c r="D33" s="145"/>
      <c r="E33" s="457" t="s">
        <v>53</v>
      </c>
      <c r="F33" s="283" t="s">
        <v>54</v>
      </c>
      <c r="G33" s="842"/>
      <c r="Q33" s="140">
        <v>20</v>
      </c>
    </row>
    <row customHeight="1" ht="21">
      <c r="C34" s="144"/>
      <c r="D34" s="145"/>
      <c r="E34" s="457" t="s">
        <v>55</v>
      </c>
      <c r="F34" s="283" t="s">
        <v>56</v>
      </c>
      <c r="G34" s="842"/>
      <c r="H34" s="146"/>
      <c r="Q34" s="140">
        <v>20</v>
      </c>
    </row>
    <row s="3392" customFormat="1" customHeight="1" ht="11.549999999999999">
      <c r="A35" s="851"/>
      <c r="B35" s="298"/>
      <c r="C35" s="299"/>
      <c r="D35" s="305"/>
      <c r="E35" s="303"/>
      <c r="F35" s="306"/>
      <c r="G35" s="143"/>
      <c r="H35" s="475"/>
      <c r="I35" s="477"/>
      <c r="J35" s="940"/>
      <c r="Q35" s="302">
        <v>11</v>
      </c>
    </row>
    <row customHeight="1" ht="19.5">
      <c r="A36" s="945"/>
      <c r="D36" s="145"/>
      <c r="E36" s="457" t="s">
        <v>57</v>
      </c>
      <c r="F36" s="2820" t="s">
        <v>58</v>
      </c>
      <c r="G36" s="143"/>
      <c r="Q36" s="140">
        <v>0</v>
      </c>
    </row>
    <row customHeight="1" ht="21">
      <c r="A37" s="945"/>
      <c r="D37" s="145"/>
      <c r="E37" s="457" t="s">
        <v>59</v>
      </c>
      <c r="F37" s="2820" t="s">
        <v>60</v>
      </c>
      <c r="G37" s="143"/>
      <c r="Q37" s="140">
        <v>20</v>
      </c>
    </row>
    <row s="3392" customFormat="1" customHeight="1" ht="6.3">
      <c r="A38" s="851"/>
      <c r="B38" s="298"/>
      <c r="C38" s="299"/>
      <c r="D38" s="300"/>
      <c r="E38" s="301"/>
      <c r="F38" s="1119"/>
      <c r="G38" s="139"/>
      <c r="H38" s="475"/>
      <c r="I38" s="477"/>
      <c r="J38" s="942"/>
      <c r="Q38" s="302">
        <v>6</v>
      </c>
    </row>
    <row customHeight="1" ht="36.75">
      <c r="A39" s="851"/>
      <c r="D39" s="141"/>
      <c r="E39" s="457" t="s">
        <v>61</v>
      </c>
      <c r="F39" s="776" t="s">
        <v>19</v>
      </c>
      <c r="G39" s="139"/>
      <c r="H39" s="839" t="s">
        <v>22</v>
      </c>
      <c r="Q39" s="140">
        <v>35</v>
      </c>
    </row>
    <row s="3392" customFormat="1" customHeight="1" ht="6" hidden="1">
      <c r="A40" s="850"/>
      <c r="B40" s="492"/>
      <c r="C40" s="493"/>
      <c r="D40" s="494"/>
      <c r="E40" s="495"/>
      <c r="F40" s="1119"/>
      <c r="G40" s="139"/>
      <c r="H40" s="475"/>
      <c r="I40" s="477"/>
      <c r="J40" s="942"/>
      <c r="Q40" s="496">
        <v>6</v>
      </c>
    </row>
    <row s="5053" customFormat="1" customHeight="1" ht="26.25" hidden="1">
      <c r="A41" s="854" t="s">
        <v>26</v>
      </c>
      <c r="B41" s="479"/>
      <c r="C41" s="474"/>
      <c r="D41" s="476"/>
      <c r="E41" s="45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6" t="s">
        <v>19</v>
      </c>
      <c r="G41" s="139"/>
      <c r="I41" s="477"/>
      <c r="J41" s="942"/>
      <c r="Q41" s="475">
        <v>0</v>
      </c>
    </row>
    <row s="3392" customFormat="1" customHeight="1" ht="6">
      <c r="A42" s="850"/>
      <c r="B42" s="492"/>
      <c r="C42" s="493"/>
      <c r="D42" s="494"/>
      <c r="E42" s="495"/>
      <c r="F42" s="1119"/>
      <c r="G42" s="139"/>
      <c r="H42" s="475"/>
      <c r="I42" s="477"/>
      <c r="J42" s="940"/>
      <c r="Q42" s="496">
        <v>0</v>
      </c>
    </row>
    <row s="5053" customFormat="1" customHeight="1" ht="27" hidden="1">
      <c r="A43" s="850"/>
      <c r="B43" s="479"/>
      <c r="C43" s="474"/>
      <c r="D43" s="476"/>
      <c r="E43" s="457" t="s">
        <v>62</v>
      </c>
      <c r="F43" s="776" t="s">
        <v>19</v>
      </c>
      <c r="G43" s="139"/>
      <c r="I43" s="477"/>
      <c r="J43" s="942"/>
      <c r="Q43" s="475">
        <v>0</v>
      </c>
    </row>
    <row s="5053" customFormat="1" customHeight="1" ht="27" hidden="1">
      <c r="A44" s="850"/>
      <c r="B44" s="479"/>
      <c r="C44" s="474"/>
      <c r="D44" s="476"/>
      <c r="E44" s="1231" t="s">
        <v>63</v>
      </c>
      <c r="F44" s="1954"/>
      <c r="G44" s="139"/>
      <c r="I44" s="477"/>
      <c r="J44" s="942"/>
      <c r="Q44" s="475">
        <v>0</v>
      </c>
    </row>
    <row s="3392" customFormat="1" customHeight="1" ht="6">
      <c r="A45" s="850"/>
      <c r="B45" s="492"/>
      <c r="C45" s="493"/>
      <c r="D45" s="494"/>
      <c r="E45" s="495"/>
      <c r="F45" s="1119"/>
      <c r="G45" s="139"/>
      <c r="H45" s="475"/>
      <c r="I45" s="477"/>
      <c r="J45" s="942"/>
      <c r="Q45" s="496">
        <v>0</v>
      </c>
    </row>
    <row s="3392" customFormat="1" customHeight="1" ht="24.75">
      <c r="A46" s="850"/>
      <c r="B46" s="492"/>
      <c r="C46" s="493"/>
      <c r="D46" s="494"/>
      <c r="E46" s="1231" t="s">
        <v>64</v>
      </c>
      <c r="F46" s="776" t="s">
        <v>19</v>
      </c>
      <c r="G46" s="139"/>
      <c r="H46" s="475"/>
      <c r="I46" s="477"/>
      <c r="J46" s="942"/>
      <c r="Q46" s="496">
        <v>0</v>
      </c>
    </row>
    <row s="5053" customFormat="1" customHeight="1" ht="24.75">
      <c r="A47" s="850"/>
      <c r="B47" s="479"/>
      <c r="C47" s="474"/>
      <c r="D47" s="476"/>
      <c r="E47" s="1231" t="s">
        <v>65</v>
      </c>
      <c r="F47" s="776" t="s">
        <v>19</v>
      </c>
      <c r="G47" s="139"/>
      <c r="I47" s="477"/>
      <c r="J47" s="942"/>
      <c r="Q47" s="475">
        <v>0</v>
      </c>
    </row>
    <row s="3392" customFormat="1" customHeight="1" ht="6">
      <c r="A48" s="850"/>
      <c r="B48" s="298"/>
      <c r="C48" s="299"/>
      <c r="D48" s="300"/>
      <c r="E48" s="301"/>
      <c r="F48" s="1119"/>
      <c r="G48" s="139"/>
      <c r="H48" s="475"/>
      <c r="I48" s="477"/>
      <c r="J48" s="942"/>
      <c r="Q48" s="302">
        <v>0</v>
      </c>
    </row>
    <row customHeight="1" ht="29.25">
      <c r="B49" s="214"/>
      <c r="D49" s="141"/>
      <c r="E49" s="45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6" t="s">
        <v>19</v>
      </c>
      <c r="G49" s="139"/>
      <c r="Q49" s="140">
        <v>0</v>
      </c>
    </row>
    <row s="3392" customFormat="1" customHeight="1" ht="6" hidden="1">
      <c r="A50" s="851"/>
      <c r="B50" s="492"/>
      <c r="C50" s="493"/>
      <c r="D50" s="305"/>
      <c r="E50" s="303"/>
      <c r="F50" s="306"/>
      <c r="G50" s="143"/>
      <c r="H50" s="475"/>
      <c r="I50" s="477"/>
      <c r="J50" s="942"/>
      <c r="Q50" s="496">
        <v>0</v>
      </c>
    </row>
    <row s="5053" customFormat="1" customHeight="1" ht="28.5" hidden="1">
      <c r="A51" s="852"/>
      <c r="B51" s="479"/>
      <c r="C51" s="596"/>
      <c r="D51" s="597"/>
      <c r="E51" s="457" t="s">
        <v>66</v>
      </c>
      <c r="F51" s="776" t="s">
        <v>19</v>
      </c>
      <c r="G51" s="598"/>
      <c r="I51" s="600"/>
      <c r="J51" s="944"/>
      <c r="P51" s="601"/>
      <c r="Q51" s="599">
        <v>0</v>
      </c>
    </row>
    <row s="3392" customFormat="1" customHeight="1" ht="6" hidden="1">
      <c r="A52" s="851"/>
      <c r="B52" s="492"/>
      <c r="C52" s="493"/>
      <c r="D52" s="305"/>
      <c r="E52" s="303"/>
      <c r="F52" s="306"/>
      <c r="G52" s="143"/>
      <c r="H52" s="475"/>
      <c r="I52" s="477"/>
      <c r="J52" s="940"/>
      <c r="Q52" s="496">
        <v>0</v>
      </c>
    </row>
    <row s="5053" customFormat="1" customHeight="1" ht="27" hidden="1">
      <c r="A53" s="852"/>
      <c r="B53" s="479"/>
      <c r="C53" s="596"/>
      <c r="D53" s="597"/>
      <c r="E53" s="457" t="s">
        <v>67</v>
      </c>
      <c r="F53" s="1114" t="s">
        <v>19</v>
      </c>
      <c r="G53" s="598"/>
      <c r="I53" s="600"/>
      <c r="J53" s="944"/>
      <c r="P53" s="601"/>
      <c r="Q53" s="599">
        <v>0</v>
      </c>
    </row>
    <row s="5053" customFormat="1" customHeight="1" ht="27" hidden="1">
      <c r="A54" s="852"/>
      <c r="B54" s="479"/>
      <c r="C54" s="596"/>
      <c r="D54" s="597"/>
      <c r="E54" s="457" t="s">
        <v>68</v>
      </c>
      <c r="F54" s="1840"/>
      <c r="G54" s="598"/>
      <c r="I54" s="600"/>
      <c r="J54" s="944"/>
      <c r="P54" s="601"/>
      <c r="Q54" s="599">
        <v>0</v>
      </c>
    </row>
    <row s="3392" customFormat="1" customHeight="1" ht="6" hidden="1">
      <c r="A55" s="851"/>
      <c r="B55" s="492"/>
      <c r="C55" s="493"/>
      <c r="D55" s="305"/>
      <c r="E55" s="303"/>
      <c r="F55" s="306"/>
      <c r="G55" s="143"/>
      <c r="H55" s="475"/>
      <c r="I55" s="477"/>
      <c r="J55" s="940"/>
      <c r="Q55" s="496">
        <v>0</v>
      </c>
    </row>
    <row s="5053" customFormat="1" customHeight="1" ht="25.5" hidden="1">
      <c r="A56" s="852"/>
      <c r="B56" s="479"/>
      <c r="C56" s="596"/>
      <c r="D56" s="597"/>
      <c r="E56" s="457" t="s">
        <v>69</v>
      </c>
      <c r="F56" s="1114" t="s">
        <v>19</v>
      </c>
      <c r="G56" s="598"/>
      <c r="I56" s="600"/>
      <c r="J56" s="944"/>
      <c r="P56" s="601"/>
      <c r="Q56" s="599">
        <v>0</v>
      </c>
    </row>
    <row s="3392" customFormat="1" customHeight="1" ht="6" hidden="1">
      <c r="A57" s="851"/>
      <c r="B57" s="492"/>
      <c r="C57" s="493"/>
      <c r="D57" s="305"/>
      <c r="E57" s="303"/>
      <c r="F57" s="306"/>
      <c r="G57" s="143"/>
      <c r="H57" s="475"/>
      <c r="I57" s="477"/>
      <c r="J57" s="940"/>
      <c r="Q57" s="496">
        <v>0</v>
      </c>
    </row>
    <row s="5053" customFormat="1" customHeight="1" ht="15" hidden="1">
      <c r="A58" s="852"/>
      <c r="B58" s="479"/>
      <c r="C58" s="596"/>
      <c r="D58" s="597"/>
      <c r="E58" s="457" t="s">
        <v>70</v>
      </c>
      <c r="F58" s="1114" t="s">
        <v>71</v>
      </c>
      <c r="G58" s="598"/>
      <c r="I58" s="600"/>
      <c r="J58" s="944"/>
      <c r="P58" s="601"/>
      <c r="Q58" s="599">
        <v>0</v>
      </c>
    </row>
    <row s="5053" customFormat="1" customHeight="1" ht="75" hidden="1">
      <c r="A59" s="852"/>
      <c r="B59" s="479"/>
      <c r="C59" s="596"/>
      <c r="D59" s="597"/>
      <c r="E59" s="45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5"/>
      <c r="G59" s="598"/>
      <c r="I59" s="600"/>
      <c r="J59" s="944"/>
      <c r="P59" s="601"/>
      <c r="Q59" s="599">
        <v>0</v>
      </c>
    </row>
    <row s="5053" customFormat="1" customHeight="1" ht="15" hidden="1">
      <c r="A60" s="852"/>
      <c r="B60" s="479"/>
      <c r="C60" s="596"/>
      <c r="D60" s="597"/>
      <c r="E60" s="1231" t="s">
        <v>72</v>
      </c>
      <c r="F60" s="1217"/>
      <c r="G60" s="598"/>
      <c r="I60" s="600"/>
      <c r="J60" s="944"/>
      <c r="P60" s="601"/>
      <c r="Q60" s="599">
        <v>0</v>
      </c>
    </row>
    <row s="3392" customFormat="1" customHeight="1" ht="6" hidden="1">
      <c r="A61" s="851"/>
      <c r="B61" s="492"/>
      <c r="C61" s="493"/>
      <c r="D61" s="494"/>
      <c r="E61" s="495"/>
      <c r="F61" s="1119"/>
      <c r="G61" s="139"/>
      <c r="H61" s="475"/>
      <c r="I61" s="477"/>
      <c r="J61" s="942"/>
      <c r="Q61" s="496">
        <v>0</v>
      </c>
    </row>
    <row s="5053" customFormat="1" customHeight="1" ht="33.75" hidden="1">
      <c r="A62" s="851"/>
      <c r="B62" s="164"/>
      <c r="C62" s="474"/>
      <c r="D62" s="476"/>
      <c r="E62" s="1231" t="s">
        <v>73</v>
      </c>
      <c r="F62" s="1737" t="s">
        <v>71</v>
      </c>
      <c r="G62" s="139"/>
      <c r="H62" s="839" t="s">
        <v>22</v>
      </c>
      <c r="I62" s="477"/>
      <c r="J62" s="942"/>
      <c r="Q62" s="475">
        <v>0</v>
      </c>
    </row>
    <row s="3392" customFormat="1" customHeight="1" ht="6.3">
      <c r="A63" s="851"/>
      <c r="B63" s="298"/>
      <c r="C63" s="299"/>
      <c r="D63" s="305"/>
      <c r="E63" s="303"/>
      <c r="F63" s="306"/>
      <c r="G63" s="143"/>
      <c r="H63" s="475"/>
      <c r="I63" s="477"/>
      <c r="J63" s="940"/>
      <c r="Q63" s="302">
        <v>6</v>
      </c>
    </row>
    <row customHeight="1" ht="24">
      <c r="A64" s="853"/>
      <c r="B64" s="165"/>
      <c r="D64" s="148"/>
      <c r="E64" s="457" t="s">
        <v>74</v>
      </c>
      <c r="F64" s="282" t="s">
        <v>75</v>
      </c>
      <c r="G64" s="143"/>
      <c r="Q64" s="140">
        <v>20</v>
      </c>
    </row>
    <row customHeight="1" ht="21">
      <c r="A65" s="853"/>
      <c r="B65" s="165"/>
      <c r="D65" s="148"/>
      <c r="E65" s="457" t="s">
        <v>76</v>
      </c>
      <c r="F65" s="282" t="s">
        <v>77</v>
      </c>
      <c r="G65" s="143"/>
      <c r="Q65" s="140">
        <v>20</v>
      </c>
    </row>
    <row customHeight="1" ht="36.75">
      <c r="D66" s="141"/>
      <c r="E66" s="459" t="s">
        <v>78</v>
      </c>
      <c r="F66" s="1120"/>
      <c r="G66" s="139"/>
      <c r="Q66" s="140">
        <v>35</v>
      </c>
    </row>
    <row customHeight="1" ht="21">
      <c r="A67" s="853"/>
      <c r="D67" s="476"/>
      <c r="E67" s="457" t="s">
        <v>79</v>
      </c>
      <c r="F67" s="337" t="s">
        <v>80</v>
      </c>
      <c r="G67" s="143"/>
      <c r="Q67" s="140">
        <v>20</v>
      </c>
    </row>
    <row customHeight="1" ht="21">
      <c r="A68" s="853"/>
      <c r="B68" s="165"/>
      <c r="D68" s="148"/>
      <c r="E68" s="457" t="s">
        <v>81</v>
      </c>
      <c r="F68" s="337" t="s">
        <v>82</v>
      </c>
      <c r="G68" s="143"/>
      <c r="Q68" s="140">
        <v>20</v>
      </c>
    </row>
    <row customHeight="1" ht="21">
      <c r="A69" s="853"/>
      <c r="B69" s="165"/>
      <c r="D69" s="148"/>
      <c r="E69" s="457" t="s">
        <v>83</v>
      </c>
      <c r="F69" s="337" t="s">
        <v>84</v>
      </c>
      <c r="G69" s="143"/>
      <c r="Q69" s="140">
        <v>20</v>
      </c>
    </row>
    <row customHeight="1" ht="21">
      <c r="D70" s="476"/>
      <c r="E70" s="457" t="s">
        <v>85</v>
      </c>
      <c r="F70" s="337" t="s">
        <v>86</v>
      </c>
      <c r="G70" s="139"/>
      <c r="Q70" s="140">
        <v>20</v>
      </c>
    </row>
    <row customHeight="1" ht="21">
      <c r="A71" s="853"/>
      <c r="D71" s="139"/>
      <c r="F71" s="199"/>
      <c r="G71" s="143"/>
      <c r="Q71" s="140">
        <v>20</v>
      </c>
    </row>
    <row customHeight="1" ht="21">
      <c r="A72" s="853"/>
      <c r="B72" s="165"/>
      <c r="D72" s="148"/>
      <c r="E72" s="147"/>
      <c r="F72" s="1099" t="s">
        <v>13</v>
      </c>
      <c r="G72" s="143"/>
      <c r="Q72" s="140">
        <v>20</v>
      </c>
    </row>
    <row customHeight="1" ht="21">
      <c r="A73" s="853"/>
      <c r="B73" s="165"/>
      <c r="D73" s="148"/>
      <c r="E73" s="147"/>
      <c r="F73" s="200"/>
      <c r="G73" s="143"/>
      <c r="Q73" s="140">
        <v>20</v>
      </c>
    </row>
    <row customHeight="1" ht="21">
      <c r="A74" s="853"/>
      <c r="B74" s="165"/>
      <c r="D74" s="148"/>
      <c r="E74" s="152"/>
      <c r="F74" s="200"/>
      <c r="G74" s="143"/>
      <c r="Q74" s="140">
        <v>20</v>
      </c>
    </row>
    <row customHeight="1" ht="21">
      <c r="A75" s="853"/>
      <c r="B75" s="165"/>
      <c r="D75" s="148"/>
      <c r="E75" s="147"/>
      <c r="F75" s="200"/>
      <c r="G75" s="143"/>
      <c r="Q75" s="140">
        <v>20</v>
      </c>
    </row>
    <row customHeight="1" ht="11.549999999999999">
      <c r="Q76" s="140">
        <v>11</v>
      </c>
    </row>
    <row customHeight="1" ht="11.549999999999999">
      <c r="Q77" s="140">
        <v>11</v>
      </c>
    </row>
    <row customHeight="1" ht="11.549999999999999">
      <c r="E78" s="456"/>
      <c r="F78" s="456"/>
      <c r="G78" s="456"/>
      <c r="H78" s="456"/>
      <c r="I78" s="456"/>
      <c r="Q78" s="140">
        <v>11</v>
      </c>
    </row>
    <row customHeight="1" ht="11.25" hidden="1">
      <c r="A79" s="850" t="s">
        <v>87</v>
      </c>
      <c r="B79" s="164">
        <v>0</v>
      </c>
      <c r="C79" s="138">
        <v>3</v>
      </c>
      <c r="D79" s="140">
        <v>1</v>
      </c>
      <c r="E79" s="140">
        <v>55</v>
      </c>
      <c r="F79" s="140">
        <v>54</v>
      </c>
      <c r="G79" s="837">
        <v>1</v>
      </c>
      <c r="H79" s="475">
        <v>0</v>
      </c>
      <c r="I79" s="477">
        <v>59</v>
      </c>
      <c r="J79" s="942">
        <v>0</v>
      </c>
      <c r="K79" s="140">
        <v>8</v>
      </c>
      <c r="L79" s="140">
        <v>77</v>
      </c>
      <c r="M79" s="140">
        <v>8</v>
      </c>
      <c r="N79" s="140">
        <v>8</v>
      </c>
      <c r="O79" s="140">
        <v>8</v>
      </c>
      <c r="P79" s="140">
        <v>8</v>
      </c>
      <c r="Q79" s="14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C14446E-3AFA-C8BB-DC96-F880629A40A6}"/>
    <hyperlink ref="H17" location="Титульный!H9" display="Как заполнить?" tooltip="Помощь по работе с полями отчётной формы" xr:uid="{F7F96F03-0195-6175-2CA5-E43AB0455F4E}"/>
    <hyperlink ref="H39" location="Титульный!H9" display="Как заполнить?" tooltip="Помощь по работе с полями отчётной формы" xr:uid="{CE963008-C789-6BE2-45E8-469C92E1C459}"/>
    <hyperlink ref="H62" location="Титульный!H9" display="Как заполнить?" tooltip="Помощь по работе с полями отчётной формы" xr:uid="{03231118-D68B-431B-961C-9A721BBF986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0CCDA-79FB-556F-684E-274EFBEEF97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5002" width="10.57421875" hidden="1"/>
    <col min="2" max="2" style="5002" width="11.00390625" hidden="1" customWidth="1"/>
    <col min="3" max="3" style="5002" width="10.57421875" hidden="1"/>
    <col min="4" max="4" style="5002" width="11.8515625" hidden="1" customWidth="1"/>
    <col min="5" max="5" style="5002" width="10.00390625" hidden="1" customWidth="1"/>
    <col min="6" max="6" style="5002" width="8.7109375" hidden="1" customWidth="1"/>
    <col min="7" max="7" style="5002" width="7.57421875" hidden="1" customWidth="1"/>
    <col min="8" max="8" style="5002" width="11.421875" hidden="1" customWidth="1"/>
    <col min="9" max="9" style="5002" width="12.00390625" hidden="1" customWidth="1"/>
    <col min="10" max="10" style="5002" width="9.8515625" hidden="1" customWidth="1"/>
    <col min="11" max="11" style="5002" width="11.421875" hidden="1" customWidth="1"/>
    <col min="12" max="12" style="5519" width="19.140625" hidden="1" customWidth="1"/>
    <col min="13" max="14" style="4246" width="12.28125" hidden="1" customWidth="1"/>
    <col min="15" max="15" style="4246" width="23.421875" hidden="1" customWidth="1"/>
    <col min="16" max="16" style="4246" width="3.00390625" customWidth="1"/>
    <col min="17" max="17" style="3575" width="3.00390625" customWidth="1"/>
    <col min="18" max="18" style="5023" width="3.00390625" customWidth="1"/>
    <col min="19" max="19" style="5711" width="12.00390625" customWidth="1"/>
    <col min="20" max="20" style="5053" width="31.00390625" customWidth="1"/>
    <col min="21" max="21" style="5053" width="0.140625" customWidth="1"/>
    <col min="22" max="23" style="5053" width="21.7109375" hidden="1" customWidth="1"/>
    <col min="24" max="24" style="5053" width="11.7109375" hidden="1" customWidth="1"/>
    <col min="25" max="25" style="5053" width="3.7109375" hidden="1" customWidth="1"/>
    <col min="26" max="26" style="5053" width="11.7109375" hidden="1" customWidth="1"/>
    <col min="27" max="27" style="5053" width="8.57421875" hidden="1" customWidth="1"/>
    <col min="28" max="28" style="5053" width="5.421875" customWidth="1"/>
    <col min="29" max="30" style="5053" width="3.00390625" customWidth="1"/>
    <col min="31" max="31" style="5053" width="24.00390625" customWidth="1"/>
    <col min="32" max="32" style="5053" width="3.7109375" customWidth="1"/>
    <col min="33" max="34" style="5053" width="3.00390625" customWidth="1"/>
    <col min="35" max="35" style="5053" width="24.00390625" customWidth="1"/>
    <col min="36" max="36" style="5053" width="3.7109375" customWidth="1"/>
    <col min="37" max="38" style="5053" width="3.00390625" customWidth="1"/>
    <col min="39" max="39" style="5053" width="18.00390625" customWidth="1"/>
    <col min="40" max="41" style="5053" width="21.00390625" customWidth="1"/>
    <col min="42" max="42" style="5053" width="11.00390625" customWidth="1"/>
    <col min="43" max="43" style="5053" width="3.7109375" customWidth="1"/>
    <col min="44" max="44" style="5053" width="11.00390625" customWidth="1"/>
    <col min="45" max="45" style="5053" width="8.57421875" hidden="1" customWidth="1"/>
    <col min="46" max="46" style="5053" width="4.00390625" customWidth="1"/>
    <col min="47" max="47" style="5053" width="115.00390625" customWidth="1"/>
    <col min="48" max="52" style="4562" width="10.00390625" customWidth="1"/>
    <col min="53" max="53" style="5053" width="10.57421875" hidden="1"/>
  </cols>
  <sheetData>
    <row customHeight="1" ht="22.5" hidden="1">
      <c r="W1" s="393"/>
      <c r="X1" s="393"/>
      <c r="AO1" s="393"/>
      <c r="AP1" s="393"/>
      <c r="BA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402">
        <f>INDEX(PT_DIFFERENTIATION_NUM_NTAR,MATCH(A2,PT_DIFFERENTIATION_NTAR_ID,0))</f>
      </c>
      <c r="T2" s="364" t="s">
        <v>128</v>
      </c>
      <c r="U2" s="366"/>
      <c r="V2" s="2309"/>
      <c r="W2" s="2309"/>
      <c r="X2" s="2309"/>
      <c r="Y2" s="2309"/>
      <c r="Z2" s="2309"/>
      <c r="AA2" s="2310"/>
      <c r="AB2" s="2308">
        <f>INDEX(PT_DIFFERENTIATION_NTAR,MATCH(A2,PT_DIFFERENTIATION_NTAR_ID,0))</f>
      </c>
      <c r="AC2" s="2309"/>
      <c r="AD2" s="2309"/>
      <c r="AE2" s="2309"/>
      <c r="AF2" s="2309"/>
      <c r="AG2" s="2309"/>
      <c r="AH2" s="2309"/>
      <c r="AI2" s="2309"/>
      <c r="AJ2" s="2309"/>
      <c r="AK2" s="2309"/>
      <c r="AL2" s="2309"/>
      <c r="AM2" s="2309"/>
      <c r="AN2" s="2309"/>
      <c r="AO2" s="2309"/>
      <c r="AP2" s="2309"/>
      <c r="AQ2" s="2309"/>
      <c r="AR2" s="2309"/>
      <c r="AS2" s="2309"/>
      <c r="AT2" s="2310"/>
      <c r="AU2" s="1324" t="s">
        <v>405</v>
      </c>
      <c r="AW2" s="566"/>
      <c r="AX2" s="566" t="str">
        <f>IF(T2="","",T2)</f>
        <v>Наименование тарифа</v>
      </c>
      <c r="AY2" s="566"/>
      <c r="AZ2" s="566"/>
      <c r="BA2" s="1221">
        <v>0</v>
      </c>
    </row>
    <row customHeight="1" ht="21" hidden="1">
      <c r="A3" s="1429"/>
      <c r="B3" s="1429"/>
      <c r="C3" s="1429"/>
      <c r="D3" s="1429"/>
      <c r="E3" s="2325"/>
      <c r="F3" s="2324">
        <v>1</v>
      </c>
      <c r="G3" s="1429"/>
      <c r="H3" s="1429"/>
      <c r="I3" s="1429"/>
      <c r="J3" s="1429"/>
      <c r="K3" s="1429"/>
      <c r="L3" s="1430"/>
      <c r="M3" s="1431"/>
      <c r="N3" s="1431"/>
      <c r="O3" s="1431"/>
      <c r="P3" s="1476"/>
      <c r="Q3" s="1477"/>
      <c r="R3" s="419"/>
      <c r="S3" s="1402">
        <f>INDEX(PT_DIFFERENTIATION_NUM_TER,MATCH(B3,PT_DIFFERENTIATION_TER_ID,0))</f>
      </c>
      <c r="T3" s="374" t="s">
        <v>406</v>
      </c>
      <c r="U3" s="366"/>
      <c r="V3" s="2309"/>
      <c r="W3" s="2309"/>
      <c r="X3" s="2309"/>
      <c r="Y3" s="2309"/>
      <c r="Z3" s="2309"/>
      <c r="AA3" s="2310"/>
      <c r="AB3" s="2308">
        <f>INDEX(PT_DIFFERENTIATION_TER,MATCH(B3,PT_DIFFERENTIATION_TER_ID,0))</f>
      </c>
      <c r="AC3" s="2309"/>
      <c r="AD3" s="2309"/>
      <c r="AE3" s="2309"/>
      <c r="AF3" s="2309"/>
      <c r="AG3" s="2309"/>
      <c r="AH3" s="2309"/>
      <c r="AI3" s="2309"/>
      <c r="AJ3" s="2309"/>
      <c r="AK3" s="2309"/>
      <c r="AL3" s="2309"/>
      <c r="AM3" s="2309"/>
      <c r="AN3" s="2309"/>
      <c r="AO3" s="2309"/>
      <c r="AP3" s="2309"/>
      <c r="AQ3" s="2309"/>
      <c r="AR3" s="2309"/>
      <c r="AS3" s="2309"/>
      <c r="AT3" s="2310"/>
      <c r="AU3" s="1324" t="s">
        <v>407</v>
      </c>
      <c r="AW3" s="566"/>
      <c r="AX3" s="566" t="str">
        <f>IF(T3="","",T3)</f>
        <v>Территория действия тарифа</v>
      </c>
      <c r="AY3" s="566"/>
      <c r="AZ3" s="566"/>
      <c r="BA3" s="1221">
        <v>0</v>
      </c>
    </row>
    <row customHeight="1" ht="22.5" hidden="1">
      <c r="A4" s="1429"/>
      <c r="B4" s="1429"/>
      <c r="C4" s="1429"/>
      <c r="D4" s="1429"/>
      <c r="E4" s="2325"/>
      <c r="F4" s="2325"/>
      <c r="G4" s="2324">
        <v>1</v>
      </c>
      <c r="H4" s="1429"/>
      <c r="I4" s="1429"/>
      <c r="J4" s="1429"/>
      <c r="K4" s="1429"/>
      <c r="L4" s="1430"/>
      <c r="M4" s="1431"/>
      <c r="N4" s="1431"/>
      <c r="O4" s="1431"/>
      <c r="P4" s="1478"/>
      <c r="Q4" s="1477"/>
      <c r="R4" s="419"/>
      <c r="S4" s="1402">
        <f>INDEX(PT_DIFFERENTIATION_NUM_CS,MATCH(C4,PT_DIFFERENTIATION_CS_ID,0))</f>
      </c>
      <c r="T4" s="375" t="s">
        <v>408</v>
      </c>
      <c r="U4" s="366"/>
      <c r="V4" s="2309"/>
      <c r="W4" s="2309"/>
      <c r="X4" s="2309"/>
      <c r="Y4" s="2309"/>
      <c r="Z4" s="2309"/>
      <c r="AA4" s="2310"/>
      <c r="AB4" s="2308">
        <f>INDEX(PT_DIFFERENTIATION_CS,MATCH(C4,PT_DIFFERENTIATION_CS_ID,0))</f>
      </c>
      <c r="AC4" s="2309"/>
      <c r="AD4" s="2309"/>
      <c r="AE4" s="2309"/>
      <c r="AF4" s="2309"/>
      <c r="AG4" s="2309"/>
      <c r="AH4" s="2309"/>
      <c r="AI4" s="2309"/>
      <c r="AJ4" s="2309"/>
      <c r="AK4" s="2309"/>
      <c r="AL4" s="2309"/>
      <c r="AM4" s="2309"/>
      <c r="AN4" s="2309"/>
      <c r="AO4" s="2309"/>
      <c r="AP4" s="2309"/>
      <c r="AQ4" s="2309"/>
      <c r="AR4" s="2309"/>
      <c r="AS4" s="2309"/>
      <c r="AT4" s="2310"/>
      <c r="AU4" s="1324" t="s">
        <v>409</v>
      </c>
      <c r="AW4" s="566"/>
      <c r="AX4" s="566" t="str">
        <f>IF(T4="","",T4)</f>
        <v>Наименование системы теплоснабжения </v>
      </c>
      <c r="AY4" s="566"/>
      <c r="AZ4" s="566"/>
      <c r="BA4" s="1221">
        <v>0</v>
      </c>
    </row>
    <row customHeight="1" ht="21" hidden="1">
      <c r="A5" s="1429"/>
      <c r="B5" s="1429"/>
      <c r="C5" s="1429"/>
      <c r="D5" s="1429"/>
      <c r="E5" s="2325"/>
      <c r="F5" s="2325"/>
      <c r="G5" s="2325"/>
      <c r="H5" s="2324">
        <v>1</v>
      </c>
      <c r="I5" s="1429"/>
      <c r="J5" s="1429"/>
      <c r="K5" s="1429"/>
      <c r="L5" s="1430"/>
      <c r="M5" s="1431"/>
      <c r="N5" s="1431"/>
      <c r="O5" s="1431"/>
      <c r="P5" s="1478"/>
      <c r="Q5" s="1477"/>
      <c r="R5" s="419"/>
      <c r="S5" s="1402">
        <f>INDEX(PT_DIFFERENTIATION_NUM_IST_TE,MATCH(D5,PT_DIFFERENTIATION_IST_TE_ID,0))</f>
      </c>
      <c r="T5" s="376" t="s">
        <v>410</v>
      </c>
      <c r="U5" s="366"/>
      <c r="V5" s="2309"/>
      <c r="W5" s="2309"/>
      <c r="X5" s="2309"/>
      <c r="Y5" s="2309"/>
      <c r="Z5" s="2309"/>
      <c r="AA5" s="2310"/>
      <c r="AB5" s="2308">
        <f>INDEX(PT_DIFFERENTIATION_IST_TE,MATCH(D5,PT_DIFFERENTIATION_IST_TE_ID,0))</f>
      </c>
      <c r="AC5" s="2309"/>
      <c r="AD5" s="2309"/>
      <c r="AE5" s="2309"/>
      <c r="AF5" s="2309"/>
      <c r="AG5" s="2309"/>
      <c r="AH5" s="2309"/>
      <c r="AI5" s="2309"/>
      <c r="AJ5" s="2309"/>
      <c r="AK5" s="2309"/>
      <c r="AL5" s="2309"/>
      <c r="AM5" s="2309"/>
      <c r="AN5" s="2309"/>
      <c r="AO5" s="2309"/>
      <c r="AP5" s="2309"/>
      <c r="AQ5" s="2309"/>
      <c r="AR5" s="2309"/>
      <c r="AS5" s="2309"/>
      <c r="AT5" s="2310"/>
      <c r="AU5" s="1324" t="s">
        <v>411</v>
      </c>
      <c r="AW5" s="566"/>
      <c r="AX5" s="566" t="str">
        <f>IF(T5="","",T5)</f>
        <v>Источник тепловой энергии  </v>
      </c>
      <c r="AY5" s="566"/>
      <c r="AZ5" s="566"/>
      <c r="BA5" s="1221">
        <v>0</v>
      </c>
    </row>
    <row s="4562" customFormat="1" customHeight="1" ht="0.75" hidden="1">
      <c r="A6" s="1409"/>
      <c r="B6" s="1409"/>
      <c r="C6" s="1409"/>
      <c r="D6" s="1409"/>
      <c r="E6" s="2325"/>
      <c r="F6" s="2325"/>
      <c r="G6" s="2325"/>
      <c r="H6" s="2325"/>
      <c r="I6" s="2322">
        <f>S5&amp;".1"</f>
      </c>
      <c r="J6" s="1409"/>
      <c r="K6" s="1409"/>
      <c r="L6" s="1412" t="s">
        <v>412</v>
      </c>
      <c r="M6" s="576"/>
      <c r="N6" s="576"/>
      <c r="O6" s="576"/>
      <c r="P6" s="2323">
        <v>1</v>
      </c>
      <c r="Q6" s="1397"/>
      <c r="R6" s="422"/>
      <c r="S6" s="1108"/>
      <c r="T6" s="1449"/>
      <c r="U6" s="1450"/>
      <c r="V6" s="2363"/>
      <c r="W6" s="2363"/>
      <c r="X6" s="2363"/>
      <c r="Y6" s="2363"/>
      <c r="Z6" s="2363"/>
      <c r="AA6" s="2364"/>
      <c r="AB6" s="2362"/>
      <c r="AC6" s="2363"/>
      <c r="AD6" s="2363"/>
      <c r="AE6" s="2363"/>
      <c r="AF6" s="2363"/>
      <c r="AG6" s="2363"/>
      <c r="AH6" s="2363"/>
      <c r="AI6" s="2363"/>
      <c r="AJ6" s="2363"/>
      <c r="AK6" s="2363"/>
      <c r="AL6" s="2363"/>
      <c r="AM6" s="2363"/>
      <c r="AN6" s="2363"/>
      <c r="AO6" s="2363"/>
      <c r="AP6" s="2363"/>
      <c r="AQ6" s="2363"/>
      <c r="AR6" s="2363"/>
      <c r="AS6" s="2363"/>
      <c r="AT6" s="2364"/>
      <c r="AU6" s="1451"/>
      <c r="AW6" s="566"/>
      <c r="AX6" s="566" t="str">
        <f>IF(T6="","",T6)</f>
        <v/>
      </c>
      <c r="AY6" s="566"/>
      <c r="AZ6" s="566"/>
      <c r="BA6" s="577">
        <v>0</v>
      </c>
    </row>
    <row s="4562" customFormat="1" customHeight="1" ht="0.75" hidden="1">
      <c r="A7" s="1409"/>
      <c r="B7" s="1409"/>
      <c r="C7" s="1409"/>
      <c r="D7" s="1409"/>
      <c r="E7" s="2325"/>
      <c r="F7" s="2325"/>
      <c r="G7" s="2325"/>
      <c r="H7" s="2325"/>
      <c r="I7" s="2352"/>
      <c r="J7" s="2322">
        <f>S5&amp;".1"</f>
      </c>
      <c r="K7" s="1409"/>
      <c r="L7" s="1412"/>
      <c r="M7" s="576"/>
      <c r="N7" s="576"/>
      <c r="O7" s="576"/>
      <c r="P7" s="2323"/>
      <c r="Q7" s="2323">
        <v>1</v>
      </c>
      <c r="R7" s="423"/>
      <c r="S7" s="1108"/>
      <c r="T7" s="1465"/>
      <c r="U7" s="1450"/>
      <c r="V7" s="2363"/>
      <c r="W7" s="2363"/>
      <c r="X7" s="2363"/>
      <c r="Y7" s="2363"/>
      <c r="Z7" s="2363"/>
      <c r="AA7" s="2364"/>
      <c r="AB7" s="2362"/>
      <c r="AC7" s="2363"/>
      <c r="AD7" s="2363"/>
      <c r="AE7" s="2363"/>
      <c r="AF7" s="2363"/>
      <c r="AG7" s="2363"/>
      <c r="AH7" s="2363"/>
      <c r="AI7" s="2363"/>
      <c r="AJ7" s="2363"/>
      <c r="AK7" s="2363"/>
      <c r="AL7" s="2363"/>
      <c r="AM7" s="2363"/>
      <c r="AN7" s="2363"/>
      <c r="AO7" s="2363"/>
      <c r="AP7" s="2363"/>
      <c r="AQ7" s="2363"/>
      <c r="AR7" s="2363"/>
      <c r="AS7" s="2363"/>
      <c r="AT7" s="2364"/>
      <c r="AU7" s="1451"/>
      <c r="AW7" s="566"/>
      <c r="AX7" s="566" t="str">
        <f>IF(T7="","",T7)</f>
        <v/>
      </c>
      <c r="AY7" s="566"/>
      <c r="AZ7" s="566"/>
      <c r="BA7" s="577">
        <v>0</v>
      </c>
    </row>
    <row customHeight="1" ht="21" hidden="1">
      <c r="A8" s="1429"/>
      <c r="B8" s="1429"/>
      <c r="C8" s="1429"/>
      <c r="D8" s="1429"/>
      <c r="E8" s="2325"/>
      <c r="F8" s="2325"/>
      <c r="G8" s="2325"/>
      <c r="H8" s="2325"/>
      <c r="I8" s="2352"/>
      <c r="J8" s="2352"/>
      <c r="K8" s="2322">
        <f>S5&amp;".1"</f>
      </c>
      <c r="L8" s="1430"/>
      <c r="P8" s="2323"/>
      <c r="Q8" s="2323"/>
      <c r="R8" s="2413">
        <v>1</v>
      </c>
      <c r="S8" s="2407">
        <f>$K8</f>
      </c>
      <c r="T8" s="2410"/>
      <c r="U8" s="366"/>
      <c r="V8" s="817"/>
      <c r="W8" s="1323"/>
      <c r="X8" s="2331"/>
      <c r="Y8" s="2173" t="s">
        <v>71</v>
      </c>
      <c r="Z8" s="2331"/>
      <c r="AA8" s="2173" t="s">
        <v>71</v>
      </c>
      <c r="AB8" s="2173" t="s">
        <v>19</v>
      </c>
      <c r="AC8" s="2392"/>
      <c r="AD8" s="2271">
        <v>1</v>
      </c>
      <c r="AE8" s="2393"/>
      <c r="AF8" s="2173" t="s">
        <v>19</v>
      </c>
      <c r="AG8" s="2392"/>
      <c r="AH8" s="2271">
        <v>1</v>
      </c>
      <c r="AI8" s="2393"/>
      <c r="AJ8" s="2173" t="s">
        <v>19</v>
      </c>
      <c r="AK8" s="377"/>
      <c r="AL8" s="1403">
        <v>1</v>
      </c>
      <c r="AM8" s="1464"/>
      <c r="AN8" s="817"/>
      <c r="AO8" s="1323"/>
      <c r="AP8" s="1800"/>
      <c r="AQ8" s="1525" t="s">
        <v>71</v>
      </c>
      <c r="AR8" s="1800"/>
      <c r="AS8" s="1525" t="s">
        <v>71</v>
      </c>
      <c r="AT8" s="1414"/>
      <c r="AU8" s="2319" t="s">
        <v>473</v>
      </c>
      <c r="AV8" s="577">
        <f>STRCHECKDATE(V11:AT11)</f>
      </c>
      <c r="AW8" s="566"/>
      <c r="AX8" s="566" t="str">
        <f>IF(T8="","",T8)</f>
        <v/>
      </c>
      <c r="AY8" s="566"/>
      <c r="AZ8" s="566"/>
      <c r="BA8" s="1221">
        <v>0</v>
      </c>
    </row>
    <row customHeight="1" ht="11.25" hidden="1">
      <c r="A9" s="1429"/>
      <c r="B9" s="1429"/>
      <c r="C9" s="1429"/>
      <c r="D9" s="1429"/>
      <c r="E9" s="2325"/>
      <c r="F9" s="2325"/>
      <c r="G9" s="2325"/>
      <c r="H9" s="2325"/>
      <c r="I9" s="2352"/>
      <c r="J9" s="2352"/>
      <c r="K9" s="2322"/>
      <c r="L9" s="1430"/>
      <c r="P9" s="2323"/>
      <c r="Q9" s="2323"/>
      <c r="R9" s="2413"/>
      <c r="S9" s="2408"/>
      <c r="T9" s="2411"/>
      <c r="U9" s="366"/>
      <c r="V9" s="1459"/>
      <c r="W9" s="1463"/>
      <c r="X9" s="2331"/>
      <c r="Y9" s="2173"/>
      <c r="Z9" s="2331"/>
      <c r="AA9" s="2173"/>
      <c r="AB9" s="2173"/>
      <c r="AC9" s="2392"/>
      <c r="AD9" s="2271"/>
      <c r="AE9" s="2393"/>
      <c r="AF9" s="2173"/>
      <c r="AG9" s="2392"/>
      <c r="AH9" s="2271"/>
      <c r="AI9" s="2393"/>
      <c r="AJ9" s="2173"/>
      <c r="AK9" s="382"/>
      <c r="AL9" s="482"/>
      <c r="AM9" s="481" t="s">
        <v>474</v>
      </c>
      <c r="AN9" s="1459"/>
      <c r="AO9" s="1562"/>
      <c r="AP9" s="1459"/>
      <c r="AQ9" s="1459"/>
      <c r="AR9" s="1459"/>
      <c r="AS9" s="1459"/>
      <c r="AT9" s="1456"/>
      <c r="AU9" s="2320"/>
      <c r="AW9" s="566"/>
      <c r="AX9" s="566"/>
      <c r="AY9" s="566"/>
      <c r="AZ9" s="566"/>
      <c r="BA9" s="1221">
        <v>0</v>
      </c>
    </row>
    <row customHeight="1" ht="11.25" hidden="1">
      <c r="A10" s="1429"/>
      <c r="B10" s="1429"/>
      <c r="C10" s="1429"/>
      <c r="D10" s="1429"/>
      <c r="E10" s="2325"/>
      <c r="F10" s="2325"/>
      <c r="G10" s="2325"/>
      <c r="H10" s="2325"/>
      <c r="I10" s="2352"/>
      <c r="J10" s="2352"/>
      <c r="K10" s="2322"/>
      <c r="L10" s="1430"/>
      <c r="P10" s="2323"/>
      <c r="Q10" s="2323"/>
      <c r="R10" s="2413"/>
      <c r="S10" s="2408"/>
      <c r="T10" s="2411"/>
      <c r="U10" s="366"/>
      <c r="V10" s="1459"/>
      <c r="W10" s="1463"/>
      <c r="X10" s="2331"/>
      <c r="Y10" s="2173"/>
      <c r="Z10" s="2331"/>
      <c r="AA10" s="2173"/>
      <c r="AB10" s="2173"/>
      <c r="AC10" s="2392"/>
      <c r="AD10" s="2271"/>
      <c r="AE10" s="2393"/>
      <c r="AF10" s="2173"/>
      <c r="AG10" s="360"/>
      <c r="AH10" s="481"/>
      <c r="AI10" s="481" t="s">
        <v>475</v>
      </c>
      <c r="AJ10" s="1459"/>
      <c r="AK10" s="1459"/>
      <c r="AL10" s="1459"/>
      <c r="AM10" s="1459"/>
      <c r="AN10" s="1459"/>
      <c r="AO10" s="1562"/>
      <c r="AP10" s="1459"/>
      <c r="AQ10" s="1459"/>
      <c r="AR10" s="1459"/>
      <c r="AS10" s="1459"/>
      <c r="AT10" s="1456"/>
      <c r="AU10" s="2320"/>
      <c r="AW10" s="566"/>
      <c r="AX10" s="566"/>
      <c r="AY10" s="566"/>
      <c r="AZ10" s="566"/>
      <c r="BA10" s="1221">
        <v>0</v>
      </c>
    </row>
    <row customHeight="1" ht="11.25" hidden="1">
      <c r="A11" s="1429"/>
      <c r="B11" s="1429"/>
      <c r="C11" s="1429"/>
      <c r="D11" s="1429"/>
      <c r="E11" s="2325"/>
      <c r="F11" s="2325"/>
      <c r="G11" s="2325"/>
      <c r="H11" s="2325"/>
      <c r="I11" s="2352"/>
      <c r="J11" s="2352"/>
      <c r="K11" s="2322"/>
      <c r="L11" s="1430"/>
      <c r="P11" s="2323"/>
      <c r="Q11" s="2323"/>
      <c r="R11" s="2413"/>
      <c r="S11" s="2409"/>
      <c r="T11" s="2412"/>
      <c r="U11" s="366"/>
      <c r="V11" s="1459"/>
      <c r="W11" s="1462" t="str">
        <f>X8&amp;"-"&amp;Z8</f>
        <v>-</v>
      </c>
      <c r="X11" s="2332"/>
      <c r="Y11" s="2173"/>
      <c r="Z11" s="2332"/>
      <c r="AA11" s="2173"/>
      <c r="AB11" s="2173"/>
      <c r="AC11" s="378"/>
      <c r="AD11" s="380"/>
      <c r="AE11" s="481" t="s">
        <v>476</v>
      </c>
      <c r="AF11" s="1459"/>
      <c r="AG11" s="1459"/>
      <c r="AH11" s="1459"/>
      <c r="AI11" s="1459"/>
      <c r="AJ11" s="1459"/>
      <c r="AK11" s="1459"/>
      <c r="AL11" s="1459"/>
      <c r="AM11" s="1459"/>
      <c r="AN11" s="1459"/>
      <c r="AO11" s="1460" t="str">
        <f>AP8&amp;"-"&amp;AR8</f>
        <v>-</v>
      </c>
      <c r="AP11" s="1459"/>
      <c r="AQ11" s="1459"/>
      <c r="AR11" s="1459"/>
      <c r="AS11" s="1459"/>
      <c r="AT11" s="1415"/>
      <c r="AU11" s="2320"/>
      <c r="AW11" s="566"/>
      <c r="AX11" s="566" t="str">
        <f>IF(T11="","",T11)</f>
        <v/>
      </c>
      <c r="AY11" s="566"/>
      <c r="AZ11" s="566"/>
      <c r="BA11" s="1221">
        <v>0</v>
      </c>
    </row>
    <row customHeight="1" ht="11.25" hidden="1">
      <c r="A12" s="1429"/>
      <c r="B12" s="1429"/>
      <c r="C12" s="1429"/>
      <c r="D12" s="1429"/>
      <c r="E12" s="2325"/>
      <c r="F12" s="2325"/>
      <c r="G12" s="2325"/>
      <c r="H12" s="2325"/>
      <c r="I12" s="2352"/>
      <c r="J12" s="2322"/>
      <c r="K12" s="1429"/>
      <c r="L12" s="1430"/>
      <c r="P12" s="2323"/>
      <c r="Q12" s="2323"/>
      <c r="R12" s="422"/>
      <c r="S12" s="1344"/>
      <c r="T12" s="353" t="s">
        <v>477</v>
      </c>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390"/>
      <c r="AU12" s="2321"/>
      <c r="AW12" s="566"/>
      <c r="AX12" s="566" t="str">
        <f>IF(T12="","",T12)</f>
        <v>Добавить строку</v>
      </c>
      <c r="AY12" s="566"/>
      <c r="AZ12" s="566"/>
      <c r="BA12" s="1221">
        <v>0</v>
      </c>
    </row>
    <row s="4562" customFormat="1" customHeight="1" ht="0.75" hidden="1">
      <c r="A13" s="1409"/>
      <c r="B13" s="1409"/>
      <c r="C13" s="1409"/>
      <c r="D13" s="1409"/>
      <c r="E13" s="2325"/>
      <c r="F13" s="2325"/>
      <c r="G13" s="2325"/>
      <c r="H13" s="2325"/>
      <c r="I13" s="2322"/>
      <c r="J13" s="1409"/>
      <c r="K13" s="1409"/>
      <c r="L13" s="1412"/>
      <c r="M13" s="576"/>
      <c r="N13" s="576"/>
      <c r="O13" s="576"/>
      <c r="P13" s="2323"/>
      <c r="Q13" s="1397"/>
      <c r="R13" s="422"/>
      <c r="S13" s="1452"/>
      <c r="T13" s="1453"/>
      <c r="U13" s="1454"/>
      <c r="V13" s="1454"/>
      <c r="W13" s="1454"/>
      <c r="X13" s="1454"/>
      <c r="Y13" s="1454"/>
      <c r="Z13" s="1454"/>
      <c r="AA13" s="1454"/>
      <c r="AB13" s="1454"/>
      <c r="AC13" s="1454"/>
      <c r="AD13" s="1454"/>
      <c r="AE13" s="1454"/>
      <c r="AF13" s="1454"/>
      <c r="AG13" s="1454"/>
      <c r="AH13" s="1454"/>
      <c r="AI13" s="1454"/>
      <c r="AJ13" s="1454"/>
      <c r="AK13" s="1454"/>
      <c r="AL13" s="1454"/>
      <c r="AM13" s="1454"/>
      <c r="AN13" s="1454"/>
      <c r="AO13" s="1454"/>
      <c r="AP13" s="1454"/>
      <c r="AQ13" s="1454"/>
      <c r="AR13" s="1454"/>
      <c r="AS13" s="1454"/>
      <c r="AT13" s="1454"/>
      <c r="AU13" s="1455"/>
      <c r="AW13" s="566"/>
      <c r="AX13" s="566" t="str">
        <f>IF(T13="","",T13)</f>
        <v/>
      </c>
      <c r="AY13" s="566"/>
      <c r="AZ13" s="566"/>
      <c r="BA13" s="577">
        <v>0</v>
      </c>
    </row>
    <row s="4562" customFormat="1" customHeight="1" ht="0.75" hidden="1">
      <c r="A14" s="1409"/>
      <c r="B14" s="1409"/>
      <c r="C14" s="1409"/>
      <c r="D14" s="1409"/>
      <c r="E14" s="2325"/>
      <c r="F14" s="2325"/>
      <c r="G14" s="2325"/>
      <c r="H14" s="2324"/>
      <c r="I14" s="1409"/>
      <c r="J14" s="1409"/>
      <c r="K14" s="1409"/>
      <c r="L14" s="1412"/>
      <c r="M14" s="1381"/>
      <c r="N14" s="1381"/>
      <c r="O14" s="584"/>
      <c r="P14" s="446"/>
      <c r="Q14" s="1410"/>
      <c r="R14" s="1467"/>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5"/>
      <c r="AW14" s="566"/>
      <c r="AX14" s="566" t="str">
        <f>IF(T14="","",T14)</f>
        <v/>
      </c>
      <c r="AY14" s="566"/>
      <c r="AZ14" s="566"/>
      <c r="BA14" s="577">
        <v>0</v>
      </c>
    </row>
    <row s="4562" customFormat="1" customHeight="1" ht="0.75" hidden="1">
      <c r="A15" s="1409"/>
      <c r="B15" s="1409"/>
      <c r="C15" s="1409"/>
      <c r="D15" s="1380"/>
      <c r="E15" s="2325"/>
      <c r="F15" s="2325"/>
      <c r="G15" s="2324"/>
      <c r="H15" s="1380"/>
      <c r="I15" s="1380"/>
      <c r="J15" s="1380"/>
      <c r="K15" s="1380"/>
      <c r="L15" s="1405"/>
      <c r="M15" s="1381"/>
      <c r="N15" s="1381"/>
      <c r="P15" s="1382"/>
      <c r="Q15" s="1383"/>
      <c r="R15" s="1382"/>
      <c r="S15" s="1388"/>
      <c r="T15" s="1391" t="s">
        <v>173</v>
      </c>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W15" s="855"/>
      <c r="AX15" s="855" t="str">
        <f>IF(T15="","",T15)</f>
        <v>Добавить источник для дифференциации</v>
      </c>
      <c r="AY15" s="855"/>
      <c r="AZ15" s="855"/>
      <c r="BA15" s="584">
        <v>0</v>
      </c>
    </row>
    <row s="4562" customFormat="1" customHeight="1" ht="0.75" hidden="1">
      <c r="A16" s="1409"/>
      <c r="B16" s="1409"/>
      <c r="C16" s="1380"/>
      <c r="D16" s="1380"/>
      <c r="E16" s="2325"/>
      <c r="F16" s="2324"/>
      <c r="G16" s="1380"/>
      <c r="H16" s="1380"/>
      <c r="I16" s="1380"/>
      <c r="J16" s="1380"/>
      <c r="K16" s="1380"/>
      <c r="L16" s="1405"/>
      <c r="M16" s="1387"/>
      <c r="N16" s="1387"/>
      <c r="P16" s="1382"/>
      <c r="Q16" s="1383"/>
      <c r="R16" s="1382"/>
      <c r="S16" s="1388"/>
      <c r="T16" s="1391" t="s">
        <v>174</v>
      </c>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W16" s="855"/>
      <c r="AX16" s="855" t="str">
        <f>IF(T16="","",T16)</f>
        <v>Добавить централизованную систему для дифференциации</v>
      </c>
      <c r="AY16" s="855"/>
      <c r="AZ16" s="855"/>
      <c r="BA16" s="584">
        <v>0</v>
      </c>
    </row>
    <row s="4562" customFormat="1" customHeight="1" ht="0.75" hidden="1">
      <c r="A17" s="1409"/>
      <c r="B17" s="1409"/>
      <c r="C17" s="1409"/>
      <c r="D17" s="1409"/>
      <c r="E17" s="2324"/>
      <c r="F17" s="1409"/>
      <c r="G17" s="1409"/>
      <c r="H17" s="1409"/>
      <c r="I17" s="1409"/>
      <c r="J17" s="1409"/>
      <c r="K17" s="1409"/>
      <c r="L17" s="1412"/>
      <c r="M17" s="1387"/>
      <c r="N17" s="1387"/>
      <c r="O17" s="584"/>
      <c r="P17" s="446"/>
      <c r="Q17" s="1410"/>
      <c r="R17" s="446"/>
      <c r="S17" s="1388"/>
      <c r="T17" s="1391" t="s">
        <v>175</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W17" s="566"/>
      <c r="AX17" s="566" t="str">
        <f>IF(T17="","",T17)</f>
        <v>Добавить территорию для дифференциации</v>
      </c>
      <c r="AY17" s="566"/>
      <c r="AZ17" s="566"/>
      <c r="BA17" s="577">
        <v>0</v>
      </c>
    </row>
    <row customHeight="1" ht="14.25" hidden="1">
      <c r="AA18" s="393"/>
      <c r="AS18" s="393"/>
      <c r="BA18" s="1221">
        <v>0</v>
      </c>
    </row>
    <row customHeight="1" ht="14.25" hidden="1">
      <c r="AB19" s="1390" t="s">
        <v>19</v>
      </c>
      <c r="AC19" s="1567"/>
      <c r="AD19" s="614">
        <v>1</v>
      </c>
      <c r="AE19" s="1568"/>
      <c r="AF19" s="1390" t="s">
        <v>19</v>
      </c>
      <c r="AG19" s="1567"/>
      <c r="AH19" s="614">
        <v>1</v>
      </c>
      <c r="AI19" s="1568"/>
      <c r="AJ19" s="1390" t="s">
        <v>19</v>
      </c>
      <c r="AK19" s="1569"/>
      <c r="AL19" s="614">
        <v>1</v>
      </c>
      <c r="AM19" s="1572"/>
      <c r="AN19" s="1469"/>
      <c r="AO19" s="1470"/>
      <c r="AP19" s="1802"/>
      <c r="AQ19" s="1526" t="s">
        <v>71</v>
      </c>
      <c r="AR19" s="1802"/>
      <c r="AS19" s="1526" t="s">
        <v>71</v>
      </c>
      <c r="BA19" s="1221">
        <v>0</v>
      </c>
    </row>
    <row customHeight="1" ht="14.25" hidden="1">
      <c r="AV20" s="562"/>
      <c r="AW20" s="562"/>
      <c r="AX20" s="562"/>
      <c r="AY20" s="562"/>
      <c r="AZ20" s="562"/>
      <c r="BA20" s="1221">
        <v>0</v>
      </c>
    </row>
    <row customHeight="1" ht="14.25" hidden="1">
      <c r="O21" s="1433" t="s">
        <v>423</v>
      </c>
      <c r="X21" s="1411"/>
      <c r="Z21" s="1411"/>
      <c r="AA21" s="393"/>
      <c r="AP21" s="1411"/>
      <c r="AR21" s="1411"/>
      <c r="AS21" s="393"/>
      <c r="AV21" s="562"/>
      <c r="AW21" s="562"/>
      <c r="AX21" s="562"/>
      <c r="AY21" s="562"/>
      <c r="AZ21" s="562"/>
      <c r="BA21" s="1221">
        <v>0</v>
      </c>
    </row>
    <row customHeight="1" ht="14.25" hidden="1">
      <c r="AA22" s="393"/>
      <c r="AS22" s="393"/>
      <c r="AV22" s="562"/>
      <c r="AW22" s="562"/>
      <c r="AX22" s="562"/>
      <c r="AY22" s="562"/>
      <c r="AZ22" s="562"/>
      <c r="BA22" s="1221">
        <v>0</v>
      </c>
    </row>
    <row s="4285" customFormat="1" customHeight="1" ht="14.25" hidden="1">
      <c r="M23" s="1574"/>
      <c r="N23" s="1574"/>
      <c r="O23" s="1575" t="s">
        <v>424</v>
      </c>
      <c r="P23" s="1574"/>
      <c r="Q23" s="1576"/>
      <c r="R23" s="1576"/>
      <c r="Y23" s="1573" t="s">
        <v>426</v>
      </c>
      <c r="AA23" s="1573" t="s">
        <v>427</v>
      </c>
      <c r="AB23" s="1573" t="s">
        <v>478</v>
      </c>
      <c r="AE23" s="1573" t="s">
        <v>479</v>
      </c>
      <c r="AF23" s="1573" t="s">
        <v>478</v>
      </c>
      <c r="AI23" s="1573" t="s">
        <v>480</v>
      </c>
      <c r="AJ23" s="1573" t="s">
        <v>478</v>
      </c>
      <c r="AM23" s="1573" t="s">
        <v>481</v>
      </c>
      <c r="AQ23" s="1573" t="s">
        <v>426</v>
      </c>
      <c r="AS23" s="1573" t="s">
        <v>427</v>
      </c>
      <c r="AV23" s="1577"/>
      <c r="AW23" s="1577"/>
      <c r="AX23" s="1577"/>
      <c r="AY23" s="1577"/>
      <c r="AZ23" s="1577"/>
      <c r="BA23" s="1573">
        <v>0</v>
      </c>
    </row>
    <row customHeight="1" ht="14.25" hidden="1">
      <c r="O24" s="1430"/>
      <c r="AV24" s="562"/>
      <c r="AW24" s="562"/>
      <c r="AX24" s="562"/>
      <c r="AY24" s="562"/>
      <c r="AZ24" s="562"/>
      <c r="BA24" s="1221">
        <v>0</v>
      </c>
    </row>
    <row customHeight="1" ht="14.25" hidden="1">
      <c r="O25" s="1430"/>
      <c r="AV25" s="562"/>
      <c r="AW25" s="562"/>
      <c r="AX25" s="562"/>
      <c r="AY25" s="562"/>
      <c r="AZ25" s="562"/>
      <c r="BA25" s="1221">
        <v>0</v>
      </c>
    </row>
    <row customHeight="1" ht="14.699999999999998">
      <c r="Q26" s="357"/>
      <c r="R26" s="442"/>
      <c r="S26" s="1341"/>
      <c r="T26" s="429"/>
      <c r="U26" s="429"/>
      <c r="V26" s="575"/>
      <c r="W26" s="575"/>
      <c r="X26" s="575"/>
      <c r="Y26" s="575"/>
      <c r="Z26" s="575"/>
      <c r="AA26" s="575"/>
      <c r="AB26" s="575"/>
      <c r="AC26" s="575"/>
      <c r="AD26" s="575"/>
      <c r="AE26" s="575"/>
      <c r="AF26" s="575"/>
      <c r="AG26" s="575"/>
      <c r="AH26" s="575"/>
      <c r="AI26" s="575"/>
      <c r="AJ26" s="575"/>
      <c r="AK26" s="575"/>
      <c r="AL26" s="575"/>
      <c r="AM26" s="575"/>
      <c r="AN26" s="575"/>
      <c r="AO26" s="575"/>
      <c r="AP26" s="575"/>
      <c r="AQ26" s="575"/>
      <c r="AR26" s="575"/>
      <c r="AS26" s="575"/>
      <c r="BA26" s="1221">
        <v>14</v>
      </c>
    </row>
    <row customHeight="1" ht="27.299999999999997">
      <c r="Q27" s="357"/>
      <c r="R27" s="442"/>
      <c r="S27" s="231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4"/>
      <c r="U27" s="2314"/>
      <c r="V27" s="2314"/>
      <c r="W27" s="2314"/>
      <c r="X27" s="2314"/>
      <c r="Y27" s="2314"/>
      <c r="Z27" s="2314"/>
      <c r="AA27" s="2314"/>
      <c r="AB27" s="2314"/>
      <c r="AC27" s="2314"/>
      <c r="AD27" s="2314"/>
      <c r="AE27" s="2314"/>
      <c r="AF27" s="2314"/>
      <c r="AG27" s="2314"/>
      <c r="AH27" s="2314"/>
      <c r="AI27" s="2314"/>
      <c r="AJ27" s="2314"/>
      <c r="AK27" s="2314"/>
      <c r="AL27" s="2314"/>
      <c r="AM27" s="2314"/>
      <c r="AN27" s="2314"/>
      <c r="AO27" s="2314"/>
      <c r="AP27" s="2314"/>
      <c r="AQ27" s="2314"/>
      <c r="AR27" s="2314"/>
      <c r="AS27" s="1309"/>
      <c r="BA27" s="1221">
        <v>26</v>
      </c>
    </row>
    <row customHeight="1" ht="14.699999999999998">
      <c r="Q28" s="357"/>
      <c r="R28" s="442"/>
      <c r="S28" s="2315" t="str">
        <f>IF(org=0,"Не определено",org)</f>
        <v>Филиал "Уренгойская ГРЭС" АО "Интер РАО - Электрогенерация"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1309"/>
      <c r="BA28" s="1221">
        <v>14</v>
      </c>
    </row>
    <row customHeight="1" ht="14.25">
      <c r="Q29" s="357"/>
      <c r="R29" s="442"/>
      <c r="S29" s="1341"/>
      <c r="T29" s="429"/>
      <c r="U29" s="429"/>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575"/>
      <c r="BA29" s="1221">
        <v>0</v>
      </c>
    </row>
    <row s="5597" customFormat="1" customHeight="1" ht="25.5">
      <c r="A30" s="1434"/>
      <c r="B30" s="1434"/>
      <c r="C30" s="1434"/>
      <c r="D30" s="1434"/>
      <c r="E30" s="1434"/>
      <c r="F30" s="1434"/>
      <c r="G30" s="1434"/>
      <c r="H30" s="1434"/>
      <c r="I30" s="1434"/>
      <c r="J30" s="1434"/>
      <c r="K30" s="1434"/>
      <c r="L30" s="1435"/>
      <c r="M30" s="1434"/>
      <c r="N30" s="1434"/>
      <c r="O30" s="1434"/>
      <c r="P30" s="1434"/>
      <c r="Q30" s="1434"/>
      <c r="S30" s="2316" t="s">
        <v>42</v>
      </c>
      <c r="T30" s="2316"/>
      <c r="U30" s="1438"/>
      <c r="V30" s="2317" t="str">
        <f>IF(TITLE_NAME_OR_PR_CHANGE="",IF(TITLE_NAME_OR_PR="","",TITLE_NAME_OR_PR),TITLE_NAME_OR_PR_CHANGE)</f>
        <v>Департамент тарифной политики, энергетики и ЖКК ЯНАО </v>
      </c>
      <c r="W30" s="2317"/>
      <c r="X30" s="2317"/>
      <c r="Y30" s="2317"/>
      <c r="Z30" s="2317"/>
      <c r="AA30" s="392"/>
      <c r="AB30" s="2317" t="str">
        <f>IF(TITLE_NAME_OR_PR_CHANGE="",IF(TITLE_NAME_OR_PR="","",TITLE_NAME_OR_PR),TITLE_NAME_OR_PR_CHANGE)</f>
        <v>Департамент тарифной политики, энергетики и ЖКК ЯНАО </v>
      </c>
      <c r="AC30" s="2317"/>
      <c r="AD30" s="2317"/>
      <c r="AE30" s="2317"/>
      <c r="AF30" s="2317"/>
      <c r="AG30" s="2317"/>
      <c r="AH30" s="2317"/>
      <c r="AI30" s="2317"/>
      <c r="AJ30" s="2317"/>
      <c r="AK30" s="2317"/>
      <c r="AL30" s="2317"/>
      <c r="AM30" s="2317"/>
      <c r="AN30" s="2317"/>
      <c r="AO30" s="2317"/>
      <c r="AP30" s="2317"/>
      <c r="AQ30" s="2317"/>
      <c r="AR30" s="2317"/>
      <c r="AS30" s="392"/>
      <c r="AT30" s="392"/>
      <c r="AU30" s="346"/>
      <c r="AV30" s="434"/>
      <c r="AW30" s="434"/>
      <c r="AX30" s="434"/>
      <c r="AY30" s="434"/>
      <c r="AZ30" s="434"/>
      <c r="BA30" s="484">
        <v>0</v>
      </c>
    </row>
    <row s="5597" customFormat="1" customHeight="1" ht="18.75">
      <c r="A31" s="1434"/>
      <c r="B31" s="1434"/>
      <c r="C31" s="1434"/>
      <c r="D31" s="1434"/>
      <c r="E31" s="1434"/>
      <c r="F31" s="1434"/>
      <c r="G31" s="1434"/>
      <c r="H31" s="1434"/>
      <c r="I31" s="1434"/>
      <c r="J31" s="1434"/>
      <c r="K31" s="1434"/>
      <c r="L31" s="1435"/>
      <c r="M31" s="1434"/>
      <c r="N31" s="1434"/>
      <c r="O31" s="1434"/>
      <c r="P31" s="1434"/>
      <c r="Q31" s="1434"/>
      <c r="S31" s="2316" t="s">
        <v>429</v>
      </c>
      <c r="T31" s="2316"/>
      <c r="U31" s="1438"/>
      <c r="V31" s="2330" t="str">
        <f>IF(TITLE_DATE_PR_CHANGE="",IF(TITLE_DATE_PR="","",TITLE_DATE_PR),TITLE_DATE_PR_CHANGE)</f>
        <v>45631.41619212963</v>
      </c>
      <c r="W31" s="2330"/>
      <c r="X31" s="2330"/>
      <c r="Y31" s="2330"/>
      <c r="Z31" s="2330"/>
      <c r="AA31" s="392"/>
      <c r="AB31" s="2330" t="str">
        <f>IF(TITLE_DATE_PR_CHANGE="",IF(TITLE_DATE_PR="","",TITLE_DATE_PR),TITLE_DATE_PR_CHANGE)</f>
        <v>45631.41619212963</v>
      </c>
      <c r="AC31" s="2330"/>
      <c r="AD31" s="2330"/>
      <c r="AE31" s="2330"/>
      <c r="AF31" s="2330"/>
      <c r="AG31" s="2330"/>
      <c r="AH31" s="2330"/>
      <c r="AI31" s="2330"/>
      <c r="AJ31" s="2330"/>
      <c r="AK31" s="2330"/>
      <c r="AL31" s="2330"/>
      <c r="AM31" s="2330"/>
      <c r="AN31" s="2330"/>
      <c r="AO31" s="2330"/>
      <c r="AP31" s="2330"/>
      <c r="AQ31" s="2330"/>
      <c r="AR31" s="2330"/>
      <c r="AS31" s="392"/>
      <c r="AT31" s="392"/>
      <c r="AU31" s="346"/>
      <c r="AV31" s="434"/>
      <c r="AW31" s="434"/>
      <c r="AX31" s="434"/>
      <c r="AY31" s="434"/>
      <c r="AZ31" s="434"/>
      <c r="BA31" s="484">
        <v>0</v>
      </c>
    </row>
    <row s="5597" customFormat="1" customHeight="1" ht="18.75">
      <c r="A32" s="1434"/>
      <c r="B32" s="1434"/>
      <c r="C32" s="1434"/>
      <c r="D32" s="1434"/>
      <c r="E32" s="1434"/>
      <c r="F32" s="1434"/>
      <c r="G32" s="1434"/>
      <c r="H32" s="1434"/>
      <c r="I32" s="1434"/>
      <c r="J32" s="1434"/>
      <c r="K32" s="1434"/>
      <c r="L32" s="1435"/>
      <c r="M32" s="1434"/>
      <c r="N32" s="1434"/>
      <c r="O32" s="1434"/>
      <c r="P32" s="1434"/>
      <c r="Q32" s="1434"/>
      <c r="S32" s="2316" t="s">
        <v>430</v>
      </c>
      <c r="T32" s="2316"/>
      <c r="U32" s="1438"/>
      <c r="V32" s="2317" t="str">
        <f>IF(TITLE_NUMBER_PR_CHANGE="",IF(TITLE_NUMBER_PR="","",TITLE_NUMBER_PR),TITLE_NUMBER_PR_CHANGE)</f>
        <v>447-т</v>
      </c>
      <c r="W32" s="2317"/>
      <c r="X32" s="2317"/>
      <c r="Y32" s="2317"/>
      <c r="Z32" s="2317"/>
      <c r="AA32" s="392"/>
      <c r="AB32" s="2317" t="str">
        <f>IF(TITLE_NUMBER_PR_CHANGE="",IF(TITLE_NUMBER_PR="","",TITLE_NUMBER_PR),TITLE_NUMBER_PR_CHANGE)</f>
        <v>447-т</v>
      </c>
      <c r="AC32" s="2317"/>
      <c r="AD32" s="2317"/>
      <c r="AE32" s="2317"/>
      <c r="AF32" s="2317"/>
      <c r="AG32" s="2317"/>
      <c r="AH32" s="2317"/>
      <c r="AI32" s="2317"/>
      <c r="AJ32" s="2317"/>
      <c r="AK32" s="2317"/>
      <c r="AL32" s="2317"/>
      <c r="AM32" s="2317"/>
      <c r="AN32" s="2317"/>
      <c r="AO32" s="2317"/>
      <c r="AP32" s="2317"/>
      <c r="AQ32" s="2317"/>
      <c r="AR32" s="2317"/>
      <c r="AS32" s="392"/>
      <c r="AT32" s="392"/>
      <c r="AU32" s="346"/>
      <c r="AV32" s="434"/>
      <c r="AW32" s="434"/>
      <c r="AX32" s="434"/>
      <c r="AY32" s="434"/>
      <c r="AZ32" s="434"/>
      <c r="BA32" s="484">
        <v>0</v>
      </c>
    </row>
    <row s="5597" customFormat="1" customHeight="1" ht="18.75">
      <c r="A33" s="1434"/>
      <c r="B33" s="1434"/>
      <c r="C33" s="1434"/>
      <c r="D33" s="1434"/>
      <c r="E33" s="1434"/>
      <c r="F33" s="1434"/>
      <c r="G33" s="1434"/>
      <c r="H33" s="1434"/>
      <c r="I33" s="1434"/>
      <c r="J33" s="1434"/>
      <c r="K33" s="1434"/>
      <c r="L33" s="1435"/>
      <c r="M33" s="1434"/>
      <c r="N33" s="1434"/>
      <c r="O33" s="1434"/>
      <c r="P33" s="1434"/>
      <c r="Q33" s="1434"/>
      <c r="S33" s="2316" t="s">
        <v>44</v>
      </c>
      <c r="T33" s="2316"/>
      <c r="U33" s="1438"/>
      <c r="V33" s="2317" t="str">
        <f>IF(TITLE_IST_PUB_CHANGE="",IF(TITLE_IST_PUB="","",TITLE_IST_PUB),TITLE_IST_PUB_CHANGE)</f>
        <v>Официальный сайт Департамента тарифной политики, энергетики и ЖКК ЯНАО, https://rek-yamal.ru, 05.12.2024</v>
      </c>
      <c r="W33" s="2317"/>
      <c r="X33" s="2317"/>
      <c r="Y33" s="2317"/>
      <c r="Z33" s="2317"/>
      <c r="AA33" s="392"/>
      <c r="AB33" s="2317" t="str">
        <f>IF(TITLE_IST_PUB_CHANGE="",IF(TITLE_IST_PUB="","",TITLE_IST_PUB),TITLE_IST_PUB_CHANGE)</f>
        <v>Официальный сайт Департамента тарифной политики, энергетики и ЖКК ЯНАО, https://rek-yamal.ru, 05.12.2024</v>
      </c>
      <c r="AC33" s="2317"/>
      <c r="AD33" s="2317"/>
      <c r="AE33" s="2317"/>
      <c r="AF33" s="2317"/>
      <c r="AG33" s="2317"/>
      <c r="AH33" s="2317"/>
      <c r="AI33" s="2317"/>
      <c r="AJ33" s="2317"/>
      <c r="AK33" s="2317"/>
      <c r="AL33" s="2317"/>
      <c r="AM33" s="2317"/>
      <c r="AN33" s="2317"/>
      <c r="AO33" s="2317"/>
      <c r="AP33" s="2317"/>
      <c r="AQ33" s="2317"/>
      <c r="AR33" s="2317"/>
      <c r="AS33" s="392"/>
      <c r="AT33" s="392"/>
      <c r="AU33" s="346"/>
      <c r="AV33" s="434"/>
      <c r="AW33" s="434"/>
      <c r="AX33" s="434"/>
      <c r="AY33" s="434"/>
      <c r="AZ33" s="434"/>
      <c r="BA33" s="484">
        <v>0</v>
      </c>
    </row>
    <row customHeight="1" ht="14.25" hidden="1">
      <c r="Q34" s="357"/>
      <c r="R34" s="442"/>
      <c r="S34" s="1341"/>
      <c r="T34" s="429"/>
      <c r="U34" s="429"/>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575"/>
      <c r="BA34" s="1221">
        <v>0</v>
      </c>
    </row>
    <row s="5597" customFormat="1" customHeight="1" ht="18.75" hidden="1">
      <c r="A35" s="1434"/>
      <c r="B35" s="1434"/>
      <c r="C35" s="1434"/>
      <c r="D35" s="1434"/>
      <c r="E35" s="1434"/>
      <c r="F35" s="1434"/>
      <c r="G35" s="1434"/>
      <c r="H35" s="1434"/>
      <c r="I35" s="1434"/>
      <c r="J35" s="1434"/>
      <c r="K35" s="1434"/>
      <c r="L35" s="1435"/>
      <c r="M35" s="1434"/>
      <c r="N35" s="1434"/>
      <c r="O35" s="1434"/>
      <c r="P35" s="1434"/>
      <c r="Q35" s="1434"/>
      <c r="S35" s="2316" t="s">
        <v>429</v>
      </c>
      <c r="T35" s="2316"/>
      <c r="U35" s="1438"/>
      <c r="V35" s="2330" t="str">
        <f>IF(TITLE_DATE_PR_CHANGE="",IF(TITLE_DATE_PR="","",TITLE_DATE_PR),TITLE_DATE_PR_CHANGE)</f>
        <v>45631.41619212963</v>
      </c>
      <c r="W35" s="2330"/>
      <c r="X35" s="2330"/>
      <c r="Y35" s="2330"/>
      <c r="Z35" s="2330"/>
      <c r="AA35" s="392"/>
      <c r="AB35" s="2330" t="str">
        <f>IF(TITLE_DATE_PR_CHANGE="",IF(TITLE_DATE_PR="","",TITLE_DATE_PR),TITLE_DATE_PR_CHANGE)</f>
        <v>45631.41619212963</v>
      </c>
      <c r="AC35" s="2330"/>
      <c r="AD35" s="2330"/>
      <c r="AE35" s="2330"/>
      <c r="AF35" s="2330"/>
      <c r="AG35" s="2330"/>
      <c r="AH35" s="2330"/>
      <c r="AI35" s="2330"/>
      <c r="AJ35" s="2330"/>
      <c r="AK35" s="2330"/>
      <c r="AL35" s="2330"/>
      <c r="AM35" s="2330"/>
      <c r="AN35" s="2330"/>
      <c r="AO35" s="2330"/>
      <c r="AP35" s="2330"/>
      <c r="AQ35" s="2330"/>
      <c r="AR35" s="2330"/>
      <c r="AS35" s="392"/>
      <c r="AT35" s="392"/>
      <c r="AU35" s="346"/>
      <c r="AV35" s="434"/>
      <c r="AW35" s="434"/>
      <c r="AX35" s="434"/>
      <c r="AY35" s="434"/>
      <c r="AZ35" s="434"/>
      <c r="BA35" s="484">
        <v>0</v>
      </c>
    </row>
    <row s="5597" customFormat="1" customHeight="1" ht="18" hidden="1">
      <c r="A36" s="1434"/>
      <c r="B36" s="1434"/>
      <c r="C36" s="1434"/>
      <c r="D36" s="1434"/>
      <c r="E36" s="1434"/>
      <c r="F36" s="1434"/>
      <c r="G36" s="1434"/>
      <c r="H36" s="1434"/>
      <c r="I36" s="1434"/>
      <c r="J36" s="1434"/>
      <c r="K36" s="1434"/>
      <c r="L36" s="1435"/>
      <c r="M36" s="1434"/>
      <c r="N36" s="1434"/>
      <c r="O36" s="1434"/>
      <c r="P36" s="1434"/>
      <c r="Q36" s="1434"/>
      <c r="S36" s="2316" t="s">
        <v>430</v>
      </c>
      <c r="T36" s="2316"/>
      <c r="U36" s="1438"/>
      <c r="V36" s="2317" t="str">
        <f>IF(TITLE_NUMBER_PR_CHANGE="",IF(TITLE_NUMBER_PR="","",TITLE_NUMBER_PR),TITLE_NUMBER_PR_CHANGE)</f>
        <v>447-т</v>
      </c>
      <c r="W36" s="2317"/>
      <c r="X36" s="2317"/>
      <c r="Y36" s="2317"/>
      <c r="Z36" s="2317"/>
      <c r="AA36" s="392"/>
      <c r="AB36" s="2317" t="str">
        <f>IF(TITLE_NUMBER_PR_CHANGE="",IF(TITLE_NUMBER_PR="","",TITLE_NUMBER_PR),TITLE_NUMBER_PR_CHANGE)</f>
        <v>447-т</v>
      </c>
      <c r="AC36" s="2317"/>
      <c r="AD36" s="2317"/>
      <c r="AE36" s="2317"/>
      <c r="AF36" s="2317"/>
      <c r="AG36" s="2317"/>
      <c r="AH36" s="2317"/>
      <c r="AI36" s="2317"/>
      <c r="AJ36" s="2317"/>
      <c r="AK36" s="2317"/>
      <c r="AL36" s="2317"/>
      <c r="AM36" s="2317"/>
      <c r="AN36" s="2317"/>
      <c r="AO36" s="2317"/>
      <c r="AP36" s="2317"/>
      <c r="AQ36" s="2317"/>
      <c r="AR36" s="2317"/>
      <c r="AS36" s="392"/>
      <c r="AT36" s="392"/>
      <c r="AU36" s="346"/>
      <c r="AV36" s="434"/>
      <c r="AW36" s="434"/>
      <c r="AX36" s="434"/>
      <c r="AY36" s="434"/>
      <c r="AZ36" s="434"/>
      <c r="BA36" s="484">
        <v>0</v>
      </c>
    </row>
    <row s="5597" customFormat="1" customHeight="1" ht="1.05">
      <c r="A37" s="1434"/>
      <c r="B37" s="1434"/>
      <c r="C37" s="1434"/>
      <c r="D37" s="1434"/>
      <c r="E37" s="1434"/>
      <c r="F37" s="1434"/>
      <c r="G37" s="1434"/>
      <c r="H37" s="1434"/>
      <c r="I37" s="1434"/>
      <c r="J37" s="1434"/>
      <c r="K37" s="1434"/>
      <c r="L37" s="1435"/>
      <c r="M37" s="1434"/>
      <c r="N37" s="1434"/>
      <c r="O37" s="1434"/>
      <c r="P37" s="1434"/>
      <c r="Q37" s="1434"/>
      <c r="S37" s="389"/>
      <c r="T37" s="389"/>
      <c r="U37" s="1406"/>
      <c r="V37" s="392"/>
      <c r="W37" s="392"/>
      <c r="X37" s="392"/>
      <c r="Y37" s="392"/>
      <c r="Z37" s="392"/>
      <c r="AA37" s="344" t="s">
        <v>433</v>
      </c>
      <c r="AB37" s="392"/>
      <c r="AC37" s="392"/>
      <c r="AD37" s="392"/>
      <c r="AE37" s="392"/>
      <c r="AF37" s="392"/>
      <c r="AG37" s="392"/>
      <c r="AH37" s="392"/>
      <c r="AI37" s="392"/>
      <c r="AJ37" s="392"/>
      <c r="AK37" s="392"/>
      <c r="AL37" s="392"/>
      <c r="AM37" s="392"/>
      <c r="AN37" s="392"/>
      <c r="AO37" s="392"/>
      <c r="AP37" s="392"/>
      <c r="AQ37" s="392"/>
      <c r="AR37" s="392"/>
      <c r="AS37" s="344" t="s">
        <v>433</v>
      </c>
      <c r="AV37" s="434"/>
      <c r="AW37" s="434"/>
      <c r="AX37" s="434"/>
      <c r="AY37" s="434"/>
      <c r="AZ37" s="434"/>
      <c r="BA37" s="484">
        <v>1</v>
      </c>
    </row>
    <row customHeight="1" ht="14.699999999999998">
      <c r="Q38" s="357"/>
      <c r="R38" s="442"/>
      <c r="S38" s="1341"/>
      <c r="T38" s="429"/>
      <c r="U38" s="1310"/>
      <c r="V38" s="2318"/>
      <c r="W38" s="2318"/>
      <c r="X38" s="2318"/>
      <c r="Y38" s="2318"/>
      <c r="Z38" s="2318"/>
      <c r="AA38" s="2318"/>
      <c r="AB38" s="2318"/>
      <c r="AC38" s="2318"/>
      <c r="AD38" s="2318"/>
      <c r="AE38" s="2318"/>
      <c r="AF38" s="2318"/>
      <c r="AG38" s="2318"/>
      <c r="AH38" s="2318"/>
      <c r="AI38" s="2318"/>
      <c r="AJ38" s="2318"/>
      <c r="AK38" s="2318"/>
      <c r="AL38" s="2318"/>
      <c r="AM38" s="2318"/>
      <c r="AN38" s="2318"/>
      <c r="AO38" s="2318"/>
      <c r="AP38" s="2318"/>
      <c r="AQ38" s="2318"/>
      <c r="AR38" s="2318"/>
      <c r="AS38" s="2318"/>
      <c r="BA38" s="1221">
        <v>14</v>
      </c>
    </row>
    <row customHeight="1" ht="14.699999999999998">
      <c r="Q39" s="357"/>
      <c r="R39" s="442"/>
      <c r="S39" s="2193" t="s">
        <v>309</v>
      </c>
      <c r="T39" s="2193"/>
      <c r="U39" s="2193"/>
      <c r="V39" s="2193"/>
      <c r="W39" s="2193"/>
      <c r="X39" s="2193"/>
      <c r="Y39" s="2193"/>
      <c r="Z39" s="2193"/>
      <c r="AA39" s="2193"/>
      <c r="AB39" s="2241"/>
      <c r="AC39" s="2241"/>
      <c r="AD39" s="2241"/>
      <c r="AE39" s="2241"/>
      <c r="AF39" s="2193"/>
      <c r="AG39" s="2193"/>
      <c r="AH39" s="2193"/>
      <c r="AI39" s="2193"/>
      <c r="AJ39" s="2193"/>
      <c r="AK39" s="2193"/>
      <c r="AL39" s="2193"/>
      <c r="AM39" s="2193"/>
      <c r="AN39" s="2193"/>
      <c r="AO39" s="2193"/>
      <c r="AP39" s="2193"/>
      <c r="AQ39" s="2193"/>
      <c r="AR39" s="2193"/>
      <c r="AS39" s="2193"/>
      <c r="AT39" s="2193"/>
      <c r="AU39" s="2193" t="s">
        <v>310</v>
      </c>
      <c r="BA39" s="1221">
        <v>14</v>
      </c>
    </row>
    <row customHeight="1" ht="14.699999999999998">
      <c r="Q40" s="357"/>
      <c r="R40" s="442"/>
      <c r="S40" s="2339" t="s">
        <v>93</v>
      </c>
      <c r="T40" s="2275" t="s">
        <v>482</v>
      </c>
      <c r="U40" s="367"/>
      <c r="V40" s="2341"/>
      <c r="W40" s="2341"/>
      <c r="X40" s="2341"/>
      <c r="Y40" s="2341"/>
      <c r="Z40" s="2342"/>
      <c r="AA40" s="2402" t="s">
        <v>436</v>
      </c>
      <c r="AB40" s="2394" t="s">
        <v>483</v>
      </c>
      <c r="AC40" s="2357"/>
      <c r="AD40" s="2357"/>
      <c r="AE40" s="2395"/>
      <c r="AF40" s="2357" t="s">
        <v>484</v>
      </c>
      <c r="AG40" s="2357"/>
      <c r="AH40" s="2357"/>
      <c r="AI40" s="2395"/>
      <c r="AJ40" s="2394" t="s">
        <v>485</v>
      </c>
      <c r="AK40" s="2357"/>
      <c r="AL40" s="2357"/>
      <c r="AM40" s="2395"/>
      <c r="AN40" s="2394" t="s">
        <v>435</v>
      </c>
      <c r="AO40" s="2357"/>
      <c r="AP40" s="2341"/>
      <c r="AQ40" s="2341"/>
      <c r="AR40" s="2342"/>
      <c r="AS40" s="2343" t="s">
        <v>436</v>
      </c>
      <c r="AT40" s="2346" t="s">
        <v>438</v>
      </c>
      <c r="AU40" s="2193"/>
      <c r="BA40" s="1221">
        <v>14</v>
      </c>
    </row>
    <row customHeight="1" ht="35.699999999999996">
      <c r="Q41" s="357"/>
      <c r="R41" s="442"/>
      <c r="S41" s="2339"/>
      <c r="T41" s="2275"/>
      <c r="U41" s="1097"/>
      <c r="V41" s="2193" t="s">
        <v>486</v>
      </c>
      <c r="W41" s="2193"/>
      <c r="X41" s="2360" t="s">
        <v>442</v>
      </c>
      <c r="Y41" s="2379"/>
      <c r="Z41" s="2380"/>
      <c r="AA41" s="2403"/>
      <c r="AB41" s="2396"/>
      <c r="AC41" s="2397"/>
      <c r="AD41" s="2397"/>
      <c r="AE41" s="2398"/>
      <c r="AF41" s="2397"/>
      <c r="AG41" s="2397"/>
      <c r="AH41" s="2397"/>
      <c r="AI41" s="2398"/>
      <c r="AJ41" s="2396"/>
      <c r="AK41" s="2397"/>
      <c r="AL41" s="2397"/>
      <c r="AM41" s="2397"/>
      <c r="AN41" s="2193" t="s">
        <v>486</v>
      </c>
      <c r="AO41" s="2193"/>
      <c r="AP41" s="2379" t="s">
        <v>442</v>
      </c>
      <c r="AQ41" s="2379"/>
      <c r="AR41" s="2380"/>
      <c r="AS41" s="2344"/>
      <c r="AT41" s="2347"/>
      <c r="AU41" s="2193"/>
      <c r="BA41" s="1221">
        <v>34</v>
      </c>
    </row>
    <row customHeight="1" ht="14.699999999999998">
      <c r="Q42" s="357"/>
      <c r="R42" s="442"/>
      <c r="S42" s="2339"/>
      <c r="T42" s="2275"/>
      <c r="U42" s="1097"/>
      <c r="V42" s="2406" t="str">
        <f>IF($AN$42&lt;&gt;"",$AN$42,"")</f>
        <v/>
      </c>
      <c r="W42" s="2406"/>
      <c r="X42" s="2361"/>
      <c r="Y42" s="2381"/>
      <c r="Z42" s="2382"/>
      <c r="AA42" s="2403"/>
      <c r="AB42" s="2396"/>
      <c r="AC42" s="2397"/>
      <c r="AD42" s="2397"/>
      <c r="AE42" s="2398"/>
      <c r="AF42" s="2397"/>
      <c r="AG42" s="2397"/>
      <c r="AH42" s="2397"/>
      <c r="AI42" s="2398"/>
      <c r="AJ42" s="2396"/>
      <c r="AK42" s="2397"/>
      <c r="AL42" s="2397"/>
      <c r="AM42" s="2397"/>
      <c r="AN42" s="2405"/>
      <c r="AO42" s="2405"/>
      <c r="AP42" s="2381"/>
      <c r="AQ42" s="2381"/>
      <c r="AR42" s="2382"/>
      <c r="AS42" s="2344"/>
      <c r="AT42" s="2347"/>
      <c r="AU42" s="2193"/>
      <c r="BA42" s="1221">
        <v>14</v>
      </c>
    </row>
    <row customHeight="1" ht="14.699999999999998">
      <c r="A43" s="1436"/>
      <c r="B43" s="1436" t="s">
        <v>140</v>
      </c>
      <c r="C43" s="1436" t="s">
        <v>141</v>
      </c>
      <c r="D43" s="1436" t="s">
        <v>142</v>
      </c>
      <c r="E43" s="1430" t="s">
        <v>443</v>
      </c>
      <c r="F43" s="1430" t="s">
        <v>444</v>
      </c>
      <c r="G43" s="1430" t="s">
        <v>445</v>
      </c>
      <c r="H43" s="1430" t="s">
        <v>446</v>
      </c>
      <c r="I43" s="1430" t="s">
        <v>447</v>
      </c>
      <c r="J43" s="1430" t="s">
        <v>448</v>
      </c>
      <c r="K43" s="1430" t="s">
        <v>449</v>
      </c>
      <c r="L43" s="1430" t="s">
        <v>424</v>
      </c>
      <c r="Q43" s="357"/>
      <c r="R43" s="442"/>
      <c r="S43" s="2339"/>
      <c r="T43" s="2275"/>
      <c r="U43" s="368"/>
      <c r="V43" s="1396" t="s">
        <v>487</v>
      </c>
      <c r="W43" s="1396" t="s">
        <v>488</v>
      </c>
      <c r="X43" s="1404" t="s">
        <v>452</v>
      </c>
      <c r="Y43" s="2336" t="s">
        <v>453</v>
      </c>
      <c r="Z43" s="2337"/>
      <c r="AA43" s="2404"/>
      <c r="AB43" s="2399"/>
      <c r="AC43" s="2400"/>
      <c r="AD43" s="2400"/>
      <c r="AE43" s="2401"/>
      <c r="AF43" s="2400"/>
      <c r="AG43" s="2400"/>
      <c r="AH43" s="2400"/>
      <c r="AI43" s="2401"/>
      <c r="AJ43" s="2399"/>
      <c r="AK43" s="2400"/>
      <c r="AL43" s="2400"/>
      <c r="AM43" s="2401"/>
      <c r="AN43" s="1926" t="s">
        <v>487</v>
      </c>
      <c r="AO43" s="1926" t="s">
        <v>488</v>
      </c>
      <c r="AP43" s="1404" t="s">
        <v>452</v>
      </c>
      <c r="AQ43" s="2336" t="s">
        <v>453</v>
      </c>
      <c r="AR43" s="2337"/>
      <c r="AS43" s="2345"/>
      <c r="AT43" s="2348"/>
      <c r="AU43" s="2193"/>
      <c r="BA43" s="1221">
        <v>14</v>
      </c>
    </row>
    <row s="4153" customFormat="1" customHeight="1" ht="11.25" hidden="1">
      <c r="A44" s="1436"/>
      <c r="B44" s="1436"/>
      <c r="C44" s="1436"/>
      <c r="D44" s="1436"/>
      <c r="E44" s="1436"/>
      <c r="F44" s="1436"/>
      <c r="G44" s="1436"/>
      <c r="H44" s="1436"/>
      <c r="I44" s="1436"/>
      <c r="J44" s="1436"/>
      <c r="K44" s="1436"/>
      <c r="L44" s="1430"/>
      <c r="M44" s="1428"/>
      <c r="N44" s="1428"/>
      <c r="O44" s="1428"/>
      <c r="P44" s="576"/>
      <c r="Q44" s="1320"/>
      <c r="R44" s="1320">
        <v>1</v>
      </c>
      <c r="S44" s="1343" t="s">
        <v>114</v>
      </c>
      <c r="T44" s="1321" t="s">
        <v>115</v>
      </c>
      <c r="U44" s="1311" t="str">
        <f>OFFSET(U44,0,-1)</f>
        <v>2</v>
      </c>
      <c r="V44" s="1401">
        <f>OFFSET(V44,0,-1)+1</f>
        <v>3</v>
      </c>
      <c r="W44" s="1401">
        <f>OFFSET(W44,0,-1)+1</f>
        <v>4</v>
      </c>
      <c r="X44" s="1401">
        <f>OFFSET(X44,0,-1)+1</f>
        <v>5</v>
      </c>
      <c r="Y44" s="2338">
        <f>OFFSET(Y44,0,-1)+1</f>
        <v>6</v>
      </c>
      <c r="Z44" s="2338"/>
      <c r="AA44" s="1401">
        <f>OFFSET(AA44,0,-2)+1</f>
        <v>7</v>
      </c>
      <c r="AB44" s="1407">
        <f>OFFSET(AB44,0,-1)+1</f>
        <v>8</v>
      </c>
      <c r="AC44" s="1407"/>
      <c r="AD44" s="1407"/>
      <c r="AE44" s="1407"/>
      <c r="AF44" s="1401"/>
      <c r="AG44" s="1401"/>
      <c r="AH44" s="1401"/>
      <c r="AI44" s="1401"/>
      <c r="AJ44" s="1401"/>
      <c r="AK44" s="1401"/>
      <c r="AL44" s="1401"/>
      <c r="AM44" s="1401"/>
      <c r="AN44" s="1401">
        <f>OFFSET(AN44,0,-1)+1</f>
        <v>1</v>
      </c>
      <c r="AO44" s="1401">
        <f>OFFSET(AO44,0,-1)+1</f>
        <v>2</v>
      </c>
      <c r="AP44" s="1401">
        <f>OFFSET(AP44,0,-1)+1</f>
        <v>3</v>
      </c>
      <c r="AQ44" s="2338">
        <f>OFFSET(AQ44,0,-1)+1</f>
        <v>4</v>
      </c>
      <c r="AR44" s="2338"/>
      <c r="AS44" s="1401">
        <f>OFFSET(AS44,0,-2)+1</f>
        <v>5</v>
      </c>
      <c r="AT44" s="1311">
        <f>OFFSET(AT44,0,-1)</f>
        <v>5</v>
      </c>
      <c r="AU44" s="1401">
        <f>OFFSET(AU44,0,-1)+1</f>
        <v>6</v>
      </c>
      <c r="AV44" s="577"/>
      <c r="AW44" s="577"/>
      <c r="AX44" s="577"/>
      <c r="AY44" s="577"/>
      <c r="AZ44" s="577"/>
      <c r="BA44" s="562">
        <v>0</v>
      </c>
    </row>
    <row customHeight="1" ht="107.25">
      <c r="A45" s="1429" t="s">
        <v>209</v>
      </c>
      <c r="B45" s="1429"/>
      <c r="C45" s="1429"/>
      <c r="D45" s="1429"/>
      <c r="E45" s="2324">
        <v>1</v>
      </c>
      <c r="F45" s="1429"/>
      <c r="G45" s="1429"/>
      <c r="H45" s="1429"/>
      <c r="I45" s="1429"/>
      <c r="J45" s="1429"/>
      <c r="K45" s="1429"/>
      <c r="L45" s="1430"/>
      <c r="M45" s="1431"/>
      <c r="N45" s="1431"/>
      <c r="O45" s="1431"/>
      <c r="P45" s="1475"/>
      <c r="Q45" s="939"/>
      <c r="R45" s="421"/>
      <c r="S45" s="1402">
        <f>INDEX(PT_DIFFERENTIATION_NUM_NTAR,MATCH(A45,PT_DIFFERENTIATION_NTAR_ID,0))</f>
        <v>0</v>
      </c>
      <c r="T45" s="364" t="s">
        <v>128</v>
      </c>
      <c r="U45" s="366"/>
      <c r="V45" s="2309"/>
      <c r="W45" s="2309"/>
      <c r="X45" s="2309"/>
      <c r="Y45" s="2309"/>
      <c r="Z45" s="2309"/>
      <c r="AA45" s="2310"/>
      <c r="AB45" s="2308" t="str">
        <f>INDEX(PT_DIFFERENTIATION_NTAR,MATCH(A45,PT_DIFFERENTIATION_NTAR_ID,0))</f>
        <v/>
      </c>
      <c r="AC45" s="2309"/>
      <c r="AD45" s="2309"/>
      <c r="AE45" s="2309"/>
      <c r="AF45" s="2309"/>
      <c r="AG45" s="2309"/>
      <c r="AH45" s="2309"/>
      <c r="AI45" s="2309"/>
      <c r="AJ45" s="2309"/>
      <c r="AK45" s="2309"/>
      <c r="AL45" s="2309"/>
      <c r="AM45" s="2309"/>
      <c r="AN45" s="2309"/>
      <c r="AO45" s="2309"/>
      <c r="AP45" s="2309"/>
      <c r="AQ45" s="2309"/>
      <c r="AR45" s="2309"/>
      <c r="AS45" s="2309"/>
      <c r="AT45" s="2310"/>
      <c r="AU45"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6"/>
      <c r="AX45" s="566" t="str">
        <f>IF(T45="","",T45)</f>
        <v>Наименование тарифа</v>
      </c>
      <c r="AY45" s="566"/>
      <c r="AZ45" s="566"/>
      <c r="BA45" s="1221">
        <v>102</v>
      </c>
    </row>
    <row customHeight="1" ht="22.049999999999997">
      <c r="A46" s="1429" t="s">
        <v>209</v>
      </c>
      <c r="B46" s="1429" t="s">
        <v>210</v>
      </c>
      <c r="C46" s="1429"/>
      <c r="D46" s="1429"/>
      <c r="E46" s="2325"/>
      <c r="F46" s="2324">
        <v>1</v>
      </c>
      <c r="G46" s="1429"/>
      <c r="H46" s="1429"/>
      <c r="I46" s="1429"/>
      <c r="J46" s="1429"/>
      <c r="K46" s="1429"/>
      <c r="L46" s="1430"/>
      <c r="M46" s="1431"/>
      <c r="N46" s="1431"/>
      <c r="O46" s="1431"/>
      <c r="P46" s="1476"/>
      <c r="Q46" s="1477"/>
      <c r="R46" s="419"/>
      <c r="S46" s="1402" t="str">
        <f>INDEX(PT_DIFFERENTIATION_NUM_TER,MATCH(B46,PT_DIFFERENTIATION_TER_ID,0))</f>
        <v>.</v>
      </c>
      <c r="T46" s="374" t="s">
        <v>406</v>
      </c>
      <c r="U46" s="366"/>
      <c r="V46" s="2309"/>
      <c r="W46" s="2309"/>
      <c r="X46" s="2309"/>
      <c r="Y46" s="2309"/>
      <c r="Z46" s="2309"/>
      <c r="AA46" s="2310"/>
      <c r="AB46" s="2308" t="str">
        <f>INDEX(PT_DIFFERENTIATION_TER,MATCH(B46,PT_DIFFERENTIATION_TER_ID,0))</f>
        <v/>
      </c>
      <c r="AC46" s="2309"/>
      <c r="AD46" s="2309"/>
      <c r="AE46" s="2309"/>
      <c r="AF46" s="2309"/>
      <c r="AG46" s="2309"/>
      <c r="AH46" s="2309"/>
      <c r="AI46" s="2309"/>
      <c r="AJ46" s="2309"/>
      <c r="AK46" s="2309"/>
      <c r="AL46" s="2309"/>
      <c r="AM46" s="2309"/>
      <c r="AN46" s="2309"/>
      <c r="AO46" s="2309"/>
      <c r="AP46" s="2309"/>
      <c r="AQ46" s="2309"/>
      <c r="AR46" s="2309"/>
      <c r="AS46" s="2309"/>
      <c r="AT46" s="2310"/>
      <c r="AU46" s="1324" t="s">
        <v>407</v>
      </c>
      <c r="AW46" s="566"/>
      <c r="AX46" s="566" t="str">
        <f>IF(T46="","",T46)</f>
        <v>Территория действия тарифа</v>
      </c>
      <c r="AY46" s="566"/>
      <c r="AZ46" s="566"/>
      <c r="BA46" s="1221">
        <v>21</v>
      </c>
    </row>
    <row customHeight="1" ht="24">
      <c r="A47" s="1429" t="s">
        <v>209</v>
      </c>
      <c r="B47" s="1429" t="s">
        <v>210</v>
      </c>
      <c r="C47" s="1429" t="s">
        <v>211</v>
      </c>
      <c r="D47" s="1429"/>
      <c r="E47" s="2325"/>
      <c r="F47" s="2325"/>
      <c r="G47" s="2324">
        <v>1</v>
      </c>
      <c r="H47" s="1429"/>
      <c r="I47" s="1429"/>
      <c r="J47" s="1429"/>
      <c r="K47" s="1429"/>
      <c r="L47" s="1430"/>
      <c r="M47" s="1431"/>
      <c r="N47" s="1431"/>
      <c r="O47" s="1431"/>
      <c r="P47" s="1478"/>
      <c r="Q47" s="1477"/>
      <c r="R47" s="419"/>
      <c r="S47" s="1402" t="str">
        <f>INDEX(PT_DIFFERENTIATION_NUM_CS,MATCH(C47,PT_DIFFERENTIATION_CS_ID,0))</f>
        <v>..</v>
      </c>
      <c r="T47" s="375" t="s">
        <v>408</v>
      </c>
      <c r="U47" s="366"/>
      <c r="V47" s="2309"/>
      <c r="W47" s="2309"/>
      <c r="X47" s="2309"/>
      <c r="Y47" s="2309"/>
      <c r="Z47" s="2309"/>
      <c r="AA47" s="2310"/>
      <c r="AB47" s="2308" t="str">
        <f>INDEX(PT_DIFFERENTIATION_CS,MATCH(C47,PT_DIFFERENTIATION_CS_ID,0))</f>
        <v/>
      </c>
      <c r="AC47" s="2309"/>
      <c r="AD47" s="2309"/>
      <c r="AE47" s="2309"/>
      <c r="AF47" s="2309"/>
      <c r="AG47" s="2309"/>
      <c r="AH47" s="2309"/>
      <c r="AI47" s="2309"/>
      <c r="AJ47" s="2309"/>
      <c r="AK47" s="2309"/>
      <c r="AL47" s="2309"/>
      <c r="AM47" s="2309"/>
      <c r="AN47" s="2309"/>
      <c r="AO47" s="2309"/>
      <c r="AP47" s="2309"/>
      <c r="AQ47" s="2309"/>
      <c r="AR47" s="2309"/>
      <c r="AS47" s="2309"/>
      <c r="AT47" s="2310"/>
      <c r="AU47" s="1324" t="s">
        <v>409</v>
      </c>
      <c r="AW47" s="566"/>
      <c r="AX47" s="566" t="str">
        <f>IF(T47="","",T47)</f>
        <v>Наименование системы теплоснабжения </v>
      </c>
      <c r="AY47" s="566"/>
      <c r="AZ47" s="566"/>
      <c r="BA47" s="1221">
        <v>23</v>
      </c>
    </row>
    <row customHeight="1" ht="21">
      <c r="A48" s="1429" t="s">
        <v>209</v>
      </c>
      <c r="B48" s="1429" t="s">
        <v>210</v>
      </c>
      <c r="C48" s="1429" t="s">
        <v>211</v>
      </c>
      <c r="D48" s="1429" t="s">
        <v>212</v>
      </c>
      <c r="E48" s="2325"/>
      <c r="F48" s="2325"/>
      <c r="G48" s="2325"/>
      <c r="H48" s="2324">
        <v>1</v>
      </c>
      <c r="I48" s="1429"/>
      <c r="J48" s="1429"/>
      <c r="K48" s="1429"/>
      <c r="L48" s="1430"/>
      <c r="M48" s="1431"/>
      <c r="N48" s="1431"/>
      <c r="O48" s="1431"/>
      <c r="P48" s="1478"/>
      <c r="Q48" s="1477"/>
      <c r="R48" s="419"/>
      <c r="S48" s="1402" t="str">
        <f>INDEX(PT_DIFFERENTIATION_NUM_IST_TE,MATCH(D48,PT_DIFFERENTIATION_IST_TE_ID,0))</f>
        <v>...</v>
      </c>
      <c r="T48" s="376" t="s">
        <v>410</v>
      </c>
      <c r="U48" s="366"/>
      <c r="V48" s="2309"/>
      <c r="W48" s="2309"/>
      <c r="X48" s="2309"/>
      <c r="Y48" s="2309"/>
      <c r="Z48" s="2309"/>
      <c r="AA48" s="2310"/>
      <c r="AB48" s="2308" t="str">
        <f>INDEX(PT_DIFFERENTIATION_IST_TE,MATCH(D48,PT_DIFFERENTIATION_IST_TE_ID,0))</f>
        <v/>
      </c>
      <c r="AC48" s="2309"/>
      <c r="AD48" s="2309"/>
      <c r="AE48" s="2309"/>
      <c r="AF48" s="2309"/>
      <c r="AG48" s="2309"/>
      <c r="AH48" s="2309"/>
      <c r="AI48" s="2309"/>
      <c r="AJ48" s="2309"/>
      <c r="AK48" s="2309"/>
      <c r="AL48" s="2309"/>
      <c r="AM48" s="2309"/>
      <c r="AN48" s="2309"/>
      <c r="AO48" s="2309"/>
      <c r="AP48" s="2309"/>
      <c r="AQ48" s="2309"/>
      <c r="AR48" s="2309"/>
      <c r="AS48" s="2309"/>
      <c r="AT48" s="2310"/>
      <c r="AU48" s="1324" t="s">
        <v>411</v>
      </c>
      <c r="AW48" s="566"/>
      <c r="AX48" s="566" t="str">
        <f>IF(T48="","",T48)</f>
        <v>Источник тепловой энергии  </v>
      </c>
      <c r="AY48" s="566"/>
      <c r="AZ48" s="566"/>
      <c r="BA48" s="1221">
        <v>20</v>
      </c>
    </row>
    <row s="4562" customFormat="1" customHeight="1" ht="1.05">
      <c r="A49" s="1409" t="s">
        <v>209</v>
      </c>
      <c r="B49" s="1409" t="s">
        <v>210</v>
      </c>
      <c r="C49" s="1409" t="s">
        <v>211</v>
      </c>
      <c r="D49" s="1409" t="s">
        <v>212</v>
      </c>
      <c r="E49" s="2325"/>
      <c r="F49" s="2325"/>
      <c r="G49" s="2325"/>
      <c r="H49" s="2325"/>
      <c r="I49" s="2322" t="str">
        <f>S48&amp;".1"</f>
        <v>....1</v>
      </c>
      <c r="J49" s="1409"/>
      <c r="K49" s="1409"/>
      <c r="L49" s="1412" t="s">
        <v>412</v>
      </c>
      <c r="M49" s="576"/>
      <c r="N49" s="576"/>
      <c r="O49" s="576"/>
      <c r="P49" s="2323">
        <v>1</v>
      </c>
      <c r="Q49" s="1397"/>
      <c r="R49" s="422"/>
      <c r="S49" s="1108"/>
      <c r="T49" s="1449"/>
      <c r="U49" s="1450"/>
      <c r="V49" s="2363"/>
      <c r="W49" s="2363"/>
      <c r="X49" s="2363"/>
      <c r="Y49" s="2363"/>
      <c r="Z49" s="2363"/>
      <c r="AA49" s="2364"/>
      <c r="AB49" s="2362"/>
      <c r="AC49" s="2363"/>
      <c r="AD49" s="2363"/>
      <c r="AE49" s="2363"/>
      <c r="AF49" s="2363"/>
      <c r="AG49" s="2363"/>
      <c r="AH49" s="2363"/>
      <c r="AI49" s="2363"/>
      <c r="AJ49" s="2363"/>
      <c r="AK49" s="2363"/>
      <c r="AL49" s="2363"/>
      <c r="AM49" s="2363"/>
      <c r="AN49" s="2363"/>
      <c r="AO49" s="2363"/>
      <c r="AP49" s="2363"/>
      <c r="AQ49" s="2363"/>
      <c r="AR49" s="2363"/>
      <c r="AS49" s="2363"/>
      <c r="AT49" s="2364"/>
      <c r="AU49" s="1451"/>
      <c r="AW49" s="566"/>
      <c r="AX49" s="566" t="str">
        <f>IF(T49="","",T49)</f>
        <v/>
      </c>
      <c r="AY49" s="566"/>
      <c r="AZ49" s="566"/>
      <c r="BA49" s="577">
        <v>1</v>
      </c>
    </row>
    <row s="4562" customFormat="1" customHeight="1" ht="1.05">
      <c r="A50" s="1409" t="s">
        <v>209</v>
      </c>
      <c r="B50" s="1409" t="s">
        <v>210</v>
      </c>
      <c r="C50" s="1409" t="s">
        <v>211</v>
      </c>
      <c r="D50" s="1409" t="s">
        <v>212</v>
      </c>
      <c r="E50" s="2325"/>
      <c r="F50" s="2325"/>
      <c r="G50" s="2325"/>
      <c r="H50" s="2325"/>
      <c r="I50" s="2352"/>
      <c r="J50" s="2322" t="str">
        <f>S48&amp;".1"</f>
        <v>....1</v>
      </c>
      <c r="K50" s="1409"/>
      <c r="L50" s="1412"/>
      <c r="M50" s="576"/>
      <c r="N50" s="576"/>
      <c r="O50" s="576"/>
      <c r="P50" s="2323"/>
      <c r="Q50" s="2323">
        <v>1</v>
      </c>
      <c r="R50" s="423"/>
      <c r="S50" s="1108"/>
      <c r="T50" s="1465"/>
      <c r="U50" s="1450"/>
      <c r="V50" s="2363"/>
      <c r="W50" s="2363"/>
      <c r="X50" s="2363"/>
      <c r="Y50" s="2363"/>
      <c r="Z50" s="2363"/>
      <c r="AA50" s="2364"/>
      <c r="AB50" s="2362"/>
      <c r="AC50" s="2363"/>
      <c r="AD50" s="2363"/>
      <c r="AE50" s="2363"/>
      <c r="AF50" s="2363"/>
      <c r="AG50" s="2363"/>
      <c r="AH50" s="2363"/>
      <c r="AI50" s="2363"/>
      <c r="AJ50" s="2363"/>
      <c r="AK50" s="2363"/>
      <c r="AL50" s="2363"/>
      <c r="AM50" s="2363"/>
      <c r="AN50" s="2363"/>
      <c r="AO50" s="2363"/>
      <c r="AP50" s="2363"/>
      <c r="AQ50" s="2363"/>
      <c r="AR50" s="2363"/>
      <c r="AS50" s="2363"/>
      <c r="AT50" s="2364"/>
      <c r="AU50" s="1451"/>
      <c r="AW50" s="566"/>
      <c r="AX50" s="566" t="str">
        <f>IF(T50="","",T50)</f>
        <v/>
      </c>
      <c r="AY50" s="566"/>
      <c r="AZ50" s="566"/>
      <c r="BA50" s="577">
        <v>1</v>
      </c>
    </row>
    <row customHeight="1" ht="22.049999999999997">
      <c r="A51" s="1429" t="s">
        <v>209</v>
      </c>
      <c r="B51" s="1429" t="s">
        <v>210</v>
      </c>
      <c r="C51" s="1429" t="s">
        <v>211</v>
      </c>
      <c r="D51" s="1429" t="s">
        <v>212</v>
      </c>
      <c r="E51" s="2325"/>
      <c r="F51" s="2325"/>
      <c r="G51" s="2325"/>
      <c r="H51" s="2325"/>
      <c r="I51" s="2352"/>
      <c r="J51" s="2352"/>
      <c r="K51" s="2322" t="str">
        <f>S48&amp;".1"</f>
        <v>....1</v>
      </c>
      <c r="L51" s="1430"/>
      <c r="P51" s="2323"/>
      <c r="Q51" s="2323"/>
      <c r="R51" s="423">
        <v>1</v>
      </c>
      <c r="S51" s="2407" t="str">
        <f>$K51</f>
        <v>....1</v>
      </c>
      <c r="T51" s="2410"/>
      <c r="U51" s="366"/>
      <c r="V51" s="817"/>
      <c r="W51" s="1323"/>
      <c r="X51" s="1800"/>
      <c r="Y51" s="1525" t="s">
        <v>71</v>
      </c>
      <c r="Z51" s="1800"/>
      <c r="AA51" s="1525" t="s">
        <v>71</v>
      </c>
      <c r="AB51" s="2173" t="s">
        <v>19</v>
      </c>
      <c r="AC51" s="2392"/>
      <c r="AD51" s="2271">
        <v>1</v>
      </c>
      <c r="AE51" s="2414" t="s">
        <v>28</v>
      </c>
      <c r="AF51" s="2173" t="s">
        <v>19</v>
      </c>
      <c r="AG51" s="2392"/>
      <c r="AH51" s="2271">
        <v>1</v>
      </c>
      <c r="AI51" s="2414" t="s">
        <v>28</v>
      </c>
      <c r="AJ51" s="2173" t="s">
        <v>19</v>
      </c>
      <c r="AK51" s="377"/>
      <c r="AL51" s="1403">
        <v>1</v>
      </c>
      <c r="AM51" s="1468"/>
      <c r="AN51" s="817"/>
      <c r="AO51" s="1323"/>
      <c r="AP51" s="1800"/>
      <c r="AQ51" s="1525" t="s">
        <v>71</v>
      </c>
      <c r="AR51" s="1800"/>
      <c r="AS51" s="1525" t="s">
        <v>71</v>
      </c>
      <c r="AT51" s="1414"/>
      <c r="AU51" s="2319" t="s">
        <v>489</v>
      </c>
      <c r="AV51" s="577">
        <f>STRCHECKDATE(V54:AT54)</f>
      </c>
      <c r="AW51" s="566"/>
      <c r="AX51" s="566" t="str">
        <f>IF(T51="","",T51)</f>
        <v/>
      </c>
      <c r="AY51" s="566"/>
      <c r="AZ51" s="566"/>
      <c r="BA51" s="1221">
        <v>21</v>
      </c>
    </row>
    <row customHeight="1" ht="11.549999999999999">
      <c r="A52" s="1429" t="s">
        <v>209</v>
      </c>
      <c r="B52" s="1429"/>
      <c r="C52" s="1429"/>
      <c r="D52" s="1429"/>
      <c r="E52" s="2325"/>
      <c r="F52" s="2325"/>
      <c r="G52" s="2325"/>
      <c r="H52" s="2325"/>
      <c r="I52" s="2352"/>
      <c r="J52" s="2352"/>
      <c r="K52" s="2322"/>
      <c r="L52" s="1430"/>
      <c r="P52" s="2323"/>
      <c r="Q52" s="2323"/>
      <c r="R52" s="423"/>
      <c r="S52" s="2408"/>
      <c r="T52" s="2411"/>
      <c r="U52" s="366"/>
      <c r="V52" s="1459"/>
      <c r="W52" s="1562"/>
      <c r="X52" s="1459"/>
      <c r="Y52" s="1459"/>
      <c r="Z52" s="1459"/>
      <c r="AA52" s="1459"/>
      <c r="AB52" s="2173"/>
      <c r="AC52" s="2392"/>
      <c r="AD52" s="2271"/>
      <c r="AE52" s="2414"/>
      <c r="AF52" s="2173"/>
      <c r="AG52" s="2392"/>
      <c r="AH52" s="2271"/>
      <c r="AI52" s="2414"/>
      <c r="AJ52" s="2173"/>
      <c r="AK52" s="382"/>
      <c r="AL52" s="482"/>
      <c r="AM52" s="481" t="s">
        <v>474</v>
      </c>
      <c r="AN52" s="1459"/>
      <c r="AO52" s="1562"/>
      <c r="AP52" s="1459"/>
      <c r="AQ52" s="1459"/>
      <c r="AR52" s="1459"/>
      <c r="AS52" s="1459"/>
      <c r="AT52" s="1456"/>
      <c r="AU52" s="2320"/>
      <c r="AW52" s="566"/>
      <c r="AX52" s="566"/>
      <c r="AY52" s="566"/>
      <c r="AZ52" s="566"/>
      <c r="BA52" s="1221">
        <v>11</v>
      </c>
    </row>
    <row customHeight="1" ht="11.549999999999999">
      <c r="A53" s="1429" t="s">
        <v>209</v>
      </c>
      <c r="B53" s="1429"/>
      <c r="C53" s="1429"/>
      <c r="D53" s="1429"/>
      <c r="E53" s="2325"/>
      <c r="F53" s="2325"/>
      <c r="G53" s="2325"/>
      <c r="H53" s="2325"/>
      <c r="I53" s="2352"/>
      <c r="J53" s="2352"/>
      <c r="K53" s="2322"/>
      <c r="L53" s="1430"/>
      <c r="P53" s="2323"/>
      <c r="Q53" s="2323"/>
      <c r="R53" s="423"/>
      <c r="S53" s="2408"/>
      <c r="T53" s="2411"/>
      <c r="U53" s="366"/>
      <c r="V53" s="1459"/>
      <c r="W53" s="1562"/>
      <c r="X53" s="1459"/>
      <c r="Y53" s="1459"/>
      <c r="Z53" s="1459"/>
      <c r="AA53" s="1459"/>
      <c r="AB53" s="2173"/>
      <c r="AC53" s="2392"/>
      <c r="AD53" s="2271"/>
      <c r="AE53" s="2414"/>
      <c r="AF53" s="2173"/>
      <c r="AG53" s="360"/>
      <c r="AH53" s="481"/>
      <c r="AI53" s="481" t="s">
        <v>475</v>
      </c>
      <c r="AJ53" s="1459"/>
      <c r="AK53" s="1459"/>
      <c r="AL53" s="1459"/>
      <c r="AM53" s="1459"/>
      <c r="AN53" s="1459"/>
      <c r="AO53" s="1562"/>
      <c r="AP53" s="1459"/>
      <c r="AQ53" s="1459"/>
      <c r="AR53" s="1459"/>
      <c r="AS53" s="1459"/>
      <c r="AT53" s="1456"/>
      <c r="AU53" s="2320"/>
      <c r="AW53" s="566"/>
      <c r="AX53" s="566"/>
      <c r="AY53" s="566"/>
      <c r="AZ53" s="566"/>
      <c r="BA53" s="1221">
        <v>11</v>
      </c>
    </row>
    <row customHeight="1" ht="11.549999999999999">
      <c r="A54" s="1429" t="s">
        <v>209</v>
      </c>
      <c r="B54" s="1429" t="s">
        <v>210</v>
      </c>
      <c r="C54" s="1429" t="s">
        <v>211</v>
      </c>
      <c r="D54" s="1429" t="s">
        <v>212</v>
      </c>
      <c r="E54" s="2325"/>
      <c r="F54" s="2325"/>
      <c r="G54" s="2325"/>
      <c r="H54" s="2325"/>
      <c r="I54" s="2352"/>
      <c r="J54" s="2352"/>
      <c r="K54" s="2322"/>
      <c r="L54" s="1430"/>
      <c r="P54" s="2323"/>
      <c r="Q54" s="2323"/>
      <c r="R54" s="423"/>
      <c r="S54" s="2409"/>
      <c r="T54" s="2412"/>
      <c r="U54" s="366"/>
      <c r="V54" s="1459"/>
      <c r="W54" s="1460" t="str">
        <f>X51&amp;"-"&amp;Z51</f>
        <v>-</v>
      </c>
      <c r="X54" s="1459"/>
      <c r="Y54" s="1459"/>
      <c r="Z54" s="1459"/>
      <c r="AA54" s="1459"/>
      <c r="AB54" s="2173"/>
      <c r="AC54" s="378"/>
      <c r="AD54" s="380"/>
      <c r="AE54" s="481" t="s">
        <v>476</v>
      </c>
      <c r="AF54" s="1459"/>
      <c r="AG54" s="1459"/>
      <c r="AH54" s="1459"/>
      <c r="AI54" s="1459"/>
      <c r="AJ54" s="1459"/>
      <c r="AK54" s="1459"/>
      <c r="AL54" s="1459"/>
      <c r="AM54" s="1459"/>
      <c r="AN54" s="1459"/>
      <c r="AO54" s="1460" t="str">
        <f>AP51&amp;"-"&amp;AR51</f>
        <v>-</v>
      </c>
      <c r="AP54" s="1459"/>
      <c r="AQ54" s="1459"/>
      <c r="AR54" s="1459"/>
      <c r="AS54" s="1459"/>
      <c r="AT54" s="1415"/>
      <c r="AU54" s="2320"/>
      <c r="AW54" s="566"/>
      <c r="AX54" s="566" t="str">
        <f>IF(T54="","",T54)</f>
        <v/>
      </c>
      <c r="AY54" s="566"/>
      <c r="AZ54" s="566"/>
      <c r="BA54" s="1221">
        <v>11</v>
      </c>
    </row>
    <row customHeight="1" ht="11.549999999999999">
      <c r="A55" s="1429" t="s">
        <v>209</v>
      </c>
      <c r="B55" s="1429" t="s">
        <v>210</v>
      </c>
      <c r="C55" s="1429" t="s">
        <v>211</v>
      </c>
      <c r="D55" s="1429" t="s">
        <v>212</v>
      </c>
      <c r="E55" s="2325"/>
      <c r="F55" s="2325"/>
      <c r="G55" s="2325"/>
      <c r="H55" s="2325"/>
      <c r="I55" s="2352"/>
      <c r="J55" s="2322"/>
      <c r="K55" s="1429"/>
      <c r="L55" s="1430"/>
      <c r="P55" s="2323"/>
      <c r="Q55" s="2323"/>
      <c r="R55" s="422"/>
      <c r="S55" s="1344"/>
      <c r="T55" s="353" t="s">
        <v>477</v>
      </c>
      <c r="U55" s="433"/>
      <c r="V55" s="433"/>
      <c r="W55" s="433"/>
      <c r="X55" s="433"/>
      <c r="Y55" s="433"/>
      <c r="Z55" s="433"/>
      <c r="AA55" s="390"/>
      <c r="AB55" s="1571"/>
      <c r="AC55" s="433"/>
      <c r="AD55" s="433"/>
      <c r="AE55" s="433"/>
      <c r="AF55" s="433"/>
      <c r="AG55" s="433"/>
      <c r="AH55" s="433"/>
      <c r="AI55" s="433"/>
      <c r="AJ55" s="433"/>
      <c r="AK55" s="433"/>
      <c r="AL55" s="433"/>
      <c r="AM55" s="433"/>
      <c r="AN55" s="433"/>
      <c r="AO55" s="433"/>
      <c r="AP55" s="433"/>
      <c r="AQ55" s="433"/>
      <c r="AR55" s="433"/>
      <c r="AS55" s="433"/>
      <c r="AT55" s="390"/>
      <c r="AU55" s="2321"/>
      <c r="AW55" s="566"/>
      <c r="AX55" s="566" t="str">
        <f>IF(T55="","",T55)</f>
        <v>Добавить строку</v>
      </c>
      <c r="AY55" s="566"/>
      <c r="AZ55" s="566"/>
      <c r="BA55" s="1221">
        <v>11</v>
      </c>
    </row>
    <row s="4562" customFormat="1" customHeight="1" ht="1.05">
      <c r="A56" s="1409" t="s">
        <v>209</v>
      </c>
      <c r="B56" s="1409" t="s">
        <v>210</v>
      </c>
      <c r="C56" s="1409" t="s">
        <v>211</v>
      </c>
      <c r="D56" s="1409" t="s">
        <v>212</v>
      </c>
      <c r="E56" s="2325"/>
      <c r="F56" s="2325"/>
      <c r="G56" s="2325"/>
      <c r="H56" s="2325"/>
      <c r="I56" s="2322"/>
      <c r="J56" s="1409"/>
      <c r="K56" s="1409"/>
      <c r="L56" s="1412"/>
      <c r="M56" s="576"/>
      <c r="N56" s="576"/>
      <c r="O56" s="576"/>
      <c r="P56" s="2323"/>
      <c r="Q56" s="1397"/>
      <c r="R56" s="422"/>
      <c r="S56" s="1452"/>
      <c r="T56" s="1453" t="s">
        <v>421</v>
      </c>
      <c r="U56" s="1454"/>
      <c r="V56" s="1454"/>
      <c r="W56" s="1454"/>
      <c r="X56" s="1454"/>
      <c r="Y56" s="1454"/>
      <c r="Z56" s="1454"/>
      <c r="AA56" s="1454"/>
      <c r="AB56" s="1454"/>
      <c r="AC56" s="1454"/>
      <c r="AD56" s="1454"/>
      <c r="AE56" s="1454"/>
      <c r="AF56" s="1454"/>
      <c r="AG56" s="1454"/>
      <c r="AH56" s="1454"/>
      <c r="AI56" s="1454"/>
      <c r="AJ56" s="1454"/>
      <c r="AK56" s="1454"/>
      <c r="AL56" s="1454"/>
      <c r="AM56" s="1454"/>
      <c r="AN56" s="1454"/>
      <c r="AO56" s="1454"/>
      <c r="AP56" s="1454"/>
      <c r="AQ56" s="1454"/>
      <c r="AR56" s="1454"/>
      <c r="AS56" s="1454"/>
      <c r="AT56" s="1454"/>
      <c r="AU56" s="1455"/>
      <c r="AW56" s="566"/>
      <c r="AX56" s="566" t="str">
        <f>IF(T56="","",T56)</f>
        <v>Добавить группу потребителей</v>
      </c>
      <c r="AY56" s="566"/>
      <c r="AZ56" s="566"/>
      <c r="BA56" s="577">
        <v>1</v>
      </c>
    </row>
    <row s="4153" customFormat="1" customHeight="1" ht="1.05">
      <c r="A57" s="1409" t="s">
        <v>209</v>
      </c>
      <c r="B57" s="1409" t="s">
        <v>210</v>
      </c>
      <c r="C57" s="1409" t="s">
        <v>211</v>
      </c>
      <c r="D57" s="1409" t="s">
        <v>212</v>
      </c>
      <c r="E57" s="2325"/>
      <c r="F57" s="2325"/>
      <c r="G57" s="2325"/>
      <c r="H57" s="2324"/>
      <c r="I57" s="1409"/>
      <c r="J57" s="1409"/>
      <c r="K57" s="1409"/>
      <c r="L57" s="1412"/>
      <c r="M57" s="1381"/>
      <c r="N57" s="1381"/>
      <c r="O57" s="584"/>
      <c r="P57" s="446"/>
      <c r="Q57" s="1410"/>
      <c r="R57" s="1466"/>
      <c r="S57" s="1452"/>
      <c r="T57" s="1453"/>
      <c r="U57" s="1454"/>
      <c r="V57" s="1454"/>
      <c r="W57" s="1454"/>
      <c r="X57" s="1454"/>
      <c r="Y57" s="1454"/>
      <c r="Z57" s="1454"/>
      <c r="AA57" s="1454"/>
      <c r="AB57" s="1454"/>
      <c r="AC57" s="1454"/>
      <c r="AD57" s="1454"/>
      <c r="AE57" s="1454"/>
      <c r="AF57" s="1454"/>
      <c r="AG57" s="1454"/>
      <c r="AH57" s="1454"/>
      <c r="AI57" s="1454"/>
      <c r="AJ57" s="1454"/>
      <c r="AK57" s="1454"/>
      <c r="AL57" s="1454"/>
      <c r="AM57" s="1454"/>
      <c r="AN57" s="1454"/>
      <c r="AO57" s="1454"/>
      <c r="AP57" s="1454"/>
      <c r="AQ57" s="1454"/>
      <c r="AR57" s="1454"/>
      <c r="AS57" s="1454"/>
      <c r="AT57" s="1454"/>
      <c r="AU57" s="1455"/>
      <c r="AV57" s="577"/>
      <c r="AW57" s="566"/>
      <c r="AX57" s="566" t="str">
        <f>IF(T57="","",T57)</f>
        <v/>
      </c>
      <c r="AY57" s="566"/>
      <c r="AZ57" s="566"/>
      <c r="BA57" s="562">
        <v>1</v>
      </c>
    </row>
    <row s="4562" customFormat="1" customHeight="1" ht="1.05">
      <c r="A58" s="1409" t="s">
        <v>209</v>
      </c>
      <c r="B58" s="1409" t="s">
        <v>210</v>
      </c>
      <c r="C58" s="1409" t="s">
        <v>211</v>
      </c>
      <c r="D58" s="1380"/>
      <c r="E58" s="2325"/>
      <c r="F58" s="2325"/>
      <c r="G58" s="2324"/>
      <c r="H58" s="1380"/>
      <c r="I58" s="1380"/>
      <c r="J58" s="1380"/>
      <c r="K58" s="1380"/>
      <c r="L58" s="1405"/>
      <c r="M58" s="1381"/>
      <c r="N58" s="1381"/>
      <c r="P58" s="1382"/>
      <c r="Q58" s="1383"/>
      <c r="R58" s="1382"/>
      <c r="S58" s="1388"/>
      <c r="T58" s="1391" t="s">
        <v>173</v>
      </c>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W58" s="855"/>
      <c r="AX58" s="855" t="str">
        <f>IF(T58="","",T58)</f>
        <v>Добавить источник для дифференциации</v>
      </c>
      <c r="AY58" s="855"/>
      <c r="AZ58" s="855"/>
      <c r="BA58" s="584">
        <v>1</v>
      </c>
    </row>
    <row s="4562" customFormat="1" customHeight="1" ht="1.05">
      <c r="A59" s="1409" t="s">
        <v>209</v>
      </c>
      <c r="B59" s="1409" t="s">
        <v>210</v>
      </c>
      <c r="C59" s="1380"/>
      <c r="D59" s="1380"/>
      <c r="E59" s="2325"/>
      <c r="F59" s="2324"/>
      <c r="G59" s="1380"/>
      <c r="H59" s="1380"/>
      <c r="I59" s="1380"/>
      <c r="J59" s="1380"/>
      <c r="K59" s="1380"/>
      <c r="L59" s="1405"/>
      <c r="M59" s="1387"/>
      <c r="N59" s="1387"/>
      <c r="P59" s="1382"/>
      <c r="Q59" s="1383"/>
      <c r="R59" s="1382"/>
      <c r="S59" s="1388"/>
      <c r="T59" s="1391" t="s">
        <v>174</v>
      </c>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W59" s="855"/>
      <c r="AX59" s="855" t="str">
        <f>IF(T59="","",T59)</f>
        <v>Добавить централизованную систему для дифференциации</v>
      </c>
      <c r="AY59" s="855"/>
      <c r="AZ59" s="855"/>
      <c r="BA59" s="584">
        <v>1</v>
      </c>
    </row>
    <row s="4562" customFormat="1" customHeight="1" ht="1.05">
      <c r="A60" s="1409" t="s">
        <v>209</v>
      </c>
      <c r="B60" s="1409"/>
      <c r="C60" s="1409"/>
      <c r="D60" s="1409"/>
      <c r="E60" s="2325"/>
      <c r="F60" s="1409"/>
      <c r="G60" s="1409"/>
      <c r="H60" s="1409"/>
      <c r="I60" s="1409"/>
      <c r="J60" s="1409"/>
      <c r="K60" s="1409"/>
      <c r="L60" s="1412"/>
      <c r="M60" s="1387"/>
      <c r="N60" s="1387"/>
      <c r="O60" s="584"/>
      <c r="P60" s="446"/>
      <c r="Q60" s="1410"/>
      <c r="R60" s="446"/>
      <c r="S60" s="1388"/>
      <c r="T60" s="1391" t="s">
        <v>175</v>
      </c>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W60" s="566"/>
      <c r="AX60" s="566" t="str">
        <f>IF(T60="","",T60)</f>
        <v>Добавить территорию для дифференциации</v>
      </c>
      <c r="AY60" s="566"/>
      <c r="AZ60" s="566"/>
      <c r="BA60" s="577">
        <v>1</v>
      </c>
    </row>
    <row s="4562" customFormat="1" customHeight="1" ht="1.05">
      <c r="A61" s="1409" t="s">
        <v>209</v>
      </c>
      <c r="B61" s="1409"/>
      <c r="C61" s="1409"/>
      <c r="D61" s="1409"/>
      <c r="E61" s="2324"/>
      <c r="F61" s="1409"/>
      <c r="G61" s="1409"/>
      <c r="H61" s="1409"/>
      <c r="I61" s="1409"/>
      <c r="J61" s="1409"/>
      <c r="K61" s="1409"/>
      <c r="L61" s="1412"/>
      <c r="M61" s="1387"/>
      <c r="N61" s="1387"/>
      <c r="O61" s="584"/>
      <c r="P61" s="446"/>
      <c r="Q61" s="1410"/>
      <c r="R61" s="446"/>
      <c r="S61" s="1388"/>
      <c r="T61" s="1391" t="s">
        <v>175</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W61" s="566"/>
      <c r="AX61" s="566" t="str">
        <f>IF(T61="","",T61)</f>
        <v>Добавить территорию для дифференциации</v>
      </c>
      <c r="AY61" s="566"/>
      <c r="AZ61" s="566"/>
      <c r="BA61" s="577">
        <v>1</v>
      </c>
    </row>
    <row s="4562" customFormat="1" customHeight="1" ht="1.05">
      <c r="A62" s="1380"/>
      <c r="B62" s="1380"/>
      <c r="C62" s="1380"/>
      <c r="D62" s="1380"/>
      <c r="E62" s="1409"/>
      <c r="F62" s="1380"/>
      <c r="G62" s="1380"/>
      <c r="H62" s="1380"/>
      <c r="I62" s="1380"/>
      <c r="J62" s="1380"/>
      <c r="K62" s="1380"/>
      <c r="L62" s="1405"/>
      <c r="M62" s="1387"/>
      <c r="N62" s="1387"/>
      <c r="P62" s="1382"/>
      <c r="Q62" s="1383"/>
      <c r="R62" s="1382"/>
      <c r="S62" s="1388"/>
      <c r="T62" s="1391" t="s">
        <v>176</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W62" s="855"/>
      <c r="AX62" s="855" t="str">
        <f>IF(T62="","",T62)</f>
        <v>Добавить наименование тарифа</v>
      </c>
      <c r="AY62" s="855"/>
      <c r="AZ62" s="855"/>
      <c r="BA62" s="584">
        <v>1</v>
      </c>
    </row>
    <row customHeight="1" ht="11.549999999999999">
      <c r="M63" s="1226"/>
      <c r="N63" s="1226"/>
      <c r="O63" s="603"/>
      <c r="P63" s="1226"/>
      <c r="Q63" s="1226"/>
      <c r="R63" s="1221"/>
      <c r="S63" s="1221"/>
      <c r="AV63" s="1221"/>
      <c r="AW63" s="1221"/>
      <c r="AX63" s="1221"/>
      <c r="AY63" s="1221"/>
      <c r="AZ63" s="1221"/>
      <c r="BA63" s="1221">
        <v>11</v>
      </c>
    </row>
    <row customHeight="1" ht="19.9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N64" s="2351"/>
      <c r="AO64" s="2351"/>
      <c r="AP64" s="2351"/>
      <c r="AQ64" s="2351"/>
      <c r="AR64" s="2351"/>
      <c r="AS64" s="2351"/>
      <c r="AT64" s="2351"/>
      <c r="AU64" s="2351"/>
      <c r="BA64" s="1221">
        <v>19</v>
      </c>
    </row>
    <row customHeight="1" ht="21">
      <c r="O65" s="603"/>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BA65" s="1221">
        <v>20</v>
      </c>
    </row>
    <row customHeight="1" ht="14.699999999999998">
      <c r="O66" s="60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BA66" s="1221">
        <v>14</v>
      </c>
    </row>
    <row customHeight="1" ht="19.95">
      <c r="O67" s="603"/>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BA67" s="1221">
        <v>19</v>
      </c>
    </row>
    <row customHeight="1" ht="16.8">
      <c r="O68" s="603"/>
      <c r="T68" s="2351"/>
      <c r="U68" s="2351"/>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R68" s="2351"/>
      <c r="AS68" s="2351"/>
      <c r="AT68" s="2351"/>
      <c r="AU68" s="2351"/>
      <c r="BA68" s="1221">
        <v>16</v>
      </c>
    </row>
    <row customHeight="1" ht="14.699999999999998">
      <c r="O69" s="603"/>
      <c r="BA69" s="1221">
        <v>14</v>
      </c>
    </row>
    <row customHeight="1" ht="22.5" hidden="1">
      <c r="A70" s="1226" t="s">
        <v>87</v>
      </c>
      <c r="B70" s="1226">
        <v>0</v>
      </c>
      <c r="C70" s="1226">
        <v>0</v>
      </c>
      <c r="D70" s="1226">
        <v>0</v>
      </c>
      <c r="E70" s="1226">
        <v>0</v>
      </c>
      <c r="F70" s="1226">
        <v>0</v>
      </c>
      <c r="G70" s="1226">
        <v>0</v>
      </c>
      <c r="H70" s="1226">
        <v>0</v>
      </c>
      <c r="I70" s="1226">
        <v>0</v>
      </c>
      <c r="J70" s="1226">
        <v>0</v>
      </c>
      <c r="K70" s="1226">
        <v>0</v>
      </c>
      <c r="L70" s="1395">
        <v>0</v>
      </c>
      <c r="M70" s="1428">
        <v>0</v>
      </c>
      <c r="N70" s="1428">
        <v>0</v>
      </c>
      <c r="O70" s="1428">
        <v>0</v>
      </c>
      <c r="P70" s="1428">
        <v>3</v>
      </c>
      <c r="Q70" s="1437">
        <v>3</v>
      </c>
      <c r="R70" s="410">
        <v>3</v>
      </c>
      <c r="S70" s="647">
        <v>12</v>
      </c>
      <c r="T70" s="1221">
        <v>31</v>
      </c>
      <c r="U70" s="1221">
        <v>0</v>
      </c>
      <c r="V70" s="1221">
        <v>0</v>
      </c>
      <c r="W70" s="1221">
        <v>0</v>
      </c>
      <c r="X70" s="1221">
        <v>0</v>
      </c>
      <c r="Y70" s="1221">
        <v>0</v>
      </c>
      <c r="Z70" s="1221">
        <v>0</v>
      </c>
      <c r="AA70" s="1221">
        <v>0</v>
      </c>
      <c r="AB70" s="1221">
        <v>5</v>
      </c>
      <c r="AC70" s="1221">
        <v>3</v>
      </c>
      <c r="AD70" s="1221">
        <v>3</v>
      </c>
      <c r="AE70" s="1221">
        <v>24</v>
      </c>
      <c r="AF70" s="1221">
        <v>3</v>
      </c>
      <c r="AG70" s="1221">
        <v>3</v>
      </c>
      <c r="AH70" s="1221">
        <v>3</v>
      </c>
      <c r="AI70" s="1221">
        <v>24</v>
      </c>
      <c r="AJ70" s="1221">
        <v>3</v>
      </c>
      <c r="AK70" s="1221">
        <v>3</v>
      </c>
      <c r="AL70" s="1221">
        <v>3</v>
      </c>
      <c r="AM70" s="1221">
        <v>18</v>
      </c>
      <c r="AN70" s="1221">
        <v>21</v>
      </c>
      <c r="AO70" s="1221">
        <v>21</v>
      </c>
      <c r="AP70" s="1221">
        <v>11</v>
      </c>
      <c r="AQ70" s="1221">
        <v>3</v>
      </c>
      <c r="AR70" s="1221">
        <v>11</v>
      </c>
      <c r="AS70" s="1221">
        <v>8</v>
      </c>
      <c r="AT70" s="1221">
        <v>4</v>
      </c>
      <c r="AU70" s="1221">
        <v>115</v>
      </c>
      <c r="AV70" s="577">
        <v>10</v>
      </c>
      <c r="AW70" s="577">
        <v>10</v>
      </c>
      <c r="AX70" s="577">
        <v>10</v>
      </c>
      <c r="AY70" s="577">
        <v>10</v>
      </c>
      <c r="AZ70" s="577">
        <v>10</v>
      </c>
      <c r="BA70" s="122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C968F-6295-C72C-478D-8CF6796F9F5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002" width="10.57421875" hidden="1"/>
    <col min="2" max="2" style="5002" width="11.00390625" hidden="1" customWidth="1"/>
    <col min="3" max="3" style="5002" width="10.57421875" hidden="1"/>
    <col min="4" max="4" style="5002" width="11.8515625" hidden="1" customWidth="1"/>
    <col min="5" max="5" style="5002" width="10.00390625" hidden="1" customWidth="1"/>
    <col min="6" max="6" style="5002" width="8.7109375" hidden="1" customWidth="1"/>
    <col min="7" max="7" style="5002" width="7.57421875" hidden="1" customWidth="1"/>
    <col min="8" max="8" style="5002" width="11.421875" hidden="1" customWidth="1"/>
    <col min="9" max="9" style="5002" width="14.140625" hidden="1" customWidth="1"/>
    <col min="10" max="10" style="5002" width="9.8515625" hidden="1" customWidth="1"/>
    <col min="11" max="11" style="5002" width="14.7109375" hidden="1" customWidth="1"/>
    <col min="12" max="12" style="5519" width="19.140625" hidden="1" customWidth="1"/>
    <col min="13" max="14" style="4246" width="12.28125" hidden="1" customWidth="1"/>
    <col min="15" max="15" style="4246" width="23.421875" hidden="1" customWidth="1"/>
    <col min="16" max="16" style="5737" width="3.00390625" customWidth="1"/>
    <col min="17" max="18" style="5023" width="3.00390625" customWidth="1"/>
    <col min="19" max="19" style="5711" width="12.00390625" customWidth="1"/>
    <col min="20" max="20" style="5053" width="35.00390625" customWidth="1"/>
    <col min="21" max="21" style="5053" width="0.140625" customWidth="1"/>
    <col min="22" max="24" style="5053" width="24.7109375" hidden="1" customWidth="1"/>
    <col min="25" max="25" style="5053" width="11.7109375" hidden="1" customWidth="1"/>
    <col min="26" max="26" style="5053" width="3.7109375" hidden="1" customWidth="1"/>
    <col min="27" max="27" style="5053" width="11.7109375" hidden="1" customWidth="1"/>
    <col min="28" max="28" style="5053" width="8.57421875" hidden="1" customWidth="1"/>
    <col min="29" max="29" style="5053" width="24.7109375" customWidth="1"/>
    <col min="30" max="31" style="5053" width="24.00390625" customWidth="1"/>
    <col min="32" max="32" style="5053" width="11.00390625" customWidth="1"/>
    <col min="33" max="33" style="5053" width="3.7109375" customWidth="1"/>
    <col min="34" max="34" style="5053" width="11.00390625" customWidth="1"/>
    <col min="35" max="35" style="5053" width="8.57421875" hidden="1" customWidth="1"/>
    <col min="36" max="36" style="5053" width="4.00390625" customWidth="1"/>
    <col min="37" max="37" style="5053" width="115.00390625" customWidth="1"/>
    <col min="38" max="42" style="4562" width="10.00390625" customWidth="1"/>
    <col min="43" max="43" style="5053"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491">
        <f>INDEX(PT_DIFFERENTIATION_NUM_NTAR,MATCH(A2,PT_DIFFERENTIATION_NTAR_ID,0))</f>
      </c>
      <c r="T2" s="364" t="s">
        <v>128</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489"/>
      <c r="Q3" s="418"/>
      <c r="R3" s="419"/>
      <c r="S3" s="1491">
        <f>INDEX(PT_DIFFERENTIATION_NUM_TER,MATCH(B3,PT_DIFFERENTIATION_TER_ID,0))</f>
      </c>
      <c r="T3" s="374" t="s">
        <v>406</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407</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91">
        <f>INDEX(PT_DIFFERENTIATION_NUM_CS,MATCH(C4,PT_DIFFERENTIATION_CS_ID,0))</f>
      </c>
      <c r="T4" s="375" t="s">
        <v>490</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491</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488"/>
      <c r="R5" s="422"/>
      <c r="S5" s="1491">
        <f>$I5</f>
      </c>
      <c r="T5" s="351" t="s">
        <v>492</v>
      </c>
      <c r="U5" s="366"/>
      <c r="V5" s="2416"/>
      <c r="W5" s="2417"/>
      <c r="X5" s="2417"/>
      <c r="Y5" s="2417"/>
      <c r="Z5" s="2417"/>
      <c r="AA5" s="2417"/>
      <c r="AB5" s="2418"/>
      <c r="AC5" s="2419"/>
      <c r="AD5" s="2420"/>
      <c r="AE5" s="2420"/>
      <c r="AF5" s="2420"/>
      <c r="AG5" s="2420"/>
      <c r="AH5" s="2420"/>
      <c r="AI5" s="2420"/>
      <c r="AJ5" s="2421"/>
      <c r="AK5" s="1324" t="s">
        <v>493</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415</v>
      </c>
      <c r="P6" s="2323"/>
      <c r="Q6" s="2323">
        <v>1</v>
      </c>
      <c r="R6" s="423"/>
      <c r="S6" s="1491">
        <f>$J6</f>
      </c>
      <c r="T6" s="352" t="s">
        <v>416</v>
      </c>
      <c r="U6" s="366"/>
      <c r="V6" s="2311"/>
      <c r="W6" s="2312"/>
      <c r="X6" s="2312"/>
      <c r="Y6" s="2312"/>
      <c r="Z6" s="2312"/>
      <c r="AA6" s="2312"/>
      <c r="AB6" s="2313"/>
      <c r="AC6" s="2311"/>
      <c r="AD6" s="2312"/>
      <c r="AE6" s="2312"/>
      <c r="AF6" s="2312"/>
      <c r="AG6" s="2312"/>
      <c r="AH6" s="2312"/>
      <c r="AI6" s="2312"/>
      <c r="AJ6" s="2313"/>
      <c r="AK6" s="1373" t="s">
        <v>494</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491">
        <f>$K7</f>
      </c>
      <c r="T7" s="1503"/>
      <c r="U7" s="366"/>
      <c r="V7" s="817"/>
      <c r="W7" s="817"/>
      <c r="X7" s="1323"/>
      <c r="Y7" s="2331"/>
      <c r="Z7" s="2173" t="s">
        <v>71</v>
      </c>
      <c r="AA7" s="2331"/>
      <c r="AB7" s="2173" t="s">
        <v>71</v>
      </c>
      <c r="AC7" s="817"/>
      <c r="AD7" s="817"/>
      <c r="AE7" s="1323"/>
      <c r="AF7" s="2331"/>
      <c r="AG7" s="2173" t="s">
        <v>71</v>
      </c>
      <c r="AH7" s="2353"/>
      <c r="AI7" s="2173" t="s">
        <v>71</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490"/>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495</v>
      </c>
      <c r="U9" s="433"/>
      <c r="V9" s="433"/>
      <c r="W9" s="433"/>
      <c r="X9" s="433"/>
      <c r="Y9" s="433"/>
      <c r="Z9" s="433"/>
      <c r="AA9" s="433"/>
      <c r="AB9" s="433"/>
      <c r="AC9" s="433"/>
      <c r="AD9" s="433"/>
      <c r="AE9" s="433"/>
      <c r="AF9" s="433"/>
      <c r="AG9" s="433"/>
      <c r="AH9" s="433"/>
      <c r="AI9" s="433"/>
      <c r="AJ9" s="433"/>
      <c r="AK9" s="1324" t="s">
        <v>496</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488"/>
      <c r="R10" s="422"/>
      <c r="S10" s="1344"/>
      <c r="T10" s="431" t="s">
        <v>421</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14.25" hidden="1">
      <c r="A11" s="1429"/>
      <c r="B11" s="1429"/>
      <c r="C11" s="1429"/>
      <c r="D11" s="1429"/>
      <c r="E11" s="2325"/>
      <c r="F11" s="2325"/>
      <c r="G11" s="2325"/>
      <c r="H11" s="2324"/>
      <c r="I11" s="1429"/>
      <c r="J11" s="1429"/>
      <c r="K11" s="1429"/>
      <c r="L11" s="1430"/>
      <c r="M11" s="1431"/>
      <c r="N11" s="1431"/>
      <c r="O11" s="603"/>
      <c r="P11" s="426"/>
      <c r="Q11" s="441"/>
      <c r="R11" s="421"/>
      <c r="S11" s="1344"/>
      <c r="T11" s="438" t="s">
        <v>497</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562" customFormat="1" customHeight="1" ht="14.25" hidden="1">
      <c r="A12" s="1409"/>
      <c r="B12" s="1409"/>
      <c r="C12" s="1380"/>
      <c r="D12" s="1380"/>
      <c r="E12" s="2325"/>
      <c r="F12" s="2324"/>
      <c r="G12" s="1380"/>
      <c r="H12" s="1380"/>
      <c r="I12" s="1380"/>
      <c r="J12" s="1380"/>
      <c r="K12" s="1380"/>
      <c r="L12" s="1492"/>
      <c r="M12" s="1387"/>
      <c r="N12" s="1387"/>
      <c r="P12" s="1382"/>
      <c r="Q12" s="1383"/>
      <c r="R12" s="1382"/>
      <c r="S12" s="1388"/>
      <c r="T12" s="1391" t="s">
        <v>174</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562"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175</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71</v>
      </c>
      <c r="AH15" s="2333"/>
      <c r="AI15" s="2334" t="s">
        <v>71</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5002" customFormat="1" customHeight="1" ht="22.5" hidden="1">
      <c r="L18" s="1487"/>
      <c r="M18" s="1428"/>
      <c r="N18" s="1428"/>
      <c r="O18" s="1433" t="s">
        <v>423</v>
      </c>
      <c r="P18" s="1428"/>
      <c r="Q18" s="1437"/>
      <c r="R18" s="1437"/>
      <c r="S18" s="795"/>
      <c r="Y18" s="1433"/>
      <c r="AA18" s="1433"/>
      <c r="AB18" s="1432"/>
      <c r="AF18" s="1433"/>
      <c r="AH18" s="1433"/>
      <c r="AI18" s="1432"/>
      <c r="AL18" s="577"/>
      <c r="AM18" s="577"/>
      <c r="AN18" s="577"/>
      <c r="AO18" s="577"/>
      <c r="AP18" s="577"/>
      <c r="AQ18" s="1226">
        <v>0</v>
      </c>
    </row>
    <row s="5002" customFormat="1" customHeight="1" ht="14.25" hidden="1">
      <c r="L19" s="1487"/>
      <c r="M19" s="1428"/>
      <c r="N19" s="1428"/>
      <c r="O19" s="1428"/>
      <c r="P19" s="1428"/>
      <c r="Q19" s="1437"/>
      <c r="R19" s="1437"/>
      <c r="S19" s="795"/>
      <c r="AB19" s="1432"/>
      <c r="AI19" s="1432"/>
      <c r="AL19" s="577"/>
      <c r="AM19" s="577"/>
      <c r="AN19" s="577"/>
      <c r="AO19" s="577"/>
      <c r="AP19" s="577"/>
      <c r="AQ19" s="1226">
        <v>0</v>
      </c>
    </row>
    <row s="5002" customFormat="1" customHeight="1" ht="12" hidden="1">
      <c r="L20" s="1487"/>
      <c r="M20" s="1428"/>
      <c r="N20" s="1428"/>
      <c r="O20" s="1430" t="s">
        <v>424</v>
      </c>
      <c r="P20" s="1428"/>
      <c r="Q20" s="1508"/>
      <c r="R20" s="1508"/>
      <c r="S20" s="795"/>
      <c r="T20" s="1226" t="s">
        <v>425</v>
      </c>
      <c r="Z20" s="252" t="s">
        <v>426</v>
      </c>
      <c r="AB20" s="252" t="s">
        <v>427</v>
      </c>
      <c r="AC20" s="1226" t="s">
        <v>425</v>
      </c>
      <c r="AG20" s="252" t="s">
        <v>428</v>
      </c>
      <c r="AI20" s="252" t="s">
        <v>427</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597"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Департамент тарифной политики, энергетики и ЖКК ЯНАО </v>
      </c>
      <c r="W27" s="2317"/>
      <c r="X27" s="2317"/>
      <c r="Y27" s="2317"/>
      <c r="Z27" s="2317"/>
      <c r="AA27" s="2317"/>
      <c r="AB27" s="392"/>
      <c r="AC27" s="2317" t="str">
        <f>IF(TITLE_NAME_OR_PR_CHANGE="",IF(TITLE_NAME_OR_PR="","",TITLE_NAME_OR_PR),TITLE_NAME_OR_PR_CHANGE)</f>
        <v>Департамент тарифной политики, энергетики и ЖКК ЯНАО </v>
      </c>
      <c r="AD27" s="2317"/>
      <c r="AE27" s="2317"/>
      <c r="AF27" s="2317"/>
      <c r="AG27" s="2317"/>
      <c r="AH27" s="2317"/>
      <c r="AI27" s="392"/>
      <c r="AJ27" s="392"/>
      <c r="AK27" s="346"/>
      <c r="AL27" s="434"/>
      <c r="AM27" s="434"/>
      <c r="AN27" s="434"/>
      <c r="AO27" s="434"/>
      <c r="AP27" s="434"/>
      <c r="AQ27" s="484">
        <v>0</v>
      </c>
    </row>
    <row s="5597"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45631.41619212963</v>
      </c>
      <c r="W28" s="2330"/>
      <c r="X28" s="2330"/>
      <c r="Y28" s="2330"/>
      <c r="Z28" s="2330"/>
      <c r="AA28" s="2330"/>
      <c r="AB28" s="392"/>
      <c r="AC28" s="2330" t="str">
        <f>IF(TITLE_DATE_PR_CHANGE="",IF(TITLE_DATE_PR="","",TITLE_DATE_PR),TITLE_DATE_PR_CHANGE)</f>
        <v>45631.41619212963</v>
      </c>
      <c r="AD28" s="2330"/>
      <c r="AE28" s="2330"/>
      <c r="AF28" s="2330"/>
      <c r="AG28" s="2330"/>
      <c r="AH28" s="2330"/>
      <c r="AI28" s="392"/>
      <c r="AJ28" s="392"/>
      <c r="AK28" s="346"/>
      <c r="AL28" s="434"/>
      <c r="AM28" s="434"/>
      <c r="AN28" s="434"/>
      <c r="AO28" s="434"/>
      <c r="AP28" s="434"/>
      <c r="AQ28" s="484">
        <v>0</v>
      </c>
    </row>
    <row s="5597"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447-т</v>
      </c>
      <c r="W29" s="2317"/>
      <c r="X29" s="2317"/>
      <c r="Y29" s="2317"/>
      <c r="Z29" s="2317"/>
      <c r="AA29" s="2317"/>
      <c r="AB29" s="392"/>
      <c r="AC29" s="2317" t="str">
        <f>IF(TITLE_NUMBER_PR_CHANGE="",IF(TITLE_NUMBER_PR="","",TITLE_NUMBER_PR),TITLE_NUMBER_PR_CHANGE)</f>
        <v>447-т</v>
      </c>
      <c r="AD29" s="2317"/>
      <c r="AE29" s="2317"/>
      <c r="AF29" s="2317"/>
      <c r="AG29" s="2317"/>
      <c r="AH29" s="2317"/>
      <c r="AI29" s="392"/>
      <c r="AJ29" s="392"/>
      <c r="AK29" s="346"/>
      <c r="AL29" s="434"/>
      <c r="AM29" s="434"/>
      <c r="AN29" s="434"/>
      <c r="AO29" s="434"/>
      <c r="AP29" s="434"/>
      <c r="AQ29" s="484">
        <v>0</v>
      </c>
    </row>
    <row s="5597"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сайт Департамента тарифной политики, энергетики и ЖКК ЯНАО, https://rek-yamal.ru, 05.12.2024</v>
      </c>
      <c r="W30" s="2317"/>
      <c r="X30" s="2317"/>
      <c r="Y30" s="2317"/>
      <c r="Z30" s="2317"/>
      <c r="AA30" s="2317"/>
      <c r="AB30" s="392"/>
      <c r="AC30" s="2317" t="str">
        <f>IF(TITLE_IST_PUB_CHANGE="",IF(TITLE_IST_PUB="","",TITLE_IST_PUB),TITLE_IST_PUB_CHANGE)</f>
        <v>Официальный сайт Департамента тарифной политики, энергетики и ЖКК ЯНАО, https://rek-yamal.ru, 05.12.2024</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597"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45631.41619212963</v>
      </c>
      <c r="W32" s="2330"/>
      <c r="X32" s="2330"/>
      <c r="Y32" s="2330"/>
      <c r="Z32" s="2330"/>
      <c r="AA32" s="2330"/>
      <c r="AB32" s="392"/>
      <c r="AC32" s="2330" t="str">
        <f>IF(TITLE_DATE_PR_CHANGE="",IF(TITLE_DATE_PR="","",TITLE_DATE_PR),TITLE_DATE_PR_CHANGE)</f>
        <v>45631.41619212963</v>
      </c>
      <c r="AD32" s="2330"/>
      <c r="AE32" s="2330"/>
      <c r="AF32" s="2330"/>
      <c r="AG32" s="2330"/>
      <c r="AH32" s="2330"/>
      <c r="AI32" s="392"/>
      <c r="AJ32" s="392"/>
      <c r="AK32" s="346"/>
      <c r="AL32" s="434"/>
      <c r="AM32" s="434"/>
      <c r="AN32" s="434"/>
      <c r="AO32" s="434"/>
      <c r="AP32" s="434"/>
      <c r="AQ32" s="484">
        <v>0</v>
      </c>
    </row>
    <row s="5597"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447-т</v>
      </c>
      <c r="W33" s="2317"/>
      <c r="X33" s="2317"/>
      <c r="Y33" s="2317"/>
      <c r="Z33" s="2317"/>
      <c r="AA33" s="2317"/>
      <c r="AB33" s="392"/>
      <c r="AC33" s="2317" t="str">
        <f>IF(TITLE_NUMBER_PR_CHANGE="",IF(TITLE_NUMBER_PR="","",TITLE_NUMBER_PR),TITLE_NUMBER_PR_CHANGE)</f>
        <v>447-т</v>
      </c>
      <c r="AD33" s="2317"/>
      <c r="AE33" s="2317"/>
      <c r="AF33" s="2317"/>
      <c r="AG33" s="2317"/>
      <c r="AH33" s="2317"/>
      <c r="AI33" s="392"/>
      <c r="AJ33" s="392"/>
      <c r="AK33" s="346"/>
      <c r="AL33" s="434"/>
      <c r="AM33" s="434"/>
      <c r="AN33" s="434"/>
      <c r="AO33" s="434"/>
      <c r="AP33" s="434"/>
      <c r="AQ33" s="484">
        <v>0</v>
      </c>
    </row>
    <row s="5597" customFormat="1" customHeight="1" ht="1.05">
      <c r="A34" s="1434"/>
      <c r="B34" s="1434"/>
      <c r="C34" s="1434"/>
      <c r="D34" s="1434"/>
      <c r="E34" s="1434"/>
      <c r="F34" s="1434"/>
      <c r="G34" s="1434"/>
      <c r="H34" s="1434"/>
      <c r="I34" s="1434"/>
      <c r="J34" s="1434"/>
      <c r="K34" s="1434"/>
      <c r="L34" s="1435"/>
      <c r="M34" s="1434"/>
      <c r="N34" s="1434"/>
      <c r="O34" s="1434"/>
      <c r="S34" s="389"/>
      <c r="T34" s="389"/>
      <c r="U34" s="1421"/>
      <c r="V34" s="392"/>
      <c r="W34" s="392"/>
      <c r="X34" s="392"/>
      <c r="Y34" s="392"/>
      <c r="Z34" s="392"/>
      <c r="AA34" s="392"/>
      <c r="AB34" s="344" t="s">
        <v>433</v>
      </c>
      <c r="AC34" s="392"/>
      <c r="AD34" s="392"/>
      <c r="AE34" s="392"/>
      <c r="AF34" s="392"/>
      <c r="AG34" s="392"/>
      <c r="AH34" s="392"/>
      <c r="AI34" s="344" t="s">
        <v>433</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t="s">
        <v>310</v>
      </c>
      <c r="AQ36" s="1221">
        <v>14</v>
      </c>
    </row>
    <row customHeight="1" ht="14.699999999999998">
      <c r="Q37" s="442"/>
      <c r="R37" s="442"/>
      <c r="S37" s="2339" t="s">
        <v>93</v>
      </c>
      <c r="T37" s="2275" t="s">
        <v>434</v>
      </c>
      <c r="U37" s="367"/>
      <c r="V37" s="2340" t="s">
        <v>435</v>
      </c>
      <c r="W37" s="2341"/>
      <c r="X37" s="2341"/>
      <c r="Y37" s="2341"/>
      <c r="Z37" s="2341"/>
      <c r="AA37" s="2342"/>
      <c r="AB37" s="2343" t="s">
        <v>436</v>
      </c>
      <c r="AC37" s="2340" t="s">
        <v>435</v>
      </c>
      <c r="AD37" s="2341"/>
      <c r="AE37" s="2341"/>
      <c r="AF37" s="2341"/>
      <c r="AG37" s="2341"/>
      <c r="AH37" s="2342"/>
      <c r="AI37" s="2343" t="s">
        <v>437</v>
      </c>
      <c r="AJ37" s="2346" t="s">
        <v>438</v>
      </c>
      <c r="AK37" s="2193"/>
      <c r="AQ37" s="1221">
        <v>14</v>
      </c>
    </row>
    <row customHeight="1" ht="35.699999999999996">
      <c r="Q38" s="442"/>
      <c r="R38" s="442"/>
      <c r="S38" s="2339"/>
      <c r="T38" s="2275"/>
      <c r="U38" s="1097"/>
      <c r="V38" s="1418" t="s">
        <v>498</v>
      </c>
      <c r="W38" s="2328" t="s">
        <v>441</v>
      </c>
      <c r="X38" s="2329"/>
      <c r="Y38" s="2328" t="s">
        <v>442</v>
      </c>
      <c r="Z38" s="2335"/>
      <c r="AA38" s="2329"/>
      <c r="AB38" s="2344"/>
      <c r="AC38" s="1418" t="s">
        <v>498</v>
      </c>
      <c r="AD38" s="2328" t="s">
        <v>441</v>
      </c>
      <c r="AE38" s="2329"/>
      <c r="AF38" s="2328" t="s">
        <v>442</v>
      </c>
      <c r="AG38" s="2335"/>
      <c r="AH38" s="2329"/>
      <c r="AI38" s="2344"/>
      <c r="AJ38" s="2347"/>
      <c r="AK38" s="2193"/>
      <c r="AQ38" s="1221">
        <v>34</v>
      </c>
    </row>
    <row customHeight="1" ht="35.699999999999996">
      <c r="A39" s="1436"/>
      <c r="B39" s="1436" t="s">
        <v>140</v>
      </c>
      <c r="C39" s="1436" t="s">
        <v>141</v>
      </c>
      <c r="D39" s="1436" t="s">
        <v>142</v>
      </c>
      <c r="E39" s="1430" t="s">
        <v>443</v>
      </c>
      <c r="F39" s="1430" t="s">
        <v>444</v>
      </c>
      <c r="G39" s="1430" t="s">
        <v>445</v>
      </c>
      <c r="H39" s="1430"/>
      <c r="I39" s="1430" t="s">
        <v>499</v>
      </c>
      <c r="J39" s="1430" t="s">
        <v>448</v>
      </c>
      <c r="K39" s="1430" t="s">
        <v>500</v>
      </c>
      <c r="L39" s="1430" t="s">
        <v>424</v>
      </c>
      <c r="Q39" s="442"/>
      <c r="R39" s="442"/>
      <c r="S39" s="2339"/>
      <c r="T39" s="2275"/>
      <c r="U39" s="368"/>
      <c r="V39" s="1418" t="s">
        <v>501</v>
      </c>
      <c r="W39" s="1288" t="s">
        <v>502</v>
      </c>
      <c r="X39" s="1288" t="s">
        <v>503</v>
      </c>
      <c r="Y39" s="1423" t="s">
        <v>452</v>
      </c>
      <c r="Z39" s="2336" t="s">
        <v>453</v>
      </c>
      <c r="AA39" s="2337"/>
      <c r="AB39" s="2345"/>
      <c r="AC39" s="1418" t="s">
        <v>501</v>
      </c>
      <c r="AD39" s="1288" t="s">
        <v>502</v>
      </c>
      <c r="AE39" s="1288" t="s">
        <v>503</v>
      </c>
      <c r="AF39" s="1423" t="s">
        <v>452</v>
      </c>
      <c r="AG39" s="2336" t="s">
        <v>453</v>
      </c>
      <c r="AH39" s="2337"/>
      <c r="AI39" s="2345"/>
      <c r="AJ39" s="2348"/>
      <c r="AK39" s="2193"/>
      <c r="AQ39" s="1221">
        <v>34</v>
      </c>
    </row>
    <row s="4153"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114</v>
      </c>
      <c r="T40" s="1321" t="s">
        <v>115</v>
      </c>
      <c r="U40" s="1311" t="str">
        <f>OFFSET(U40,0,-1)</f>
        <v>2</v>
      </c>
      <c r="V40" s="1419">
        <f>OFFSET(V40,0,-1)+1</f>
        <v>3</v>
      </c>
      <c r="W40" s="1419">
        <f>OFFSET(W40,0,-1)+1</f>
        <v>4</v>
      </c>
      <c r="X40" s="1419">
        <f>OFFSET(X40,0,-1)+1</f>
        <v>5</v>
      </c>
      <c r="Y40" s="1419">
        <f>OFFSET(Y40,0,-1)+1</f>
        <v>6</v>
      </c>
      <c r="Z40" s="2338">
        <f>OFFSET(Z40,0,-1)+1</f>
        <v>7</v>
      </c>
      <c r="AA40" s="2338"/>
      <c r="AB40" s="1419">
        <f>OFFSET(AB40,0,-2)+1</f>
        <v>8</v>
      </c>
      <c r="AC40" s="1419">
        <f>OFFSET(AC40,0,-1)+1</f>
        <v>9</v>
      </c>
      <c r="AD40" s="1419">
        <f>OFFSET(AD40,0,-1)+1</f>
        <v>10</v>
      </c>
      <c r="AE40" s="1419">
        <f>OFFSET(AE40,0,-1)+1</f>
        <v>11</v>
      </c>
      <c r="AF40" s="1419">
        <f>OFFSET(AF40,0,-1)+1</f>
        <v>12</v>
      </c>
      <c r="AG40" s="2338">
        <f>OFFSET(AG40,0,-1)+1</f>
        <v>13</v>
      </c>
      <c r="AH40" s="2338"/>
      <c r="AI40" s="1419">
        <f>OFFSET(AI40,0,-2)+1</f>
        <v>14</v>
      </c>
      <c r="AJ40" s="1311">
        <f>OFFSET(AJ40,0,-1)</f>
        <v>14</v>
      </c>
      <c r="AK40" s="1419">
        <f>OFFSET(AK40,0,-1)+1</f>
        <v>15</v>
      </c>
      <c r="AL40" s="577"/>
      <c r="AM40" s="577"/>
      <c r="AN40" s="577"/>
      <c r="AO40" s="577"/>
      <c r="AP40" s="577"/>
      <c r="AQ40" s="562">
        <v>0</v>
      </c>
    </row>
    <row customHeight="1" ht="24">
      <c r="A41" s="1429" t="s">
        <v>235</v>
      </c>
      <c r="B41" s="1429"/>
      <c r="C41" s="1429"/>
      <c r="D41" s="1429"/>
      <c r="E41" s="2324">
        <v>1</v>
      </c>
      <c r="F41" s="1429"/>
      <c r="G41" s="1429"/>
      <c r="H41" s="1429"/>
      <c r="I41" s="1429"/>
      <c r="J41" s="1429"/>
      <c r="K41" s="1429"/>
      <c r="L41" s="1430"/>
      <c r="M41" s="1431"/>
      <c r="N41" s="1431"/>
      <c r="O41" s="1431"/>
      <c r="P41" s="427"/>
      <c r="Q41" s="426"/>
      <c r="R41" s="421"/>
      <c r="S41" s="1424">
        <f>INDEX(PT_DIFFERENTIATION_NUM_NTAR,MATCH(A41,PT_DIFFERENTIATION_NTAR_ID,0))</f>
        <v>0</v>
      </c>
      <c r="T41" s="364" t="s">
        <v>128</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235</v>
      </c>
      <c r="B42" s="1429" t="s">
        <v>236</v>
      </c>
      <c r="C42" s="1429"/>
      <c r="D42" s="1429"/>
      <c r="E42" s="2325"/>
      <c r="F42" s="2324">
        <v>1</v>
      </c>
      <c r="G42" s="1429"/>
      <c r="H42" s="1429"/>
      <c r="I42" s="1429"/>
      <c r="J42" s="1429"/>
      <c r="K42" s="1429"/>
      <c r="L42" s="1430"/>
      <c r="M42" s="1431"/>
      <c r="N42" s="1431"/>
      <c r="O42" s="1431"/>
      <c r="P42" s="1422"/>
      <c r="Q42" s="418"/>
      <c r="R42" s="419"/>
      <c r="S42" s="1424" t="str">
        <f>INDEX(PT_DIFFERENTIATION_NUM_TER,MATCH(B42,PT_DIFFERENTIATION_TER_ID,0))</f>
        <v>.</v>
      </c>
      <c r="T42" s="374" t="s">
        <v>406</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407</v>
      </c>
      <c r="AM42" s="566"/>
      <c r="AN42" s="566" t="str">
        <f>IF(T42="","",T42)</f>
        <v>Территория действия тарифа</v>
      </c>
      <c r="AO42" s="566"/>
      <c r="AP42" s="566"/>
      <c r="AQ42" s="1221">
        <v>23</v>
      </c>
    </row>
    <row customHeight="1" ht="24">
      <c r="A43" s="1429" t="s">
        <v>235</v>
      </c>
      <c r="B43" s="1429" t="s">
        <v>236</v>
      </c>
      <c r="C43" s="1429" t="s">
        <v>237</v>
      </c>
      <c r="D43" s="1429"/>
      <c r="E43" s="2325"/>
      <c r="F43" s="2325"/>
      <c r="G43" s="2324">
        <v>1</v>
      </c>
      <c r="H43" s="1429"/>
      <c r="I43" s="1429"/>
      <c r="J43" s="1429"/>
      <c r="K43" s="1429"/>
      <c r="L43" s="1430"/>
      <c r="M43" s="1431"/>
      <c r="N43" s="1431"/>
      <c r="O43" s="1431"/>
      <c r="P43" s="420"/>
      <c r="Q43" s="418"/>
      <c r="R43" s="419"/>
      <c r="S43" s="1424" t="str">
        <f>INDEX(PT_DIFFERENTIATION_NUM_CS,MATCH(C43,PT_DIFFERENTIATION_CS_ID,0))</f>
        <v>..</v>
      </c>
      <c r="T43" s="375" t="s">
        <v>490</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491</v>
      </c>
      <c r="AM43" s="566"/>
      <c r="AN43" s="566" t="str">
        <f>IF(T43="","",T43)</f>
        <v>Наименование централизованной системы холодного водоснабжения</v>
      </c>
      <c r="AO43" s="566"/>
      <c r="AP43" s="566"/>
      <c r="AQ43" s="1221">
        <v>23</v>
      </c>
    </row>
    <row customHeight="1" ht="24">
      <c r="A44" s="1429" t="s">
        <v>235</v>
      </c>
      <c r="B44" s="1429" t="s">
        <v>236</v>
      </c>
      <c r="C44" s="1429" t="s">
        <v>237</v>
      </c>
      <c r="D44" s="1429" t="s">
        <v>504</v>
      </c>
      <c r="E44" s="2325"/>
      <c r="F44" s="2325"/>
      <c r="G44" s="2325"/>
      <c r="H44" s="2325"/>
      <c r="I44" s="2322" t="str">
        <f>S43&amp;".1"</f>
        <v>...1</v>
      </c>
      <c r="J44" s="1429"/>
      <c r="K44" s="1429"/>
      <c r="L44" s="1430"/>
      <c r="P44" s="2323">
        <v>1</v>
      </c>
      <c r="Q44" s="1420"/>
      <c r="R44" s="422"/>
      <c r="S44" s="1424" t="str">
        <f>$I44</f>
        <v>...1</v>
      </c>
      <c r="T44" s="351" t="s">
        <v>492</v>
      </c>
      <c r="U44" s="366"/>
      <c r="V44" s="2416"/>
      <c r="W44" s="2417"/>
      <c r="X44" s="2417"/>
      <c r="Y44" s="2417"/>
      <c r="Z44" s="2417"/>
      <c r="AA44" s="2417"/>
      <c r="AB44" s="2418"/>
      <c r="AC44" s="2419"/>
      <c r="AD44" s="2420"/>
      <c r="AE44" s="2420"/>
      <c r="AF44" s="2420"/>
      <c r="AG44" s="2420"/>
      <c r="AH44" s="2420"/>
      <c r="AI44" s="2420"/>
      <c r="AJ44" s="2421"/>
      <c r="AK44" s="1324" t="s">
        <v>493</v>
      </c>
      <c r="AM44" s="566"/>
      <c r="AN44" s="566" t="str">
        <f>IF(T44="","",T44)</f>
        <v>Наименование признака дифференциации</v>
      </c>
      <c r="AO44" s="566"/>
      <c r="AP44" s="566"/>
      <c r="AQ44" s="1221">
        <v>23</v>
      </c>
    </row>
    <row customHeight="1" ht="24">
      <c r="A45" s="1429" t="s">
        <v>235</v>
      </c>
      <c r="B45" s="1429" t="s">
        <v>236</v>
      </c>
      <c r="C45" s="1429" t="s">
        <v>237</v>
      </c>
      <c r="D45" s="1429" t="s">
        <v>504</v>
      </c>
      <c r="E45" s="2325"/>
      <c r="F45" s="2325"/>
      <c r="G45" s="2325"/>
      <c r="H45" s="2325"/>
      <c r="I45" s="2352"/>
      <c r="J45" s="2322" t="str">
        <f>I44&amp;".1"</f>
        <v>...1.1</v>
      </c>
      <c r="K45" s="1429"/>
      <c r="L45" s="1430" t="s">
        <v>415</v>
      </c>
      <c r="P45" s="2323"/>
      <c r="Q45" s="2323">
        <v>1</v>
      </c>
      <c r="R45" s="423"/>
      <c r="S45" s="1424" t="str">
        <f>$J45</f>
        <v>...1.1</v>
      </c>
      <c r="T45" s="352" t="s">
        <v>416</v>
      </c>
      <c r="U45" s="366"/>
      <c r="V45" s="2311"/>
      <c r="W45" s="2312"/>
      <c r="X45" s="2312"/>
      <c r="Y45" s="2312"/>
      <c r="Z45" s="2312"/>
      <c r="AA45" s="2312"/>
      <c r="AB45" s="2313"/>
      <c r="AC45" s="2311"/>
      <c r="AD45" s="2312"/>
      <c r="AE45" s="2312"/>
      <c r="AF45" s="2312"/>
      <c r="AG45" s="2312"/>
      <c r="AH45" s="2312"/>
      <c r="AI45" s="2312"/>
      <c r="AJ45" s="2313"/>
      <c r="AK45" s="1373" t="s">
        <v>494</v>
      </c>
      <c r="AM45" s="566"/>
      <c r="AN45" s="566" t="str">
        <f>IF(T45="","",T45)</f>
        <v>Группа потребителей</v>
      </c>
      <c r="AO45" s="566"/>
      <c r="AP45" s="566"/>
      <c r="AQ45" s="1221">
        <v>23</v>
      </c>
    </row>
    <row customHeight="1" ht="24">
      <c r="A46" s="1429" t="s">
        <v>235</v>
      </c>
      <c r="B46" s="1429" t="s">
        <v>236</v>
      </c>
      <c r="C46" s="1429" t="s">
        <v>237</v>
      </c>
      <c r="D46" s="1429" t="s">
        <v>504</v>
      </c>
      <c r="E46" s="2325"/>
      <c r="F46" s="2325"/>
      <c r="G46" s="2325"/>
      <c r="H46" s="2325"/>
      <c r="I46" s="2352"/>
      <c r="J46" s="2352"/>
      <c r="K46" s="2322" t="str">
        <f>J45&amp;".1"</f>
        <v>...1.1.1</v>
      </c>
      <c r="L46" s="1430"/>
      <c r="P46" s="2323"/>
      <c r="Q46" s="2323"/>
      <c r="R46" s="423">
        <v>1</v>
      </c>
      <c r="S46" s="1424" t="str">
        <f>$K46</f>
        <v>...1.1.1</v>
      </c>
      <c r="T46" s="1503"/>
      <c r="U46" s="366"/>
      <c r="V46" s="1426"/>
      <c r="W46" s="1426"/>
      <c r="X46" s="1427"/>
      <c r="Y46" s="2333"/>
      <c r="Z46" s="2334" t="s">
        <v>71</v>
      </c>
      <c r="AA46" s="2333"/>
      <c r="AB46" s="2334" t="s">
        <v>71</v>
      </c>
      <c r="AC46" s="817"/>
      <c r="AD46" s="817"/>
      <c r="AE46" s="1323"/>
      <c r="AF46" s="2331"/>
      <c r="AG46" s="2173" t="s">
        <v>71</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235</v>
      </c>
      <c r="B47" s="1429" t="s">
        <v>236</v>
      </c>
      <c r="C47" s="1429" t="s">
        <v>237</v>
      </c>
      <c r="D47" s="1429" t="s">
        <v>504</v>
      </c>
      <c r="E47" s="2325"/>
      <c r="F47" s="2325"/>
      <c r="G47" s="2325"/>
      <c r="H47" s="2325"/>
      <c r="I47" s="2352"/>
      <c r="J47" s="2352"/>
      <c r="K47" s="2322"/>
      <c r="L47" s="1430"/>
      <c r="P47" s="2323"/>
      <c r="Q47" s="2323"/>
      <c r="R47" s="423"/>
      <c r="S47" s="1425"/>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235</v>
      </c>
      <c r="B48" s="1429" t="s">
        <v>236</v>
      </c>
      <c r="C48" s="1429" t="s">
        <v>237</v>
      </c>
      <c r="D48" s="1429" t="s">
        <v>504</v>
      </c>
      <c r="E48" s="2325"/>
      <c r="F48" s="2325"/>
      <c r="G48" s="2325"/>
      <c r="H48" s="2325"/>
      <c r="I48" s="2352"/>
      <c r="J48" s="2322"/>
      <c r="K48" s="1429"/>
      <c r="L48" s="1430"/>
      <c r="P48" s="2323"/>
      <c r="Q48" s="2323"/>
      <c r="R48" s="422"/>
      <c r="S48" s="1344"/>
      <c r="T48" s="353" t="s">
        <v>495</v>
      </c>
      <c r="U48" s="433"/>
      <c r="V48" s="433"/>
      <c r="W48" s="433"/>
      <c r="X48" s="433"/>
      <c r="Y48" s="433"/>
      <c r="Z48" s="433"/>
      <c r="AA48" s="433"/>
      <c r="AB48" s="433"/>
      <c r="AC48" s="433"/>
      <c r="AD48" s="433"/>
      <c r="AE48" s="433"/>
      <c r="AF48" s="433"/>
      <c r="AG48" s="433"/>
      <c r="AH48" s="433"/>
      <c r="AI48" s="433"/>
      <c r="AJ48" s="433"/>
      <c r="AK48" s="1324" t="s">
        <v>496</v>
      </c>
      <c r="AM48" s="566"/>
      <c r="AN48" s="566" t="str">
        <f>IF(T48="","",T48)</f>
        <v>Добавить значение признака дифференциации</v>
      </c>
      <c r="AO48" s="566"/>
      <c r="AP48" s="566"/>
      <c r="AQ48" s="1221">
        <v>20</v>
      </c>
    </row>
    <row customHeight="1" ht="22.049999999999997">
      <c r="A49" s="1429" t="s">
        <v>235</v>
      </c>
      <c r="B49" s="1429" t="s">
        <v>236</v>
      </c>
      <c r="C49" s="1429" t="s">
        <v>237</v>
      </c>
      <c r="D49" s="1429" t="s">
        <v>504</v>
      </c>
      <c r="E49" s="2325"/>
      <c r="F49" s="2325"/>
      <c r="G49" s="2325"/>
      <c r="H49" s="2325"/>
      <c r="I49" s="2322"/>
      <c r="J49" s="1429"/>
      <c r="K49" s="1429"/>
      <c r="L49" s="1430"/>
      <c r="P49" s="2323"/>
      <c r="Q49" s="1420"/>
      <c r="R49" s="422"/>
      <c r="S49" s="1344"/>
      <c r="T49" s="431" t="s">
        <v>421</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235</v>
      </c>
      <c r="B50" s="1429" t="s">
        <v>236</v>
      </c>
      <c r="C50" s="1429" t="s">
        <v>237</v>
      </c>
      <c r="D50" s="1429" t="s">
        <v>504</v>
      </c>
      <c r="E50" s="2325"/>
      <c r="F50" s="2325"/>
      <c r="G50" s="2325"/>
      <c r="H50" s="2324"/>
      <c r="I50" s="1429"/>
      <c r="J50" s="1429"/>
      <c r="K50" s="1429"/>
      <c r="L50" s="1430"/>
      <c r="M50" s="1431"/>
      <c r="N50" s="1431"/>
      <c r="O50" s="603"/>
      <c r="P50" s="426"/>
      <c r="Q50" s="441"/>
      <c r="R50" s="421"/>
      <c r="S50" s="1344"/>
      <c r="T50" s="438" t="s">
        <v>497</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562" customFormat="1" customHeight="1" ht="0">
      <c r="A51" s="1409" t="s">
        <v>235</v>
      </c>
      <c r="B51" s="1409" t="s">
        <v>236</v>
      </c>
      <c r="C51" s="1380"/>
      <c r="D51" s="1380"/>
      <c r="E51" s="2325"/>
      <c r="F51" s="2324"/>
      <c r="G51" s="1380"/>
      <c r="H51" s="1380"/>
      <c r="I51" s="1380"/>
      <c r="J51" s="1380"/>
      <c r="K51" s="1380"/>
      <c r="L51" s="1492"/>
      <c r="M51" s="1387"/>
      <c r="N51" s="1387"/>
      <c r="P51" s="1382"/>
      <c r="Q51" s="1383"/>
      <c r="R51" s="1382"/>
      <c r="S51" s="1388"/>
      <c r="T51" s="1391" t="s">
        <v>174</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562" customFormat="1" customHeight="1" ht="0">
      <c r="A52" s="1409" t="s">
        <v>235</v>
      </c>
      <c r="B52" s="1409"/>
      <c r="C52" s="1409"/>
      <c r="D52" s="1409"/>
      <c r="E52" s="2324"/>
      <c r="F52" s="1409"/>
      <c r="G52" s="1409"/>
      <c r="H52" s="1409"/>
      <c r="I52" s="1409"/>
      <c r="J52" s="1409"/>
      <c r="K52" s="1409"/>
      <c r="L52" s="1412"/>
      <c r="M52" s="1387"/>
      <c r="N52" s="1387"/>
      <c r="O52" s="584"/>
      <c r="P52" s="446"/>
      <c r="Q52" s="1410"/>
      <c r="R52" s="446"/>
      <c r="S52" s="1388"/>
      <c r="T52" s="1391" t="s">
        <v>175</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562" customFormat="1" customHeight="1" ht="0">
      <c r="A53" s="1380"/>
      <c r="B53" s="1380"/>
      <c r="C53" s="1380"/>
      <c r="D53" s="1380"/>
      <c r="E53" s="1409"/>
      <c r="F53" s="1380"/>
      <c r="G53" s="1380"/>
      <c r="H53" s="1380"/>
      <c r="I53" s="1380"/>
      <c r="J53" s="1380"/>
      <c r="K53" s="1380"/>
      <c r="L53" s="1492"/>
      <c r="M53" s="1387"/>
      <c r="N53" s="1387"/>
      <c r="P53" s="1382"/>
      <c r="Q53" s="1383"/>
      <c r="R53" s="1382"/>
      <c r="S53" s="1388"/>
      <c r="T53" s="1391" t="s">
        <v>176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87</v>
      </c>
      <c r="B58" s="1226">
        <v>0</v>
      </c>
      <c r="C58" s="1226">
        <v>0</v>
      </c>
      <c r="D58" s="1226">
        <v>0</v>
      </c>
      <c r="E58" s="1226">
        <v>0</v>
      </c>
      <c r="F58" s="1226">
        <v>0</v>
      </c>
      <c r="G58" s="1226">
        <v>0</v>
      </c>
      <c r="H58" s="1226">
        <v>0</v>
      </c>
      <c r="I58" s="1226">
        <v>0</v>
      </c>
      <c r="J58" s="1226">
        <v>0</v>
      </c>
      <c r="K58" s="1226">
        <v>0</v>
      </c>
      <c r="L58" s="1487">
        <v>0</v>
      </c>
      <c r="M58" s="1428">
        <v>0</v>
      </c>
      <c r="N58" s="1428">
        <v>0</v>
      </c>
      <c r="O58" s="1428">
        <v>0</v>
      </c>
      <c r="P58" s="1417">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186B1-B986-F5D3-912B-BE502476BE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002" width="10.57421875" hidden="1"/>
    <col min="2" max="2" style="5002" width="11.00390625" hidden="1" customWidth="1"/>
    <col min="3" max="3" style="5002" width="10.57421875" hidden="1"/>
    <col min="4" max="4" style="5002" width="11.8515625" hidden="1" customWidth="1"/>
    <col min="5" max="5" style="5002" width="10.00390625" hidden="1" customWidth="1"/>
    <col min="6" max="6" style="5002" width="8.7109375" hidden="1" customWidth="1"/>
    <col min="7" max="7" style="5002" width="7.57421875" hidden="1" customWidth="1"/>
    <col min="8" max="8" style="5002" width="11.421875" hidden="1" customWidth="1"/>
    <col min="9" max="9" style="5002" width="14.140625" hidden="1" customWidth="1"/>
    <col min="10" max="10" style="5002" width="9.8515625" hidden="1" customWidth="1"/>
    <col min="11" max="11" style="5002" width="14.7109375" hidden="1" customWidth="1"/>
    <col min="12" max="12" style="5519" width="19.140625" hidden="1" customWidth="1"/>
    <col min="13" max="14" style="4246" width="12.28125" hidden="1" customWidth="1"/>
    <col min="15" max="15" style="4246" width="23.421875" hidden="1" customWidth="1"/>
    <col min="16" max="16" style="5737" width="3.00390625" customWidth="1"/>
    <col min="17" max="18" style="5023" width="3.00390625" customWidth="1"/>
    <col min="19" max="19" style="5711" width="12.00390625" customWidth="1"/>
    <col min="20" max="20" style="5053" width="35.00390625" customWidth="1"/>
    <col min="21" max="21" style="5053" width="0.140625" customWidth="1"/>
    <col min="22" max="24" style="5053" width="24.7109375" hidden="1" customWidth="1"/>
    <col min="25" max="25" style="5053" width="11.7109375" hidden="1" customWidth="1"/>
    <col min="26" max="26" style="5053" width="3.7109375" hidden="1" customWidth="1"/>
    <col min="27" max="27" style="5053" width="11.7109375" hidden="1" customWidth="1"/>
    <col min="28" max="28" style="5053" width="8.57421875" hidden="1" customWidth="1"/>
    <col min="29" max="29" style="5053" width="24.7109375" customWidth="1"/>
    <col min="30" max="31" style="5053" width="24.00390625" customWidth="1"/>
    <col min="32" max="32" style="5053" width="11.00390625" customWidth="1"/>
    <col min="33" max="33" style="5053" width="3.7109375" customWidth="1"/>
    <col min="34" max="34" style="5053" width="11.00390625" customWidth="1"/>
    <col min="35" max="35" style="5053" width="8.57421875" hidden="1" customWidth="1"/>
    <col min="36" max="36" style="5053" width="4.00390625" customWidth="1"/>
    <col min="37" max="37" style="5053" width="115.00390625" customWidth="1"/>
    <col min="38" max="42" style="4562" width="10.00390625" customWidth="1"/>
    <col min="43" max="43" style="5053"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128</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406</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407</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490</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491</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492</v>
      </c>
      <c r="U5" s="366"/>
      <c r="V5" s="2416"/>
      <c r="W5" s="2417"/>
      <c r="X5" s="2417"/>
      <c r="Y5" s="2417"/>
      <c r="Z5" s="2417"/>
      <c r="AA5" s="2417"/>
      <c r="AB5" s="2418"/>
      <c r="AC5" s="2419"/>
      <c r="AD5" s="2420"/>
      <c r="AE5" s="2420"/>
      <c r="AF5" s="2420"/>
      <c r="AG5" s="2420"/>
      <c r="AH5" s="2420"/>
      <c r="AI5" s="2420"/>
      <c r="AJ5" s="2421"/>
      <c r="AK5" s="1324" t="s">
        <v>493</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415</v>
      </c>
      <c r="P6" s="2323"/>
      <c r="Q6" s="2323">
        <v>1</v>
      </c>
      <c r="R6" s="423"/>
      <c r="S6" s="1523">
        <f>$J6</f>
      </c>
      <c r="T6" s="352" t="s">
        <v>416</v>
      </c>
      <c r="U6" s="366"/>
      <c r="V6" s="2311"/>
      <c r="W6" s="2312"/>
      <c r="X6" s="2312"/>
      <c r="Y6" s="2312"/>
      <c r="Z6" s="2312"/>
      <c r="AA6" s="2312"/>
      <c r="AB6" s="2313"/>
      <c r="AC6" s="2311"/>
      <c r="AD6" s="2312"/>
      <c r="AE6" s="2312"/>
      <c r="AF6" s="2312"/>
      <c r="AG6" s="2312"/>
      <c r="AH6" s="2312"/>
      <c r="AI6" s="2312"/>
      <c r="AJ6" s="2313"/>
      <c r="AK6" s="1373" t="s">
        <v>494</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71</v>
      </c>
      <c r="AA7" s="2331"/>
      <c r="AB7" s="2173" t="s">
        <v>71</v>
      </c>
      <c r="AC7" s="817"/>
      <c r="AD7" s="817"/>
      <c r="AE7" s="1323"/>
      <c r="AF7" s="2331"/>
      <c r="AG7" s="2173" t="s">
        <v>71</v>
      </c>
      <c r="AH7" s="2353"/>
      <c r="AI7" s="2173" t="s">
        <v>71</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495</v>
      </c>
      <c r="U9" s="433"/>
      <c r="V9" s="433"/>
      <c r="W9" s="433"/>
      <c r="X9" s="433"/>
      <c r="Y9" s="433"/>
      <c r="Z9" s="433"/>
      <c r="AA9" s="433"/>
      <c r="AB9" s="433"/>
      <c r="AC9" s="433"/>
      <c r="AD9" s="433"/>
      <c r="AE9" s="433"/>
      <c r="AF9" s="433"/>
      <c r="AG9" s="433"/>
      <c r="AH9" s="433"/>
      <c r="AI9" s="433"/>
      <c r="AJ9" s="433"/>
      <c r="AK9" s="1324" t="s">
        <v>496</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421</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497</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562"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174</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562"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175</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71</v>
      </c>
      <c r="AH15" s="2333"/>
      <c r="AI15" s="2334" t="s">
        <v>71</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5002" customFormat="1" customHeight="1" ht="22.5" hidden="1">
      <c r="L18" s="1513"/>
      <c r="M18" s="1428"/>
      <c r="N18" s="1428"/>
      <c r="O18" s="1433" t="s">
        <v>423</v>
      </c>
      <c r="P18" s="1428"/>
      <c r="Q18" s="1437"/>
      <c r="R18" s="1437"/>
      <c r="S18" s="795"/>
      <c r="Y18" s="1433"/>
      <c r="AA18" s="1433"/>
      <c r="AB18" s="1432"/>
      <c r="AF18" s="1433"/>
      <c r="AH18" s="1433"/>
      <c r="AI18" s="1432"/>
      <c r="AL18" s="577"/>
      <c r="AM18" s="577"/>
      <c r="AN18" s="577"/>
      <c r="AO18" s="577"/>
      <c r="AP18" s="577"/>
      <c r="AQ18" s="1226">
        <v>0</v>
      </c>
    </row>
    <row s="5002" customFormat="1" customHeight="1" ht="14.25" hidden="1">
      <c r="L19" s="1513"/>
      <c r="M19" s="1428"/>
      <c r="N19" s="1428"/>
      <c r="O19" s="1428"/>
      <c r="P19" s="1428"/>
      <c r="Q19" s="1437"/>
      <c r="R19" s="1437"/>
      <c r="S19" s="795"/>
      <c r="AB19" s="1432"/>
      <c r="AI19" s="1432"/>
      <c r="AL19" s="577"/>
      <c r="AM19" s="577"/>
      <c r="AN19" s="577"/>
      <c r="AO19" s="577"/>
      <c r="AP19" s="577"/>
      <c r="AQ19" s="1226">
        <v>0</v>
      </c>
    </row>
    <row s="5002" customFormat="1" customHeight="1" ht="12" hidden="1">
      <c r="L20" s="1513"/>
      <c r="M20" s="1428"/>
      <c r="N20" s="1428"/>
      <c r="O20" s="1430" t="s">
        <v>424</v>
      </c>
      <c r="P20" s="1428"/>
      <c r="Q20" s="1508"/>
      <c r="R20" s="1508"/>
      <c r="S20" s="795"/>
      <c r="T20" s="1226" t="s">
        <v>425</v>
      </c>
      <c r="Z20" s="252" t="s">
        <v>426</v>
      </c>
      <c r="AB20" s="252" t="s">
        <v>427</v>
      </c>
      <c r="AC20" s="1226" t="s">
        <v>425</v>
      </c>
      <c r="AG20" s="252" t="s">
        <v>428</v>
      </c>
      <c r="AI20" s="252" t="s">
        <v>427</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597"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Департамент тарифной политики, энергетики и ЖКК ЯНАО </v>
      </c>
      <c r="W27" s="2317"/>
      <c r="X27" s="2317"/>
      <c r="Y27" s="2317"/>
      <c r="Z27" s="2317"/>
      <c r="AA27" s="2317"/>
      <c r="AB27" s="392"/>
      <c r="AC27" s="2317" t="str">
        <f>IF(TITLE_NAME_OR_PR_CHANGE="",IF(TITLE_NAME_OR_PR="","",TITLE_NAME_OR_PR),TITLE_NAME_OR_PR_CHANGE)</f>
        <v>Департамент тарифной политики, энергетики и ЖКК ЯНАО </v>
      </c>
      <c r="AD27" s="2317"/>
      <c r="AE27" s="2317"/>
      <c r="AF27" s="2317"/>
      <c r="AG27" s="2317"/>
      <c r="AH27" s="2317"/>
      <c r="AI27" s="392"/>
      <c r="AJ27" s="392"/>
      <c r="AK27" s="346"/>
      <c r="AL27" s="434"/>
      <c r="AM27" s="434"/>
      <c r="AN27" s="434"/>
      <c r="AO27" s="434"/>
      <c r="AP27" s="434"/>
      <c r="AQ27" s="484">
        <v>0</v>
      </c>
    </row>
    <row s="5597"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45631.41619212963</v>
      </c>
      <c r="W28" s="2330"/>
      <c r="X28" s="2330"/>
      <c r="Y28" s="2330"/>
      <c r="Z28" s="2330"/>
      <c r="AA28" s="2330"/>
      <c r="AB28" s="392"/>
      <c r="AC28" s="2330" t="str">
        <f>IF(TITLE_DATE_PR_CHANGE="",IF(TITLE_DATE_PR="","",TITLE_DATE_PR),TITLE_DATE_PR_CHANGE)</f>
        <v>45631.41619212963</v>
      </c>
      <c r="AD28" s="2330"/>
      <c r="AE28" s="2330"/>
      <c r="AF28" s="2330"/>
      <c r="AG28" s="2330"/>
      <c r="AH28" s="2330"/>
      <c r="AI28" s="392"/>
      <c r="AJ28" s="392"/>
      <c r="AK28" s="346"/>
      <c r="AL28" s="434"/>
      <c r="AM28" s="434"/>
      <c r="AN28" s="434"/>
      <c r="AO28" s="434"/>
      <c r="AP28" s="434"/>
      <c r="AQ28" s="484">
        <v>0</v>
      </c>
    </row>
    <row s="5597"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447-т</v>
      </c>
      <c r="W29" s="2317"/>
      <c r="X29" s="2317"/>
      <c r="Y29" s="2317"/>
      <c r="Z29" s="2317"/>
      <c r="AA29" s="2317"/>
      <c r="AB29" s="392"/>
      <c r="AC29" s="2317" t="str">
        <f>IF(TITLE_NUMBER_PR_CHANGE="",IF(TITLE_NUMBER_PR="","",TITLE_NUMBER_PR),TITLE_NUMBER_PR_CHANGE)</f>
        <v>447-т</v>
      </c>
      <c r="AD29" s="2317"/>
      <c r="AE29" s="2317"/>
      <c r="AF29" s="2317"/>
      <c r="AG29" s="2317"/>
      <c r="AH29" s="2317"/>
      <c r="AI29" s="392"/>
      <c r="AJ29" s="392"/>
      <c r="AK29" s="346"/>
      <c r="AL29" s="434"/>
      <c r="AM29" s="434"/>
      <c r="AN29" s="434"/>
      <c r="AO29" s="434"/>
      <c r="AP29" s="434"/>
      <c r="AQ29" s="484">
        <v>0</v>
      </c>
    </row>
    <row s="5597"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сайт Департамента тарифной политики, энергетики и ЖКК ЯНАО, https://rek-yamal.ru, 05.12.2024</v>
      </c>
      <c r="W30" s="2317"/>
      <c r="X30" s="2317"/>
      <c r="Y30" s="2317"/>
      <c r="Z30" s="2317"/>
      <c r="AA30" s="2317"/>
      <c r="AB30" s="392"/>
      <c r="AC30" s="2317" t="str">
        <f>IF(TITLE_IST_PUB_CHANGE="",IF(TITLE_IST_PUB="","",TITLE_IST_PUB),TITLE_IST_PUB_CHANGE)</f>
        <v>Официальный сайт Департамента тарифной политики, энергетики и ЖКК ЯНАО, https://rek-yamal.ru, 05.12.2024</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597"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45631.41619212963</v>
      </c>
      <c r="W32" s="2330"/>
      <c r="X32" s="2330"/>
      <c r="Y32" s="2330"/>
      <c r="Z32" s="2330"/>
      <c r="AA32" s="2330"/>
      <c r="AB32" s="392"/>
      <c r="AC32" s="2330" t="str">
        <f>IF(TITLE_DATE_PR_CHANGE="",IF(TITLE_DATE_PR="","",TITLE_DATE_PR),TITLE_DATE_PR_CHANGE)</f>
        <v>45631.41619212963</v>
      </c>
      <c r="AD32" s="2330"/>
      <c r="AE32" s="2330"/>
      <c r="AF32" s="2330"/>
      <c r="AG32" s="2330"/>
      <c r="AH32" s="2330"/>
      <c r="AI32" s="392"/>
      <c r="AJ32" s="392"/>
      <c r="AK32" s="346"/>
      <c r="AL32" s="434"/>
      <c r="AM32" s="434"/>
      <c r="AN32" s="434"/>
      <c r="AO32" s="434"/>
      <c r="AP32" s="434"/>
      <c r="AQ32" s="484">
        <v>0</v>
      </c>
    </row>
    <row s="5597"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447-т</v>
      </c>
      <c r="W33" s="2317"/>
      <c r="X33" s="2317"/>
      <c r="Y33" s="2317"/>
      <c r="Z33" s="2317"/>
      <c r="AA33" s="2317"/>
      <c r="AB33" s="392"/>
      <c r="AC33" s="2317" t="str">
        <f>IF(TITLE_NUMBER_PR_CHANGE="",IF(TITLE_NUMBER_PR="","",TITLE_NUMBER_PR),TITLE_NUMBER_PR_CHANGE)</f>
        <v>447-т</v>
      </c>
      <c r="AD33" s="2317"/>
      <c r="AE33" s="2317"/>
      <c r="AF33" s="2317"/>
      <c r="AG33" s="2317"/>
      <c r="AH33" s="2317"/>
      <c r="AI33" s="392"/>
      <c r="AJ33" s="392"/>
      <c r="AK33" s="346"/>
      <c r="AL33" s="434"/>
      <c r="AM33" s="434"/>
      <c r="AN33" s="434"/>
      <c r="AO33" s="434"/>
      <c r="AP33" s="434"/>
      <c r="AQ33" s="484">
        <v>0</v>
      </c>
    </row>
    <row s="5597"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433</v>
      </c>
      <c r="AC34" s="392"/>
      <c r="AD34" s="392"/>
      <c r="AE34" s="392"/>
      <c r="AF34" s="392"/>
      <c r="AG34" s="392"/>
      <c r="AH34" s="392"/>
      <c r="AI34" s="344" t="s">
        <v>433</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t="s">
        <v>310</v>
      </c>
      <c r="AQ36" s="1221">
        <v>14</v>
      </c>
    </row>
    <row customHeight="1" ht="14.699999999999998">
      <c r="Q37" s="442"/>
      <c r="R37" s="442"/>
      <c r="S37" s="2339" t="s">
        <v>93</v>
      </c>
      <c r="T37" s="2275" t="s">
        <v>434</v>
      </c>
      <c r="U37" s="367"/>
      <c r="V37" s="2340" t="s">
        <v>435</v>
      </c>
      <c r="W37" s="2341"/>
      <c r="X37" s="2341"/>
      <c r="Y37" s="2341"/>
      <c r="Z37" s="2341"/>
      <c r="AA37" s="2342"/>
      <c r="AB37" s="2343" t="s">
        <v>436</v>
      </c>
      <c r="AC37" s="2340" t="s">
        <v>435</v>
      </c>
      <c r="AD37" s="2341"/>
      <c r="AE37" s="2341"/>
      <c r="AF37" s="2341"/>
      <c r="AG37" s="2341"/>
      <c r="AH37" s="2342"/>
      <c r="AI37" s="2343" t="s">
        <v>437</v>
      </c>
      <c r="AJ37" s="2346" t="s">
        <v>438</v>
      </c>
      <c r="AK37" s="2193"/>
      <c r="AQ37" s="1221">
        <v>14</v>
      </c>
    </row>
    <row customHeight="1" ht="35.699999999999996">
      <c r="Q38" s="442"/>
      <c r="R38" s="442"/>
      <c r="S38" s="2339"/>
      <c r="T38" s="2275"/>
      <c r="U38" s="1097"/>
      <c r="V38" s="1518" t="s">
        <v>498</v>
      </c>
      <c r="W38" s="2328" t="s">
        <v>441</v>
      </c>
      <c r="X38" s="2329"/>
      <c r="Y38" s="2328" t="s">
        <v>442</v>
      </c>
      <c r="Z38" s="2335"/>
      <c r="AA38" s="2329"/>
      <c r="AB38" s="2344"/>
      <c r="AC38" s="1518" t="s">
        <v>498</v>
      </c>
      <c r="AD38" s="2328" t="s">
        <v>441</v>
      </c>
      <c r="AE38" s="2329"/>
      <c r="AF38" s="2328" t="s">
        <v>442</v>
      </c>
      <c r="AG38" s="2335"/>
      <c r="AH38" s="2329"/>
      <c r="AI38" s="2344"/>
      <c r="AJ38" s="2347"/>
      <c r="AK38" s="2193"/>
      <c r="AQ38" s="1221">
        <v>34</v>
      </c>
    </row>
    <row customHeight="1" ht="35.699999999999996">
      <c r="A39" s="1436"/>
      <c r="B39" s="1436" t="s">
        <v>140</v>
      </c>
      <c r="C39" s="1436" t="s">
        <v>141</v>
      </c>
      <c r="D39" s="1436" t="s">
        <v>142</v>
      </c>
      <c r="E39" s="1430" t="s">
        <v>443</v>
      </c>
      <c r="F39" s="1430" t="s">
        <v>444</v>
      </c>
      <c r="G39" s="1430" t="s">
        <v>445</v>
      </c>
      <c r="H39" s="1430"/>
      <c r="I39" s="1430" t="s">
        <v>499</v>
      </c>
      <c r="J39" s="1430" t="s">
        <v>448</v>
      </c>
      <c r="K39" s="1430" t="s">
        <v>500</v>
      </c>
      <c r="L39" s="1430" t="s">
        <v>424</v>
      </c>
      <c r="Q39" s="442"/>
      <c r="R39" s="442"/>
      <c r="S39" s="2339"/>
      <c r="T39" s="2275"/>
      <c r="U39" s="368"/>
      <c r="V39" s="1518" t="s">
        <v>501</v>
      </c>
      <c r="W39" s="1288" t="s">
        <v>502</v>
      </c>
      <c r="X39" s="1288" t="s">
        <v>503</v>
      </c>
      <c r="Y39" s="1521" t="s">
        <v>452</v>
      </c>
      <c r="Z39" s="2336" t="s">
        <v>453</v>
      </c>
      <c r="AA39" s="2337"/>
      <c r="AB39" s="2345"/>
      <c r="AC39" s="1518" t="s">
        <v>501</v>
      </c>
      <c r="AD39" s="1288" t="s">
        <v>502</v>
      </c>
      <c r="AE39" s="1288" t="s">
        <v>503</v>
      </c>
      <c r="AF39" s="1521" t="s">
        <v>452</v>
      </c>
      <c r="AG39" s="2336" t="s">
        <v>453</v>
      </c>
      <c r="AH39" s="2337"/>
      <c r="AI39" s="2345"/>
      <c r="AJ39" s="2348"/>
      <c r="AK39" s="2193"/>
      <c r="AQ39" s="1221">
        <v>34</v>
      </c>
    </row>
    <row s="4153"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114</v>
      </c>
      <c r="T40" s="1321" t="s">
        <v>115</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240</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128</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240</v>
      </c>
      <c r="B42" s="1429" t="s">
        <v>241</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406</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407</v>
      </c>
      <c r="AM42" s="566"/>
      <c r="AN42" s="566" t="str">
        <f>IF(T42="","",T42)</f>
        <v>Территория действия тарифа</v>
      </c>
      <c r="AO42" s="566"/>
      <c r="AP42" s="566"/>
      <c r="AQ42" s="1221">
        <v>23</v>
      </c>
    </row>
    <row customHeight="1" ht="24">
      <c r="A43" s="1429" t="s">
        <v>240</v>
      </c>
      <c r="B43" s="1429" t="s">
        <v>241</v>
      </c>
      <c r="C43" s="1429" t="s">
        <v>242</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490</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491</v>
      </c>
      <c r="AM43" s="566"/>
      <c r="AN43" s="566" t="str">
        <f>IF(T43="","",T43)</f>
        <v>Наименование централизованной системы холодного водоснабжения</v>
      </c>
      <c r="AO43" s="566"/>
      <c r="AP43" s="566"/>
      <c r="AQ43" s="1221">
        <v>23</v>
      </c>
    </row>
    <row customHeight="1" ht="24">
      <c r="A44" s="1429" t="s">
        <v>240</v>
      </c>
      <c r="B44" s="1429" t="s">
        <v>241</v>
      </c>
      <c r="C44" s="1429" t="s">
        <v>242</v>
      </c>
      <c r="D44" s="1429" t="s">
        <v>505</v>
      </c>
      <c r="E44" s="2325"/>
      <c r="F44" s="2325"/>
      <c r="G44" s="2325"/>
      <c r="H44" s="2325"/>
      <c r="I44" s="2322" t="str">
        <f>S43&amp;".1"</f>
        <v>...1</v>
      </c>
      <c r="J44" s="1429"/>
      <c r="K44" s="1429"/>
      <c r="L44" s="1430"/>
      <c r="P44" s="2323">
        <v>1</v>
      </c>
      <c r="Q44" s="1516"/>
      <c r="R44" s="422"/>
      <c r="S44" s="1523" t="str">
        <f>$I44</f>
        <v>...1</v>
      </c>
      <c r="T44" s="351" t="s">
        <v>492</v>
      </c>
      <c r="U44" s="366"/>
      <c r="V44" s="2416"/>
      <c r="W44" s="2417"/>
      <c r="X44" s="2417"/>
      <c r="Y44" s="2417"/>
      <c r="Z44" s="2417"/>
      <c r="AA44" s="2417"/>
      <c r="AB44" s="2418"/>
      <c r="AC44" s="2419"/>
      <c r="AD44" s="2420"/>
      <c r="AE44" s="2420"/>
      <c r="AF44" s="2420"/>
      <c r="AG44" s="2420"/>
      <c r="AH44" s="2420"/>
      <c r="AI44" s="2420"/>
      <c r="AJ44" s="2421"/>
      <c r="AK44" s="1324" t="s">
        <v>493</v>
      </c>
      <c r="AM44" s="566"/>
      <c r="AN44" s="566" t="str">
        <f>IF(T44="","",T44)</f>
        <v>Наименование признака дифференциации</v>
      </c>
      <c r="AO44" s="566"/>
      <c r="AP44" s="566"/>
      <c r="AQ44" s="1221">
        <v>23</v>
      </c>
    </row>
    <row customHeight="1" ht="24">
      <c r="A45" s="1429" t="s">
        <v>240</v>
      </c>
      <c r="B45" s="1429" t="s">
        <v>241</v>
      </c>
      <c r="C45" s="1429" t="s">
        <v>242</v>
      </c>
      <c r="D45" s="1429" t="s">
        <v>505</v>
      </c>
      <c r="E45" s="2325"/>
      <c r="F45" s="2325"/>
      <c r="G45" s="2325"/>
      <c r="H45" s="2325"/>
      <c r="I45" s="2352"/>
      <c r="J45" s="2322" t="str">
        <f>I44&amp;".1"</f>
        <v>...1.1</v>
      </c>
      <c r="K45" s="1429"/>
      <c r="L45" s="1430" t="s">
        <v>415</v>
      </c>
      <c r="P45" s="2323"/>
      <c r="Q45" s="2323">
        <v>1</v>
      </c>
      <c r="R45" s="423"/>
      <c r="S45" s="1523" t="str">
        <f>$J45</f>
        <v>...1.1</v>
      </c>
      <c r="T45" s="352" t="s">
        <v>416</v>
      </c>
      <c r="U45" s="366"/>
      <c r="V45" s="2311"/>
      <c r="W45" s="2312"/>
      <c r="X45" s="2312"/>
      <c r="Y45" s="2312"/>
      <c r="Z45" s="2312"/>
      <c r="AA45" s="2312"/>
      <c r="AB45" s="2313"/>
      <c r="AC45" s="2311"/>
      <c r="AD45" s="2312"/>
      <c r="AE45" s="2312"/>
      <c r="AF45" s="2312"/>
      <c r="AG45" s="2312"/>
      <c r="AH45" s="2312"/>
      <c r="AI45" s="2312"/>
      <c r="AJ45" s="2313"/>
      <c r="AK45" s="1373" t="s">
        <v>494</v>
      </c>
      <c r="AM45" s="566"/>
      <c r="AN45" s="566" t="str">
        <f>IF(T45="","",T45)</f>
        <v>Группа потребителей</v>
      </c>
      <c r="AO45" s="566"/>
      <c r="AP45" s="566"/>
      <c r="AQ45" s="1221">
        <v>23</v>
      </c>
    </row>
    <row customHeight="1" ht="24">
      <c r="A46" s="1429" t="s">
        <v>240</v>
      </c>
      <c r="B46" s="1429" t="s">
        <v>241</v>
      </c>
      <c r="C46" s="1429" t="s">
        <v>242</v>
      </c>
      <c r="D46" s="1429" t="s">
        <v>505</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71</v>
      </c>
      <c r="AA46" s="2331"/>
      <c r="AB46" s="2173" t="s">
        <v>71</v>
      </c>
      <c r="AC46" s="817"/>
      <c r="AD46" s="817"/>
      <c r="AE46" s="1323"/>
      <c r="AF46" s="2331"/>
      <c r="AG46" s="2173" t="s">
        <v>71</v>
      </c>
      <c r="AH46" s="2353"/>
      <c r="AI46" s="2173" t="s">
        <v>71</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240</v>
      </c>
      <c r="B47" s="1429" t="s">
        <v>241</v>
      </c>
      <c r="C47" s="1429" t="s">
        <v>242</v>
      </c>
      <c r="D47" s="1429" t="s">
        <v>505</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240</v>
      </c>
      <c r="B48" s="1429" t="s">
        <v>241</v>
      </c>
      <c r="C48" s="1429" t="s">
        <v>242</v>
      </c>
      <c r="D48" s="1429" t="s">
        <v>505</v>
      </c>
      <c r="E48" s="2325"/>
      <c r="F48" s="2325"/>
      <c r="G48" s="2325"/>
      <c r="H48" s="2325"/>
      <c r="I48" s="2352"/>
      <c r="J48" s="2322"/>
      <c r="K48" s="1429"/>
      <c r="L48" s="1430"/>
      <c r="P48" s="2323"/>
      <c r="Q48" s="2323"/>
      <c r="R48" s="422"/>
      <c r="S48" s="1344"/>
      <c r="T48" s="353" t="s">
        <v>495</v>
      </c>
      <c r="U48" s="433"/>
      <c r="V48" s="433"/>
      <c r="W48" s="433"/>
      <c r="X48" s="433"/>
      <c r="Y48" s="433"/>
      <c r="Z48" s="433"/>
      <c r="AA48" s="433"/>
      <c r="AB48" s="433"/>
      <c r="AC48" s="433"/>
      <c r="AD48" s="433"/>
      <c r="AE48" s="433"/>
      <c r="AF48" s="433"/>
      <c r="AG48" s="433"/>
      <c r="AH48" s="433"/>
      <c r="AI48" s="433"/>
      <c r="AJ48" s="433"/>
      <c r="AK48" s="1324" t="s">
        <v>496</v>
      </c>
      <c r="AM48" s="566"/>
      <c r="AN48" s="566" t="str">
        <f>IF(T48="","",T48)</f>
        <v>Добавить значение признака дифференциации</v>
      </c>
      <c r="AO48" s="566"/>
      <c r="AP48" s="566"/>
      <c r="AQ48" s="1221">
        <v>20</v>
      </c>
    </row>
    <row customHeight="1" ht="22.049999999999997">
      <c r="A49" s="1429" t="s">
        <v>240</v>
      </c>
      <c r="B49" s="1429" t="s">
        <v>241</v>
      </c>
      <c r="C49" s="1429" t="s">
        <v>242</v>
      </c>
      <c r="D49" s="1429" t="s">
        <v>505</v>
      </c>
      <c r="E49" s="2325"/>
      <c r="F49" s="2325"/>
      <c r="G49" s="2325"/>
      <c r="H49" s="2325"/>
      <c r="I49" s="2322"/>
      <c r="J49" s="1429"/>
      <c r="K49" s="1429"/>
      <c r="L49" s="1430"/>
      <c r="P49" s="2323"/>
      <c r="Q49" s="1516"/>
      <c r="R49" s="422"/>
      <c r="S49" s="1344"/>
      <c r="T49" s="431" t="s">
        <v>421</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240</v>
      </c>
      <c r="B50" s="1429" t="s">
        <v>241</v>
      </c>
      <c r="C50" s="1429" t="s">
        <v>242</v>
      </c>
      <c r="D50" s="1429" t="s">
        <v>505</v>
      </c>
      <c r="E50" s="2325"/>
      <c r="F50" s="2325"/>
      <c r="G50" s="2325"/>
      <c r="H50" s="2324"/>
      <c r="I50" s="1429"/>
      <c r="J50" s="1429"/>
      <c r="K50" s="1429"/>
      <c r="L50" s="1430"/>
      <c r="M50" s="1431"/>
      <c r="N50" s="1431"/>
      <c r="O50" s="603"/>
      <c r="P50" s="426"/>
      <c r="Q50" s="441"/>
      <c r="R50" s="421"/>
      <c r="S50" s="1344"/>
      <c r="T50" s="438" t="s">
        <v>497</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562" customFormat="1" customHeight="1" ht="0">
      <c r="A51" s="1409" t="s">
        <v>240</v>
      </c>
      <c r="B51" s="1409" t="s">
        <v>241</v>
      </c>
      <c r="C51" s="1380"/>
      <c r="D51" s="1380"/>
      <c r="E51" s="2325"/>
      <c r="F51" s="2324"/>
      <c r="G51" s="1380"/>
      <c r="H51" s="1380"/>
      <c r="I51" s="1380"/>
      <c r="J51" s="1380"/>
      <c r="K51" s="1380"/>
      <c r="L51" s="1524"/>
      <c r="M51" s="1387"/>
      <c r="N51" s="1387"/>
      <c r="P51" s="1382"/>
      <c r="Q51" s="1383"/>
      <c r="R51" s="1382"/>
      <c r="S51" s="1388"/>
      <c r="T51" s="1391" t="s">
        <v>174</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562" customFormat="1" customHeight="1" ht="0">
      <c r="A52" s="1409" t="s">
        <v>240</v>
      </c>
      <c r="B52" s="1409"/>
      <c r="C52" s="1409"/>
      <c r="D52" s="1409"/>
      <c r="E52" s="2324"/>
      <c r="F52" s="1409"/>
      <c r="G52" s="1409"/>
      <c r="H52" s="1409"/>
      <c r="I52" s="1409"/>
      <c r="J52" s="1409"/>
      <c r="K52" s="1409"/>
      <c r="L52" s="1412"/>
      <c r="M52" s="1387"/>
      <c r="N52" s="1387"/>
      <c r="O52" s="584"/>
      <c r="P52" s="446"/>
      <c r="Q52" s="1410"/>
      <c r="R52" s="446"/>
      <c r="S52" s="1388"/>
      <c r="T52" s="1391" t="s">
        <v>175</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562"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176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87</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65C46-D9A8-A4B5-F1CB-58EE52485F8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002" width="10.57421875" hidden="1"/>
    <col min="2" max="2" style="5002" width="11.00390625" hidden="1" customWidth="1"/>
    <col min="3" max="3" style="5002" width="10.57421875" hidden="1"/>
    <col min="4" max="4" style="5002" width="11.8515625" hidden="1" customWidth="1"/>
    <col min="5" max="5" style="5002" width="10.00390625" hidden="1" customWidth="1"/>
    <col min="6" max="6" style="5002" width="8.7109375" hidden="1" customWidth="1"/>
    <col min="7" max="7" style="5002" width="7.57421875" hidden="1" customWidth="1"/>
    <col min="8" max="8" style="5002" width="11.421875" hidden="1" customWidth="1"/>
    <col min="9" max="9" style="5002" width="14.140625" hidden="1" customWidth="1"/>
    <col min="10" max="10" style="5002" width="9.8515625" hidden="1" customWidth="1"/>
    <col min="11" max="11" style="5002" width="14.7109375" hidden="1" customWidth="1"/>
    <col min="12" max="12" style="5519" width="19.140625" hidden="1" customWidth="1"/>
    <col min="13" max="14" style="4246" width="12.28125" hidden="1" customWidth="1"/>
    <col min="15" max="15" style="4246" width="23.421875" hidden="1" customWidth="1"/>
    <col min="16" max="16" style="5737" width="3.00390625" customWidth="1"/>
    <col min="17" max="18" style="5023" width="3.00390625" customWidth="1"/>
    <col min="19" max="19" style="5711" width="12.00390625" customWidth="1"/>
    <col min="20" max="20" style="5053" width="35.00390625" customWidth="1"/>
    <col min="21" max="21" style="5053" width="0.140625" customWidth="1"/>
    <col min="22" max="24" style="5053" width="24.7109375" hidden="1" customWidth="1"/>
    <col min="25" max="25" style="5053" width="11.7109375" hidden="1" customWidth="1"/>
    <col min="26" max="26" style="5053" width="3.7109375" hidden="1" customWidth="1"/>
    <col min="27" max="27" style="5053" width="11.7109375" hidden="1" customWidth="1"/>
    <col min="28" max="28" style="5053" width="8.57421875" hidden="1" customWidth="1"/>
    <col min="29" max="29" style="5053" width="24.7109375" customWidth="1"/>
    <col min="30" max="31" style="5053" width="24.00390625" customWidth="1"/>
    <col min="32" max="32" style="5053" width="11.00390625" customWidth="1"/>
    <col min="33" max="33" style="5053" width="3.7109375" customWidth="1"/>
    <col min="34" max="34" style="5053" width="11.00390625" customWidth="1"/>
    <col min="35" max="35" style="5053" width="8.57421875" hidden="1" customWidth="1"/>
    <col min="36" max="36" style="5053" width="4.00390625" customWidth="1"/>
    <col min="37" max="37" style="5053" width="115.00390625" customWidth="1"/>
    <col min="38" max="42" style="4562" width="10.00390625" customWidth="1"/>
    <col min="43" max="43" style="5053"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128</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406</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407</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490</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491</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492</v>
      </c>
      <c r="U5" s="366"/>
      <c r="V5" s="2416"/>
      <c r="W5" s="2417"/>
      <c r="X5" s="2417"/>
      <c r="Y5" s="2417"/>
      <c r="Z5" s="2417"/>
      <c r="AA5" s="2417"/>
      <c r="AB5" s="2418"/>
      <c r="AC5" s="2419"/>
      <c r="AD5" s="2420"/>
      <c r="AE5" s="2420"/>
      <c r="AF5" s="2420"/>
      <c r="AG5" s="2420"/>
      <c r="AH5" s="2420"/>
      <c r="AI5" s="2420"/>
      <c r="AJ5" s="2421"/>
      <c r="AK5" s="1324" t="s">
        <v>493</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415</v>
      </c>
      <c r="P6" s="2323"/>
      <c r="Q6" s="2323">
        <v>1</v>
      </c>
      <c r="R6" s="423"/>
      <c r="S6" s="1523">
        <f>$J6</f>
      </c>
      <c r="T6" s="352" t="s">
        <v>416</v>
      </c>
      <c r="U6" s="366"/>
      <c r="V6" s="2311"/>
      <c r="W6" s="2312"/>
      <c r="X6" s="2312"/>
      <c r="Y6" s="2312"/>
      <c r="Z6" s="2312"/>
      <c r="AA6" s="2312"/>
      <c r="AB6" s="2313"/>
      <c r="AC6" s="2311"/>
      <c r="AD6" s="2312"/>
      <c r="AE6" s="2312"/>
      <c r="AF6" s="2312"/>
      <c r="AG6" s="2312"/>
      <c r="AH6" s="2312"/>
      <c r="AI6" s="2312"/>
      <c r="AJ6" s="2313"/>
      <c r="AK6" s="1373" t="s">
        <v>494</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71</v>
      </c>
      <c r="AA7" s="2331"/>
      <c r="AB7" s="2173" t="s">
        <v>71</v>
      </c>
      <c r="AC7" s="817"/>
      <c r="AD7" s="817"/>
      <c r="AE7" s="1323"/>
      <c r="AF7" s="2331"/>
      <c r="AG7" s="2173" t="s">
        <v>71</v>
      </c>
      <c r="AH7" s="2353"/>
      <c r="AI7" s="2173" t="s">
        <v>71</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495</v>
      </c>
      <c r="U9" s="433"/>
      <c r="V9" s="433"/>
      <c r="W9" s="433"/>
      <c r="X9" s="433"/>
      <c r="Y9" s="433"/>
      <c r="Z9" s="433"/>
      <c r="AA9" s="433"/>
      <c r="AB9" s="433"/>
      <c r="AC9" s="433"/>
      <c r="AD9" s="433"/>
      <c r="AE9" s="433"/>
      <c r="AF9" s="433"/>
      <c r="AG9" s="433"/>
      <c r="AH9" s="433"/>
      <c r="AI9" s="433"/>
      <c r="AJ9" s="433"/>
      <c r="AK9" s="1324" t="s">
        <v>496</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421</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497</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562"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174</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562"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175</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71</v>
      </c>
      <c r="AH15" s="2333"/>
      <c r="AI15" s="2334" t="s">
        <v>71</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5002" customFormat="1" customHeight="1" ht="22.5" hidden="1">
      <c r="L18" s="1513"/>
      <c r="M18" s="1428"/>
      <c r="N18" s="1428"/>
      <c r="O18" s="1433" t="s">
        <v>423</v>
      </c>
      <c r="P18" s="1428"/>
      <c r="Q18" s="1437"/>
      <c r="R18" s="1437"/>
      <c r="S18" s="795"/>
      <c r="Y18" s="1433"/>
      <c r="AA18" s="1433"/>
      <c r="AB18" s="1432"/>
      <c r="AF18" s="1433"/>
      <c r="AH18" s="1433"/>
      <c r="AI18" s="1432"/>
      <c r="AL18" s="577"/>
      <c r="AM18" s="577"/>
      <c r="AN18" s="577"/>
      <c r="AO18" s="577"/>
      <c r="AP18" s="577"/>
      <c r="AQ18" s="1226">
        <v>0</v>
      </c>
    </row>
    <row s="5002" customFormat="1" customHeight="1" ht="14.25" hidden="1">
      <c r="L19" s="1513"/>
      <c r="M19" s="1428"/>
      <c r="N19" s="1428"/>
      <c r="O19" s="1428"/>
      <c r="P19" s="1428"/>
      <c r="Q19" s="1437"/>
      <c r="R19" s="1437"/>
      <c r="S19" s="795"/>
      <c r="AB19" s="1432"/>
      <c r="AI19" s="1432"/>
      <c r="AL19" s="577"/>
      <c r="AM19" s="577"/>
      <c r="AN19" s="577"/>
      <c r="AO19" s="577"/>
      <c r="AP19" s="577"/>
      <c r="AQ19" s="1226">
        <v>0</v>
      </c>
    </row>
    <row s="5002" customFormat="1" customHeight="1" ht="12" hidden="1">
      <c r="L20" s="1513"/>
      <c r="M20" s="1428"/>
      <c r="N20" s="1428"/>
      <c r="O20" s="1430" t="s">
        <v>424</v>
      </c>
      <c r="P20" s="1428"/>
      <c r="Q20" s="1508"/>
      <c r="R20" s="1508"/>
      <c r="S20" s="795"/>
      <c r="T20" s="1226" t="s">
        <v>425</v>
      </c>
      <c r="Z20" s="252" t="s">
        <v>426</v>
      </c>
      <c r="AB20" s="252" t="s">
        <v>427</v>
      </c>
      <c r="AC20" s="1226" t="s">
        <v>425</v>
      </c>
      <c r="AG20" s="252" t="s">
        <v>428</v>
      </c>
      <c r="AI20" s="252" t="s">
        <v>427</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597"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Департамент тарифной политики, энергетики и ЖКК ЯНАО </v>
      </c>
      <c r="W27" s="2317"/>
      <c r="X27" s="2317"/>
      <c r="Y27" s="2317"/>
      <c r="Z27" s="2317"/>
      <c r="AA27" s="2317"/>
      <c r="AB27" s="392"/>
      <c r="AC27" s="2317" t="str">
        <f>IF(TITLE_NAME_OR_PR_CHANGE="",IF(TITLE_NAME_OR_PR="","",TITLE_NAME_OR_PR),TITLE_NAME_OR_PR_CHANGE)</f>
        <v>Департамент тарифной политики, энергетики и ЖКК ЯНАО </v>
      </c>
      <c r="AD27" s="2317"/>
      <c r="AE27" s="2317"/>
      <c r="AF27" s="2317"/>
      <c r="AG27" s="2317"/>
      <c r="AH27" s="2317"/>
      <c r="AI27" s="392"/>
      <c r="AJ27" s="392"/>
      <c r="AK27" s="346"/>
      <c r="AL27" s="434"/>
      <c r="AM27" s="434"/>
      <c r="AN27" s="434"/>
      <c r="AO27" s="434"/>
      <c r="AP27" s="434"/>
      <c r="AQ27" s="484">
        <v>0</v>
      </c>
    </row>
    <row s="5597"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45631.41619212963</v>
      </c>
      <c r="W28" s="2330"/>
      <c r="X28" s="2330"/>
      <c r="Y28" s="2330"/>
      <c r="Z28" s="2330"/>
      <c r="AA28" s="2330"/>
      <c r="AB28" s="392"/>
      <c r="AC28" s="2330" t="str">
        <f>IF(TITLE_DATE_PR_CHANGE="",IF(TITLE_DATE_PR="","",TITLE_DATE_PR),TITLE_DATE_PR_CHANGE)</f>
        <v>45631.41619212963</v>
      </c>
      <c r="AD28" s="2330"/>
      <c r="AE28" s="2330"/>
      <c r="AF28" s="2330"/>
      <c r="AG28" s="2330"/>
      <c r="AH28" s="2330"/>
      <c r="AI28" s="392"/>
      <c r="AJ28" s="392"/>
      <c r="AK28" s="346"/>
      <c r="AL28" s="434"/>
      <c r="AM28" s="434"/>
      <c r="AN28" s="434"/>
      <c r="AO28" s="434"/>
      <c r="AP28" s="434"/>
      <c r="AQ28" s="484">
        <v>0</v>
      </c>
    </row>
    <row s="5597"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447-т</v>
      </c>
      <c r="W29" s="2317"/>
      <c r="X29" s="2317"/>
      <c r="Y29" s="2317"/>
      <c r="Z29" s="2317"/>
      <c r="AA29" s="2317"/>
      <c r="AB29" s="392"/>
      <c r="AC29" s="2317" t="str">
        <f>IF(TITLE_NUMBER_PR_CHANGE="",IF(TITLE_NUMBER_PR="","",TITLE_NUMBER_PR),TITLE_NUMBER_PR_CHANGE)</f>
        <v>447-т</v>
      </c>
      <c r="AD29" s="2317"/>
      <c r="AE29" s="2317"/>
      <c r="AF29" s="2317"/>
      <c r="AG29" s="2317"/>
      <c r="AH29" s="2317"/>
      <c r="AI29" s="392"/>
      <c r="AJ29" s="392"/>
      <c r="AK29" s="346"/>
      <c r="AL29" s="434"/>
      <c r="AM29" s="434"/>
      <c r="AN29" s="434"/>
      <c r="AO29" s="434"/>
      <c r="AP29" s="434"/>
      <c r="AQ29" s="484">
        <v>0</v>
      </c>
    </row>
    <row s="5597"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сайт Департамента тарифной политики, энергетики и ЖКК ЯНАО, https://rek-yamal.ru, 05.12.2024</v>
      </c>
      <c r="W30" s="2317"/>
      <c r="X30" s="2317"/>
      <c r="Y30" s="2317"/>
      <c r="Z30" s="2317"/>
      <c r="AA30" s="2317"/>
      <c r="AB30" s="392"/>
      <c r="AC30" s="2317" t="str">
        <f>IF(TITLE_IST_PUB_CHANGE="",IF(TITLE_IST_PUB="","",TITLE_IST_PUB),TITLE_IST_PUB_CHANGE)</f>
        <v>Официальный сайт Департамента тарифной политики, энергетики и ЖКК ЯНАО, https://rek-yamal.ru, 05.12.2024</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597"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45631.41619212963</v>
      </c>
      <c r="W32" s="2330"/>
      <c r="X32" s="2330"/>
      <c r="Y32" s="2330"/>
      <c r="Z32" s="2330"/>
      <c r="AA32" s="2330"/>
      <c r="AB32" s="392"/>
      <c r="AC32" s="2330" t="str">
        <f>IF(TITLE_DATE_PR_CHANGE="",IF(TITLE_DATE_PR="","",TITLE_DATE_PR),TITLE_DATE_PR_CHANGE)</f>
        <v>45631.41619212963</v>
      </c>
      <c r="AD32" s="2330"/>
      <c r="AE32" s="2330"/>
      <c r="AF32" s="2330"/>
      <c r="AG32" s="2330"/>
      <c r="AH32" s="2330"/>
      <c r="AI32" s="392"/>
      <c r="AJ32" s="392"/>
      <c r="AK32" s="346"/>
      <c r="AL32" s="434"/>
      <c r="AM32" s="434"/>
      <c r="AN32" s="434"/>
      <c r="AO32" s="434"/>
      <c r="AP32" s="434"/>
      <c r="AQ32" s="484">
        <v>0</v>
      </c>
    </row>
    <row s="5597"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447-т</v>
      </c>
      <c r="W33" s="2317"/>
      <c r="X33" s="2317"/>
      <c r="Y33" s="2317"/>
      <c r="Z33" s="2317"/>
      <c r="AA33" s="2317"/>
      <c r="AB33" s="392"/>
      <c r="AC33" s="2317" t="str">
        <f>IF(TITLE_NUMBER_PR_CHANGE="",IF(TITLE_NUMBER_PR="","",TITLE_NUMBER_PR),TITLE_NUMBER_PR_CHANGE)</f>
        <v>447-т</v>
      </c>
      <c r="AD33" s="2317"/>
      <c r="AE33" s="2317"/>
      <c r="AF33" s="2317"/>
      <c r="AG33" s="2317"/>
      <c r="AH33" s="2317"/>
      <c r="AI33" s="392"/>
      <c r="AJ33" s="392"/>
      <c r="AK33" s="346"/>
      <c r="AL33" s="434"/>
      <c r="AM33" s="434"/>
      <c r="AN33" s="434"/>
      <c r="AO33" s="434"/>
      <c r="AP33" s="434"/>
      <c r="AQ33" s="484">
        <v>0</v>
      </c>
    </row>
    <row s="5597"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433</v>
      </c>
      <c r="AC34" s="392"/>
      <c r="AD34" s="392"/>
      <c r="AE34" s="392"/>
      <c r="AF34" s="392"/>
      <c r="AG34" s="392"/>
      <c r="AH34" s="392"/>
      <c r="AI34" s="344" t="s">
        <v>433</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t="s">
        <v>310</v>
      </c>
      <c r="AQ36" s="1221">
        <v>14</v>
      </c>
    </row>
    <row customHeight="1" ht="14.699999999999998">
      <c r="Q37" s="442"/>
      <c r="R37" s="442"/>
      <c r="S37" s="2339" t="s">
        <v>93</v>
      </c>
      <c r="T37" s="2275" t="s">
        <v>434</v>
      </c>
      <c r="U37" s="367"/>
      <c r="V37" s="2340" t="s">
        <v>435</v>
      </c>
      <c r="W37" s="2341"/>
      <c r="X37" s="2341"/>
      <c r="Y37" s="2341"/>
      <c r="Z37" s="2341"/>
      <c r="AA37" s="2342"/>
      <c r="AB37" s="2343" t="s">
        <v>436</v>
      </c>
      <c r="AC37" s="2340" t="s">
        <v>435</v>
      </c>
      <c r="AD37" s="2341"/>
      <c r="AE37" s="2341"/>
      <c r="AF37" s="2341"/>
      <c r="AG37" s="2341"/>
      <c r="AH37" s="2342"/>
      <c r="AI37" s="2343" t="s">
        <v>437</v>
      </c>
      <c r="AJ37" s="2346" t="s">
        <v>438</v>
      </c>
      <c r="AK37" s="2193"/>
      <c r="AQ37" s="1221">
        <v>14</v>
      </c>
    </row>
    <row customHeight="1" ht="35.699999999999996">
      <c r="Q38" s="442"/>
      <c r="R38" s="442"/>
      <c r="S38" s="2339"/>
      <c r="T38" s="2275"/>
      <c r="U38" s="1097"/>
      <c r="V38" s="1518" t="s">
        <v>498</v>
      </c>
      <c r="W38" s="2328" t="s">
        <v>441</v>
      </c>
      <c r="X38" s="2329"/>
      <c r="Y38" s="2328" t="s">
        <v>442</v>
      </c>
      <c r="Z38" s="2335"/>
      <c r="AA38" s="2329"/>
      <c r="AB38" s="2344"/>
      <c r="AC38" s="1518" t="s">
        <v>498</v>
      </c>
      <c r="AD38" s="2328" t="s">
        <v>441</v>
      </c>
      <c r="AE38" s="2329"/>
      <c r="AF38" s="2328" t="s">
        <v>442</v>
      </c>
      <c r="AG38" s="2335"/>
      <c r="AH38" s="2329"/>
      <c r="AI38" s="2344"/>
      <c r="AJ38" s="2347"/>
      <c r="AK38" s="2193"/>
      <c r="AQ38" s="1221">
        <v>34</v>
      </c>
    </row>
    <row customHeight="1" ht="35.699999999999996">
      <c r="A39" s="1436"/>
      <c r="B39" s="1436" t="s">
        <v>140</v>
      </c>
      <c r="C39" s="1436" t="s">
        <v>141</v>
      </c>
      <c r="D39" s="1436" t="s">
        <v>142</v>
      </c>
      <c r="E39" s="1430" t="s">
        <v>443</v>
      </c>
      <c r="F39" s="1430" t="s">
        <v>444</v>
      </c>
      <c r="G39" s="1430" t="s">
        <v>445</v>
      </c>
      <c r="H39" s="1430"/>
      <c r="I39" s="1430" t="s">
        <v>499</v>
      </c>
      <c r="J39" s="1430" t="s">
        <v>448</v>
      </c>
      <c r="K39" s="1430" t="s">
        <v>500</v>
      </c>
      <c r="L39" s="1430" t="s">
        <v>424</v>
      </c>
      <c r="Q39" s="442"/>
      <c r="R39" s="442"/>
      <c r="S39" s="2339"/>
      <c r="T39" s="2275"/>
      <c r="U39" s="368"/>
      <c r="V39" s="1518" t="s">
        <v>501</v>
      </c>
      <c r="W39" s="1288" t="s">
        <v>502</v>
      </c>
      <c r="X39" s="1288" t="s">
        <v>503</v>
      </c>
      <c r="Y39" s="1521" t="s">
        <v>452</v>
      </c>
      <c r="Z39" s="2336" t="s">
        <v>453</v>
      </c>
      <c r="AA39" s="2337"/>
      <c r="AB39" s="2345"/>
      <c r="AC39" s="1518" t="s">
        <v>501</v>
      </c>
      <c r="AD39" s="1288" t="s">
        <v>502</v>
      </c>
      <c r="AE39" s="1288" t="s">
        <v>503</v>
      </c>
      <c r="AF39" s="1521" t="s">
        <v>452</v>
      </c>
      <c r="AG39" s="2336" t="s">
        <v>453</v>
      </c>
      <c r="AH39" s="2337"/>
      <c r="AI39" s="2345"/>
      <c r="AJ39" s="2348"/>
      <c r="AK39" s="2193"/>
      <c r="AQ39" s="1221">
        <v>34</v>
      </c>
    </row>
    <row s="4153"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114</v>
      </c>
      <c r="T40" s="1321" t="s">
        <v>115</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245</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128</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245</v>
      </c>
      <c r="B42" s="1429" t="s">
        <v>246</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406</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407</v>
      </c>
      <c r="AM42" s="566"/>
      <c r="AN42" s="566" t="str">
        <f>IF(T42="","",T42)</f>
        <v>Территория действия тарифа</v>
      </c>
      <c r="AO42" s="566"/>
      <c r="AP42" s="566"/>
      <c r="AQ42" s="1221">
        <v>23</v>
      </c>
    </row>
    <row customHeight="1" ht="24">
      <c r="A43" s="1429" t="s">
        <v>245</v>
      </c>
      <c r="B43" s="1429" t="s">
        <v>246</v>
      </c>
      <c r="C43" s="1429" t="s">
        <v>247</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490</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491</v>
      </c>
      <c r="AM43" s="566"/>
      <c r="AN43" s="566" t="str">
        <f>IF(T43="","",T43)</f>
        <v>Наименование централизованной системы холодного водоснабжения</v>
      </c>
      <c r="AO43" s="566"/>
      <c r="AP43" s="566"/>
      <c r="AQ43" s="1221">
        <v>23</v>
      </c>
    </row>
    <row customHeight="1" ht="24">
      <c r="A44" s="1429" t="s">
        <v>245</v>
      </c>
      <c r="B44" s="1429" t="s">
        <v>246</v>
      </c>
      <c r="C44" s="1429" t="s">
        <v>247</v>
      </c>
      <c r="D44" s="1429" t="s">
        <v>506</v>
      </c>
      <c r="E44" s="2325"/>
      <c r="F44" s="2325"/>
      <c r="G44" s="2325"/>
      <c r="H44" s="2325"/>
      <c r="I44" s="2322" t="str">
        <f>S43&amp;".1"</f>
        <v>...1</v>
      </c>
      <c r="J44" s="1429"/>
      <c r="K44" s="1429"/>
      <c r="L44" s="1430"/>
      <c r="P44" s="2323">
        <v>1</v>
      </c>
      <c r="Q44" s="1516"/>
      <c r="R44" s="422"/>
      <c r="S44" s="1523" t="str">
        <f>$I44</f>
        <v>...1</v>
      </c>
      <c r="T44" s="351" t="s">
        <v>492</v>
      </c>
      <c r="U44" s="366"/>
      <c r="V44" s="2416"/>
      <c r="W44" s="2417"/>
      <c r="X44" s="2417"/>
      <c r="Y44" s="2417"/>
      <c r="Z44" s="2417"/>
      <c r="AA44" s="2417"/>
      <c r="AB44" s="2418"/>
      <c r="AC44" s="2419"/>
      <c r="AD44" s="2420"/>
      <c r="AE44" s="2420"/>
      <c r="AF44" s="2420"/>
      <c r="AG44" s="2420"/>
      <c r="AH44" s="2420"/>
      <c r="AI44" s="2420"/>
      <c r="AJ44" s="2421"/>
      <c r="AK44" s="1324" t="s">
        <v>493</v>
      </c>
      <c r="AM44" s="566"/>
      <c r="AN44" s="566" t="str">
        <f>IF(T44="","",T44)</f>
        <v>Наименование признака дифференциации</v>
      </c>
      <c r="AO44" s="566"/>
      <c r="AP44" s="566"/>
      <c r="AQ44" s="1221">
        <v>23</v>
      </c>
    </row>
    <row customHeight="1" ht="24">
      <c r="A45" s="1429" t="s">
        <v>245</v>
      </c>
      <c r="B45" s="1429" t="s">
        <v>246</v>
      </c>
      <c r="C45" s="1429" t="s">
        <v>247</v>
      </c>
      <c r="D45" s="1429" t="s">
        <v>506</v>
      </c>
      <c r="E45" s="2325"/>
      <c r="F45" s="2325"/>
      <c r="G45" s="2325"/>
      <c r="H45" s="2325"/>
      <c r="I45" s="2352"/>
      <c r="J45" s="2322" t="str">
        <f>I44&amp;".1"</f>
        <v>...1.1</v>
      </c>
      <c r="K45" s="1429"/>
      <c r="L45" s="1430" t="s">
        <v>415</v>
      </c>
      <c r="P45" s="2323"/>
      <c r="Q45" s="2323">
        <v>1</v>
      </c>
      <c r="R45" s="423"/>
      <c r="S45" s="1523" t="str">
        <f>$J45</f>
        <v>...1.1</v>
      </c>
      <c r="T45" s="352" t="s">
        <v>416</v>
      </c>
      <c r="U45" s="366"/>
      <c r="V45" s="2311"/>
      <c r="W45" s="2312"/>
      <c r="X45" s="2312"/>
      <c r="Y45" s="2312"/>
      <c r="Z45" s="2312"/>
      <c r="AA45" s="2312"/>
      <c r="AB45" s="2313"/>
      <c r="AC45" s="2311"/>
      <c r="AD45" s="2312"/>
      <c r="AE45" s="2312"/>
      <c r="AF45" s="2312"/>
      <c r="AG45" s="2312"/>
      <c r="AH45" s="2312"/>
      <c r="AI45" s="2312"/>
      <c r="AJ45" s="2313"/>
      <c r="AK45" s="1373" t="s">
        <v>494</v>
      </c>
      <c r="AM45" s="566"/>
      <c r="AN45" s="566" t="str">
        <f>IF(T45="","",T45)</f>
        <v>Группа потребителей</v>
      </c>
      <c r="AO45" s="566"/>
      <c r="AP45" s="566"/>
      <c r="AQ45" s="1221">
        <v>23</v>
      </c>
    </row>
    <row customHeight="1" ht="24">
      <c r="A46" s="1429" t="s">
        <v>245</v>
      </c>
      <c r="B46" s="1429" t="s">
        <v>246</v>
      </c>
      <c r="C46" s="1429" t="s">
        <v>247</v>
      </c>
      <c r="D46" s="1429" t="s">
        <v>506</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71</v>
      </c>
      <c r="AA46" s="2331"/>
      <c r="AB46" s="2173" t="s">
        <v>71</v>
      </c>
      <c r="AC46" s="817"/>
      <c r="AD46" s="817"/>
      <c r="AE46" s="1323"/>
      <c r="AF46" s="2331"/>
      <c r="AG46" s="2173" t="s">
        <v>71</v>
      </c>
      <c r="AH46" s="2353"/>
      <c r="AI46" s="2173" t="s">
        <v>71</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245</v>
      </c>
      <c r="B47" s="1429" t="s">
        <v>246</v>
      </c>
      <c r="C47" s="1429" t="s">
        <v>247</v>
      </c>
      <c r="D47" s="1429" t="s">
        <v>506</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245</v>
      </c>
      <c r="B48" s="1429" t="s">
        <v>246</v>
      </c>
      <c r="C48" s="1429" t="s">
        <v>247</v>
      </c>
      <c r="D48" s="1429" t="s">
        <v>506</v>
      </c>
      <c r="E48" s="2325"/>
      <c r="F48" s="2325"/>
      <c r="G48" s="2325"/>
      <c r="H48" s="2325"/>
      <c r="I48" s="2352"/>
      <c r="J48" s="2322"/>
      <c r="K48" s="1429"/>
      <c r="L48" s="1430"/>
      <c r="P48" s="2323"/>
      <c r="Q48" s="2323"/>
      <c r="R48" s="422"/>
      <c r="S48" s="1344"/>
      <c r="T48" s="353" t="s">
        <v>495</v>
      </c>
      <c r="U48" s="433"/>
      <c r="V48" s="433"/>
      <c r="W48" s="433"/>
      <c r="X48" s="433"/>
      <c r="Y48" s="433"/>
      <c r="Z48" s="433"/>
      <c r="AA48" s="433"/>
      <c r="AB48" s="433"/>
      <c r="AC48" s="433"/>
      <c r="AD48" s="433"/>
      <c r="AE48" s="433"/>
      <c r="AF48" s="433"/>
      <c r="AG48" s="433"/>
      <c r="AH48" s="433"/>
      <c r="AI48" s="433"/>
      <c r="AJ48" s="433"/>
      <c r="AK48" s="1324" t="s">
        <v>496</v>
      </c>
      <c r="AM48" s="566"/>
      <c r="AN48" s="566" t="str">
        <f>IF(T48="","",T48)</f>
        <v>Добавить значение признака дифференциации</v>
      </c>
      <c r="AO48" s="566"/>
      <c r="AP48" s="566"/>
      <c r="AQ48" s="1221">
        <v>20</v>
      </c>
    </row>
    <row customHeight="1" ht="22.049999999999997">
      <c r="A49" s="1429" t="s">
        <v>245</v>
      </c>
      <c r="B49" s="1429" t="s">
        <v>246</v>
      </c>
      <c r="C49" s="1429" t="s">
        <v>247</v>
      </c>
      <c r="D49" s="1429" t="s">
        <v>506</v>
      </c>
      <c r="E49" s="2325"/>
      <c r="F49" s="2325"/>
      <c r="G49" s="2325"/>
      <c r="H49" s="2325"/>
      <c r="I49" s="2322"/>
      <c r="J49" s="1429"/>
      <c r="K49" s="1429"/>
      <c r="L49" s="1430"/>
      <c r="P49" s="2323"/>
      <c r="Q49" s="1516"/>
      <c r="R49" s="422"/>
      <c r="S49" s="1344"/>
      <c r="T49" s="431" t="s">
        <v>421</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245</v>
      </c>
      <c r="B50" s="1429" t="s">
        <v>246</v>
      </c>
      <c r="C50" s="1429" t="s">
        <v>247</v>
      </c>
      <c r="D50" s="1429" t="s">
        <v>506</v>
      </c>
      <c r="E50" s="2325"/>
      <c r="F50" s="2325"/>
      <c r="G50" s="2325"/>
      <c r="H50" s="2324"/>
      <c r="I50" s="1429"/>
      <c r="J50" s="1429"/>
      <c r="K50" s="1429"/>
      <c r="L50" s="1430"/>
      <c r="M50" s="1431"/>
      <c r="N50" s="1431"/>
      <c r="O50" s="603"/>
      <c r="P50" s="426"/>
      <c r="Q50" s="441"/>
      <c r="R50" s="421"/>
      <c r="S50" s="1344"/>
      <c r="T50" s="438" t="s">
        <v>497</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562" customFormat="1" customHeight="1" ht="0">
      <c r="A51" s="1409" t="s">
        <v>245</v>
      </c>
      <c r="B51" s="1409" t="s">
        <v>246</v>
      </c>
      <c r="C51" s="1380"/>
      <c r="D51" s="1380"/>
      <c r="E51" s="2325"/>
      <c r="F51" s="2324"/>
      <c r="G51" s="1380"/>
      <c r="H51" s="1380"/>
      <c r="I51" s="1380"/>
      <c r="J51" s="1380"/>
      <c r="K51" s="1380"/>
      <c r="L51" s="1524"/>
      <c r="M51" s="1387"/>
      <c r="N51" s="1387"/>
      <c r="P51" s="1382"/>
      <c r="Q51" s="1383"/>
      <c r="R51" s="1382"/>
      <c r="S51" s="1388"/>
      <c r="T51" s="1391" t="s">
        <v>174</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562" customFormat="1" customHeight="1" ht="0">
      <c r="A52" s="1409" t="s">
        <v>245</v>
      </c>
      <c r="B52" s="1409"/>
      <c r="C52" s="1409"/>
      <c r="D52" s="1409"/>
      <c r="E52" s="2324"/>
      <c r="F52" s="1409"/>
      <c r="G52" s="1409"/>
      <c r="H52" s="1409"/>
      <c r="I52" s="1409"/>
      <c r="J52" s="1409"/>
      <c r="K52" s="1409"/>
      <c r="L52" s="1412"/>
      <c r="M52" s="1387"/>
      <c r="N52" s="1387"/>
      <c r="O52" s="584"/>
      <c r="P52" s="446"/>
      <c r="Q52" s="1410"/>
      <c r="R52" s="446"/>
      <c r="S52" s="1388"/>
      <c r="T52" s="1391" t="s">
        <v>175</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562"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176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87</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9B716-66CE-F192-806B-7364CB878C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002" width="10.57421875" hidden="1"/>
    <col min="2" max="2" style="5002" width="11.00390625" hidden="1" customWidth="1"/>
    <col min="3" max="3" style="5002" width="10.57421875" hidden="1"/>
    <col min="4" max="4" style="5002" width="11.8515625" hidden="1" customWidth="1"/>
    <col min="5" max="5" style="5002" width="10.00390625" hidden="1" customWidth="1"/>
    <col min="6" max="6" style="5002" width="8.7109375" hidden="1" customWidth="1"/>
    <col min="7" max="7" style="5002" width="7.57421875" hidden="1" customWidth="1"/>
    <col min="8" max="8" style="5002" width="11.421875" hidden="1" customWidth="1"/>
    <col min="9" max="9" style="5002" width="14.140625" hidden="1" customWidth="1"/>
    <col min="10" max="10" style="5002" width="9.8515625" hidden="1" customWidth="1"/>
    <col min="11" max="11" style="5002" width="14.7109375" hidden="1" customWidth="1"/>
    <col min="12" max="12" style="5519" width="19.140625" hidden="1" customWidth="1"/>
    <col min="13" max="14" style="4246" width="12.28125" hidden="1" customWidth="1"/>
    <col min="15" max="15" style="4246" width="23.421875" hidden="1" customWidth="1"/>
    <col min="16" max="16" style="5737" width="3.00390625" customWidth="1"/>
    <col min="17" max="18" style="5023" width="3.00390625" customWidth="1"/>
    <col min="19" max="19" style="5711" width="12.00390625" customWidth="1"/>
    <col min="20" max="20" style="5053" width="35.00390625" customWidth="1"/>
    <col min="21" max="21" style="5053" width="0.140625" customWidth="1"/>
    <col min="22" max="24" style="5053" width="24.7109375" hidden="1" customWidth="1"/>
    <col min="25" max="25" style="5053" width="11.7109375" hidden="1" customWidth="1"/>
    <col min="26" max="26" style="5053" width="3.7109375" hidden="1" customWidth="1"/>
    <col min="27" max="27" style="5053" width="11.7109375" hidden="1" customWidth="1"/>
    <col min="28" max="28" style="5053" width="8.57421875" hidden="1" customWidth="1"/>
    <col min="29" max="29" style="5053" width="24.7109375" customWidth="1"/>
    <col min="30" max="31" style="5053" width="24.00390625" customWidth="1"/>
    <col min="32" max="32" style="5053" width="11.00390625" customWidth="1"/>
    <col min="33" max="33" style="5053" width="3.7109375" customWidth="1"/>
    <col min="34" max="34" style="5053" width="11.00390625" customWidth="1"/>
    <col min="35" max="35" style="5053" width="8.57421875" hidden="1" customWidth="1"/>
    <col min="36" max="36" style="5053" width="4.00390625" customWidth="1"/>
    <col min="37" max="37" style="5053" width="115.00390625" customWidth="1"/>
    <col min="38" max="42" style="4562" width="10.00390625" customWidth="1"/>
    <col min="43" max="43" style="5053"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128</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406</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407</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490</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491</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492</v>
      </c>
      <c r="U5" s="366"/>
      <c r="V5" s="2416"/>
      <c r="W5" s="2417"/>
      <c r="X5" s="2417"/>
      <c r="Y5" s="2417"/>
      <c r="Z5" s="2417"/>
      <c r="AA5" s="2417"/>
      <c r="AB5" s="2418"/>
      <c r="AC5" s="2419"/>
      <c r="AD5" s="2420"/>
      <c r="AE5" s="2420"/>
      <c r="AF5" s="2420"/>
      <c r="AG5" s="2420"/>
      <c r="AH5" s="2420"/>
      <c r="AI5" s="2420"/>
      <c r="AJ5" s="2421"/>
      <c r="AK5" s="1324" t="s">
        <v>493</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415</v>
      </c>
      <c r="P6" s="2323"/>
      <c r="Q6" s="2323">
        <v>1</v>
      </c>
      <c r="R6" s="423"/>
      <c r="S6" s="1523">
        <f>$J6</f>
      </c>
      <c r="T6" s="352" t="s">
        <v>416</v>
      </c>
      <c r="U6" s="366"/>
      <c r="V6" s="2311"/>
      <c r="W6" s="2312"/>
      <c r="X6" s="2312"/>
      <c r="Y6" s="2312"/>
      <c r="Z6" s="2312"/>
      <c r="AA6" s="2312"/>
      <c r="AB6" s="2313"/>
      <c r="AC6" s="2311"/>
      <c r="AD6" s="2312"/>
      <c r="AE6" s="2312"/>
      <c r="AF6" s="2312"/>
      <c r="AG6" s="2312"/>
      <c r="AH6" s="2312"/>
      <c r="AI6" s="2312"/>
      <c r="AJ6" s="2313"/>
      <c r="AK6" s="1373" t="s">
        <v>494</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71</v>
      </c>
      <c r="AA7" s="2331"/>
      <c r="AB7" s="2173" t="s">
        <v>71</v>
      </c>
      <c r="AC7" s="817"/>
      <c r="AD7" s="817"/>
      <c r="AE7" s="1323"/>
      <c r="AF7" s="2331"/>
      <c r="AG7" s="2173" t="s">
        <v>71</v>
      </c>
      <c r="AH7" s="2353"/>
      <c r="AI7" s="2173" t="s">
        <v>71</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495</v>
      </c>
      <c r="U9" s="433"/>
      <c r="V9" s="433"/>
      <c r="W9" s="433"/>
      <c r="X9" s="433"/>
      <c r="Y9" s="433"/>
      <c r="Z9" s="433"/>
      <c r="AA9" s="433"/>
      <c r="AB9" s="433"/>
      <c r="AC9" s="433"/>
      <c r="AD9" s="433"/>
      <c r="AE9" s="433"/>
      <c r="AF9" s="433"/>
      <c r="AG9" s="433"/>
      <c r="AH9" s="433"/>
      <c r="AI9" s="433"/>
      <c r="AJ9" s="433"/>
      <c r="AK9" s="1324" t="s">
        <v>496</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421</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497</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562"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174</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562"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175</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71</v>
      </c>
      <c r="AH15" s="2333"/>
      <c r="AI15" s="2334" t="s">
        <v>71</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5002" customFormat="1" customHeight="1" ht="22.5" hidden="1">
      <c r="L18" s="1513"/>
      <c r="M18" s="1428"/>
      <c r="N18" s="1428"/>
      <c r="O18" s="1433" t="s">
        <v>423</v>
      </c>
      <c r="P18" s="1428"/>
      <c r="Q18" s="1437"/>
      <c r="R18" s="1437"/>
      <c r="S18" s="795"/>
      <c r="Y18" s="1433"/>
      <c r="AA18" s="1433"/>
      <c r="AB18" s="1432"/>
      <c r="AF18" s="1433"/>
      <c r="AH18" s="1433"/>
      <c r="AI18" s="1432"/>
      <c r="AL18" s="577"/>
      <c r="AM18" s="577"/>
      <c r="AN18" s="577"/>
      <c r="AO18" s="577"/>
      <c r="AP18" s="577"/>
      <c r="AQ18" s="1226">
        <v>0</v>
      </c>
    </row>
    <row s="5002" customFormat="1" customHeight="1" ht="14.25" hidden="1">
      <c r="L19" s="1513"/>
      <c r="M19" s="1428"/>
      <c r="N19" s="1428"/>
      <c r="O19" s="1428"/>
      <c r="P19" s="1428"/>
      <c r="Q19" s="1437"/>
      <c r="R19" s="1437"/>
      <c r="S19" s="795"/>
      <c r="AB19" s="1432"/>
      <c r="AI19" s="1432"/>
      <c r="AL19" s="577"/>
      <c r="AM19" s="577"/>
      <c r="AN19" s="577"/>
      <c r="AO19" s="577"/>
      <c r="AP19" s="577"/>
      <c r="AQ19" s="1226">
        <v>0</v>
      </c>
    </row>
    <row s="5002" customFormat="1" customHeight="1" ht="12" hidden="1">
      <c r="L20" s="1513"/>
      <c r="M20" s="1428"/>
      <c r="N20" s="1428"/>
      <c r="O20" s="1430" t="s">
        <v>424</v>
      </c>
      <c r="P20" s="1428"/>
      <c r="Q20" s="1508"/>
      <c r="R20" s="1508"/>
      <c r="S20" s="795"/>
      <c r="T20" s="1226" t="s">
        <v>425</v>
      </c>
      <c r="Z20" s="252" t="s">
        <v>426</v>
      </c>
      <c r="AB20" s="252" t="s">
        <v>427</v>
      </c>
      <c r="AC20" s="1226" t="s">
        <v>425</v>
      </c>
      <c r="AG20" s="252" t="s">
        <v>428</v>
      </c>
      <c r="AI20" s="252" t="s">
        <v>427</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597"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Департамент тарифной политики, энергетики и ЖКК ЯНАО </v>
      </c>
      <c r="W27" s="2317"/>
      <c r="X27" s="2317"/>
      <c r="Y27" s="2317"/>
      <c r="Z27" s="2317"/>
      <c r="AA27" s="2317"/>
      <c r="AB27" s="392"/>
      <c r="AC27" s="2317" t="str">
        <f>IF(TITLE_NAME_OR_PR_CHANGE="",IF(TITLE_NAME_OR_PR="","",TITLE_NAME_OR_PR),TITLE_NAME_OR_PR_CHANGE)</f>
        <v>Департамент тарифной политики, энергетики и ЖКК ЯНАО </v>
      </c>
      <c r="AD27" s="2317"/>
      <c r="AE27" s="2317"/>
      <c r="AF27" s="2317"/>
      <c r="AG27" s="2317"/>
      <c r="AH27" s="2317"/>
      <c r="AI27" s="392"/>
      <c r="AJ27" s="392"/>
      <c r="AK27" s="346"/>
      <c r="AL27" s="434"/>
      <c r="AM27" s="434"/>
      <c r="AN27" s="434"/>
      <c r="AO27" s="434"/>
      <c r="AP27" s="434"/>
      <c r="AQ27" s="484">
        <v>0</v>
      </c>
    </row>
    <row s="5597"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45631.41619212963</v>
      </c>
      <c r="W28" s="2330"/>
      <c r="X28" s="2330"/>
      <c r="Y28" s="2330"/>
      <c r="Z28" s="2330"/>
      <c r="AA28" s="2330"/>
      <c r="AB28" s="392"/>
      <c r="AC28" s="2330" t="str">
        <f>IF(TITLE_DATE_PR_CHANGE="",IF(TITLE_DATE_PR="","",TITLE_DATE_PR),TITLE_DATE_PR_CHANGE)</f>
        <v>45631.41619212963</v>
      </c>
      <c r="AD28" s="2330"/>
      <c r="AE28" s="2330"/>
      <c r="AF28" s="2330"/>
      <c r="AG28" s="2330"/>
      <c r="AH28" s="2330"/>
      <c r="AI28" s="392"/>
      <c r="AJ28" s="392"/>
      <c r="AK28" s="346"/>
      <c r="AL28" s="434"/>
      <c r="AM28" s="434"/>
      <c r="AN28" s="434"/>
      <c r="AO28" s="434"/>
      <c r="AP28" s="434"/>
      <c r="AQ28" s="484">
        <v>0</v>
      </c>
    </row>
    <row s="5597"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447-т</v>
      </c>
      <c r="W29" s="2317"/>
      <c r="X29" s="2317"/>
      <c r="Y29" s="2317"/>
      <c r="Z29" s="2317"/>
      <c r="AA29" s="2317"/>
      <c r="AB29" s="392"/>
      <c r="AC29" s="2317" t="str">
        <f>IF(TITLE_NUMBER_PR_CHANGE="",IF(TITLE_NUMBER_PR="","",TITLE_NUMBER_PR),TITLE_NUMBER_PR_CHANGE)</f>
        <v>447-т</v>
      </c>
      <c r="AD29" s="2317"/>
      <c r="AE29" s="2317"/>
      <c r="AF29" s="2317"/>
      <c r="AG29" s="2317"/>
      <c r="AH29" s="2317"/>
      <c r="AI29" s="392"/>
      <c r="AJ29" s="392"/>
      <c r="AK29" s="346"/>
      <c r="AL29" s="434"/>
      <c r="AM29" s="434"/>
      <c r="AN29" s="434"/>
      <c r="AO29" s="434"/>
      <c r="AP29" s="434"/>
      <c r="AQ29" s="484">
        <v>0</v>
      </c>
    </row>
    <row s="5597"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сайт Департамента тарифной политики, энергетики и ЖКК ЯНАО, https://rek-yamal.ru, 05.12.2024</v>
      </c>
      <c r="W30" s="2317"/>
      <c r="X30" s="2317"/>
      <c r="Y30" s="2317"/>
      <c r="Z30" s="2317"/>
      <c r="AA30" s="2317"/>
      <c r="AB30" s="392"/>
      <c r="AC30" s="2317" t="str">
        <f>IF(TITLE_IST_PUB_CHANGE="",IF(TITLE_IST_PUB="","",TITLE_IST_PUB),TITLE_IST_PUB_CHANGE)</f>
        <v>Официальный сайт Департамента тарифной политики, энергетики и ЖКК ЯНАО, https://rek-yamal.ru, 05.12.2024</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597"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45631.41619212963</v>
      </c>
      <c r="W32" s="2330"/>
      <c r="X32" s="2330"/>
      <c r="Y32" s="2330"/>
      <c r="Z32" s="2330"/>
      <c r="AA32" s="2330"/>
      <c r="AB32" s="392"/>
      <c r="AC32" s="2330" t="str">
        <f>IF(TITLE_DATE_PR_CHANGE="",IF(TITLE_DATE_PR="","",TITLE_DATE_PR),TITLE_DATE_PR_CHANGE)</f>
        <v>45631.41619212963</v>
      </c>
      <c r="AD32" s="2330"/>
      <c r="AE32" s="2330"/>
      <c r="AF32" s="2330"/>
      <c r="AG32" s="2330"/>
      <c r="AH32" s="2330"/>
      <c r="AI32" s="392"/>
      <c r="AJ32" s="392"/>
      <c r="AK32" s="346"/>
      <c r="AL32" s="434"/>
      <c r="AM32" s="434"/>
      <c r="AN32" s="434"/>
      <c r="AO32" s="434"/>
      <c r="AP32" s="434"/>
      <c r="AQ32" s="484">
        <v>0</v>
      </c>
    </row>
    <row s="5597"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447-т</v>
      </c>
      <c r="W33" s="2317"/>
      <c r="X33" s="2317"/>
      <c r="Y33" s="2317"/>
      <c r="Z33" s="2317"/>
      <c r="AA33" s="2317"/>
      <c r="AB33" s="392"/>
      <c r="AC33" s="2317" t="str">
        <f>IF(TITLE_NUMBER_PR_CHANGE="",IF(TITLE_NUMBER_PR="","",TITLE_NUMBER_PR),TITLE_NUMBER_PR_CHANGE)</f>
        <v>447-т</v>
      </c>
      <c r="AD33" s="2317"/>
      <c r="AE33" s="2317"/>
      <c r="AF33" s="2317"/>
      <c r="AG33" s="2317"/>
      <c r="AH33" s="2317"/>
      <c r="AI33" s="392"/>
      <c r="AJ33" s="392"/>
      <c r="AK33" s="346"/>
      <c r="AL33" s="434"/>
      <c r="AM33" s="434"/>
      <c r="AN33" s="434"/>
      <c r="AO33" s="434"/>
      <c r="AP33" s="434"/>
      <c r="AQ33" s="484">
        <v>0</v>
      </c>
    </row>
    <row s="5597"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433</v>
      </c>
      <c r="AC34" s="392"/>
      <c r="AD34" s="392"/>
      <c r="AE34" s="392"/>
      <c r="AF34" s="392"/>
      <c r="AG34" s="392"/>
      <c r="AH34" s="392"/>
      <c r="AI34" s="344" t="s">
        <v>433</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t="s">
        <v>310</v>
      </c>
      <c r="AQ36" s="1221">
        <v>14</v>
      </c>
    </row>
    <row customHeight="1" ht="14.699999999999998">
      <c r="Q37" s="442"/>
      <c r="R37" s="442"/>
      <c r="S37" s="2339" t="s">
        <v>93</v>
      </c>
      <c r="T37" s="2275" t="s">
        <v>434</v>
      </c>
      <c r="U37" s="367"/>
      <c r="V37" s="2340" t="s">
        <v>435</v>
      </c>
      <c r="W37" s="2341"/>
      <c r="X37" s="2341"/>
      <c r="Y37" s="2341"/>
      <c r="Z37" s="2341"/>
      <c r="AA37" s="2342"/>
      <c r="AB37" s="2343" t="s">
        <v>436</v>
      </c>
      <c r="AC37" s="2340" t="s">
        <v>435</v>
      </c>
      <c r="AD37" s="2341"/>
      <c r="AE37" s="2341"/>
      <c r="AF37" s="2341"/>
      <c r="AG37" s="2341"/>
      <c r="AH37" s="2342"/>
      <c r="AI37" s="2343" t="s">
        <v>437</v>
      </c>
      <c r="AJ37" s="2346" t="s">
        <v>438</v>
      </c>
      <c r="AK37" s="2193"/>
      <c r="AQ37" s="1221">
        <v>14</v>
      </c>
    </row>
    <row customHeight="1" ht="35.699999999999996">
      <c r="Q38" s="442"/>
      <c r="R38" s="442"/>
      <c r="S38" s="2339"/>
      <c r="T38" s="2275"/>
      <c r="U38" s="1097"/>
      <c r="V38" s="1518" t="s">
        <v>498</v>
      </c>
      <c r="W38" s="2328" t="s">
        <v>441</v>
      </c>
      <c r="X38" s="2329"/>
      <c r="Y38" s="2328" t="s">
        <v>442</v>
      </c>
      <c r="Z38" s="2335"/>
      <c r="AA38" s="2329"/>
      <c r="AB38" s="2344"/>
      <c r="AC38" s="1518" t="s">
        <v>498</v>
      </c>
      <c r="AD38" s="2328" t="s">
        <v>441</v>
      </c>
      <c r="AE38" s="2329"/>
      <c r="AF38" s="2328" t="s">
        <v>442</v>
      </c>
      <c r="AG38" s="2335"/>
      <c r="AH38" s="2329"/>
      <c r="AI38" s="2344"/>
      <c r="AJ38" s="2347"/>
      <c r="AK38" s="2193"/>
      <c r="AQ38" s="1221">
        <v>34</v>
      </c>
    </row>
    <row customHeight="1" ht="35.699999999999996">
      <c r="A39" s="1436"/>
      <c r="B39" s="1436" t="s">
        <v>140</v>
      </c>
      <c r="C39" s="1436" t="s">
        <v>141</v>
      </c>
      <c r="D39" s="1436" t="s">
        <v>142</v>
      </c>
      <c r="E39" s="1430" t="s">
        <v>443</v>
      </c>
      <c r="F39" s="1430" t="s">
        <v>444</v>
      </c>
      <c r="G39" s="1430" t="s">
        <v>445</v>
      </c>
      <c r="H39" s="1430"/>
      <c r="I39" s="1430" t="s">
        <v>499</v>
      </c>
      <c r="J39" s="1430" t="s">
        <v>448</v>
      </c>
      <c r="K39" s="1430" t="s">
        <v>500</v>
      </c>
      <c r="L39" s="1430" t="s">
        <v>424</v>
      </c>
      <c r="Q39" s="442"/>
      <c r="R39" s="442"/>
      <c r="S39" s="2339"/>
      <c r="T39" s="2275"/>
      <c r="U39" s="368"/>
      <c r="V39" s="1518" t="s">
        <v>501</v>
      </c>
      <c r="W39" s="1288" t="s">
        <v>502</v>
      </c>
      <c r="X39" s="1288" t="s">
        <v>503</v>
      </c>
      <c r="Y39" s="1521" t="s">
        <v>452</v>
      </c>
      <c r="Z39" s="2336" t="s">
        <v>453</v>
      </c>
      <c r="AA39" s="2337"/>
      <c r="AB39" s="2345"/>
      <c r="AC39" s="1518" t="s">
        <v>501</v>
      </c>
      <c r="AD39" s="1288" t="s">
        <v>502</v>
      </c>
      <c r="AE39" s="1288" t="s">
        <v>503</v>
      </c>
      <c r="AF39" s="1521" t="s">
        <v>452</v>
      </c>
      <c r="AG39" s="2336" t="s">
        <v>453</v>
      </c>
      <c r="AH39" s="2337"/>
      <c r="AI39" s="2345"/>
      <c r="AJ39" s="2348"/>
      <c r="AK39" s="2193"/>
      <c r="AQ39" s="1221">
        <v>34</v>
      </c>
    </row>
    <row s="4153"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114</v>
      </c>
      <c r="T40" s="1321" t="s">
        <v>115</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250</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128</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250</v>
      </c>
      <c r="B42" s="1429" t="s">
        <v>251</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406</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407</v>
      </c>
      <c r="AM42" s="566"/>
      <c r="AN42" s="566" t="str">
        <f>IF(T42="","",T42)</f>
        <v>Территория действия тарифа</v>
      </c>
      <c r="AO42" s="566"/>
      <c r="AP42" s="566"/>
      <c r="AQ42" s="1221">
        <v>23</v>
      </c>
    </row>
    <row customHeight="1" ht="24">
      <c r="A43" s="1429" t="s">
        <v>250</v>
      </c>
      <c r="B43" s="1429" t="s">
        <v>251</v>
      </c>
      <c r="C43" s="1429" t="s">
        <v>252</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490</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491</v>
      </c>
      <c r="AM43" s="566"/>
      <c r="AN43" s="566" t="str">
        <f>IF(T43="","",T43)</f>
        <v>Наименование централизованной системы холодного водоснабжения</v>
      </c>
      <c r="AO43" s="566"/>
      <c r="AP43" s="566"/>
      <c r="AQ43" s="1221">
        <v>23</v>
      </c>
    </row>
    <row customHeight="1" ht="24">
      <c r="A44" s="1429" t="s">
        <v>250</v>
      </c>
      <c r="B44" s="1429" t="s">
        <v>251</v>
      </c>
      <c r="C44" s="1429" t="s">
        <v>252</v>
      </c>
      <c r="D44" s="1429" t="s">
        <v>507</v>
      </c>
      <c r="E44" s="2325"/>
      <c r="F44" s="2325"/>
      <c r="G44" s="2325"/>
      <c r="H44" s="2325"/>
      <c r="I44" s="2322" t="str">
        <f>S43&amp;".1"</f>
        <v>...1</v>
      </c>
      <c r="J44" s="1429"/>
      <c r="K44" s="1429"/>
      <c r="L44" s="1430"/>
      <c r="P44" s="2323">
        <v>1</v>
      </c>
      <c r="Q44" s="1516"/>
      <c r="R44" s="422"/>
      <c r="S44" s="1523" t="str">
        <f>$I44</f>
        <v>...1</v>
      </c>
      <c r="T44" s="351" t="s">
        <v>492</v>
      </c>
      <c r="U44" s="366"/>
      <c r="V44" s="2416"/>
      <c r="W44" s="2417"/>
      <c r="X44" s="2417"/>
      <c r="Y44" s="2417"/>
      <c r="Z44" s="2417"/>
      <c r="AA44" s="2417"/>
      <c r="AB44" s="2418"/>
      <c r="AC44" s="2419"/>
      <c r="AD44" s="2420"/>
      <c r="AE44" s="2420"/>
      <c r="AF44" s="2420"/>
      <c r="AG44" s="2420"/>
      <c r="AH44" s="2420"/>
      <c r="AI44" s="2420"/>
      <c r="AJ44" s="2421"/>
      <c r="AK44" s="1324" t="s">
        <v>493</v>
      </c>
      <c r="AM44" s="566"/>
      <c r="AN44" s="566" t="str">
        <f>IF(T44="","",T44)</f>
        <v>Наименование признака дифференциации</v>
      </c>
      <c r="AO44" s="566"/>
      <c r="AP44" s="566"/>
      <c r="AQ44" s="1221">
        <v>23</v>
      </c>
    </row>
    <row customHeight="1" ht="24">
      <c r="A45" s="1429" t="s">
        <v>250</v>
      </c>
      <c r="B45" s="1429" t="s">
        <v>251</v>
      </c>
      <c r="C45" s="1429" t="s">
        <v>252</v>
      </c>
      <c r="D45" s="1429" t="s">
        <v>507</v>
      </c>
      <c r="E45" s="2325"/>
      <c r="F45" s="2325"/>
      <c r="G45" s="2325"/>
      <c r="H45" s="2325"/>
      <c r="I45" s="2352"/>
      <c r="J45" s="2322" t="str">
        <f>I44&amp;".1"</f>
        <v>...1.1</v>
      </c>
      <c r="K45" s="1429"/>
      <c r="L45" s="1430" t="s">
        <v>415</v>
      </c>
      <c r="P45" s="2323"/>
      <c r="Q45" s="2323">
        <v>1</v>
      </c>
      <c r="R45" s="423"/>
      <c r="S45" s="1523" t="str">
        <f>$J45</f>
        <v>...1.1</v>
      </c>
      <c r="T45" s="352" t="s">
        <v>416</v>
      </c>
      <c r="U45" s="366"/>
      <c r="V45" s="2311"/>
      <c r="W45" s="2312"/>
      <c r="X45" s="2312"/>
      <c r="Y45" s="2312"/>
      <c r="Z45" s="2312"/>
      <c r="AA45" s="2312"/>
      <c r="AB45" s="2313"/>
      <c r="AC45" s="2311"/>
      <c r="AD45" s="2312"/>
      <c r="AE45" s="2312"/>
      <c r="AF45" s="2312"/>
      <c r="AG45" s="2312"/>
      <c r="AH45" s="2312"/>
      <c r="AI45" s="2312"/>
      <c r="AJ45" s="2313"/>
      <c r="AK45" s="1373" t="s">
        <v>494</v>
      </c>
      <c r="AM45" s="566"/>
      <c r="AN45" s="566" t="str">
        <f>IF(T45="","",T45)</f>
        <v>Группа потребителей</v>
      </c>
      <c r="AO45" s="566"/>
      <c r="AP45" s="566"/>
      <c r="AQ45" s="1221">
        <v>23</v>
      </c>
    </row>
    <row customHeight="1" ht="24">
      <c r="A46" s="1429" t="s">
        <v>250</v>
      </c>
      <c r="B46" s="1429" t="s">
        <v>251</v>
      </c>
      <c r="C46" s="1429" t="s">
        <v>252</v>
      </c>
      <c r="D46" s="1429" t="s">
        <v>507</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71</v>
      </c>
      <c r="AA46" s="2331"/>
      <c r="AB46" s="2173" t="s">
        <v>71</v>
      </c>
      <c r="AC46" s="817"/>
      <c r="AD46" s="817"/>
      <c r="AE46" s="1323"/>
      <c r="AF46" s="2331"/>
      <c r="AG46" s="2173" t="s">
        <v>71</v>
      </c>
      <c r="AH46" s="2353"/>
      <c r="AI46" s="2173" t="s">
        <v>71</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250</v>
      </c>
      <c r="B47" s="1429" t="s">
        <v>251</v>
      </c>
      <c r="C47" s="1429" t="s">
        <v>252</v>
      </c>
      <c r="D47" s="1429" t="s">
        <v>507</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250</v>
      </c>
      <c r="B48" s="1429" t="s">
        <v>251</v>
      </c>
      <c r="C48" s="1429" t="s">
        <v>252</v>
      </c>
      <c r="D48" s="1429" t="s">
        <v>507</v>
      </c>
      <c r="E48" s="2325"/>
      <c r="F48" s="2325"/>
      <c r="G48" s="2325"/>
      <c r="H48" s="2325"/>
      <c r="I48" s="2352"/>
      <c r="J48" s="2322"/>
      <c r="K48" s="1429"/>
      <c r="L48" s="1430"/>
      <c r="P48" s="2323"/>
      <c r="Q48" s="2323"/>
      <c r="R48" s="422"/>
      <c r="S48" s="1344"/>
      <c r="T48" s="353" t="s">
        <v>495</v>
      </c>
      <c r="U48" s="433"/>
      <c r="V48" s="433"/>
      <c r="W48" s="433"/>
      <c r="X48" s="433"/>
      <c r="Y48" s="433"/>
      <c r="Z48" s="433"/>
      <c r="AA48" s="433"/>
      <c r="AB48" s="433"/>
      <c r="AC48" s="433"/>
      <c r="AD48" s="433"/>
      <c r="AE48" s="433"/>
      <c r="AF48" s="433"/>
      <c r="AG48" s="433"/>
      <c r="AH48" s="433"/>
      <c r="AI48" s="433"/>
      <c r="AJ48" s="433"/>
      <c r="AK48" s="1324" t="s">
        <v>496</v>
      </c>
      <c r="AM48" s="566"/>
      <c r="AN48" s="566" t="str">
        <f>IF(T48="","",T48)</f>
        <v>Добавить значение признака дифференциации</v>
      </c>
      <c r="AO48" s="566"/>
      <c r="AP48" s="566"/>
      <c r="AQ48" s="1221">
        <v>20</v>
      </c>
    </row>
    <row customHeight="1" ht="22.049999999999997">
      <c r="A49" s="1429" t="s">
        <v>250</v>
      </c>
      <c r="B49" s="1429" t="s">
        <v>251</v>
      </c>
      <c r="C49" s="1429" t="s">
        <v>252</v>
      </c>
      <c r="D49" s="1429" t="s">
        <v>507</v>
      </c>
      <c r="E49" s="2325"/>
      <c r="F49" s="2325"/>
      <c r="G49" s="2325"/>
      <c r="H49" s="2325"/>
      <c r="I49" s="2322"/>
      <c r="J49" s="1429"/>
      <c r="K49" s="1429"/>
      <c r="L49" s="1430"/>
      <c r="P49" s="2323"/>
      <c r="Q49" s="1516"/>
      <c r="R49" s="422"/>
      <c r="S49" s="1344"/>
      <c r="T49" s="431" t="s">
        <v>421</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250</v>
      </c>
      <c r="B50" s="1429" t="s">
        <v>251</v>
      </c>
      <c r="C50" s="1429" t="s">
        <v>252</v>
      </c>
      <c r="D50" s="1429" t="s">
        <v>507</v>
      </c>
      <c r="E50" s="2325"/>
      <c r="F50" s="2325"/>
      <c r="G50" s="2325"/>
      <c r="H50" s="2324"/>
      <c r="I50" s="1429"/>
      <c r="J50" s="1429"/>
      <c r="K50" s="1429"/>
      <c r="L50" s="1430"/>
      <c r="M50" s="1431"/>
      <c r="N50" s="1431"/>
      <c r="O50" s="603"/>
      <c r="P50" s="426"/>
      <c r="Q50" s="441"/>
      <c r="R50" s="421"/>
      <c r="S50" s="1344"/>
      <c r="T50" s="438" t="s">
        <v>497</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562" customFormat="1" customHeight="1" ht="0">
      <c r="A51" s="1409" t="s">
        <v>250</v>
      </c>
      <c r="B51" s="1409" t="s">
        <v>251</v>
      </c>
      <c r="C51" s="1380"/>
      <c r="D51" s="1380"/>
      <c r="E51" s="2325"/>
      <c r="F51" s="2324"/>
      <c r="G51" s="1380"/>
      <c r="H51" s="1380"/>
      <c r="I51" s="1380"/>
      <c r="J51" s="1380"/>
      <c r="K51" s="1380"/>
      <c r="L51" s="1524"/>
      <c r="M51" s="1387"/>
      <c r="N51" s="1387"/>
      <c r="P51" s="1382"/>
      <c r="Q51" s="1383"/>
      <c r="R51" s="1382"/>
      <c r="S51" s="1388"/>
      <c r="T51" s="1391" t="s">
        <v>174</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562" customFormat="1" customHeight="1" ht="0">
      <c r="A52" s="1409" t="s">
        <v>250</v>
      </c>
      <c r="B52" s="1409"/>
      <c r="C52" s="1409"/>
      <c r="D52" s="1409"/>
      <c r="E52" s="2324"/>
      <c r="F52" s="1409"/>
      <c r="G52" s="1409"/>
      <c r="H52" s="1409"/>
      <c r="I52" s="1409"/>
      <c r="J52" s="1409"/>
      <c r="K52" s="1409"/>
      <c r="L52" s="1412"/>
      <c r="M52" s="1387"/>
      <c r="N52" s="1387"/>
      <c r="O52" s="584"/>
      <c r="P52" s="446"/>
      <c r="Q52" s="1410"/>
      <c r="R52" s="446"/>
      <c r="S52" s="1388"/>
      <c r="T52" s="1391" t="s">
        <v>175</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562"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176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87</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569CE-7E72-C714-A2A3-FFE99E72665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5053" width="10.140625" hidden="1" customWidth="1"/>
    <col min="4" max="4" style="5053" width="11.8515625" hidden="1" customWidth="1"/>
    <col min="5" max="11" style="5053" width="10.140625" hidden="1" customWidth="1"/>
    <col min="12" max="12" style="5718" width="10.140625" hidden="1" customWidth="1"/>
    <col min="13" max="15" style="5737" width="10.140625" hidden="1" customWidth="1"/>
    <col min="16" max="16" style="4246" width="3.00390625" customWidth="1"/>
    <col min="17" max="17" style="3575" width="3.00390625" customWidth="1"/>
    <col min="18" max="18" style="5023" width="3.00390625" customWidth="1"/>
    <col min="19" max="19" style="5711" width="12.00390625" customWidth="1"/>
    <col min="20" max="20" style="5053" width="31.00390625" customWidth="1"/>
    <col min="21" max="21" style="5053" width="0.140625" customWidth="1"/>
    <col min="22" max="23" style="5053" width="21.7109375" hidden="1" customWidth="1"/>
    <col min="24" max="24" style="5053" width="11.7109375" hidden="1" customWidth="1"/>
    <col min="25" max="25" style="5053" width="3.7109375" hidden="1" customWidth="1"/>
    <col min="26" max="26" style="5053" width="11.7109375" hidden="1" customWidth="1"/>
    <col min="27" max="27" style="5053" width="8.57421875" hidden="1" customWidth="1"/>
    <col min="28" max="28" style="5053" width="27.00390625" customWidth="1"/>
    <col min="29" max="29" style="5053" width="24.57421875" customWidth="1"/>
    <col min="30" max="31" style="5053" width="21.00390625" customWidth="1"/>
    <col min="32" max="32" style="5053" width="11.00390625" customWidth="1"/>
    <col min="33" max="33" style="5053" width="3.7109375" customWidth="1"/>
    <col min="34" max="34" style="5053" width="11.00390625" customWidth="1"/>
    <col min="35" max="35" style="5053" width="8.57421875" hidden="1" customWidth="1"/>
    <col min="36" max="36" style="5053" width="4.00390625" customWidth="1"/>
    <col min="37" max="37" style="5053" width="115.00390625" customWidth="1"/>
    <col min="38" max="42" style="4562" width="10.00390625" customWidth="1"/>
    <col min="43" max="43" style="5053" width="10.57421875" hidden="1"/>
  </cols>
  <sheetData>
    <row customHeight="1" ht="0.75" hidden="1">
      <c r="AQ1" s="1697" t="s">
        <v>14</v>
      </c>
    </row>
    <row customHeight="1" ht="21" hidden="1">
      <c r="A2" s="1333"/>
      <c r="B2" s="1333"/>
      <c r="C2" s="1333"/>
      <c r="D2" s="1333"/>
      <c r="E2" s="2355">
        <v>1</v>
      </c>
      <c r="F2" s="1333"/>
      <c r="G2" s="1333"/>
      <c r="H2" s="1333"/>
      <c r="I2" s="1333"/>
      <c r="J2" s="1333"/>
      <c r="K2" s="1333"/>
      <c r="L2" s="1376"/>
      <c r="M2" s="1676"/>
      <c r="N2" s="1676"/>
      <c r="O2" s="1676"/>
      <c r="P2" s="1475"/>
      <c r="Q2" s="939"/>
      <c r="R2" s="421"/>
      <c r="S2" s="2024">
        <f>INDEX(PT_DIFFERENTIATION_NUM_NTAR,MATCH(A2,PT_DIFFERENTIATION_NTAR_ID,0))</f>
      </c>
      <c r="T2" s="1591" t="s">
        <v>128</v>
      </c>
      <c r="U2" s="366"/>
      <c r="V2" s="2309"/>
      <c r="W2" s="2309"/>
      <c r="X2" s="2309"/>
      <c r="Y2" s="2309"/>
      <c r="Z2" s="2309"/>
      <c r="AA2" s="2310"/>
      <c r="AB2" s="2018"/>
      <c r="AC2" s="2309">
        <f>INDEX(PT_DIFFERENTIATION_NTAR,MATCH(A2,PT_DIFFERENTIATION_NTAR_ID,0))</f>
      </c>
      <c r="AD2" s="2309"/>
      <c r="AE2" s="2309"/>
      <c r="AF2" s="2309"/>
      <c r="AG2" s="2309"/>
      <c r="AH2" s="2309"/>
      <c r="AI2" s="2309"/>
      <c r="AJ2" s="2310"/>
      <c r="AK2" s="1324" t="s">
        <v>405</v>
      </c>
      <c r="AM2" s="1690"/>
      <c r="AN2" s="1690" t="str">
        <f>IF(T2="","",T2)</f>
        <v>Наименование тарифа</v>
      </c>
      <c r="AO2" s="1690"/>
      <c r="AP2" s="1690"/>
      <c r="AQ2" s="1697">
        <v>0</v>
      </c>
    </row>
    <row customHeight="1" ht="21" hidden="1">
      <c r="A3" s="1333"/>
      <c r="B3" s="1333"/>
      <c r="C3" s="1333"/>
      <c r="D3" s="1333"/>
      <c r="E3" s="2356"/>
      <c r="F3" s="2355">
        <v>1</v>
      </c>
      <c r="G3" s="1333"/>
      <c r="H3" s="1333"/>
      <c r="I3" s="1333"/>
      <c r="J3" s="1333"/>
      <c r="K3" s="1333"/>
      <c r="L3" s="1376"/>
      <c r="M3" s="1676"/>
      <c r="N3" s="1676"/>
      <c r="O3" s="1676"/>
      <c r="P3" s="2035"/>
      <c r="Q3" s="1477"/>
      <c r="R3" s="419"/>
      <c r="S3" s="2024">
        <f>INDEX(PT_DIFFERENTIATION_NUM_TER,MATCH(B3,PT_DIFFERENTIATION_TER_ID,0))</f>
      </c>
      <c r="T3" s="1588" t="s">
        <v>406</v>
      </c>
      <c r="U3" s="366"/>
      <c r="V3" s="2309"/>
      <c r="W3" s="2309"/>
      <c r="X3" s="2309"/>
      <c r="Y3" s="2309"/>
      <c r="Z3" s="2309"/>
      <c r="AA3" s="2310"/>
      <c r="AB3" s="2018"/>
      <c r="AC3" s="2309">
        <f>INDEX(PT_DIFFERENTIATION_TER,MATCH(B3,PT_DIFFERENTIATION_TER_ID,0))</f>
      </c>
      <c r="AD3" s="2309"/>
      <c r="AE3" s="2309"/>
      <c r="AF3" s="2309"/>
      <c r="AG3" s="2309"/>
      <c r="AH3" s="2309"/>
      <c r="AI3" s="2309"/>
      <c r="AJ3" s="2310"/>
      <c r="AK3" s="1324" t="s">
        <v>407</v>
      </c>
      <c r="AM3" s="1690"/>
      <c r="AN3" s="1690" t="str">
        <f>IF(T3="","",T3)</f>
        <v>Территория действия тарифа</v>
      </c>
      <c r="AO3" s="1690"/>
      <c r="AP3" s="1690"/>
      <c r="AQ3" s="1697">
        <v>0</v>
      </c>
    </row>
    <row customHeight="1" ht="22.5" hidden="1">
      <c r="A4" s="1333"/>
      <c r="B4" s="1333"/>
      <c r="C4" s="1333"/>
      <c r="D4" s="1333"/>
      <c r="E4" s="2356"/>
      <c r="F4" s="2356"/>
      <c r="G4" s="2355">
        <v>1</v>
      </c>
      <c r="H4" s="1333"/>
      <c r="I4" s="1333"/>
      <c r="J4" s="1333"/>
      <c r="K4" s="1333"/>
      <c r="L4" s="1376"/>
      <c r="M4" s="1676"/>
      <c r="N4" s="1676"/>
      <c r="O4" s="1676"/>
      <c r="P4" s="1478"/>
      <c r="Q4" s="1477"/>
      <c r="R4" s="419"/>
      <c r="S4" s="2024">
        <f>INDEX(PT_DIFFERENTIATION_NUM_CS,MATCH(C4,PT_DIFFERENTIATION_CS_ID,0))</f>
      </c>
      <c r="T4" s="375" t="s">
        <v>408</v>
      </c>
      <c r="U4" s="366"/>
      <c r="V4" s="2309"/>
      <c r="W4" s="2309"/>
      <c r="X4" s="2309"/>
      <c r="Y4" s="2309"/>
      <c r="Z4" s="2309"/>
      <c r="AA4" s="2310"/>
      <c r="AB4" s="2018"/>
      <c r="AC4" s="2309">
        <f>INDEX(PT_DIFFERENTIATION_CS,MATCH(C4,PT_DIFFERENTIATION_CS_ID,0))</f>
      </c>
      <c r="AD4" s="2309"/>
      <c r="AE4" s="2309"/>
      <c r="AF4" s="2309"/>
      <c r="AG4" s="2309"/>
      <c r="AH4" s="2309"/>
      <c r="AI4" s="2309"/>
      <c r="AJ4" s="2310"/>
      <c r="AK4" s="1324" t="s">
        <v>409</v>
      </c>
      <c r="AM4" s="1690"/>
      <c r="AN4" s="1690" t="str">
        <f>IF(T4="","",T4)</f>
        <v>Наименование системы теплоснабжения </v>
      </c>
      <c r="AO4" s="1690"/>
      <c r="AP4" s="1690"/>
      <c r="AQ4" s="1697">
        <v>0</v>
      </c>
    </row>
    <row customHeight="1" ht="21" hidden="1">
      <c r="A5" s="1333"/>
      <c r="B5" s="1333"/>
      <c r="C5" s="1333"/>
      <c r="D5" s="1333"/>
      <c r="E5" s="2356"/>
      <c r="F5" s="2356"/>
      <c r="G5" s="2356"/>
      <c r="H5" s="2355">
        <v>1</v>
      </c>
      <c r="I5" s="1333"/>
      <c r="J5" s="1333"/>
      <c r="K5" s="1333"/>
      <c r="L5" s="1376"/>
      <c r="M5" s="1676"/>
      <c r="N5" s="1676"/>
      <c r="O5" s="1676"/>
      <c r="P5" s="1478"/>
      <c r="Q5" s="1477"/>
      <c r="R5" s="419"/>
      <c r="S5" s="2024">
        <f>INDEX(PT_DIFFERENTIATION_NUM_IST_TE,MATCH(D5,PT_DIFFERENTIATION_IST_TE_ID,0))</f>
      </c>
      <c r="T5" s="376" t="s">
        <v>410</v>
      </c>
      <c r="U5" s="366"/>
      <c r="V5" s="2309"/>
      <c r="W5" s="2309"/>
      <c r="X5" s="2309"/>
      <c r="Y5" s="2309"/>
      <c r="Z5" s="2309"/>
      <c r="AA5" s="2310"/>
      <c r="AB5" s="2018"/>
      <c r="AC5" s="2309">
        <f>INDEX(PT_DIFFERENTIATION_IST_TE,MATCH(D5,PT_DIFFERENTIATION_IST_TE_ID,0))</f>
      </c>
      <c r="AD5" s="2309"/>
      <c r="AE5" s="2309"/>
      <c r="AF5" s="2309"/>
      <c r="AG5" s="2309"/>
      <c r="AH5" s="2309"/>
      <c r="AI5" s="2309"/>
      <c r="AJ5" s="2310"/>
      <c r="AK5" s="1324" t="s">
        <v>411</v>
      </c>
      <c r="AM5" s="1690"/>
      <c r="AN5" s="1690" t="str">
        <f>IF(T5="","",T5)</f>
        <v>Источник тепловой энергии  </v>
      </c>
      <c r="AO5" s="1690"/>
      <c r="AP5" s="1690"/>
      <c r="AQ5" s="1697">
        <v>0</v>
      </c>
    </row>
    <row s="4562" customFormat="1" customHeight="1" ht="0.75" hidden="1">
      <c r="A6" s="1441"/>
      <c r="B6" s="1441"/>
      <c r="C6" s="1441"/>
      <c r="D6" s="1441"/>
      <c r="E6" s="2356"/>
      <c r="F6" s="2356"/>
      <c r="G6" s="2356"/>
      <c r="H6" s="2356"/>
      <c r="I6" s="2193">
        <f>S5&amp;".1"</f>
      </c>
      <c r="J6" s="1441"/>
      <c r="K6" s="1441"/>
      <c r="L6" s="1447" t="s">
        <v>412</v>
      </c>
      <c r="M6" s="1312"/>
      <c r="N6" s="1312"/>
      <c r="O6" s="1312"/>
      <c r="P6" s="2323">
        <v>1</v>
      </c>
      <c r="Q6" s="2020"/>
      <c r="R6" s="422"/>
      <c r="S6" s="1108"/>
      <c r="T6" s="1449"/>
      <c r="U6" s="1450"/>
      <c r="V6" s="2363"/>
      <c r="W6" s="2363"/>
      <c r="X6" s="2363"/>
      <c r="Y6" s="2363"/>
      <c r="Z6" s="2363"/>
      <c r="AA6" s="2364"/>
      <c r="AB6" s="2026"/>
      <c r="AC6" s="2363"/>
      <c r="AD6" s="2363"/>
      <c r="AE6" s="2363"/>
      <c r="AF6" s="2363"/>
      <c r="AG6" s="2363"/>
      <c r="AH6" s="2363"/>
      <c r="AI6" s="2363"/>
      <c r="AJ6" s="2364"/>
      <c r="AK6" s="1451"/>
      <c r="AM6" s="1690"/>
      <c r="AN6" s="1690" t="str">
        <f>IF(T6="","",T6)</f>
        <v/>
      </c>
      <c r="AO6" s="1690"/>
      <c r="AP6" s="1690"/>
      <c r="AQ6" s="1702">
        <v>0</v>
      </c>
    </row>
    <row s="4562" customFormat="1" customHeight="1" ht="0.75" hidden="1">
      <c r="A7" s="1441"/>
      <c r="B7" s="1441"/>
      <c r="C7" s="1441"/>
      <c r="D7" s="1441"/>
      <c r="E7" s="2356"/>
      <c r="F7" s="2356"/>
      <c r="G7" s="2356"/>
      <c r="H7" s="2356"/>
      <c r="I7" s="2167"/>
      <c r="J7" s="2193">
        <f>S5&amp;".1"</f>
      </c>
      <c r="K7" s="1441"/>
      <c r="L7" s="1447"/>
      <c r="M7" s="1312"/>
      <c r="N7" s="1312"/>
      <c r="O7" s="1312"/>
      <c r="P7" s="2323"/>
      <c r="Q7" s="2323">
        <v>1</v>
      </c>
      <c r="R7" s="423"/>
      <c r="S7" s="1108"/>
      <c r="T7" s="1465"/>
      <c r="U7" s="1450"/>
      <c r="V7" s="2363"/>
      <c r="W7" s="2363"/>
      <c r="X7" s="2363"/>
      <c r="Y7" s="2363"/>
      <c r="Z7" s="2363"/>
      <c r="AA7" s="2364"/>
      <c r="AB7" s="2026"/>
      <c r="AC7" s="2363"/>
      <c r="AD7" s="2363"/>
      <c r="AE7" s="2363"/>
      <c r="AF7" s="2363"/>
      <c r="AG7" s="2363"/>
      <c r="AH7" s="2363"/>
      <c r="AI7" s="2363"/>
      <c r="AJ7" s="2364"/>
      <c r="AK7" s="1451"/>
      <c r="AM7" s="1690"/>
      <c r="AN7" s="1690" t="str">
        <f>IF(T7="","",T7)</f>
        <v/>
      </c>
      <c r="AO7" s="1690"/>
      <c r="AP7" s="1690"/>
      <c r="AQ7" s="1702">
        <v>0</v>
      </c>
    </row>
    <row customHeight="1" ht="21" hidden="1">
      <c r="A8" s="1333"/>
      <c r="B8" s="1333"/>
      <c r="C8" s="1333"/>
      <c r="D8" s="1333"/>
      <c r="E8" s="2356"/>
      <c r="F8" s="2356"/>
      <c r="G8" s="2356"/>
      <c r="H8" s="2356"/>
      <c r="I8" s="2167"/>
      <c r="J8" s="2167"/>
      <c r="K8" s="2057">
        <f>S5&amp;".1"</f>
      </c>
      <c r="L8" s="1376"/>
      <c r="P8" s="2323"/>
      <c r="Q8" s="2323"/>
      <c r="R8" s="2061">
        <v>1</v>
      </c>
      <c r="S8" s="2059">
        <f>$K8</f>
      </c>
      <c r="T8" s="2060"/>
      <c r="U8" s="366"/>
      <c r="V8" s="817"/>
      <c r="W8" s="1323"/>
      <c r="X8" s="2058"/>
      <c r="Y8" s="2056" t="s">
        <v>71</v>
      </c>
      <c r="Z8" s="2058"/>
      <c r="AA8" s="2056" t="s">
        <v>71</v>
      </c>
      <c r="AB8" s="2062"/>
      <c r="AC8" s="2063" t="s">
        <v>28</v>
      </c>
      <c r="AD8" s="817"/>
      <c r="AE8" s="1323"/>
      <c r="AF8" s="2021"/>
      <c r="AG8" s="2008" t="s">
        <v>71</v>
      </c>
      <c r="AH8" s="2021"/>
      <c r="AI8" s="2008" t="s">
        <v>71</v>
      </c>
      <c r="AJ8" s="1414"/>
      <c r="AK8" s="2319" t="s">
        <v>473</v>
      </c>
      <c r="AL8" s="1702">
        <f>STRCHECKDATE(#REF!)</f>
      </c>
      <c r="AM8" s="1690"/>
      <c r="AN8" s="1690" t="str">
        <f>IF(T8="","",T8)</f>
        <v/>
      </c>
      <c r="AO8" s="1690"/>
      <c r="AP8" s="1690"/>
      <c r="AQ8" s="1697">
        <v>0</v>
      </c>
    </row>
    <row customHeight="1" ht="11.25" hidden="1">
      <c r="A9" s="1333"/>
      <c r="B9" s="1333"/>
      <c r="C9" s="1333"/>
      <c r="D9" s="1333"/>
      <c r="E9" s="2356"/>
      <c r="F9" s="2356"/>
      <c r="G9" s="2356"/>
      <c r="H9" s="2356"/>
      <c r="I9" s="2167"/>
      <c r="J9" s="2193"/>
      <c r="K9" s="1333"/>
      <c r="L9" s="1376"/>
      <c r="P9" s="2323"/>
      <c r="Q9" s="2323"/>
      <c r="R9" s="422"/>
      <c r="S9" s="1344"/>
      <c r="T9" s="353" t="s">
        <v>477</v>
      </c>
      <c r="U9" s="666"/>
      <c r="V9" s="666"/>
      <c r="W9" s="666"/>
      <c r="X9" s="666"/>
      <c r="Y9" s="666"/>
      <c r="Z9" s="666"/>
      <c r="AA9" s="666"/>
      <c r="AB9" s="666"/>
      <c r="AC9" s="666"/>
      <c r="AD9" s="666"/>
      <c r="AE9" s="666"/>
      <c r="AF9" s="666"/>
      <c r="AG9" s="666"/>
      <c r="AH9" s="666"/>
      <c r="AI9" s="666"/>
      <c r="AJ9" s="390"/>
      <c r="AK9" s="2321"/>
      <c r="AM9" s="1690"/>
      <c r="AN9" s="1690" t="str">
        <f>IF(T9="","",T9)</f>
        <v>Добавить строку</v>
      </c>
      <c r="AO9" s="1690"/>
      <c r="AP9" s="1690"/>
      <c r="AQ9" s="1697">
        <v>0</v>
      </c>
    </row>
    <row s="4562" customFormat="1" customHeight="1" ht="0.75" hidden="1">
      <c r="A10" s="1441"/>
      <c r="B10" s="1441"/>
      <c r="C10" s="1441"/>
      <c r="D10" s="1441"/>
      <c r="E10" s="2356"/>
      <c r="F10" s="2356"/>
      <c r="G10" s="2356"/>
      <c r="H10" s="2356"/>
      <c r="I10" s="2193"/>
      <c r="J10" s="1441"/>
      <c r="K10" s="1441"/>
      <c r="L10" s="1447"/>
      <c r="M10" s="1312"/>
      <c r="N10" s="1312"/>
      <c r="O10" s="1312"/>
      <c r="P10" s="2323"/>
      <c r="Q10" s="2020"/>
      <c r="R10" s="422"/>
      <c r="S10" s="1452"/>
      <c r="T10" s="1453"/>
      <c r="U10" s="1454"/>
      <c r="V10" s="1454"/>
      <c r="W10" s="1454"/>
      <c r="X10" s="1454"/>
      <c r="Y10" s="1454"/>
      <c r="Z10" s="1454"/>
      <c r="AA10" s="1454"/>
      <c r="AB10" s="1454"/>
      <c r="AC10" s="1454"/>
      <c r="AD10" s="1454"/>
      <c r="AE10" s="1454"/>
      <c r="AF10" s="1454"/>
      <c r="AG10" s="1454"/>
      <c r="AH10" s="1454"/>
      <c r="AI10" s="1454"/>
      <c r="AJ10" s="1454"/>
      <c r="AK10" s="1455"/>
      <c r="AM10" s="1690"/>
      <c r="AN10" s="1690" t="str">
        <f>IF(T10="","",T10)</f>
        <v/>
      </c>
      <c r="AO10" s="1690"/>
      <c r="AP10" s="1690"/>
      <c r="AQ10" s="1702">
        <v>0</v>
      </c>
    </row>
    <row s="4562" customFormat="1" customHeight="1" ht="0.75" hidden="1">
      <c r="A11" s="1441"/>
      <c r="B11" s="1441"/>
      <c r="C11" s="1441"/>
      <c r="D11" s="1441"/>
      <c r="E11" s="2356"/>
      <c r="F11" s="2356"/>
      <c r="G11" s="2356"/>
      <c r="H11" s="2355"/>
      <c r="I11" s="1441"/>
      <c r="J11" s="1441"/>
      <c r="K11" s="1441"/>
      <c r="L11" s="1447"/>
      <c r="M11" s="1444"/>
      <c r="N11" s="1444"/>
      <c r="O11" s="417"/>
      <c r="P11" s="446"/>
      <c r="Q11" s="1410"/>
      <c r="R11" s="1467"/>
      <c r="S11" s="1452"/>
      <c r="T11" s="1453"/>
      <c r="U11" s="1454"/>
      <c r="V11" s="1454"/>
      <c r="W11" s="1454"/>
      <c r="X11" s="1454"/>
      <c r="Y11" s="1454"/>
      <c r="Z11" s="1454"/>
      <c r="AA11" s="1454"/>
      <c r="AB11" s="1454"/>
      <c r="AC11" s="1454"/>
      <c r="AD11" s="1454"/>
      <c r="AE11" s="1454"/>
      <c r="AF11" s="1454"/>
      <c r="AG11" s="1454"/>
      <c r="AH11" s="1454"/>
      <c r="AI11" s="1454"/>
      <c r="AJ11" s="1454"/>
      <c r="AK11" s="1455"/>
      <c r="AM11" s="1690"/>
      <c r="AN11" s="1690" t="str">
        <f>IF(T11="","",T11)</f>
        <v/>
      </c>
      <c r="AO11" s="1690"/>
      <c r="AP11" s="1690"/>
      <c r="AQ11" s="1702">
        <v>0</v>
      </c>
    </row>
    <row s="4562" customFormat="1" customHeight="1" ht="0.75" hidden="1">
      <c r="A12" s="1441"/>
      <c r="B12" s="1441"/>
      <c r="C12" s="1441"/>
      <c r="D12" s="1440"/>
      <c r="E12" s="2356"/>
      <c r="F12" s="2356"/>
      <c r="G12" s="2355"/>
      <c r="H12" s="1440"/>
      <c r="I12" s="1440"/>
      <c r="J12" s="1440"/>
      <c r="K12" s="1440"/>
      <c r="L12" s="1443"/>
      <c r="M12" s="1444"/>
      <c r="N12" s="1444"/>
      <c r="O12" s="417"/>
      <c r="P12" s="1382"/>
      <c r="Q12" s="1383"/>
      <c r="R12" s="1382"/>
      <c r="S12" s="1388"/>
      <c r="T12" s="1391" t="s">
        <v>173</v>
      </c>
      <c r="U12" s="1390"/>
      <c r="V12" s="1390"/>
      <c r="W12" s="1390"/>
      <c r="X12" s="1390"/>
      <c r="Y12" s="1390"/>
      <c r="Z12" s="1390"/>
      <c r="AA12" s="1390"/>
      <c r="AB12" s="1390"/>
      <c r="AC12" s="1390"/>
      <c r="AD12" s="1390"/>
      <c r="AE12" s="1390"/>
      <c r="AF12" s="1390"/>
      <c r="AG12" s="1390"/>
      <c r="AH12" s="1390"/>
      <c r="AI12" s="1390"/>
      <c r="AJ12" s="1390"/>
      <c r="AK12" s="1390"/>
      <c r="AM12" s="1317"/>
      <c r="AN12" s="1317" t="str">
        <f>IF(T12="","",T12)</f>
        <v>Добавить источник для дифференциации</v>
      </c>
      <c r="AO12" s="1317"/>
      <c r="AP12" s="1317"/>
      <c r="AQ12" s="1708">
        <v>0</v>
      </c>
    </row>
    <row s="4562" customFormat="1" customHeight="1" ht="0.75" hidden="1">
      <c r="A13" s="1441"/>
      <c r="B13" s="1441"/>
      <c r="C13" s="1440"/>
      <c r="D13" s="1440"/>
      <c r="E13" s="2356"/>
      <c r="F13" s="2355"/>
      <c r="G13" s="1440"/>
      <c r="H13" s="1440"/>
      <c r="I13" s="1440"/>
      <c r="J13" s="1440"/>
      <c r="K13" s="1440"/>
      <c r="L13" s="1443"/>
      <c r="M13" s="1445"/>
      <c r="N13" s="1445"/>
      <c r="O13" s="417"/>
      <c r="P13" s="1382"/>
      <c r="Q13" s="1383"/>
      <c r="R13" s="1382"/>
      <c r="S13" s="1388"/>
      <c r="T13" s="1391" t="s">
        <v>174</v>
      </c>
      <c r="U13" s="1390"/>
      <c r="V13" s="1390"/>
      <c r="W13" s="1390"/>
      <c r="X13" s="1390"/>
      <c r="Y13" s="1390"/>
      <c r="Z13" s="1390"/>
      <c r="AA13" s="1390"/>
      <c r="AB13" s="1390"/>
      <c r="AC13" s="1390"/>
      <c r="AD13" s="1390"/>
      <c r="AE13" s="1390"/>
      <c r="AF13" s="1390"/>
      <c r="AG13" s="1390"/>
      <c r="AH13" s="1390"/>
      <c r="AI13" s="1390"/>
      <c r="AJ13" s="1390"/>
      <c r="AK13" s="1390"/>
      <c r="AM13" s="1317"/>
      <c r="AN13" s="1317" t="str">
        <f>IF(T13="","",T13)</f>
        <v>Добавить централизованную систему для дифференциации</v>
      </c>
      <c r="AO13" s="1317"/>
      <c r="AP13" s="1317"/>
      <c r="AQ13" s="1708">
        <v>0</v>
      </c>
    </row>
    <row s="4562" customFormat="1" customHeight="1" ht="0.75" hidden="1">
      <c r="A14" s="1441"/>
      <c r="B14" s="1441"/>
      <c r="C14" s="1441"/>
      <c r="D14" s="1441"/>
      <c r="E14" s="2355"/>
      <c r="F14" s="1441"/>
      <c r="G14" s="1441"/>
      <c r="H14" s="1441"/>
      <c r="I14" s="1441"/>
      <c r="J14" s="1441"/>
      <c r="K14" s="1441"/>
      <c r="L14" s="1447"/>
      <c r="M14" s="1445"/>
      <c r="N14" s="1445"/>
      <c r="O14" s="417"/>
      <c r="P14" s="446"/>
      <c r="Q14" s="1410"/>
      <c r="R14" s="446"/>
      <c r="S14" s="1388"/>
      <c r="T14" s="1391" t="s">
        <v>175</v>
      </c>
      <c r="U14" s="1390"/>
      <c r="V14" s="1390"/>
      <c r="W14" s="1390"/>
      <c r="X14" s="1390"/>
      <c r="Y14" s="1390"/>
      <c r="Z14" s="1390"/>
      <c r="AA14" s="1390"/>
      <c r="AB14" s="1390"/>
      <c r="AC14" s="1390"/>
      <c r="AD14" s="1390"/>
      <c r="AE14" s="1390"/>
      <c r="AF14" s="1390"/>
      <c r="AG14" s="1390"/>
      <c r="AH14" s="1390"/>
      <c r="AI14" s="1390"/>
      <c r="AJ14" s="1390"/>
      <c r="AK14" s="1390"/>
      <c r="AM14" s="1690"/>
      <c r="AN14" s="1690" t="str">
        <f>IF(T14="","",T14)</f>
        <v>Добавить территорию для дифференциации</v>
      </c>
      <c r="AO14" s="1690"/>
      <c r="AP14" s="1690"/>
      <c r="AQ14" s="1702">
        <v>0</v>
      </c>
    </row>
    <row customHeight="1" ht="14.25" hidden="1">
      <c r="AQ15" s="1697">
        <v>0</v>
      </c>
    </row>
    <row customHeight="1" ht="14.25" hidden="1">
      <c r="AC16" s="1568"/>
      <c r="AD16" s="1469"/>
      <c r="AE16" s="1470"/>
      <c r="AF16" s="1802"/>
      <c r="AG16" s="2032" t="s">
        <v>71</v>
      </c>
      <c r="AH16" s="1802"/>
      <c r="AI16" s="2032" t="s">
        <v>71</v>
      </c>
      <c r="AQ16" s="1697">
        <v>0</v>
      </c>
    </row>
    <row customHeight="1" ht="14.25" hidden="1">
      <c r="AL17" s="1707"/>
      <c r="AM17" s="1707"/>
      <c r="AN17" s="1707"/>
      <c r="AO17" s="1707"/>
      <c r="AP17" s="1707"/>
      <c r="AQ17" s="1697">
        <v>0</v>
      </c>
    </row>
    <row customHeight="1" ht="14.25" hidden="1">
      <c r="O18" s="1411" t="s">
        <v>423</v>
      </c>
      <c r="X18" s="1411"/>
      <c r="Z18" s="1411"/>
      <c r="AF18" s="1411"/>
      <c r="AH18" s="1411"/>
      <c r="AL18" s="1707"/>
      <c r="AM18" s="1707"/>
      <c r="AN18" s="1707"/>
      <c r="AO18" s="1707"/>
      <c r="AP18" s="1707"/>
      <c r="AQ18" s="1697">
        <v>0</v>
      </c>
    </row>
    <row customHeight="1" ht="14.25" hidden="1">
      <c r="AL19" s="1707"/>
      <c r="AM19" s="1707"/>
      <c r="AN19" s="1707"/>
      <c r="AO19" s="1707"/>
      <c r="AP19" s="1707"/>
      <c r="AQ19" s="1697">
        <v>0</v>
      </c>
    </row>
    <row s="4285" customFormat="1" customHeight="1" ht="14.25" hidden="1">
      <c r="A20" s="2037"/>
      <c r="B20" s="2037"/>
      <c r="C20" s="2037"/>
      <c r="D20" s="2037"/>
      <c r="E20" s="2037"/>
      <c r="F20" s="2037"/>
      <c r="G20" s="2037"/>
      <c r="H20" s="2037"/>
      <c r="I20" s="2037"/>
      <c r="J20" s="2037"/>
      <c r="K20" s="2037"/>
      <c r="L20" s="2037"/>
      <c r="M20" s="2038"/>
      <c r="N20" s="2038"/>
      <c r="O20" s="2039" t="s">
        <v>424</v>
      </c>
      <c r="P20" s="1574"/>
      <c r="Q20" s="1576"/>
      <c r="R20" s="1576"/>
      <c r="Y20" s="1573" t="s">
        <v>426</v>
      </c>
      <c r="AA20" s="1573" t="s">
        <v>427</v>
      </c>
      <c r="AC20" s="1573" t="s">
        <v>479</v>
      </c>
      <c r="AG20" s="1573" t="s">
        <v>426</v>
      </c>
      <c r="AI20" s="1573" t="s">
        <v>427</v>
      </c>
      <c r="AL20" s="1577"/>
      <c r="AM20" s="1577"/>
      <c r="AN20" s="1577"/>
      <c r="AO20" s="1577"/>
      <c r="AP20" s="1577"/>
      <c r="AQ20" s="1573">
        <v>0</v>
      </c>
    </row>
    <row customHeight="1" ht="14.25" hidden="1">
      <c r="O21" s="1376"/>
      <c r="AL21" s="1707"/>
      <c r="AM21" s="1707"/>
      <c r="AN21" s="1707"/>
      <c r="AO21" s="1707"/>
      <c r="AP21" s="1707"/>
      <c r="AQ21" s="1697">
        <v>0</v>
      </c>
    </row>
    <row customHeight="1" ht="14.25" hidden="1">
      <c r="O22" s="1376"/>
      <c r="AL22" s="1707"/>
      <c r="AM22" s="1707"/>
      <c r="AN22" s="1707"/>
      <c r="AO22" s="1707"/>
      <c r="AP22" s="1707"/>
      <c r="AQ22" s="1697">
        <v>0</v>
      </c>
    </row>
    <row customHeight="1" ht="14.699999999999998">
      <c r="Q23" s="357"/>
      <c r="R23" s="442"/>
      <c r="S23" s="1341"/>
      <c r="T23" s="523"/>
      <c r="U23" s="523"/>
      <c r="V23" s="1701"/>
      <c r="W23" s="1701"/>
      <c r="X23" s="1701"/>
      <c r="Y23" s="1701"/>
      <c r="Z23" s="1701"/>
      <c r="AA23" s="1701"/>
      <c r="AB23" s="1701"/>
      <c r="AC23" s="1701"/>
      <c r="AD23" s="1701"/>
      <c r="AE23" s="1701"/>
      <c r="AF23" s="1701"/>
      <c r="AG23" s="1701"/>
      <c r="AH23" s="1701"/>
      <c r="AI23" s="1701"/>
      <c r="AQ23" s="1697">
        <v>14</v>
      </c>
    </row>
    <row customHeight="1" ht="39.75">
      <c r="Q24" s="357"/>
      <c r="R24" s="442"/>
      <c r="S24" s="231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4"/>
      <c r="U24" s="2314"/>
      <c r="V24" s="2314"/>
      <c r="W24" s="2314"/>
      <c r="X24" s="2314"/>
      <c r="Y24" s="2314"/>
      <c r="Z24" s="2314"/>
      <c r="AA24" s="2314"/>
      <c r="AB24" s="2314"/>
      <c r="AC24" s="2314"/>
      <c r="AD24" s="2314"/>
      <c r="AE24" s="2314"/>
      <c r="AF24" s="2314"/>
      <c r="AG24" s="2314"/>
      <c r="AH24" s="2314"/>
      <c r="AI24" s="1309"/>
      <c r="AQ24" s="1697">
        <v>38</v>
      </c>
    </row>
    <row customHeight="1" ht="14.699999999999998">
      <c r="Q25" s="357"/>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697">
        <v>14</v>
      </c>
    </row>
    <row customHeight="1" ht="14.25" hidden="1">
      <c r="Q26" s="357"/>
      <c r="R26" s="442"/>
      <c r="S26" s="1341"/>
      <c r="T26" s="523"/>
      <c r="U26" s="523"/>
      <c r="V26" s="388"/>
      <c r="W26" s="388"/>
      <c r="X26" s="388"/>
      <c r="Y26" s="388"/>
      <c r="Z26" s="388"/>
      <c r="AA26" s="388"/>
      <c r="AB26" s="388"/>
      <c r="AC26" s="388"/>
      <c r="AD26" s="388"/>
      <c r="AE26" s="388"/>
      <c r="AF26" s="388"/>
      <c r="AG26" s="388"/>
      <c r="AH26" s="388"/>
      <c r="AI26" s="388"/>
      <c r="AJ26" s="1701"/>
      <c r="AQ26" s="1697">
        <v>0</v>
      </c>
    </row>
    <row s="5597" customFormat="1" customHeight="1" ht="25.5" hidden="1">
      <c r="A27" s="1314"/>
      <c r="B27" s="1314"/>
      <c r="C27" s="1314"/>
      <c r="D27" s="1314"/>
      <c r="E27" s="1314"/>
      <c r="F27" s="1314"/>
      <c r="G27" s="1314"/>
      <c r="H27" s="1314"/>
      <c r="I27" s="1314"/>
      <c r="J27" s="1314"/>
      <c r="K27" s="1314"/>
      <c r="L27" s="1446"/>
      <c r="M27" s="1314"/>
      <c r="N27" s="1314"/>
      <c r="O27" s="1314"/>
      <c r="P27" s="1434"/>
      <c r="Q27" s="1434"/>
      <c r="S27" s="2316" t="s">
        <v>42</v>
      </c>
      <c r="T27" s="2316"/>
      <c r="U27" s="1438"/>
      <c r="V27" s="2317" t="str">
        <f>IF(TITLE_NAME_OR_PR_CHANGE="",IF(TITLE_NAME_OR_PR="","",TITLE_NAME_OR_PR),TITLE_NAME_OR_PR_CHANGE)</f>
        <v>Департамент тарифной политики, энергетики и ЖКК ЯНАО </v>
      </c>
      <c r="W27" s="2317"/>
      <c r="X27" s="2317"/>
      <c r="Y27" s="2317"/>
      <c r="Z27" s="2317"/>
      <c r="AA27" s="1701"/>
      <c r="AB27" s="1701"/>
      <c r="AC27" s="2317"/>
      <c r="AD27" s="2317"/>
      <c r="AE27" s="2317"/>
      <c r="AF27" s="2317"/>
      <c r="AG27" s="2317"/>
      <c r="AH27" s="2317"/>
      <c r="AI27" s="1701"/>
      <c r="AJ27" s="1701"/>
      <c r="AK27" s="346"/>
      <c r="AL27" s="434"/>
      <c r="AM27" s="434"/>
      <c r="AN27" s="434"/>
      <c r="AO27" s="434"/>
      <c r="AP27" s="434"/>
      <c r="AQ27" s="484">
        <v>0</v>
      </c>
    </row>
    <row s="5597" customFormat="1" customHeight="1" ht="18.75" hidden="1">
      <c r="A28" s="1314"/>
      <c r="B28" s="1314"/>
      <c r="C28" s="1314"/>
      <c r="D28" s="1314"/>
      <c r="E28" s="1314"/>
      <c r="F28" s="1314"/>
      <c r="G28" s="1314"/>
      <c r="H28" s="1314"/>
      <c r="I28" s="1314"/>
      <c r="J28" s="1314"/>
      <c r="K28" s="1314"/>
      <c r="L28" s="1446"/>
      <c r="M28" s="1314"/>
      <c r="N28" s="1314"/>
      <c r="O28" s="1314"/>
      <c r="P28" s="1434"/>
      <c r="Q28" s="1434"/>
      <c r="S28" s="2316" t="s">
        <v>429</v>
      </c>
      <c r="T28" s="2316"/>
      <c r="U28" s="1438"/>
      <c r="V28" s="2330" t="str">
        <f>IF(TITLE_DATE_PR_CHANGE="",IF(TITLE_DATE_PR="","",TITLE_DATE_PR),TITLE_DATE_PR_CHANGE)</f>
        <v>45631.41619212963</v>
      </c>
      <c r="W28" s="2330"/>
      <c r="X28" s="2330"/>
      <c r="Y28" s="2330"/>
      <c r="Z28" s="2330"/>
      <c r="AA28" s="1701"/>
      <c r="AB28" s="1701"/>
      <c r="AC28" s="2330"/>
      <c r="AD28" s="2330"/>
      <c r="AE28" s="2330"/>
      <c r="AF28" s="2330"/>
      <c r="AG28" s="2330"/>
      <c r="AH28" s="2330"/>
      <c r="AI28" s="1701"/>
      <c r="AJ28" s="1701"/>
      <c r="AK28" s="346"/>
      <c r="AL28" s="434"/>
      <c r="AM28" s="434"/>
      <c r="AN28" s="434"/>
      <c r="AO28" s="434"/>
      <c r="AP28" s="434"/>
      <c r="AQ28" s="484">
        <v>0</v>
      </c>
    </row>
    <row s="5597" customFormat="1" customHeight="1" ht="18.75" hidden="1">
      <c r="A29" s="1314"/>
      <c r="B29" s="1314"/>
      <c r="C29" s="1314"/>
      <c r="D29" s="1314"/>
      <c r="E29" s="1314"/>
      <c r="F29" s="1314"/>
      <c r="G29" s="1314"/>
      <c r="H29" s="1314"/>
      <c r="I29" s="1314"/>
      <c r="J29" s="1314"/>
      <c r="K29" s="1314"/>
      <c r="L29" s="1446"/>
      <c r="M29" s="1314"/>
      <c r="N29" s="1314"/>
      <c r="O29" s="1314"/>
      <c r="P29" s="1434"/>
      <c r="Q29" s="1434"/>
      <c r="S29" s="2316" t="s">
        <v>430</v>
      </c>
      <c r="T29" s="2316"/>
      <c r="U29" s="1438"/>
      <c r="V29" s="2317" t="str">
        <f>IF(TITLE_NUMBER_PR_CHANGE="",IF(TITLE_NUMBER_PR="","",TITLE_NUMBER_PR),TITLE_NUMBER_PR_CHANGE)</f>
        <v>447-т</v>
      </c>
      <c r="W29" s="2317"/>
      <c r="X29" s="2317"/>
      <c r="Y29" s="2317"/>
      <c r="Z29" s="2317"/>
      <c r="AA29" s="1701"/>
      <c r="AB29" s="1701"/>
      <c r="AC29" s="2317"/>
      <c r="AD29" s="2317"/>
      <c r="AE29" s="2317"/>
      <c r="AF29" s="2317"/>
      <c r="AG29" s="2317"/>
      <c r="AH29" s="2317"/>
      <c r="AI29" s="1701"/>
      <c r="AJ29" s="1701"/>
      <c r="AK29" s="346"/>
      <c r="AL29" s="434"/>
      <c r="AM29" s="434"/>
      <c r="AN29" s="434"/>
      <c r="AO29" s="434"/>
      <c r="AP29" s="434"/>
      <c r="AQ29" s="484">
        <v>0</v>
      </c>
    </row>
    <row s="5597" customFormat="1" customHeight="1" ht="18.75" hidden="1">
      <c r="A30" s="1314"/>
      <c r="B30" s="1314"/>
      <c r="C30" s="1314"/>
      <c r="D30" s="1314"/>
      <c r="E30" s="1314"/>
      <c r="F30" s="1314"/>
      <c r="G30" s="1314"/>
      <c r="H30" s="1314"/>
      <c r="I30" s="1314"/>
      <c r="J30" s="1314"/>
      <c r="K30" s="1314"/>
      <c r="L30" s="1446"/>
      <c r="M30" s="1314"/>
      <c r="N30" s="1314"/>
      <c r="O30" s="1314"/>
      <c r="P30" s="1434"/>
      <c r="Q30" s="1434"/>
      <c r="S30" s="2316" t="s">
        <v>44</v>
      </c>
      <c r="T30" s="2316"/>
      <c r="U30" s="1438"/>
      <c r="V30" s="2317" t="str">
        <f>IF(TITLE_IST_PUB_CHANGE="",IF(TITLE_IST_PUB="","",TITLE_IST_PUB),TITLE_IST_PUB_CHANGE)</f>
        <v>Официальный сайт Департамента тарифной политики, энергетики и ЖКК ЯНАО, https://rek-yamal.ru, 05.12.2024</v>
      </c>
      <c r="W30" s="2317"/>
      <c r="X30" s="2317"/>
      <c r="Y30" s="2317"/>
      <c r="Z30" s="2317"/>
      <c r="AA30" s="1701"/>
      <c r="AB30" s="1701"/>
      <c r="AC30" s="2317"/>
      <c r="AD30" s="2317"/>
      <c r="AE30" s="2317"/>
      <c r="AF30" s="2317"/>
      <c r="AG30" s="2317"/>
      <c r="AH30" s="2317"/>
      <c r="AI30" s="1701"/>
      <c r="AJ30" s="1701"/>
      <c r="AK30" s="346"/>
      <c r="AL30" s="434"/>
      <c r="AM30" s="434"/>
      <c r="AN30" s="434"/>
      <c r="AO30" s="434"/>
      <c r="AP30" s="434"/>
      <c r="AQ30" s="484">
        <v>0</v>
      </c>
    </row>
    <row customHeight="1" ht="14.25" hidden="1">
      <c r="Q31" s="357"/>
      <c r="R31" s="442"/>
      <c r="S31" s="1341"/>
      <c r="T31" s="523"/>
      <c r="U31" s="523"/>
      <c r="V31" s="388"/>
      <c r="W31" s="388"/>
      <c r="X31" s="388"/>
      <c r="Y31" s="388"/>
      <c r="Z31" s="388"/>
      <c r="AA31" s="388"/>
      <c r="AB31" s="388"/>
      <c r="AC31" s="388"/>
      <c r="AD31" s="388"/>
      <c r="AE31" s="388"/>
      <c r="AF31" s="388"/>
      <c r="AG31" s="388"/>
      <c r="AH31" s="388"/>
      <c r="AI31" s="388"/>
      <c r="AJ31" s="1701"/>
      <c r="AQ31" s="1697">
        <v>0</v>
      </c>
    </row>
    <row s="5597" customFormat="1" customHeight="1" ht="18.75" hidden="1">
      <c r="A32" s="1314"/>
      <c r="B32" s="1314"/>
      <c r="C32" s="1314"/>
      <c r="D32" s="1314"/>
      <c r="E32" s="1314"/>
      <c r="F32" s="1314"/>
      <c r="G32" s="1314"/>
      <c r="H32" s="1314"/>
      <c r="I32" s="1314"/>
      <c r="J32" s="1314"/>
      <c r="K32" s="1314"/>
      <c r="L32" s="1446"/>
      <c r="M32" s="1314"/>
      <c r="N32" s="1314"/>
      <c r="O32" s="1314"/>
      <c r="P32" s="1434"/>
      <c r="Q32" s="1434"/>
      <c r="S32" s="2316" t="s">
        <v>429</v>
      </c>
      <c r="T32" s="2316"/>
      <c r="U32" s="1438"/>
      <c r="V32" s="2330" t="str">
        <f>IF(TITLE_DATE_PR_CHANGE="",IF(TITLE_DATE_PR="","",TITLE_DATE_PR),TITLE_DATE_PR_CHANGE)</f>
        <v>45631.41619212963</v>
      </c>
      <c r="W32" s="2330"/>
      <c r="X32" s="2330"/>
      <c r="Y32" s="2330"/>
      <c r="Z32" s="2330"/>
      <c r="AA32" s="1701"/>
      <c r="AB32" s="1701"/>
      <c r="AC32" s="2330"/>
      <c r="AD32" s="2330"/>
      <c r="AE32" s="2330"/>
      <c r="AF32" s="2330"/>
      <c r="AG32" s="2330"/>
      <c r="AH32" s="2330"/>
      <c r="AI32" s="1701"/>
      <c r="AJ32" s="1701"/>
      <c r="AK32" s="346"/>
      <c r="AL32" s="434"/>
      <c r="AM32" s="434"/>
      <c r="AN32" s="434"/>
      <c r="AO32" s="434"/>
      <c r="AP32" s="434"/>
      <c r="AQ32" s="484">
        <v>0</v>
      </c>
    </row>
    <row s="5597" customFormat="1" customHeight="1" ht="18" hidden="1">
      <c r="A33" s="1314"/>
      <c r="B33" s="1314"/>
      <c r="C33" s="1314"/>
      <c r="D33" s="1314"/>
      <c r="E33" s="1314"/>
      <c r="F33" s="1314"/>
      <c r="G33" s="1314"/>
      <c r="H33" s="1314"/>
      <c r="I33" s="1314"/>
      <c r="J33" s="1314"/>
      <c r="K33" s="1314"/>
      <c r="L33" s="1446"/>
      <c r="M33" s="1314"/>
      <c r="N33" s="1314"/>
      <c r="O33" s="1314"/>
      <c r="P33" s="1434"/>
      <c r="Q33" s="1434"/>
      <c r="S33" s="2316" t="s">
        <v>430</v>
      </c>
      <c r="T33" s="2316"/>
      <c r="U33" s="1438"/>
      <c r="V33" s="2317" t="str">
        <f>IF(TITLE_NUMBER_PR_CHANGE="",IF(TITLE_NUMBER_PR="","",TITLE_NUMBER_PR),TITLE_NUMBER_PR_CHANGE)</f>
        <v>447-т</v>
      </c>
      <c r="W33" s="2317"/>
      <c r="X33" s="2317"/>
      <c r="Y33" s="2317"/>
      <c r="Z33" s="2317"/>
      <c r="AA33" s="1701"/>
      <c r="AB33" s="1701"/>
      <c r="AC33" s="2317"/>
      <c r="AD33" s="2317"/>
      <c r="AE33" s="2317"/>
      <c r="AF33" s="2317"/>
      <c r="AG33" s="2317"/>
      <c r="AH33" s="2317"/>
      <c r="AI33" s="1701"/>
      <c r="AJ33" s="1701"/>
      <c r="AK33" s="346"/>
      <c r="AL33" s="434"/>
      <c r="AM33" s="434"/>
      <c r="AN33" s="434"/>
      <c r="AO33" s="434"/>
      <c r="AP33" s="434"/>
      <c r="AQ33" s="484">
        <v>0</v>
      </c>
    </row>
    <row s="5597" customFormat="1" customHeight="1" ht="1.05">
      <c r="A34" s="1314"/>
      <c r="B34" s="1314"/>
      <c r="C34" s="1314"/>
      <c r="D34" s="1314"/>
      <c r="E34" s="1314"/>
      <c r="F34" s="1314"/>
      <c r="G34" s="1314"/>
      <c r="H34" s="1314"/>
      <c r="I34" s="1314"/>
      <c r="J34" s="1314"/>
      <c r="K34" s="1314"/>
      <c r="L34" s="1446"/>
      <c r="M34" s="1314"/>
      <c r="N34" s="1314"/>
      <c r="O34" s="1314"/>
      <c r="P34" s="1434"/>
      <c r="Q34" s="1434"/>
      <c r="S34" s="1701"/>
      <c r="T34" s="1701"/>
      <c r="U34" s="2036"/>
      <c r="V34" s="1701"/>
      <c r="W34" s="1701"/>
      <c r="X34" s="1701"/>
      <c r="Y34" s="1701"/>
      <c r="Z34" s="1701"/>
      <c r="AA34" s="1708" t="s">
        <v>433</v>
      </c>
      <c r="AB34" s="1708"/>
      <c r="AC34" s="1701"/>
      <c r="AD34" s="1701"/>
      <c r="AE34" s="1701"/>
      <c r="AF34" s="1701"/>
      <c r="AG34" s="1701"/>
      <c r="AH34" s="1701"/>
      <c r="AI34" s="1708" t="s">
        <v>433</v>
      </c>
      <c r="AL34" s="434"/>
      <c r="AM34" s="434"/>
      <c r="AN34" s="434"/>
      <c r="AO34" s="434"/>
      <c r="AP34" s="434"/>
      <c r="AQ34" s="484">
        <v>1</v>
      </c>
    </row>
    <row customHeight="1" ht="14.699999999999998">
      <c r="Q35" s="357"/>
      <c r="R35" s="442"/>
      <c r="S35" s="1341"/>
      <c r="T35" s="523"/>
      <c r="U35" s="1310"/>
      <c r="V35" s="2318"/>
      <c r="W35" s="2318"/>
      <c r="X35" s="2318"/>
      <c r="Y35" s="2318"/>
      <c r="Z35" s="2318"/>
      <c r="AA35" s="2318"/>
      <c r="AB35" s="2023"/>
      <c r="AC35" s="2318"/>
      <c r="AD35" s="2318"/>
      <c r="AE35" s="2318"/>
      <c r="AF35" s="2318"/>
      <c r="AG35" s="2318"/>
      <c r="AH35" s="2318"/>
      <c r="AI35" s="2318"/>
      <c r="AQ35" s="1697">
        <v>14</v>
      </c>
    </row>
    <row customHeight="1" ht="14.699999999999998">
      <c r="Q36" s="357"/>
      <c r="R36" s="442"/>
      <c r="S36" s="2193" t="s">
        <v>309</v>
      </c>
      <c r="T36" s="2193"/>
      <c r="U36" s="2193"/>
      <c r="V36" s="2193"/>
      <c r="W36" s="2193"/>
      <c r="X36" s="2193"/>
      <c r="Y36" s="2193"/>
      <c r="Z36" s="2193"/>
      <c r="AA36" s="2241"/>
      <c r="AB36" s="2241"/>
      <c r="AC36" s="2241"/>
      <c r="AD36" s="2193"/>
      <c r="AE36" s="2193"/>
      <c r="AF36" s="2193"/>
      <c r="AG36" s="2193"/>
      <c r="AH36" s="2193"/>
      <c r="AI36" s="2193"/>
      <c r="AJ36" s="2193"/>
      <c r="AK36" s="2193" t="s">
        <v>310</v>
      </c>
      <c r="AQ36" s="1697">
        <v>14</v>
      </c>
    </row>
    <row customHeight="1" ht="14.699999999999998">
      <c r="Q37" s="357"/>
      <c r="R37" s="442"/>
      <c r="S37" s="2339" t="s">
        <v>93</v>
      </c>
      <c r="T37" s="2275" t="s">
        <v>508</v>
      </c>
      <c r="U37" s="403"/>
      <c r="V37" s="2341"/>
      <c r="W37" s="2341"/>
      <c r="X37" s="2341"/>
      <c r="Y37" s="2341"/>
      <c r="Z37" s="2341"/>
      <c r="AA37" s="2275" t="s">
        <v>436</v>
      </c>
      <c r="AB37" s="2274" t="s">
        <v>509</v>
      </c>
      <c r="AC37" s="2274" t="s">
        <v>483</v>
      </c>
      <c r="AD37" s="2357" t="s">
        <v>435</v>
      </c>
      <c r="AE37" s="2357"/>
      <c r="AF37" s="2341"/>
      <c r="AG37" s="2341"/>
      <c r="AH37" s="2342"/>
      <c r="AI37" s="2343" t="s">
        <v>436</v>
      </c>
      <c r="AJ37" s="2346" t="s">
        <v>438</v>
      </c>
      <c r="AK37" s="2193"/>
      <c r="AQ37" s="1697">
        <v>14</v>
      </c>
    </row>
    <row customHeight="1" ht="35.699999999999996">
      <c r="Q38" s="357"/>
      <c r="R38" s="442"/>
      <c r="S38" s="2339"/>
      <c r="T38" s="2275"/>
      <c r="U38" s="1097"/>
      <c r="V38" s="2169" t="s">
        <v>486</v>
      </c>
      <c r="W38" s="2193"/>
      <c r="X38" s="2360" t="s">
        <v>442</v>
      </c>
      <c r="Y38" s="2379"/>
      <c r="Z38" s="2379"/>
      <c r="AA38" s="2275"/>
      <c r="AB38" s="2274"/>
      <c r="AC38" s="2274"/>
      <c r="AD38" s="2169" t="s">
        <v>486</v>
      </c>
      <c r="AE38" s="2193"/>
      <c r="AF38" s="2379" t="s">
        <v>442</v>
      </c>
      <c r="AG38" s="2379"/>
      <c r="AH38" s="2380"/>
      <c r="AI38" s="2344"/>
      <c r="AJ38" s="2347"/>
      <c r="AK38" s="2193"/>
      <c r="AQ38" s="1697">
        <v>34</v>
      </c>
    </row>
    <row customHeight="1" ht="14.699999999999998">
      <c r="Q39" s="357"/>
      <c r="R39" s="442"/>
      <c r="S39" s="2339"/>
      <c r="T39" s="2275"/>
      <c r="U39" s="1097"/>
      <c r="V39" s="2406" t="str">
        <f>IF($AD$39&lt;&gt;"",$AD$39,"")</f>
        <v/>
      </c>
      <c r="W39" s="2406"/>
      <c r="X39" s="2361"/>
      <c r="Y39" s="2381"/>
      <c r="Z39" s="2381"/>
      <c r="AA39" s="2275"/>
      <c r="AB39" s="2274"/>
      <c r="AC39" s="2274"/>
      <c r="AD39" s="2422"/>
      <c r="AE39" s="2405"/>
      <c r="AF39" s="2381"/>
      <c r="AG39" s="2381"/>
      <c r="AH39" s="2382"/>
      <c r="AI39" s="2344"/>
      <c r="AJ39" s="2347"/>
      <c r="AK39" s="2193"/>
      <c r="AQ39" s="1697">
        <v>14</v>
      </c>
    </row>
    <row customHeight="1" ht="14.699999999999998">
      <c r="A40" s="1332"/>
      <c r="B40" s="1332" t="s">
        <v>140</v>
      </c>
      <c r="C40" s="1332" t="s">
        <v>141</v>
      </c>
      <c r="D40" s="1332" t="s">
        <v>142</v>
      </c>
      <c r="E40" s="1376" t="s">
        <v>443</v>
      </c>
      <c r="F40" s="1376" t="s">
        <v>444</v>
      </c>
      <c r="G40" s="1376" t="s">
        <v>445</v>
      </c>
      <c r="H40" s="1376" t="s">
        <v>446</v>
      </c>
      <c r="I40" s="1376" t="s">
        <v>447</v>
      </c>
      <c r="J40" s="1376" t="s">
        <v>448</v>
      </c>
      <c r="K40" s="1376" t="s">
        <v>449</v>
      </c>
      <c r="L40" s="1376" t="s">
        <v>424</v>
      </c>
      <c r="Q40" s="357"/>
      <c r="R40" s="442"/>
      <c r="S40" s="2339"/>
      <c r="T40" s="2275"/>
      <c r="U40" s="368"/>
      <c r="V40" s="2016" t="s">
        <v>487</v>
      </c>
      <c r="W40" s="2016" t="s">
        <v>488</v>
      </c>
      <c r="X40" s="2004" t="s">
        <v>452</v>
      </c>
      <c r="Y40" s="2336" t="s">
        <v>453</v>
      </c>
      <c r="Z40" s="2386"/>
      <c r="AA40" s="2275"/>
      <c r="AB40" s="2274"/>
      <c r="AC40" s="2274"/>
      <c r="AD40" s="2034" t="s">
        <v>487</v>
      </c>
      <c r="AE40" s="2025" t="s">
        <v>488</v>
      </c>
      <c r="AF40" s="2004" t="s">
        <v>452</v>
      </c>
      <c r="AG40" s="2336" t="s">
        <v>453</v>
      </c>
      <c r="AH40" s="2337"/>
      <c r="AI40" s="2345"/>
      <c r="AJ40" s="2348"/>
      <c r="AK40" s="2193"/>
      <c r="AQ40" s="1697">
        <v>14</v>
      </c>
    </row>
    <row s="4153" customFormat="1" customHeight="1" ht="11.25" hidden="1">
      <c r="A41" s="1332"/>
      <c r="B41" s="1332"/>
      <c r="C41" s="1332"/>
      <c r="D41" s="1332"/>
      <c r="E41" s="1332"/>
      <c r="F41" s="1332"/>
      <c r="G41" s="1332"/>
      <c r="H41" s="1332"/>
      <c r="I41" s="1332"/>
      <c r="J41" s="1332"/>
      <c r="K41" s="1332"/>
      <c r="L41" s="1376"/>
      <c r="M41" s="2031"/>
      <c r="N41" s="2031"/>
      <c r="O41" s="2031"/>
      <c r="P41" s="576"/>
      <c r="Q41" s="1320"/>
      <c r="R41" s="1320">
        <v>1</v>
      </c>
      <c r="S41" s="1343" t="s">
        <v>114</v>
      </c>
      <c r="T41" s="1321" t="s">
        <v>115</v>
      </c>
      <c r="U41" s="1311" t="str">
        <f>OFFSET(U41,0,-1)</f>
        <v>2</v>
      </c>
      <c r="V41" s="2022">
        <f>OFFSET(V41,0,-1)+1</f>
        <v>3</v>
      </c>
      <c r="W41" s="2022">
        <f>OFFSET(W41,0,-1)+1</f>
        <v>4</v>
      </c>
      <c r="X41" s="2022">
        <f>OFFSET(X41,0,-1)+1</f>
        <v>5</v>
      </c>
      <c r="Y41" s="2338">
        <f>OFFSET(Y41,0,-1)+1</f>
        <v>6</v>
      </c>
      <c r="Z41" s="2338"/>
      <c r="AA41" s="1407">
        <f>OFFSET(AA41,0,-2)+1</f>
        <v>7</v>
      </c>
      <c r="AB41" s="1407"/>
      <c r="AC41" s="1407"/>
      <c r="AD41" s="2022">
        <f>OFFSET(AD41,0,-1)+1</f>
        <v>1</v>
      </c>
      <c r="AE41" s="2022">
        <f>OFFSET(AE41,0,-1)+1</f>
        <v>2</v>
      </c>
      <c r="AF41" s="2022">
        <f>OFFSET(AF41,0,-1)+1</f>
        <v>3</v>
      </c>
      <c r="AG41" s="2338">
        <f>OFFSET(AG41,0,-1)+1</f>
        <v>4</v>
      </c>
      <c r="AH41" s="2338"/>
      <c r="AI41" s="2022">
        <f>OFFSET(AI41,0,-2)+1</f>
        <v>5</v>
      </c>
      <c r="AJ41" s="1311">
        <f>OFFSET(AJ41,0,-1)</f>
        <v>5</v>
      </c>
      <c r="AK41" s="2022">
        <f>OFFSET(AK41,0,-1)+1</f>
        <v>6</v>
      </c>
      <c r="AL41" s="1702"/>
      <c r="AM41" s="1702"/>
      <c r="AN41" s="1702"/>
      <c r="AO41" s="1702"/>
      <c r="AP41" s="1702"/>
      <c r="AQ41" s="1707">
        <v>0</v>
      </c>
    </row>
    <row customHeight="1" ht="107.25">
      <c r="A42" s="1333" t="s">
        <v>215</v>
      </c>
      <c r="B42" s="1333"/>
      <c r="C42" s="1333"/>
      <c r="D42" s="1333"/>
      <c r="E42" s="2355">
        <v>1</v>
      </c>
      <c r="F42" s="1333"/>
      <c r="G42" s="1333"/>
      <c r="H42" s="1333"/>
      <c r="I42" s="1333"/>
      <c r="J42" s="1333"/>
      <c r="K42" s="1333"/>
      <c r="L42" s="1376"/>
      <c r="M42" s="1676"/>
      <c r="N42" s="1676"/>
      <c r="O42" s="1676"/>
      <c r="P42" s="1475"/>
      <c r="Q42" s="939"/>
      <c r="R42" s="421"/>
      <c r="S42" s="2024">
        <f>INDEX(PT_DIFFERENTIATION_NUM_NTAR,MATCH(A42,PT_DIFFERENTIATION_NTAR_ID,0))</f>
        <v>0</v>
      </c>
      <c r="T42" s="1591" t="s">
        <v>128</v>
      </c>
      <c r="U42" s="366"/>
      <c r="V42" s="2309"/>
      <c r="W42" s="2309"/>
      <c r="X42" s="2309"/>
      <c r="Y42" s="2309"/>
      <c r="Z42" s="2309"/>
      <c r="AA42" s="2310"/>
      <c r="AB42" s="2018"/>
      <c r="AC42" s="2309" t="str">
        <f>INDEX(PT_DIFFERENTIATION_NTAR,MATCH(A42,PT_DIFFERENTIATION_NTAR_ID,0))</f>
        <v/>
      </c>
      <c r="AD42" s="2309"/>
      <c r="AE42" s="2309"/>
      <c r="AF42" s="2309"/>
      <c r="AG42" s="2309"/>
      <c r="AH42" s="2309"/>
      <c r="AI42" s="2309"/>
      <c r="AJ42" s="2310"/>
      <c r="AK42"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90"/>
      <c r="AN42" s="1690" t="str">
        <f>IF(T42="","",T42)</f>
        <v>Наименование тарифа</v>
      </c>
      <c r="AO42" s="1690"/>
      <c r="AP42" s="1690"/>
      <c r="AQ42" s="1697">
        <v>102</v>
      </c>
    </row>
    <row customHeight="1" ht="22.049999999999997">
      <c r="A43" s="1333" t="s">
        <v>215</v>
      </c>
      <c r="B43" s="1333" t="s">
        <v>216</v>
      </c>
      <c r="C43" s="1333"/>
      <c r="D43" s="1333"/>
      <c r="E43" s="2356"/>
      <c r="F43" s="2355">
        <v>1</v>
      </c>
      <c r="G43" s="1333"/>
      <c r="H43" s="1333"/>
      <c r="I43" s="1333"/>
      <c r="J43" s="1333"/>
      <c r="K43" s="1333"/>
      <c r="L43" s="1376"/>
      <c r="M43" s="1676"/>
      <c r="N43" s="1676"/>
      <c r="O43" s="1676"/>
      <c r="P43" s="2035"/>
      <c r="Q43" s="1477"/>
      <c r="R43" s="419"/>
      <c r="S43" s="2024" t="str">
        <f>INDEX(PT_DIFFERENTIATION_NUM_TER,MATCH(B43,PT_DIFFERENTIATION_TER_ID,0))</f>
        <v>.</v>
      </c>
      <c r="T43" s="1588" t="s">
        <v>406</v>
      </c>
      <c r="U43" s="366"/>
      <c r="V43" s="2309"/>
      <c r="W43" s="2309"/>
      <c r="X43" s="2309"/>
      <c r="Y43" s="2309"/>
      <c r="Z43" s="2309"/>
      <c r="AA43" s="2310"/>
      <c r="AB43" s="2018"/>
      <c r="AC43" s="2309" t="str">
        <f>INDEX(PT_DIFFERENTIATION_TER,MATCH(B43,PT_DIFFERENTIATION_TER_ID,0))</f>
        <v/>
      </c>
      <c r="AD43" s="2309"/>
      <c r="AE43" s="2309"/>
      <c r="AF43" s="2309"/>
      <c r="AG43" s="2309"/>
      <c r="AH43" s="2309"/>
      <c r="AI43" s="2309"/>
      <c r="AJ43" s="2310"/>
      <c r="AK43" s="1324" t="s">
        <v>407</v>
      </c>
      <c r="AM43" s="1690"/>
      <c r="AN43" s="1690" t="str">
        <f>IF(T43="","",T43)</f>
        <v>Территория действия тарифа</v>
      </c>
      <c r="AO43" s="1690"/>
      <c r="AP43" s="1690"/>
      <c r="AQ43" s="1697">
        <v>21</v>
      </c>
    </row>
    <row customHeight="1" ht="24">
      <c r="A44" s="1333" t="s">
        <v>215</v>
      </c>
      <c r="B44" s="1333" t="s">
        <v>216</v>
      </c>
      <c r="C44" s="1333" t="s">
        <v>217</v>
      </c>
      <c r="D44" s="1333"/>
      <c r="E44" s="2356"/>
      <c r="F44" s="2356"/>
      <c r="G44" s="2355">
        <v>1</v>
      </c>
      <c r="H44" s="1333"/>
      <c r="I44" s="1333"/>
      <c r="J44" s="1333"/>
      <c r="K44" s="1333"/>
      <c r="L44" s="1376"/>
      <c r="M44" s="1676"/>
      <c r="N44" s="1676"/>
      <c r="O44" s="1676"/>
      <c r="P44" s="1478"/>
      <c r="Q44" s="1477"/>
      <c r="R44" s="419"/>
      <c r="S44" s="2024" t="str">
        <f>INDEX(PT_DIFFERENTIATION_NUM_CS,MATCH(C44,PT_DIFFERENTIATION_CS_ID,0))</f>
        <v>..</v>
      </c>
      <c r="T44" s="375" t="s">
        <v>408</v>
      </c>
      <c r="U44" s="366"/>
      <c r="V44" s="2309"/>
      <c r="W44" s="2309"/>
      <c r="X44" s="2309"/>
      <c r="Y44" s="2309"/>
      <c r="Z44" s="2309"/>
      <c r="AA44" s="2310"/>
      <c r="AB44" s="2018"/>
      <c r="AC44" s="2309" t="str">
        <f>INDEX(PT_DIFFERENTIATION_CS,MATCH(C44,PT_DIFFERENTIATION_CS_ID,0))</f>
        <v/>
      </c>
      <c r="AD44" s="2309"/>
      <c r="AE44" s="2309"/>
      <c r="AF44" s="2309"/>
      <c r="AG44" s="2309"/>
      <c r="AH44" s="2309"/>
      <c r="AI44" s="2309"/>
      <c r="AJ44" s="2310"/>
      <c r="AK44" s="1324" t="s">
        <v>409</v>
      </c>
      <c r="AM44" s="1690"/>
      <c r="AN44" s="1690" t="str">
        <f>IF(T44="","",T44)</f>
        <v>Наименование системы теплоснабжения </v>
      </c>
      <c r="AO44" s="1690"/>
      <c r="AP44" s="1690"/>
      <c r="AQ44" s="1697">
        <v>23</v>
      </c>
    </row>
    <row customHeight="1" ht="22.049999999999997">
      <c r="A45" s="1333" t="s">
        <v>215</v>
      </c>
      <c r="B45" s="1333" t="s">
        <v>216</v>
      </c>
      <c r="C45" s="1333" t="s">
        <v>217</v>
      </c>
      <c r="D45" s="1333" t="s">
        <v>218</v>
      </c>
      <c r="E45" s="2356"/>
      <c r="F45" s="2356"/>
      <c r="G45" s="2356"/>
      <c r="H45" s="2355">
        <v>1</v>
      </c>
      <c r="I45" s="1333"/>
      <c r="J45" s="1333"/>
      <c r="K45" s="1333"/>
      <c r="L45" s="1376"/>
      <c r="M45" s="1676"/>
      <c r="N45" s="1676"/>
      <c r="O45" s="1676"/>
      <c r="P45" s="1478"/>
      <c r="Q45" s="1477"/>
      <c r="R45" s="419"/>
      <c r="S45" s="2024" t="str">
        <f>INDEX(PT_DIFFERENTIATION_NUM_IST_TE,MATCH(D45,PT_DIFFERENTIATION_IST_TE_ID,0))</f>
        <v>...</v>
      </c>
      <c r="T45" s="376" t="s">
        <v>410</v>
      </c>
      <c r="U45" s="366"/>
      <c r="V45" s="2309"/>
      <c r="W45" s="2309"/>
      <c r="X45" s="2309"/>
      <c r="Y45" s="2309"/>
      <c r="Z45" s="2309"/>
      <c r="AA45" s="2310"/>
      <c r="AB45" s="2018"/>
      <c r="AC45" s="2309" t="str">
        <f>INDEX(PT_DIFFERENTIATION_IST_TE,MATCH(D45,PT_DIFFERENTIATION_IST_TE_ID,0))</f>
        <v/>
      </c>
      <c r="AD45" s="2309"/>
      <c r="AE45" s="2309"/>
      <c r="AF45" s="2309"/>
      <c r="AG45" s="2309"/>
      <c r="AH45" s="2309"/>
      <c r="AI45" s="2309"/>
      <c r="AJ45" s="2310"/>
      <c r="AK45" s="1324" t="s">
        <v>411</v>
      </c>
      <c r="AM45" s="1690"/>
      <c r="AN45" s="1690" t="str">
        <f>IF(T45="","",T45)</f>
        <v>Источник тепловой энергии  </v>
      </c>
      <c r="AO45" s="1690"/>
      <c r="AP45" s="1690"/>
      <c r="AQ45" s="1697">
        <v>21</v>
      </c>
    </row>
    <row s="4562" customFormat="1" customHeight="1" ht="0">
      <c r="A46" s="1441" t="s">
        <v>215</v>
      </c>
      <c r="B46" s="1441" t="s">
        <v>216</v>
      </c>
      <c r="C46" s="1441" t="s">
        <v>217</v>
      </c>
      <c r="D46" s="1441" t="s">
        <v>218</v>
      </c>
      <c r="E46" s="2356"/>
      <c r="F46" s="2356"/>
      <c r="G46" s="2356"/>
      <c r="H46" s="2356"/>
      <c r="I46" s="2193" t="str">
        <f>S45&amp;".1"</f>
        <v>....1</v>
      </c>
      <c r="J46" s="1441"/>
      <c r="K46" s="1441"/>
      <c r="L46" s="1447" t="s">
        <v>412</v>
      </c>
      <c r="M46" s="1312"/>
      <c r="N46" s="1312"/>
      <c r="O46" s="1312"/>
      <c r="P46" s="2323">
        <v>1</v>
      </c>
      <c r="Q46" s="2020"/>
      <c r="R46" s="422"/>
      <c r="S46" s="1108"/>
      <c r="T46" s="1449"/>
      <c r="U46" s="1450"/>
      <c r="V46" s="2363"/>
      <c r="W46" s="2363"/>
      <c r="X46" s="2363"/>
      <c r="Y46" s="2363"/>
      <c r="Z46" s="2363"/>
      <c r="AA46" s="2364"/>
      <c r="AB46" s="2026"/>
      <c r="AC46" s="2363"/>
      <c r="AD46" s="2363"/>
      <c r="AE46" s="2363"/>
      <c r="AF46" s="2363"/>
      <c r="AG46" s="2363"/>
      <c r="AH46" s="2363"/>
      <c r="AI46" s="2363"/>
      <c r="AJ46" s="2364"/>
      <c r="AK46" s="1451"/>
      <c r="AM46" s="1690"/>
      <c r="AN46" s="1690" t="str">
        <f>IF(T46="","",T46)</f>
        <v/>
      </c>
      <c r="AO46" s="1690"/>
      <c r="AP46" s="1690"/>
      <c r="AQ46" s="1702">
        <v>0</v>
      </c>
    </row>
    <row s="4562" customFormat="1" customHeight="1" ht="0">
      <c r="A47" s="1441" t="s">
        <v>215</v>
      </c>
      <c r="B47" s="1441" t="s">
        <v>216</v>
      </c>
      <c r="C47" s="1441" t="s">
        <v>217</v>
      </c>
      <c r="D47" s="1441" t="s">
        <v>218</v>
      </c>
      <c r="E47" s="2356"/>
      <c r="F47" s="2356"/>
      <c r="G47" s="2356"/>
      <c r="H47" s="2356"/>
      <c r="I47" s="2167"/>
      <c r="J47" s="2193" t="str">
        <f>S45&amp;".1"</f>
        <v>....1</v>
      </c>
      <c r="K47" s="1441"/>
      <c r="L47" s="1447"/>
      <c r="M47" s="1312"/>
      <c r="N47" s="1312"/>
      <c r="O47" s="1312"/>
      <c r="P47" s="2323"/>
      <c r="Q47" s="2323">
        <v>1</v>
      </c>
      <c r="R47" s="423"/>
      <c r="S47" s="1108"/>
      <c r="T47" s="1465"/>
      <c r="U47" s="1450"/>
      <c r="V47" s="2363"/>
      <c r="W47" s="2363"/>
      <c r="X47" s="2363"/>
      <c r="Y47" s="2363"/>
      <c r="Z47" s="2363"/>
      <c r="AA47" s="2364"/>
      <c r="AB47" s="2026"/>
      <c r="AC47" s="2363"/>
      <c r="AD47" s="2363"/>
      <c r="AE47" s="2363"/>
      <c r="AF47" s="2363"/>
      <c r="AG47" s="2363"/>
      <c r="AH47" s="2363"/>
      <c r="AI47" s="2363"/>
      <c r="AJ47" s="2364"/>
      <c r="AK47" s="1451"/>
      <c r="AM47" s="1690"/>
      <c r="AN47" s="1690" t="str">
        <f>IF(T47="","",T47)</f>
        <v/>
      </c>
      <c r="AO47" s="1690"/>
      <c r="AP47" s="1690"/>
      <c r="AQ47" s="1702">
        <v>0</v>
      </c>
    </row>
    <row customHeight="1" ht="22.049999999999997">
      <c r="A48" s="1333" t="s">
        <v>215</v>
      </c>
      <c r="B48" s="1333" t="s">
        <v>216</v>
      </c>
      <c r="C48" s="1333" t="s">
        <v>217</v>
      </c>
      <c r="D48" s="1333" t="s">
        <v>218</v>
      </c>
      <c r="E48" s="2356"/>
      <c r="F48" s="2356"/>
      <c r="G48" s="2356"/>
      <c r="H48" s="2356"/>
      <c r="I48" s="2167"/>
      <c r="J48" s="2167"/>
      <c r="K48" s="2007" t="str">
        <f>S45&amp;".1"</f>
        <v>....1</v>
      </c>
      <c r="L48" s="1376"/>
      <c r="P48" s="2323"/>
      <c r="Q48" s="2323"/>
      <c r="R48" s="423">
        <v>1</v>
      </c>
      <c r="S48" s="2028" t="str">
        <f>$K48</f>
        <v>....1</v>
      </c>
      <c r="T48" s="2027"/>
      <c r="U48" s="366"/>
      <c r="V48" s="817"/>
      <c r="W48" s="1323"/>
      <c r="X48" s="2021"/>
      <c r="Y48" s="2008" t="s">
        <v>71</v>
      </c>
      <c r="Z48" s="2021"/>
      <c r="AA48" s="2008" t="s">
        <v>71</v>
      </c>
      <c r="AB48" s="2030"/>
      <c r="AC48" s="2029" t="s">
        <v>28</v>
      </c>
      <c r="AD48" s="817"/>
      <c r="AE48" s="1323"/>
      <c r="AF48" s="2021"/>
      <c r="AG48" s="2008" t="s">
        <v>71</v>
      </c>
      <c r="AH48" s="2021"/>
      <c r="AI48" s="2008" t="s">
        <v>71</v>
      </c>
      <c r="AJ48" s="1414"/>
      <c r="AK48" s="2319" t="s">
        <v>489</v>
      </c>
      <c r="AL48" s="1702">
        <f>STRCHECKDATE(#REF!)</f>
      </c>
      <c r="AM48" s="1690"/>
      <c r="AN48" s="1690" t="str">
        <f>IF(T48="","",T48)</f>
        <v/>
      </c>
      <c r="AO48" s="1690"/>
      <c r="AP48" s="1690"/>
      <c r="AQ48" s="1697">
        <v>21</v>
      </c>
    </row>
    <row customHeight="1" ht="11.549999999999999">
      <c r="A49" s="1333" t="s">
        <v>215</v>
      </c>
      <c r="B49" s="1333" t="s">
        <v>216</v>
      </c>
      <c r="C49" s="1333" t="s">
        <v>217</v>
      </c>
      <c r="D49" s="1333" t="s">
        <v>218</v>
      </c>
      <c r="E49" s="2356"/>
      <c r="F49" s="2356"/>
      <c r="G49" s="2356"/>
      <c r="H49" s="2356"/>
      <c r="I49" s="2167"/>
      <c r="J49" s="2193"/>
      <c r="K49" s="1333"/>
      <c r="L49" s="1376"/>
      <c r="P49" s="2323"/>
      <c r="Q49" s="2323"/>
      <c r="R49" s="422"/>
      <c r="S49" s="1344"/>
      <c r="T49" s="353" t="s">
        <v>477</v>
      </c>
      <c r="U49" s="666"/>
      <c r="V49" s="666"/>
      <c r="W49" s="666"/>
      <c r="X49" s="666"/>
      <c r="Y49" s="666"/>
      <c r="Z49" s="666"/>
      <c r="AA49" s="390"/>
      <c r="AB49" s="666"/>
      <c r="AC49" s="666"/>
      <c r="AD49" s="666"/>
      <c r="AE49" s="666"/>
      <c r="AF49" s="666"/>
      <c r="AG49" s="666"/>
      <c r="AH49" s="666"/>
      <c r="AI49" s="666"/>
      <c r="AJ49" s="390"/>
      <c r="AK49" s="2321"/>
      <c r="AM49" s="1690"/>
      <c r="AN49" s="1690" t="str">
        <f>IF(T49="","",T49)</f>
        <v>Добавить строку</v>
      </c>
      <c r="AO49" s="1690"/>
      <c r="AP49" s="1690"/>
      <c r="AQ49" s="1697">
        <v>11</v>
      </c>
    </row>
    <row s="4562" customFormat="1" customHeight="1" ht="1.05">
      <c r="A50" s="1441" t="s">
        <v>215</v>
      </c>
      <c r="B50" s="1441" t="s">
        <v>216</v>
      </c>
      <c r="C50" s="1441" t="s">
        <v>217</v>
      </c>
      <c r="D50" s="1441" t="s">
        <v>218</v>
      </c>
      <c r="E50" s="2356"/>
      <c r="F50" s="2356"/>
      <c r="G50" s="2356"/>
      <c r="H50" s="2356"/>
      <c r="I50" s="2193"/>
      <c r="J50" s="1441"/>
      <c r="K50" s="1441"/>
      <c r="L50" s="1447"/>
      <c r="M50" s="1312"/>
      <c r="N50" s="1312"/>
      <c r="O50" s="1312"/>
      <c r="P50" s="2323"/>
      <c r="Q50" s="2020"/>
      <c r="R50" s="422"/>
      <c r="S50" s="1452"/>
      <c r="T50" s="1453" t="s">
        <v>421</v>
      </c>
      <c r="U50" s="1454"/>
      <c r="V50" s="1454"/>
      <c r="W50" s="1454"/>
      <c r="X50" s="1454"/>
      <c r="Y50" s="1454"/>
      <c r="Z50" s="1454"/>
      <c r="AA50" s="1454"/>
      <c r="AB50" s="1454"/>
      <c r="AC50" s="1454"/>
      <c r="AD50" s="1454"/>
      <c r="AE50" s="1454"/>
      <c r="AF50" s="1454"/>
      <c r="AG50" s="1454"/>
      <c r="AH50" s="1454"/>
      <c r="AI50" s="1454"/>
      <c r="AJ50" s="1454"/>
      <c r="AK50" s="1455"/>
      <c r="AM50" s="1690"/>
      <c r="AN50" s="1690" t="str">
        <f>IF(T50="","",T50)</f>
        <v>Добавить группу потребителей</v>
      </c>
      <c r="AO50" s="1690"/>
      <c r="AP50" s="1690"/>
      <c r="AQ50" s="1702">
        <v>1</v>
      </c>
    </row>
    <row s="4153" customFormat="1" customHeight="1" ht="1.05">
      <c r="A51" s="1441" t="s">
        <v>215</v>
      </c>
      <c r="B51" s="1441" t="s">
        <v>216</v>
      </c>
      <c r="C51" s="1441" t="s">
        <v>217</v>
      </c>
      <c r="D51" s="1441" t="s">
        <v>218</v>
      </c>
      <c r="E51" s="2356"/>
      <c r="F51" s="2356"/>
      <c r="G51" s="2356"/>
      <c r="H51" s="2355"/>
      <c r="I51" s="1441"/>
      <c r="J51" s="1441"/>
      <c r="K51" s="1441"/>
      <c r="L51" s="1447"/>
      <c r="M51" s="1444"/>
      <c r="N51" s="1444"/>
      <c r="O51" s="417"/>
      <c r="P51" s="446"/>
      <c r="Q51" s="1410"/>
      <c r="R51" s="1466"/>
      <c r="S51" s="1452"/>
      <c r="T51" s="1453"/>
      <c r="U51" s="1454"/>
      <c r="V51" s="1454"/>
      <c r="W51" s="1454"/>
      <c r="X51" s="1454"/>
      <c r="Y51" s="1454"/>
      <c r="Z51" s="1454"/>
      <c r="AA51" s="1454"/>
      <c r="AB51" s="1454"/>
      <c r="AC51" s="1454"/>
      <c r="AD51" s="1454"/>
      <c r="AE51" s="1454"/>
      <c r="AF51" s="1454"/>
      <c r="AG51" s="1454"/>
      <c r="AH51" s="1454"/>
      <c r="AI51" s="1454"/>
      <c r="AJ51" s="1454"/>
      <c r="AK51" s="1455"/>
      <c r="AL51" s="1702"/>
      <c r="AM51" s="1690"/>
      <c r="AN51" s="1690" t="str">
        <f>IF(T51="","",T51)</f>
        <v/>
      </c>
      <c r="AO51" s="1690"/>
      <c r="AP51" s="1690"/>
      <c r="AQ51" s="1707">
        <v>1</v>
      </c>
    </row>
    <row s="4562" customFormat="1" customHeight="1" ht="1.05">
      <c r="A52" s="1441" t="s">
        <v>215</v>
      </c>
      <c r="B52" s="1441" t="s">
        <v>216</v>
      </c>
      <c r="C52" s="1441" t="s">
        <v>217</v>
      </c>
      <c r="D52" s="1440"/>
      <c r="E52" s="2356"/>
      <c r="F52" s="2356"/>
      <c r="G52" s="2355"/>
      <c r="H52" s="1440"/>
      <c r="I52" s="1440"/>
      <c r="J52" s="1440"/>
      <c r="K52" s="1440"/>
      <c r="L52" s="1443"/>
      <c r="M52" s="1444"/>
      <c r="N52" s="1444"/>
      <c r="O52" s="417"/>
      <c r="P52" s="1382"/>
      <c r="Q52" s="1383"/>
      <c r="R52" s="1382"/>
      <c r="S52" s="1388"/>
      <c r="T52" s="1391" t="s">
        <v>173</v>
      </c>
      <c r="U52" s="1390"/>
      <c r="V52" s="1390"/>
      <c r="W52" s="1390"/>
      <c r="X52" s="1390"/>
      <c r="Y52" s="1390"/>
      <c r="Z52" s="1390"/>
      <c r="AA52" s="1390"/>
      <c r="AB52" s="1390"/>
      <c r="AC52" s="1390"/>
      <c r="AD52" s="1390"/>
      <c r="AE52" s="1390"/>
      <c r="AF52" s="1390"/>
      <c r="AG52" s="1390"/>
      <c r="AH52" s="1390"/>
      <c r="AI52" s="1390"/>
      <c r="AJ52" s="1390"/>
      <c r="AK52" s="1390"/>
      <c r="AM52" s="1317"/>
      <c r="AN52" s="1317" t="str">
        <f>IF(T52="","",T52)</f>
        <v>Добавить источник для дифференциации</v>
      </c>
      <c r="AO52" s="1317"/>
      <c r="AP52" s="1317"/>
      <c r="AQ52" s="1708">
        <v>1</v>
      </c>
    </row>
    <row s="4562" customFormat="1" customHeight="1" ht="1.05">
      <c r="A53" s="1441" t="s">
        <v>215</v>
      </c>
      <c r="B53" s="1441" t="s">
        <v>216</v>
      </c>
      <c r="C53" s="1440"/>
      <c r="D53" s="1440"/>
      <c r="E53" s="2356"/>
      <c r="F53" s="2355"/>
      <c r="G53" s="1440"/>
      <c r="H53" s="1440"/>
      <c r="I53" s="1440"/>
      <c r="J53" s="1440"/>
      <c r="K53" s="1440"/>
      <c r="L53" s="1443"/>
      <c r="M53" s="1445"/>
      <c r="N53" s="1445"/>
      <c r="O53" s="417"/>
      <c r="P53" s="1382"/>
      <c r="Q53" s="1383"/>
      <c r="R53" s="1382"/>
      <c r="S53" s="1388"/>
      <c r="T53" s="1391" t="s">
        <v>174</v>
      </c>
      <c r="U53" s="1390"/>
      <c r="V53" s="1390"/>
      <c r="W53" s="1390"/>
      <c r="X53" s="1390"/>
      <c r="Y53" s="1390"/>
      <c r="Z53" s="1390"/>
      <c r="AA53" s="1390"/>
      <c r="AB53" s="1390"/>
      <c r="AC53" s="1390"/>
      <c r="AD53" s="1390"/>
      <c r="AE53" s="1390"/>
      <c r="AF53" s="1390"/>
      <c r="AG53" s="1390"/>
      <c r="AH53" s="1390"/>
      <c r="AI53" s="1390"/>
      <c r="AJ53" s="1390"/>
      <c r="AK53" s="1390"/>
      <c r="AM53" s="1317"/>
      <c r="AN53" s="1317" t="str">
        <f>IF(T53="","",T53)</f>
        <v>Добавить централизованную систему для дифференциации</v>
      </c>
      <c r="AO53" s="1317"/>
      <c r="AP53" s="1317"/>
      <c r="AQ53" s="1708">
        <v>1</v>
      </c>
    </row>
    <row s="4562" customFormat="1" customHeight="1" ht="1.05">
      <c r="A54" s="1441" t="s">
        <v>215</v>
      </c>
      <c r="B54" s="1441"/>
      <c r="C54" s="1441"/>
      <c r="D54" s="1441"/>
      <c r="E54" s="2356"/>
      <c r="F54" s="1441"/>
      <c r="G54" s="1441"/>
      <c r="H54" s="1441"/>
      <c r="I54" s="1441"/>
      <c r="J54" s="1441"/>
      <c r="K54" s="1441"/>
      <c r="L54" s="1447"/>
      <c r="M54" s="1445"/>
      <c r="N54" s="1445"/>
      <c r="O54" s="417"/>
      <c r="P54" s="446"/>
      <c r="Q54" s="1410"/>
      <c r="R54" s="446"/>
      <c r="S54" s="1388"/>
      <c r="T54" s="1391" t="s">
        <v>175</v>
      </c>
      <c r="U54" s="1390"/>
      <c r="V54" s="1390"/>
      <c r="W54" s="1390"/>
      <c r="X54" s="1390"/>
      <c r="Y54" s="1390"/>
      <c r="Z54" s="1390"/>
      <c r="AA54" s="1390"/>
      <c r="AB54" s="1390"/>
      <c r="AC54" s="1390"/>
      <c r="AD54" s="1390"/>
      <c r="AE54" s="1390"/>
      <c r="AF54" s="1390"/>
      <c r="AG54" s="1390"/>
      <c r="AH54" s="1390"/>
      <c r="AI54" s="1390"/>
      <c r="AJ54" s="1390"/>
      <c r="AK54" s="1390"/>
      <c r="AM54" s="1690"/>
      <c r="AN54" s="1690" t="str">
        <f>IF(T54="","",T54)</f>
        <v>Добавить территорию для дифференциации</v>
      </c>
      <c r="AO54" s="1690"/>
      <c r="AP54" s="1690"/>
      <c r="AQ54" s="1702">
        <v>1</v>
      </c>
    </row>
    <row s="4562" customFormat="1" customHeight="1" ht="1.05">
      <c r="A55" s="1441" t="s">
        <v>215</v>
      </c>
      <c r="B55" s="1441"/>
      <c r="C55" s="1441"/>
      <c r="D55" s="1441"/>
      <c r="E55" s="2355"/>
      <c r="F55" s="1441"/>
      <c r="G55" s="1441"/>
      <c r="H55" s="1441"/>
      <c r="I55" s="1441"/>
      <c r="J55" s="1441"/>
      <c r="K55" s="1441"/>
      <c r="L55" s="1447"/>
      <c r="M55" s="1445"/>
      <c r="N55" s="1445"/>
      <c r="O55" s="417"/>
      <c r="P55" s="446"/>
      <c r="Q55" s="1410"/>
      <c r="R55" s="446"/>
      <c r="S55" s="1388"/>
      <c r="T55" s="1391" t="s">
        <v>175</v>
      </c>
      <c r="U55" s="1390"/>
      <c r="V55" s="1390"/>
      <c r="W55" s="1390"/>
      <c r="X55" s="1390"/>
      <c r="Y55" s="1390"/>
      <c r="Z55" s="1390"/>
      <c r="AA55" s="1390"/>
      <c r="AB55" s="1390"/>
      <c r="AC55" s="1390"/>
      <c r="AD55" s="1390"/>
      <c r="AE55" s="1390"/>
      <c r="AF55" s="1390"/>
      <c r="AG55" s="1390"/>
      <c r="AH55" s="1390"/>
      <c r="AI55" s="1390"/>
      <c r="AJ55" s="1390"/>
      <c r="AK55" s="1390"/>
      <c r="AM55" s="1690"/>
      <c r="AN55" s="1690" t="str">
        <f>IF(T55="","",T55)</f>
        <v>Добавить территорию для дифференциации</v>
      </c>
      <c r="AO55" s="1690"/>
      <c r="AP55" s="1690"/>
      <c r="AQ55" s="1702">
        <v>1</v>
      </c>
    </row>
    <row s="4562" customFormat="1" customHeight="1" ht="1.05">
      <c r="A56" s="1440"/>
      <c r="B56" s="1440"/>
      <c r="C56" s="1440"/>
      <c r="D56" s="1440"/>
      <c r="E56" s="1441"/>
      <c r="F56" s="1440"/>
      <c r="G56" s="1440"/>
      <c r="H56" s="1440"/>
      <c r="I56" s="1440"/>
      <c r="J56" s="1440"/>
      <c r="K56" s="1440"/>
      <c r="L56" s="1443"/>
      <c r="M56" s="1445"/>
      <c r="N56" s="1445"/>
      <c r="O56" s="417"/>
      <c r="P56" s="1382"/>
      <c r="Q56" s="1383"/>
      <c r="R56" s="1382"/>
      <c r="S56" s="1388"/>
      <c r="T56" s="1391" t="s">
        <v>176</v>
      </c>
      <c r="U56" s="1390"/>
      <c r="V56" s="1390"/>
      <c r="W56" s="1390"/>
      <c r="X56" s="1390"/>
      <c r="Y56" s="1390"/>
      <c r="Z56" s="1390"/>
      <c r="AA56" s="1390"/>
      <c r="AB56" s="1390"/>
      <c r="AC56" s="1390"/>
      <c r="AD56" s="1390"/>
      <c r="AE56" s="1390"/>
      <c r="AF56" s="1390"/>
      <c r="AG56" s="1390"/>
      <c r="AH56" s="1390"/>
      <c r="AI56" s="1390"/>
      <c r="AJ56" s="1390"/>
      <c r="AK56" s="1390"/>
      <c r="AM56" s="1317"/>
      <c r="AN56" s="1317" t="str">
        <f>IF(T56="","",T56)</f>
        <v>Добавить наименование тарифа</v>
      </c>
      <c r="AO56" s="1317"/>
      <c r="AP56" s="1317"/>
      <c r="AQ56" s="1708">
        <v>1</v>
      </c>
    </row>
    <row customHeight="1" ht="11.549999999999999">
      <c r="M57" s="1697"/>
      <c r="N57" s="1697"/>
      <c r="O57" s="1701"/>
      <c r="P57" s="1432"/>
      <c r="Q57" s="1432"/>
      <c r="R57" s="1697"/>
      <c r="S57" s="1697"/>
      <c r="AL57" s="1697"/>
      <c r="AM57" s="1697"/>
      <c r="AN57" s="1697"/>
      <c r="AO57" s="1697"/>
      <c r="AP57" s="1697"/>
      <c r="AQ57" s="1697">
        <v>11</v>
      </c>
    </row>
    <row customHeight="1" ht="19.95">
      <c r="O58" s="1701"/>
      <c r="S58" s="1319"/>
      <c r="T58" s="2351"/>
      <c r="U58" s="2351"/>
      <c r="V58" s="2351"/>
      <c r="W58" s="2351"/>
      <c r="X58" s="2351"/>
      <c r="Y58" s="2351"/>
      <c r="Z58" s="2351"/>
      <c r="AA58" s="2351"/>
      <c r="AB58" s="2351"/>
      <c r="AC58" s="2351"/>
      <c r="AD58" s="2351"/>
      <c r="AE58" s="2351"/>
      <c r="AF58" s="2351"/>
      <c r="AG58" s="2351"/>
      <c r="AH58" s="2351"/>
      <c r="AI58" s="2351"/>
      <c r="AJ58" s="2351"/>
      <c r="AK58" s="2351"/>
      <c r="AQ58" s="1697">
        <v>19</v>
      </c>
    </row>
    <row customHeight="1" ht="21">
      <c r="O59" s="1701"/>
      <c r="T59" s="2351"/>
      <c r="U59" s="2351"/>
      <c r="V59" s="2351"/>
      <c r="W59" s="2351"/>
      <c r="X59" s="2351"/>
      <c r="Y59" s="2351"/>
      <c r="Z59" s="2351"/>
      <c r="AA59" s="2351"/>
      <c r="AB59" s="2351"/>
      <c r="AC59" s="2351"/>
      <c r="AD59" s="2351"/>
      <c r="AE59" s="2351"/>
      <c r="AF59" s="2351"/>
      <c r="AG59" s="2351"/>
      <c r="AH59" s="2351"/>
      <c r="AI59" s="2351"/>
      <c r="AJ59" s="2351"/>
      <c r="AK59" s="2351"/>
      <c r="AQ59" s="1697">
        <v>20</v>
      </c>
    </row>
    <row customHeight="1" ht="14.699999999999998">
      <c r="O60" s="1701"/>
      <c r="T60" s="2019"/>
      <c r="U60" s="2019"/>
      <c r="V60" s="2019"/>
      <c r="W60" s="2019"/>
      <c r="X60" s="2019"/>
      <c r="Y60" s="2019"/>
      <c r="Z60" s="2019"/>
      <c r="AA60" s="2019"/>
      <c r="AB60" s="2019"/>
      <c r="AC60" s="2019"/>
      <c r="AD60" s="2019"/>
      <c r="AE60" s="2019"/>
      <c r="AF60" s="2019"/>
      <c r="AG60" s="2019"/>
      <c r="AH60" s="2019"/>
      <c r="AI60" s="2019"/>
      <c r="AJ60" s="2019"/>
      <c r="AK60" s="2019"/>
      <c r="AQ60" s="1697">
        <v>14</v>
      </c>
    </row>
    <row customHeight="1" ht="19.95">
      <c r="O61" s="1701"/>
      <c r="T61" s="2351"/>
      <c r="U61" s="2351"/>
      <c r="V61" s="2351"/>
      <c r="W61" s="2351"/>
      <c r="X61" s="2351"/>
      <c r="Y61" s="2351"/>
      <c r="Z61" s="2351"/>
      <c r="AA61" s="2351"/>
      <c r="AB61" s="2351"/>
      <c r="AC61" s="2351"/>
      <c r="AD61" s="2351"/>
      <c r="AE61" s="2351"/>
      <c r="AF61" s="2351"/>
      <c r="AG61" s="2351"/>
      <c r="AH61" s="2351"/>
      <c r="AI61" s="2351"/>
      <c r="AJ61" s="2351"/>
      <c r="AK61" s="2351"/>
      <c r="AQ61" s="1697">
        <v>19</v>
      </c>
    </row>
    <row customHeight="1" ht="16.8">
      <c r="O62" s="1701"/>
      <c r="T62" s="2351"/>
      <c r="U62" s="2351"/>
      <c r="V62" s="2351"/>
      <c r="W62" s="2351"/>
      <c r="X62" s="2351"/>
      <c r="Y62" s="2351"/>
      <c r="Z62" s="2351"/>
      <c r="AA62" s="2351"/>
      <c r="AB62" s="2351"/>
      <c r="AC62" s="2351"/>
      <c r="AD62" s="2351"/>
      <c r="AE62" s="2351"/>
      <c r="AF62" s="2351"/>
      <c r="AG62" s="2351"/>
      <c r="AH62" s="2351"/>
      <c r="AI62" s="2351"/>
      <c r="AJ62" s="2351"/>
      <c r="AK62" s="2351"/>
      <c r="AQ62" s="1697">
        <v>16</v>
      </c>
    </row>
    <row customHeight="1" ht="14.699999999999998">
      <c r="O63" s="1701"/>
      <c r="AQ63" s="1697">
        <v>14</v>
      </c>
    </row>
    <row customHeight="1" ht="22.5" hidden="1">
      <c r="A64" s="1697" t="s">
        <v>87</v>
      </c>
      <c r="B64" s="1697">
        <v>0</v>
      </c>
      <c r="C64" s="1697">
        <v>0</v>
      </c>
      <c r="D64" s="1697">
        <v>0</v>
      </c>
      <c r="E64" s="1697">
        <v>0</v>
      </c>
      <c r="F64" s="1697">
        <v>0</v>
      </c>
      <c r="G64" s="1697">
        <v>0</v>
      </c>
      <c r="H64" s="1697">
        <v>0</v>
      </c>
      <c r="I64" s="1697">
        <v>0</v>
      </c>
      <c r="J64" s="1697">
        <v>0</v>
      </c>
      <c r="K64" s="1697">
        <v>0</v>
      </c>
      <c r="L64" s="2005">
        <v>0</v>
      </c>
      <c r="M64" s="2031">
        <v>0</v>
      </c>
      <c r="N64" s="2031">
        <v>0</v>
      </c>
      <c r="O64" s="2031">
        <v>0</v>
      </c>
      <c r="P64" s="1428">
        <v>3</v>
      </c>
      <c r="Q64" s="1437">
        <v>3</v>
      </c>
      <c r="R64" s="410">
        <v>3</v>
      </c>
      <c r="S64" s="647">
        <v>12</v>
      </c>
      <c r="T64" s="1697">
        <v>31</v>
      </c>
      <c r="U64" s="1697">
        <v>0</v>
      </c>
      <c r="V64" s="1697">
        <v>0</v>
      </c>
      <c r="W64" s="1697">
        <v>0</v>
      </c>
      <c r="X64" s="1697">
        <v>0</v>
      </c>
      <c r="Y64" s="1697">
        <v>0</v>
      </c>
      <c r="Z64" s="1697">
        <v>0</v>
      </c>
      <c r="AA64" s="1697">
        <v>0</v>
      </c>
      <c r="AB64" s="1697">
        <v>27</v>
      </c>
      <c r="AC64" s="1697">
        <v>24</v>
      </c>
      <c r="AD64" s="1697">
        <v>21</v>
      </c>
      <c r="AE64" s="1697">
        <v>21</v>
      </c>
      <c r="AF64" s="1697">
        <v>11</v>
      </c>
      <c r="AG64" s="1697">
        <v>3</v>
      </c>
      <c r="AH64" s="1697">
        <v>11</v>
      </c>
      <c r="AI64" s="1697">
        <v>8</v>
      </c>
      <c r="AJ64" s="1697">
        <v>4</v>
      </c>
      <c r="AK64" s="1697">
        <v>115</v>
      </c>
      <c r="AL64" s="1702">
        <v>10</v>
      </c>
      <c r="AM64" s="1702">
        <v>10</v>
      </c>
      <c r="AN64" s="1702">
        <v>10</v>
      </c>
      <c r="AO64" s="1702">
        <v>10</v>
      </c>
      <c r="AP64" s="1702">
        <v>10</v>
      </c>
      <c r="AQ64" s="169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AF54E-A59E-03E4-CF2E-CA4F2495F9A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5002" width="11.57421875" hidden="1" customWidth="1"/>
    <col min="2" max="2" style="5002" width="11.00390625" hidden="1" customWidth="1"/>
    <col min="3" max="3" style="5002" width="10.57421875" hidden="1"/>
    <col min="4" max="4" style="5002" width="12.8515625" hidden="1" customWidth="1"/>
    <col min="5" max="5" style="5002" width="10.00390625" hidden="1" customWidth="1"/>
    <col min="6" max="6" style="5002" width="8.7109375" hidden="1" customWidth="1"/>
    <col min="7" max="7" style="5002" width="7.57421875" hidden="1" customWidth="1"/>
    <col min="8" max="8" style="5002" width="11.421875" hidden="1" customWidth="1"/>
    <col min="9" max="9" style="5002" width="12.00390625" hidden="1" customWidth="1"/>
    <col min="10" max="10" style="5002" width="9.8515625" hidden="1" customWidth="1"/>
    <col min="11" max="11" style="5002" width="11.421875" hidden="1" customWidth="1"/>
    <col min="12" max="12" style="5519" width="19.140625" hidden="1" customWidth="1"/>
    <col min="13" max="14" style="4246" width="12.28125" hidden="1" customWidth="1"/>
    <col min="15" max="15" style="4246" width="23.421875" hidden="1" customWidth="1"/>
    <col min="16" max="16" style="4246" width="3.7109375" hidden="1" customWidth="1"/>
    <col min="17" max="17" style="3575" width="3.7109375" hidden="1" customWidth="1"/>
    <col min="18" max="18" style="5023" width="3.00390625" customWidth="1"/>
    <col min="19" max="19" style="5711" width="12.00390625" customWidth="1"/>
    <col min="20" max="20" style="5053" width="31.00390625" customWidth="1"/>
    <col min="21" max="21" style="5053" width="0.140625" customWidth="1"/>
    <col min="22" max="25" style="5053" width="21.7109375" hidden="1" customWidth="1"/>
    <col min="26" max="26" style="5053" width="11.7109375" hidden="1" customWidth="1"/>
    <col min="27" max="27" style="5053" width="3.7109375" hidden="1" customWidth="1"/>
    <col min="28" max="28" style="5053" width="11.7109375" hidden="1" customWidth="1"/>
    <col min="29" max="29" style="5053" width="8.57421875" hidden="1" customWidth="1"/>
    <col min="30" max="30" style="5053" width="3.7109375" customWidth="1"/>
    <col min="31" max="32" style="5053" width="3.00390625" customWidth="1"/>
    <col min="33" max="33" style="5053" width="24.00390625" customWidth="1"/>
    <col min="34" max="34" style="5053" width="3.7109375" customWidth="1"/>
    <col min="35" max="36" style="5053" width="3.00390625" customWidth="1"/>
    <col min="37" max="37" style="5053" width="24.00390625" customWidth="1"/>
    <col min="38" max="38" style="5053" width="3.7109375" customWidth="1"/>
    <col min="39" max="40" style="5053" width="3.00390625" customWidth="1"/>
    <col min="41" max="41" style="5053" width="18.00390625" customWidth="1"/>
    <col min="42" max="42" style="5053" width="3.7109375" customWidth="1"/>
    <col min="43" max="44" style="5053" width="3.00390625" customWidth="1"/>
    <col min="45" max="45" style="5053" width="18.00390625" customWidth="1"/>
    <col min="46" max="49" style="5053" width="21.00390625" customWidth="1"/>
    <col min="50" max="50" style="5053" width="11.00390625" customWidth="1"/>
    <col min="51" max="51" style="5053" width="3.7109375" customWidth="1"/>
    <col min="52" max="52" style="5053" width="11.00390625" customWidth="1"/>
    <col min="53" max="53" style="5053" width="8.57421875" hidden="1" customWidth="1"/>
    <col min="54" max="54" style="5053" width="4.00390625" customWidth="1"/>
    <col min="55" max="55" style="5053" width="115.00390625" customWidth="1"/>
    <col min="56" max="60" style="4562" width="10.00390625" customWidth="1"/>
    <col min="61" max="61" style="5053"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31">
        <f>INDEX(PT_DIFFERENTIATION_NUM_NTAR,MATCH(A2,PT_DIFFERENTIATION_NTAR_ID,0))</f>
      </c>
      <c r="T2" s="364" t="s">
        <v>128</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31">
        <f>INDEX(PT_DIFFERENTIATION_NUM_TER,MATCH(B3,PT_DIFFERENTIATION_TER_ID,0))</f>
      </c>
      <c r="T3" s="374" t="s">
        <v>406</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407</v>
      </c>
      <c r="BE3" s="566"/>
      <c r="BF3" s="566" t="str">
        <f>IF(T3="","",T3)</f>
        <v>Территория действия тарифа</v>
      </c>
      <c r="BG3" s="566"/>
      <c r="BH3" s="566"/>
      <c r="BI3" s="1221">
        <v>0</v>
      </c>
    </row>
    <row customHeight="1" ht="42" hidden="1">
      <c r="A4" s="1429"/>
      <c r="B4" s="1429"/>
      <c r="C4" s="1429"/>
      <c r="D4" s="1429"/>
      <c r="E4" s="2325"/>
      <c r="F4" s="2325"/>
      <c r="G4" s="2324">
        <v>1</v>
      </c>
      <c r="H4" s="1429"/>
      <c r="I4" s="1429"/>
      <c r="J4" s="1429"/>
      <c r="K4" s="1429"/>
      <c r="L4" s="1430"/>
      <c r="M4" s="1431"/>
      <c r="N4" s="1431"/>
      <c r="O4" s="1431"/>
      <c r="P4" s="1478"/>
      <c r="Q4" s="1477"/>
      <c r="R4" s="419"/>
      <c r="S4" s="1531">
        <f>INDEX(PT_DIFFERENTIATION_NUM_CS,MATCH(C4,PT_DIFFERENTIATION_CS_ID,0))</f>
      </c>
      <c r="T4" s="375" t="s">
        <v>490</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491</v>
      </c>
      <c r="BE4" s="566"/>
      <c r="BF4" s="566" t="str">
        <f>IF(T4="","",T4)</f>
        <v>Наименование централизованной системы холодного водоснабжения</v>
      </c>
      <c r="BG4" s="566"/>
      <c r="BH4" s="566"/>
      <c r="BI4" s="1221">
        <v>0</v>
      </c>
    </row>
    <row s="4562"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411</v>
      </c>
      <c r="BE5" s="566"/>
      <c r="BF5" s="566" t="str">
        <f>IF(T5="","",T5)</f>
        <v/>
      </c>
      <c r="BG5" s="566"/>
      <c r="BH5" s="566"/>
      <c r="BI5" s="577">
        <v>0</v>
      </c>
    </row>
    <row s="4562" customFormat="1" customHeight="1" ht="14.25" hidden="1">
      <c r="A6" s="1409"/>
      <c r="B6" s="1409"/>
      <c r="C6" s="1409"/>
      <c r="D6" s="1409"/>
      <c r="E6" s="2325"/>
      <c r="F6" s="2325"/>
      <c r="G6" s="2325"/>
      <c r="H6" s="2325"/>
      <c r="I6" s="2322" t="str">
        <f>S5&amp;".1"</f>
        <v>.1</v>
      </c>
      <c r="J6" s="1409"/>
      <c r="K6" s="1409"/>
      <c r="L6" s="1412" t="s">
        <v>412</v>
      </c>
      <c r="M6" s="576"/>
      <c r="N6" s="576"/>
      <c r="O6" s="576"/>
      <c r="P6" s="2323">
        <v>1</v>
      </c>
      <c r="Q6" s="1528"/>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562"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25" t="s">
        <v>71</v>
      </c>
      <c r="AB8" s="1800"/>
      <c r="AC8" s="1525" t="s">
        <v>71</v>
      </c>
      <c r="AD8" s="2251" t="s">
        <v>71</v>
      </c>
      <c r="AE8" s="2392"/>
      <c r="AF8" s="2271">
        <v>1</v>
      </c>
      <c r="AG8" s="2429"/>
      <c r="AH8" s="2173" t="s">
        <v>71</v>
      </c>
      <c r="AI8" s="2392"/>
      <c r="AJ8" s="2271">
        <v>1</v>
      </c>
      <c r="AK8" s="2393" t="s">
        <v>28</v>
      </c>
      <c r="AL8" s="2173" t="s">
        <v>71</v>
      </c>
      <c r="AM8" s="2258"/>
      <c r="AN8" s="2271">
        <v>1</v>
      </c>
      <c r="AO8" s="2423"/>
      <c r="AP8" s="2424" t="s">
        <v>71</v>
      </c>
      <c r="AQ8" s="377"/>
      <c r="AR8" s="1529">
        <v>1</v>
      </c>
      <c r="AS8" s="1532" t="s">
        <v>28</v>
      </c>
      <c r="AT8" s="817"/>
      <c r="AU8" s="1323"/>
      <c r="AV8" s="817"/>
      <c r="AW8" s="1323"/>
      <c r="AX8" s="1800"/>
      <c r="AY8" s="1525" t="s">
        <v>71</v>
      </c>
      <c r="AZ8" s="1800"/>
      <c r="BA8" s="1525" t="s">
        <v>71</v>
      </c>
      <c r="BB8" s="1414"/>
      <c r="BC8" s="2319" t="s">
        <v>510</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511</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512</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513</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514</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477</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562" customFormat="1" customHeight="1" ht="14.25" hidden="1">
      <c r="A14" s="1409"/>
      <c r="B14" s="1409"/>
      <c r="C14" s="1409"/>
      <c r="D14" s="1409"/>
      <c r="E14" s="2325"/>
      <c r="F14" s="2325"/>
      <c r="G14" s="2325"/>
      <c r="H14" s="2325"/>
      <c r="I14" s="2322"/>
      <c r="J14" s="1409"/>
      <c r="K14" s="1409"/>
      <c r="L14" s="1412"/>
      <c r="M14" s="576"/>
      <c r="N14" s="576"/>
      <c r="O14" s="576"/>
      <c r="P14" s="2323"/>
      <c r="Q14" s="1528"/>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562"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562" customFormat="1" customHeight="1" ht="14.25" hidden="1">
      <c r="A16" s="1409"/>
      <c r="B16" s="1409"/>
      <c r="C16" s="1409"/>
      <c r="D16" s="1380"/>
      <c r="E16" s="2325"/>
      <c r="F16" s="2325"/>
      <c r="G16" s="2324"/>
      <c r="H16" s="1380"/>
      <c r="I16" s="1380"/>
      <c r="J16" s="1380"/>
      <c r="K16" s="1380"/>
      <c r="L16" s="153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562" customFormat="1" customHeight="1" ht="14.25" hidden="1">
      <c r="A17" s="1409"/>
      <c r="B17" s="1409"/>
      <c r="C17" s="1380"/>
      <c r="D17" s="1380"/>
      <c r="E17" s="2325"/>
      <c r="F17" s="2324"/>
      <c r="G17" s="1380"/>
      <c r="H17" s="1380"/>
      <c r="I17" s="1380"/>
      <c r="J17" s="1380"/>
      <c r="K17" s="1380"/>
      <c r="L17" s="1530"/>
      <c r="M17" s="1387"/>
      <c r="N17" s="1387"/>
      <c r="P17" s="1382"/>
      <c r="Q17" s="1383"/>
      <c r="R17" s="1382"/>
      <c r="S17" s="1388"/>
      <c r="T17" s="1391" t="s">
        <v>174</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562"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175</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26" t="s">
        <v>71</v>
      </c>
      <c r="AZ20" s="1802"/>
      <c r="BA20" s="1526" t="s">
        <v>71</v>
      </c>
      <c r="BI20" s="1221">
        <v>0</v>
      </c>
    </row>
    <row customHeight="1" ht="14.25" hidden="1">
      <c r="BD21" s="562"/>
      <c r="BE21" s="562"/>
      <c r="BF21" s="562"/>
      <c r="BG21" s="562"/>
      <c r="BH21" s="562"/>
      <c r="BI21" s="1221">
        <v>0</v>
      </c>
    </row>
    <row customHeight="1" ht="14.25" hidden="1">
      <c r="O22" s="1433" t="s">
        <v>423</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4285" customFormat="1" customHeight="1" ht="14.25" hidden="1">
      <c r="M24" s="1574"/>
      <c r="N24" s="1574"/>
      <c r="O24" s="1575" t="s">
        <v>424</v>
      </c>
      <c r="P24" s="1574"/>
      <c r="Q24" s="1576"/>
      <c r="R24" s="1576"/>
      <c r="AA24" s="1573" t="s">
        <v>426</v>
      </c>
      <c r="AC24" s="1573" t="s">
        <v>427</v>
      </c>
      <c r="AD24" s="1573" t="s">
        <v>478</v>
      </c>
      <c r="AH24" s="1573" t="s">
        <v>478</v>
      </c>
      <c r="AK24" s="1573" t="s">
        <v>515</v>
      </c>
      <c r="AL24" s="1573" t="s">
        <v>478</v>
      </c>
      <c r="AP24" s="1573" t="s">
        <v>478</v>
      </c>
      <c r="AY24" s="1573" t="s">
        <v>426</v>
      </c>
      <c r="BA24" s="1573" t="s">
        <v>427</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597" customFormat="1" customHeight="1" ht="25.5">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Департамент тарифной политики, энергетики и ЖКК ЯНАО </v>
      </c>
      <c r="W31" s="2317"/>
      <c r="X31" s="2317"/>
      <c r="Y31" s="2317"/>
      <c r="Z31" s="2317"/>
      <c r="AA31" s="2317"/>
      <c r="AB31" s="2317"/>
      <c r="AC31" s="392"/>
      <c r="AD31" s="2317" t="str">
        <f>IF(TITLE_NAME_OR_PR_CHANGE="",IF(TITLE_NAME_OR_PR="","",TITLE_NAME_OR_PR),TITLE_NAME_OR_PR_CHANGE)</f>
        <v>Департамент тарифной политики, энергетики и ЖКК ЯНАО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597" customFormat="1" customHeight="1" ht="18.75">
      <c r="A32" s="1434"/>
      <c r="B32" s="1434"/>
      <c r="C32" s="1434"/>
      <c r="D32" s="1434"/>
      <c r="E32" s="1434"/>
      <c r="F32" s="1434"/>
      <c r="G32" s="1434"/>
      <c r="H32" s="1434"/>
      <c r="I32" s="1434"/>
      <c r="J32" s="1434"/>
      <c r="K32" s="1434"/>
      <c r="L32" s="1435"/>
      <c r="M32" s="1434"/>
      <c r="N32" s="1434"/>
      <c r="O32" s="1434"/>
      <c r="P32" s="1434"/>
      <c r="Q32" s="1434"/>
      <c r="S32" s="2316" t="s">
        <v>429</v>
      </c>
      <c r="T32" s="2316"/>
      <c r="U32" s="1438"/>
      <c r="V32" s="2330" t="str">
        <f>IF(TITLE_DATE_PR_CHANGE="",IF(TITLE_DATE_PR="","",TITLE_DATE_PR),TITLE_DATE_PR_CHANGE)</f>
        <v>45631.41619212963</v>
      </c>
      <c r="W32" s="2330"/>
      <c r="X32" s="2330"/>
      <c r="Y32" s="2330"/>
      <c r="Z32" s="2330"/>
      <c r="AA32" s="2330"/>
      <c r="AB32" s="2330"/>
      <c r="AC32" s="392"/>
      <c r="AD32" s="2330" t="str">
        <f>IF(TITLE_DATE_PR_CHANGE="",IF(TITLE_DATE_PR="","",TITLE_DATE_PR),TITLE_DATE_PR_CHANGE)</f>
        <v>45631.41619212963</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597" customFormat="1" customHeight="1" ht="18.75">
      <c r="A33" s="1434"/>
      <c r="B33" s="1434"/>
      <c r="C33" s="1434"/>
      <c r="D33" s="1434"/>
      <c r="E33" s="1434"/>
      <c r="F33" s="1434"/>
      <c r="G33" s="1434"/>
      <c r="H33" s="1434"/>
      <c r="I33" s="1434"/>
      <c r="J33" s="1434"/>
      <c r="K33" s="1434"/>
      <c r="L33" s="1435"/>
      <c r="M33" s="1434"/>
      <c r="N33" s="1434"/>
      <c r="O33" s="1434"/>
      <c r="P33" s="1434"/>
      <c r="Q33" s="1434"/>
      <c r="S33" s="2316" t="s">
        <v>430</v>
      </c>
      <c r="T33" s="2316"/>
      <c r="U33" s="1438"/>
      <c r="V33" s="2317" t="str">
        <f>IF(TITLE_NUMBER_PR_CHANGE="",IF(TITLE_NUMBER_PR="","",TITLE_NUMBER_PR),TITLE_NUMBER_PR_CHANGE)</f>
        <v>447-т</v>
      </c>
      <c r="W33" s="2317"/>
      <c r="X33" s="2317"/>
      <c r="Y33" s="2317"/>
      <c r="Z33" s="2317"/>
      <c r="AA33" s="2317"/>
      <c r="AB33" s="2317"/>
      <c r="AC33" s="392"/>
      <c r="AD33" s="2317" t="str">
        <f>IF(TITLE_NUMBER_PR_CHANGE="",IF(TITLE_NUMBER_PR="","",TITLE_NUMBER_PR),TITLE_NUMBER_PR_CHANGE)</f>
        <v>447-т</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597" customFormat="1" customHeight="1" ht="18.75">
      <c r="A34" s="1434"/>
      <c r="B34" s="1434"/>
      <c r="C34" s="1434"/>
      <c r="D34" s="1434"/>
      <c r="E34" s="1434"/>
      <c r="F34" s="1434"/>
      <c r="G34" s="1434"/>
      <c r="H34" s="1434"/>
      <c r="I34" s="1434"/>
      <c r="J34" s="1434"/>
      <c r="K34" s="1434"/>
      <c r="L34" s="1435"/>
      <c r="M34" s="1434"/>
      <c r="N34" s="1434"/>
      <c r="O34" s="1434"/>
      <c r="P34" s="1434"/>
      <c r="Q34" s="1434"/>
      <c r="S34" s="2316" t="s">
        <v>44</v>
      </c>
      <c r="T34" s="2316"/>
      <c r="U34" s="1438"/>
      <c r="V34" s="2317" t="str">
        <f>IF(TITLE_IST_PUB_CHANGE="",IF(TITLE_IST_PUB="","",TITLE_IST_PUB),TITLE_IST_PUB_CHANGE)</f>
        <v>Официальный сайт Департамента тарифной политики, энергетики и ЖКК ЯНАО, https://rek-yamal.ru, 05.12.2024</v>
      </c>
      <c r="W34" s="2317"/>
      <c r="X34" s="2317"/>
      <c r="Y34" s="2317"/>
      <c r="Z34" s="2317"/>
      <c r="AA34" s="2317"/>
      <c r="AB34" s="2317"/>
      <c r="AC34" s="392"/>
      <c r="AD34" s="2317" t="str">
        <f>IF(TITLE_IST_PUB_CHANGE="",IF(TITLE_IST_PUB="","",TITLE_IST_PUB),TITLE_IST_PUB_CHANGE)</f>
        <v>Официальный сайт Департамента тарифной политики, энергетики и ЖКК ЯНАО, https://rek-yamal.ru, 05.12.2024</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597"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429</v>
      </c>
      <c r="T36" s="2316"/>
      <c r="U36" s="1438"/>
      <c r="V36" s="2330" t="str">
        <f>IF(TITLE_DATE_PR_CHANGE="",IF(TITLE_DATE_PR="","",TITLE_DATE_PR),TITLE_DATE_PR_CHANGE)</f>
        <v>45631.41619212963</v>
      </c>
      <c r="W36" s="2330"/>
      <c r="X36" s="2330"/>
      <c r="Y36" s="2330"/>
      <c r="Z36" s="2330"/>
      <c r="AA36" s="2330"/>
      <c r="AB36" s="2330"/>
      <c r="AC36" s="392"/>
      <c r="AD36" s="2330" t="str">
        <f>IF(TITLE_DATE_PR_CHANGE="",IF(TITLE_DATE_PR="","",TITLE_DATE_PR),TITLE_DATE_PR_CHANGE)</f>
        <v>45631.41619212963</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597"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430</v>
      </c>
      <c r="T37" s="2316"/>
      <c r="U37" s="1438"/>
      <c r="V37" s="2317" t="str">
        <f>IF(TITLE_NUMBER_PR_CHANGE="",IF(TITLE_NUMBER_PR="","",TITLE_NUMBER_PR),TITLE_NUMBER_PR_CHANGE)</f>
        <v>447-т</v>
      </c>
      <c r="W37" s="2317"/>
      <c r="X37" s="2317"/>
      <c r="Y37" s="2317"/>
      <c r="Z37" s="2317"/>
      <c r="AA37" s="2317"/>
      <c r="AB37" s="2317"/>
      <c r="AC37" s="392"/>
      <c r="AD37" s="2317" t="str">
        <f>IF(TITLE_NUMBER_PR_CHANGE="",IF(TITLE_NUMBER_PR="","",TITLE_NUMBER_PR),TITLE_NUMBER_PR_CHANGE)</f>
        <v>447-т</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597"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20"/>
      <c r="V38" s="392"/>
      <c r="W38" s="392"/>
      <c r="X38" s="392"/>
      <c r="Y38" s="392"/>
      <c r="Z38" s="392"/>
      <c r="AA38" s="392"/>
      <c r="AB38" s="392"/>
      <c r="AC38" s="344" t="s">
        <v>433</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433</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309</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310</v>
      </c>
      <c r="BI40" s="1221">
        <v>14</v>
      </c>
    </row>
    <row customHeight="1" ht="14.699999999999998">
      <c r="Q41" s="357"/>
      <c r="R41" s="442"/>
      <c r="S41" s="2339" t="s">
        <v>93</v>
      </c>
      <c r="T41" s="2275" t="s">
        <v>516</v>
      </c>
      <c r="U41" s="367"/>
      <c r="V41" s="2340" t="s">
        <v>435</v>
      </c>
      <c r="W41" s="2341"/>
      <c r="X41" s="2341"/>
      <c r="Y41" s="2341"/>
      <c r="Z41" s="2341"/>
      <c r="AA41" s="2341"/>
      <c r="AB41" s="2342"/>
      <c r="AC41" s="2343" t="s">
        <v>436</v>
      </c>
      <c r="AD41" s="2394" t="s">
        <v>517</v>
      </c>
      <c r="AE41" s="2357"/>
      <c r="AF41" s="2357"/>
      <c r="AG41" s="2395"/>
      <c r="AH41" s="2394" t="s">
        <v>518</v>
      </c>
      <c r="AI41" s="2357"/>
      <c r="AJ41" s="2357"/>
      <c r="AK41" s="2395"/>
      <c r="AL41" s="2394" t="s">
        <v>519</v>
      </c>
      <c r="AM41" s="2357"/>
      <c r="AN41" s="2357"/>
      <c r="AO41" s="2395"/>
      <c r="AP41" s="2394" t="s">
        <v>520</v>
      </c>
      <c r="AQ41" s="2357"/>
      <c r="AR41" s="2357"/>
      <c r="AS41" s="2395"/>
      <c r="AT41" s="2340" t="s">
        <v>435</v>
      </c>
      <c r="AU41" s="2341"/>
      <c r="AV41" s="2341"/>
      <c r="AW41" s="2341"/>
      <c r="AX41" s="2341"/>
      <c r="AY41" s="2341"/>
      <c r="AZ41" s="2342"/>
      <c r="BA41" s="2343" t="s">
        <v>436</v>
      </c>
      <c r="BB41" s="2346" t="s">
        <v>438</v>
      </c>
      <c r="BC41" s="2193"/>
      <c r="BI41" s="1221">
        <v>14</v>
      </c>
    </row>
    <row customHeight="1" ht="35.699999999999996">
      <c r="Q42" s="357"/>
      <c r="R42" s="442"/>
      <c r="S42" s="2339"/>
      <c r="T42" s="2275"/>
      <c r="U42" s="1097"/>
      <c r="V42" s="2258" t="s">
        <v>521</v>
      </c>
      <c r="W42" s="2259"/>
      <c r="X42" s="2258" t="s">
        <v>522</v>
      </c>
      <c r="Y42" s="2259"/>
      <c r="Z42" s="2360" t="s">
        <v>523</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521</v>
      </c>
      <c r="AU42" s="2259"/>
      <c r="AV42" s="2258" t="s">
        <v>522</v>
      </c>
      <c r="AW42" s="2259"/>
      <c r="AX42" s="2360" t="s">
        <v>523</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140</v>
      </c>
      <c r="C44" s="1436" t="s">
        <v>141</v>
      </c>
      <c r="D44" s="1436" t="s">
        <v>142</v>
      </c>
      <c r="E44" s="1430" t="s">
        <v>443</v>
      </c>
      <c r="F44" s="1430" t="s">
        <v>444</v>
      </c>
      <c r="G44" s="1430" t="s">
        <v>445</v>
      </c>
      <c r="H44" s="1430" t="s">
        <v>446</v>
      </c>
      <c r="I44" s="1430" t="s">
        <v>447</v>
      </c>
      <c r="J44" s="1430" t="s">
        <v>448</v>
      </c>
      <c r="K44" s="1430" t="s">
        <v>449</v>
      </c>
      <c r="L44" s="1430" t="s">
        <v>424</v>
      </c>
      <c r="Q44" s="357"/>
      <c r="R44" s="442"/>
      <c r="S44" s="2339"/>
      <c r="T44" s="2275"/>
      <c r="U44" s="368"/>
      <c r="V44" s="1514" t="s">
        <v>487</v>
      </c>
      <c r="W44" s="1514" t="s">
        <v>488</v>
      </c>
      <c r="X44" s="1514" t="s">
        <v>487</v>
      </c>
      <c r="Y44" s="1514" t="s">
        <v>488</v>
      </c>
      <c r="Z44" s="1521" t="s">
        <v>452</v>
      </c>
      <c r="AA44" s="2336" t="s">
        <v>453</v>
      </c>
      <c r="AB44" s="2337"/>
      <c r="AC44" s="2345"/>
      <c r="AD44" s="2399"/>
      <c r="AE44" s="2400"/>
      <c r="AF44" s="2400"/>
      <c r="AG44" s="2401"/>
      <c r="AH44" s="2399"/>
      <c r="AI44" s="2400"/>
      <c r="AJ44" s="2400"/>
      <c r="AK44" s="2401"/>
      <c r="AL44" s="2399"/>
      <c r="AM44" s="2400"/>
      <c r="AN44" s="2400"/>
      <c r="AO44" s="2401"/>
      <c r="AP44" s="2399"/>
      <c r="AQ44" s="2400"/>
      <c r="AR44" s="2400"/>
      <c r="AS44" s="2401"/>
      <c r="AT44" s="1514" t="s">
        <v>487</v>
      </c>
      <c r="AU44" s="1514" t="s">
        <v>488</v>
      </c>
      <c r="AV44" s="1514" t="s">
        <v>487</v>
      </c>
      <c r="AW44" s="1514" t="s">
        <v>488</v>
      </c>
      <c r="AX44" s="1521" t="s">
        <v>452</v>
      </c>
      <c r="AY44" s="2336" t="s">
        <v>453</v>
      </c>
      <c r="AZ44" s="2337"/>
      <c r="BA44" s="2345"/>
      <c r="BB44" s="2348"/>
      <c r="BC44" s="2193"/>
      <c r="BI44" s="1221">
        <v>14</v>
      </c>
    </row>
    <row s="4153"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114</v>
      </c>
      <c r="T45" s="1321" t="s">
        <v>115</v>
      </c>
      <c r="U45" s="1311" t="str">
        <f>OFFSET(U45,0,-1)</f>
        <v>2</v>
      </c>
      <c r="V45" s="1517">
        <f>OFFSET(V45,0,-1)+1</f>
        <v>3</v>
      </c>
      <c r="W45" s="1517">
        <f>OFFSET(W45,0,-1)+1</f>
        <v>4</v>
      </c>
      <c r="X45" s="1517">
        <f>OFFSET(X45,0,-1)+1</f>
        <v>5</v>
      </c>
      <c r="Y45" s="1517">
        <f>OFFSET(Y45,0,-1)+1</f>
        <v>6</v>
      </c>
      <c r="Z45" s="1517">
        <f>OFFSET(Z45,0,-1)+1</f>
        <v>7</v>
      </c>
      <c r="AA45" s="2338">
        <f>OFFSET(AA45,0,-1)+1</f>
        <v>8</v>
      </c>
      <c r="AB45" s="2338"/>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338">
        <f>OFFSET(AY45,0,-1)+1</f>
        <v>3</v>
      </c>
      <c r="AZ45" s="2338"/>
      <c r="BA45" s="1517">
        <f>OFFSET(BA45,0,-2)+1</f>
        <v>4</v>
      </c>
      <c r="BB45" s="1311">
        <f>OFFSET(BB45,0,-1)</f>
        <v>4</v>
      </c>
      <c r="BC45" s="1517">
        <f>OFFSET(BC45,0,-1)+1</f>
        <v>5</v>
      </c>
      <c r="BD45" s="577"/>
      <c r="BE45" s="577"/>
      <c r="BF45" s="577"/>
      <c r="BG45" s="577"/>
      <c r="BH45" s="577"/>
      <c r="BI45" s="562">
        <v>0</v>
      </c>
    </row>
    <row customHeight="1" ht="22.049999999999997">
      <c r="A46" s="1429" t="s">
        <v>255</v>
      </c>
      <c r="B46" s="1429"/>
      <c r="C46" s="1429"/>
      <c r="D46" s="1429"/>
      <c r="E46" s="2324">
        <v>1</v>
      </c>
      <c r="F46" s="1429"/>
      <c r="G46" s="1429"/>
      <c r="H46" s="1429"/>
      <c r="I46" s="1429"/>
      <c r="J46" s="1429"/>
      <c r="K46" s="1429"/>
      <c r="L46" s="1430"/>
      <c r="M46" s="1431"/>
      <c r="N46" s="1431"/>
      <c r="O46" s="1431"/>
      <c r="P46" s="1475"/>
      <c r="Q46" s="939"/>
      <c r="R46" s="421"/>
      <c r="S46" s="1523">
        <f>INDEX(PT_DIFFERENTIATION_NUM_NTAR,MATCH(A46,PT_DIFFERENTIATION_NTAR_ID,0))</f>
        <v>0</v>
      </c>
      <c r="T46" s="364" t="s">
        <v>128</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255</v>
      </c>
      <c r="B47" s="1429" t="s">
        <v>256</v>
      </c>
      <c r="C47" s="1429"/>
      <c r="D47" s="1429"/>
      <c r="E47" s="2325"/>
      <c r="F47" s="2324">
        <v>1</v>
      </c>
      <c r="G47" s="1429"/>
      <c r="H47" s="1429"/>
      <c r="I47" s="1429"/>
      <c r="J47" s="1429"/>
      <c r="K47" s="1429"/>
      <c r="L47" s="1430"/>
      <c r="M47" s="1431"/>
      <c r="N47" s="1431"/>
      <c r="O47" s="1431"/>
      <c r="P47" s="1476"/>
      <c r="Q47" s="1477"/>
      <c r="R47" s="419"/>
      <c r="S47" s="1523" t="str">
        <f>INDEX(PT_DIFFERENTIATION_NUM_TER,MATCH(B47,PT_DIFFERENTIATION_TER_ID,0))</f>
        <v>.</v>
      </c>
      <c r="T47" s="374" t="s">
        <v>406</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407</v>
      </c>
      <c r="BE47" s="566"/>
      <c r="BF47" s="566" t="str">
        <f>IF(T47="","",T47)</f>
        <v>Территория действия тарифа</v>
      </c>
      <c r="BG47" s="566"/>
      <c r="BH47" s="566"/>
      <c r="BI47" s="1221">
        <v>21</v>
      </c>
    </row>
    <row customHeight="1" ht="43.050000000000004">
      <c r="A48" s="1429" t="s">
        <v>255</v>
      </c>
      <c r="B48" s="1429" t="s">
        <v>256</v>
      </c>
      <c r="C48" s="1429" t="s">
        <v>257</v>
      </c>
      <c r="D48" s="1429"/>
      <c r="E48" s="2325"/>
      <c r="F48" s="2325"/>
      <c r="G48" s="2324">
        <v>1</v>
      </c>
      <c r="H48" s="1429"/>
      <c r="I48" s="1429"/>
      <c r="J48" s="1429"/>
      <c r="K48" s="1429"/>
      <c r="L48" s="1430"/>
      <c r="M48" s="1431"/>
      <c r="N48" s="1431"/>
      <c r="O48" s="1431"/>
      <c r="P48" s="1478"/>
      <c r="Q48" s="1477"/>
      <c r="R48" s="419"/>
      <c r="S48" s="1523" t="str">
        <f>INDEX(PT_DIFFERENTIATION_NUM_CS,MATCH(C48,PT_DIFFERENTIATION_CS_ID,0))</f>
        <v>..</v>
      </c>
      <c r="T48" s="375" t="s">
        <v>490</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491</v>
      </c>
      <c r="BE48" s="566"/>
      <c r="BF48" s="566" t="str">
        <f>IF(T48="","",T48)</f>
        <v>Наименование централизованной системы холодного водоснабжения</v>
      </c>
      <c r="BG48" s="566"/>
      <c r="BH48" s="566"/>
      <c r="BI48" s="1221">
        <v>41</v>
      </c>
    </row>
    <row s="4562" customFormat="1" customHeight="1" ht="0">
      <c r="A49" s="1409" t="s">
        <v>255</v>
      </c>
      <c r="B49" s="1409" t="s">
        <v>256</v>
      </c>
      <c r="C49" s="1409" t="s">
        <v>257</v>
      </c>
      <c r="D49" s="1409" t="s">
        <v>524</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411</v>
      </c>
      <c r="BE49" s="566"/>
      <c r="BF49" s="566" t="str">
        <f>IF(T49="","",T49)</f>
        <v/>
      </c>
      <c r="BG49" s="566"/>
      <c r="BH49" s="566"/>
      <c r="BI49" s="577">
        <v>0</v>
      </c>
    </row>
    <row s="4562" customFormat="1" customHeight="1" ht="0">
      <c r="A50" s="1409" t="s">
        <v>255</v>
      </c>
      <c r="B50" s="1409" t="s">
        <v>256</v>
      </c>
      <c r="C50" s="1409" t="s">
        <v>257</v>
      </c>
      <c r="D50" s="1409" t="s">
        <v>524</v>
      </c>
      <c r="E50" s="2325"/>
      <c r="F50" s="2325"/>
      <c r="G50" s="2325"/>
      <c r="H50" s="2325"/>
      <c r="I50" s="2322" t="str">
        <f>S49&amp;".1"</f>
        <v>.1</v>
      </c>
      <c r="J50" s="1409"/>
      <c r="K50" s="1409"/>
      <c r="L50" s="1412" t="s">
        <v>412</v>
      </c>
      <c r="M50" s="576"/>
      <c r="N50" s="576"/>
      <c r="O50" s="576"/>
      <c r="P50" s="2323">
        <v>1</v>
      </c>
      <c r="Q50" s="1528"/>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562" customFormat="1" customHeight="1" ht="0">
      <c r="A51" s="1409" t="s">
        <v>255</v>
      </c>
      <c r="B51" s="1409" t="s">
        <v>256</v>
      </c>
      <c r="C51" s="1409" t="s">
        <v>257</v>
      </c>
      <c r="D51" s="1409" t="s">
        <v>524</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255</v>
      </c>
      <c r="B52" s="1429" t="s">
        <v>256</v>
      </c>
      <c r="C52" s="1429" t="s">
        <v>257</v>
      </c>
      <c r="D52" s="1429" t="s">
        <v>524</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25" t="s">
        <v>71</v>
      </c>
      <c r="AB52" s="1800"/>
      <c r="AC52" s="1525" t="s">
        <v>71</v>
      </c>
      <c r="AD52" s="2251" t="s">
        <v>71</v>
      </c>
      <c r="AE52" s="2392"/>
      <c r="AF52" s="2271">
        <v>1</v>
      </c>
      <c r="AG52" s="2429"/>
      <c r="AH52" s="2173" t="s">
        <v>71</v>
      </c>
      <c r="AI52" s="2392"/>
      <c r="AJ52" s="2271">
        <v>1</v>
      </c>
      <c r="AK52" s="2393" t="s">
        <v>28</v>
      </c>
      <c r="AL52" s="2173" t="s">
        <v>71</v>
      </c>
      <c r="AM52" s="2258"/>
      <c r="AN52" s="2271">
        <v>1</v>
      </c>
      <c r="AO52" s="2423"/>
      <c r="AP52" s="2424" t="s">
        <v>71</v>
      </c>
      <c r="AQ52" s="377"/>
      <c r="AR52" s="1529">
        <v>1</v>
      </c>
      <c r="AS52" s="1532" t="s">
        <v>28</v>
      </c>
      <c r="AT52" s="817"/>
      <c r="AU52" s="1323"/>
      <c r="AV52" s="817"/>
      <c r="AW52" s="1323"/>
      <c r="AX52" s="1800"/>
      <c r="AY52" s="1525" t="s">
        <v>71</v>
      </c>
      <c r="AZ52" s="1800"/>
      <c r="BA52" s="1525" t="s">
        <v>71</v>
      </c>
      <c r="BB52" s="1414"/>
      <c r="BC52" s="2319" t="s">
        <v>510</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511</v>
      </c>
      <c r="AT53" s="1459"/>
      <c r="AU53" s="1562"/>
      <c r="AV53" s="1459"/>
      <c r="AW53" s="1562"/>
      <c r="AX53" s="1459"/>
      <c r="AY53" s="1459"/>
      <c r="AZ53" s="1459"/>
      <c r="BA53" s="1459"/>
      <c r="BB53" s="1463"/>
      <c r="BC53" s="2320"/>
      <c r="BE53" s="566"/>
      <c r="BF53" s="566"/>
      <c r="BG53" s="566"/>
      <c r="BH53" s="566"/>
      <c r="BI53" s="1221">
        <v>11</v>
      </c>
    </row>
    <row customHeight="1" ht="11.549999999999999">
      <c r="A54" s="1429" t="s">
        <v>255</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512</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255</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513</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255</v>
      </c>
      <c r="B56" s="1429" t="s">
        <v>256</v>
      </c>
      <c r="C56" s="1429" t="s">
        <v>257</v>
      </c>
      <c r="D56" s="1429" t="s">
        <v>524</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514</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255</v>
      </c>
      <c r="B57" s="1429" t="s">
        <v>256</v>
      </c>
      <c r="C57" s="1429" t="s">
        <v>257</v>
      </c>
      <c r="D57" s="1429" t="s">
        <v>524</v>
      </c>
      <c r="E57" s="2325"/>
      <c r="F57" s="2325"/>
      <c r="G57" s="2325"/>
      <c r="H57" s="2325"/>
      <c r="I57" s="2352"/>
      <c r="J57" s="2322"/>
      <c r="K57" s="1429"/>
      <c r="L57" s="1430"/>
      <c r="P57" s="2323"/>
      <c r="Q57" s="2323"/>
      <c r="R57" s="422"/>
      <c r="S57" s="1344"/>
      <c r="T57" s="353" t="s">
        <v>477</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562" customFormat="1" customHeight="1" ht="0">
      <c r="A58" s="1409" t="s">
        <v>255</v>
      </c>
      <c r="B58" s="1409" t="s">
        <v>256</v>
      </c>
      <c r="C58" s="1409" t="s">
        <v>257</v>
      </c>
      <c r="D58" s="1409" t="s">
        <v>524</v>
      </c>
      <c r="E58" s="2325"/>
      <c r="F58" s="2325"/>
      <c r="G58" s="2325"/>
      <c r="H58" s="2325"/>
      <c r="I58" s="2322"/>
      <c r="J58" s="1409"/>
      <c r="K58" s="1409"/>
      <c r="L58" s="1412"/>
      <c r="M58" s="576"/>
      <c r="N58" s="576"/>
      <c r="O58" s="576"/>
      <c r="P58" s="2323"/>
      <c r="Q58" s="1528"/>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562" customFormat="1" customHeight="1" ht="0">
      <c r="A59" s="1409" t="s">
        <v>255</v>
      </c>
      <c r="B59" s="1409" t="s">
        <v>256</v>
      </c>
      <c r="C59" s="1409" t="s">
        <v>257</v>
      </c>
      <c r="D59" s="1409" t="s">
        <v>524</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562" customFormat="1" customHeight="1" ht="0">
      <c r="A60" s="1409" t="s">
        <v>255</v>
      </c>
      <c r="B60" s="1409" t="s">
        <v>256</v>
      </c>
      <c r="C60" s="1409" t="s">
        <v>257</v>
      </c>
      <c r="D60" s="1380"/>
      <c r="E60" s="2325"/>
      <c r="F60" s="2325"/>
      <c r="G60" s="2324"/>
      <c r="H60" s="1380"/>
      <c r="I60" s="1380"/>
      <c r="J60" s="1380"/>
      <c r="K60" s="1380"/>
      <c r="L60" s="153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562" customFormat="1" customHeight="1" ht="0">
      <c r="A61" s="1409" t="s">
        <v>255</v>
      </c>
      <c r="B61" s="1409" t="s">
        <v>256</v>
      </c>
      <c r="C61" s="1380"/>
      <c r="D61" s="1380"/>
      <c r="E61" s="2325"/>
      <c r="F61" s="2324"/>
      <c r="G61" s="1380"/>
      <c r="H61" s="1380"/>
      <c r="I61" s="1380"/>
      <c r="J61" s="1380"/>
      <c r="K61" s="1380"/>
      <c r="L61" s="1530"/>
      <c r="M61" s="1387"/>
      <c r="N61" s="1387"/>
      <c r="P61" s="1382"/>
      <c r="Q61" s="1383"/>
      <c r="R61" s="1382"/>
      <c r="S61" s="1388"/>
      <c r="T61" s="1391" t="s">
        <v>174</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562" customFormat="1" customHeight="1" ht="0">
      <c r="A62" s="1409" t="s">
        <v>255</v>
      </c>
      <c r="B62" s="1409"/>
      <c r="C62" s="1409"/>
      <c r="D62" s="1409"/>
      <c r="E62" s="2324"/>
      <c r="F62" s="1409"/>
      <c r="G62" s="1409"/>
      <c r="H62" s="1409"/>
      <c r="I62" s="1409"/>
      <c r="J62" s="1409"/>
      <c r="K62" s="1409"/>
      <c r="L62" s="1412"/>
      <c r="M62" s="1387"/>
      <c r="N62" s="1387"/>
      <c r="O62" s="584"/>
      <c r="P62" s="446"/>
      <c r="Q62" s="1410"/>
      <c r="R62" s="446"/>
      <c r="S62" s="1388"/>
      <c r="T62" s="1391" t="s">
        <v>175</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562" customFormat="1" customHeight="1" ht="0">
      <c r="A63" s="1380"/>
      <c r="B63" s="1380"/>
      <c r="C63" s="1380"/>
      <c r="D63" s="1380"/>
      <c r="E63" s="1409"/>
      <c r="F63" s="1380"/>
      <c r="G63" s="1380"/>
      <c r="H63" s="1380"/>
      <c r="I63" s="1380"/>
      <c r="J63" s="1380"/>
      <c r="K63" s="1380"/>
      <c r="L63" s="1530"/>
      <c r="M63" s="1387"/>
      <c r="N63" s="1387"/>
      <c r="P63" s="1382"/>
      <c r="Q63" s="1383"/>
      <c r="R63" s="1382"/>
      <c r="S63" s="1388"/>
      <c r="T63" s="1391" t="s">
        <v>176</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87</v>
      </c>
      <c r="B69" s="1226">
        <v>0</v>
      </c>
      <c r="C69" s="1226">
        <v>0</v>
      </c>
      <c r="D69" s="1226">
        <v>0</v>
      </c>
      <c r="E69" s="1226">
        <v>0</v>
      </c>
      <c r="F69" s="1226">
        <v>0</v>
      </c>
      <c r="G69" s="1226">
        <v>0</v>
      </c>
      <c r="H69" s="1226">
        <v>0</v>
      </c>
      <c r="I69" s="1226">
        <v>0</v>
      </c>
      <c r="J69" s="1226">
        <v>0</v>
      </c>
      <c r="K69" s="1226">
        <v>0</v>
      </c>
      <c r="L69" s="1527">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C1B76-EF06-D579-E147-9E3CB5CA7B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002" width="10.57421875" hidden="1"/>
    <col min="2" max="2" style="5002" width="11.00390625" hidden="1" customWidth="1"/>
    <col min="3" max="3" style="5002" width="10.57421875" hidden="1"/>
    <col min="4" max="4" style="5002" width="11.8515625" hidden="1" customWidth="1"/>
    <col min="5" max="5" style="5002" width="10.00390625" hidden="1" customWidth="1"/>
    <col min="6" max="6" style="5002" width="8.7109375" hidden="1" customWidth="1"/>
    <col min="7" max="7" style="5002" width="7.57421875" hidden="1" customWidth="1"/>
    <col min="8" max="8" style="5002" width="11.421875" hidden="1" customWidth="1"/>
    <col min="9" max="9" style="5002" width="14.140625" hidden="1" customWidth="1"/>
    <col min="10" max="10" style="5002" width="9.8515625" hidden="1" customWidth="1"/>
    <col min="11" max="11" style="5002" width="14.7109375" hidden="1" customWidth="1"/>
    <col min="12" max="12" style="5519" width="19.140625" hidden="1" customWidth="1"/>
    <col min="13" max="14" style="4246" width="12.28125" hidden="1" customWidth="1"/>
    <col min="15" max="15" style="4246" width="23.421875" hidden="1" customWidth="1"/>
    <col min="16" max="16" style="5737" width="3.00390625" customWidth="1"/>
    <col min="17" max="18" style="5023" width="3.00390625" customWidth="1"/>
    <col min="19" max="19" style="5711" width="12.00390625" customWidth="1"/>
    <col min="20" max="20" style="5053" width="35.00390625" customWidth="1"/>
    <col min="21" max="21" style="5053" width="0.140625" customWidth="1"/>
    <col min="22" max="24" style="5053" width="24.7109375" hidden="1" customWidth="1"/>
    <col min="25" max="25" style="5053" width="11.7109375" hidden="1" customWidth="1"/>
    <col min="26" max="26" style="5053" width="3.7109375" hidden="1" customWidth="1"/>
    <col min="27" max="27" style="5053" width="11.7109375" hidden="1" customWidth="1"/>
    <col min="28" max="28" style="5053" width="8.57421875" hidden="1" customWidth="1"/>
    <col min="29" max="29" style="5053" width="24.7109375" customWidth="1"/>
    <col min="30" max="31" style="5053" width="24.00390625" customWidth="1"/>
    <col min="32" max="32" style="5053" width="11.00390625" customWidth="1"/>
    <col min="33" max="33" style="5053" width="3.7109375" customWidth="1"/>
    <col min="34" max="34" style="5053" width="11.00390625" customWidth="1"/>
    <col min="35" max="35" style="5053" width="8.57421875" hidden="1" customWidth="1"/>
    <col min="36" max="36" style="5053" width="4.00390625" customWidth="1"/>
    <col min="37" max="37" style="5053" width="115.00390625" customWidth="1"/>
    <col min="38" max="42" style="4562" width="10.00390625" customWidth="1"/>
    <col min="43" max="43" style="5053"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128</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406</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407</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525</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526</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492</v>
      </c>
      <c r="U5" s="366"/>
      <c r="V5" s="2416"/>
      <c r="W5" s="2417"/>
      <c r="X5" s="2417"/>
      <c r="Y5" s="2417"/>
      <c r="Z5" s="2417"/>
      <c r="AA5" s="2417"/>
      <c r="AB5" s="2418"/>
      <c r="AC5" s="2419"/>
      <c r="AD5" s="2420"/>
      <c r="AE5" s="2420"/>
      <c r="AF5" s="2420"/>
      <c r="AG5" s="2420"/>
      <c r="AH5" s="2420"/>
      <c r="AI5" s="2420"/>
      <c r="AJ5" s="2421"/>
      <c r="AK5" s="1324" t="s">
        <v>493</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415</v>
      </c>
      <c r="P6" s="2323"/>
      <c r="Q6" s="2323">
        <v>1</v>
      </c>
      <c r="R6" s="423"/>
      <c r="S6" s="1559">
        <f>$J6</f>
      </c>
      <c r="T6" s="352" t="s">
        <v>416</v>
      </c>
      <c r="U6" s="366"/>
      <c r="V6" s="2311"/>
      <c r="W6" s="2312"/>
      <c r="X6" s="2312"/>
      <c r="Y6" s="2312"/>
      <c r="Z6" s="2312"/>
      <c r="AA6" s="2312"/>
      <c r="AB6" s="2313"/>
      <c r="AC6" s="2311"/>
      <c r="AD6" s="2312"/>
      <c r="AE6" s="2312"/>
      <c r="AF6" s="2312"/>
      <c r="AG6" s="2312"/>
      <c r="AH6" s="2312"/>
      <c r="AI6" s="2312"/>
      <c r="AJ6" s="2313"/>
      <c r="AK6" s="1373" t="s">
        <v>494</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71</v>
      </c>
      <c r="AA7" s="2331"/>
      <c r="AB7" s="2173" t="s">
        <v>71</v>
      </c>
      <c r="AC7" s="817"/>
      <c r="AD7" s="817"/>
      <c r="AE7" s="1323"/>
      <c r="AF7" s="2331"/>
      <c r="AG7" s="2173" t="s">
        <v>71</v>
      </c>
      <c r="AH7" s="2353"/>
      <c r="AI7" s="2173" t="s">
        <v>71</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495</v>
      </c>
      <c r="U9" s="433"/>
      <c r="V9" s="433"/>
      <c r="W9" s="433"/>
      <c r="X9" s="433"/>
      <c r="Y9" s="433"/>
      <c r="Z9" s="433"/>
      <c r="AA9" s="433"/>
      <c r="AB9" s="433"/>
      <c r="AC9" s="433"/>
      <c r="AD9" s="433"/>
      <c r="AE9" s="433"/>
      <c r="AF9" s="433"/>
      <c r="AG9" s="433"/>
      <c r="AH9" s="433"/>
      <c r="AI9" s="433"/>
      <c r="AJ9" s="433"/>
      <c r="AK9" s="1324" t="s">
        <v>496</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421</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497</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562"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174</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562"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175</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71</v>
      </c>
      <c r="AH15" s="2333"/>
      <c r="AI15" s="2334" t="s">
        <v>71</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5002" customFormat="1" customHeight="1" ht="22.5" hidden="1">
      <c r="L18" s="1544"/>
      <c r="M18" s="1428"/>
      <c r="N18" s="1428"/>
      <c r="O18" s="1433" t="s">
        <v>423</v>
      </c>
      <c r="P18" s="1428"/>
      <c r="Q18" s="1437"/>
      <c r="R18" s="1437"/>
      <c r="S18" s="795"/>
      <c r="Y18" s="1433"/>
      <c r="AA18" s="1433"/>
      <c r="AB18" s="1432"/>
      <c r="AF18" s="1433"/>
      <c r="AH18" s="1433"/>
      <c r="AI18" s="1432"/>
      <c r="AL18" s="577"/>
      <c r="AM18" s="577"/>
      <c r="AN18" s="577"/>
      <c r="AO18" s="577"/>
      <c r="AP18" s="577"/>
      <c r="AQ18" s="1226">
        <v>0</v>
      </c>
    </row>
    <row s="5002" customFormat="1" customHeight="1" ht="14.25" hidden="1">
      <c r="L19" s="1544"/>
      <c r="M19" s="1428"/>
      <c r="N19" s="1428"/>
      <c r="O19" s="1428"/>
      <c r="P19" s="1428"/>
      <c r="Q19" s="1437"/>
      <c r="R19" s="1437"/>
      <c r="S19" s="795"/>
      <c r="AB19" s="1432"/>
      <c r="AI19" s="1432"/>
      <c r="AL19" s="577"/>
      <c r="AM19" s="577"/>
      <c r="AN19" s="577"/>
      <c r="AO19" s="577"/>
      <c r="AP19" s="577"/>
      <c r="AQ19" s="1226">
        <v>0</v>
      </c>
    </row>
    <row s="5002" customFormat="1" customHeight="1" ht="12" hidden="1">
      <c r="L20" s="1544"/>
      <c r="M20" s="1428"/>
      <c r="N20" s="1428"/>
      <c r="O20" s="1430" t="s">
        <v>424</v>
      </c>
      <c r="P20" s="1428"/>
      <c r="Q20" s="1508"/>
      <c r="R20" s="1508"/>
      <c r="S20" s="795"/>
      <c r="T20" s="1226" t="s">
        <v>425</v>
      </c>
      <c r="Z20" s="252" t="s">
        <v>426</v>
      </c>
      <c r="AB20" s="252" t="s">
        <v>427</v>
      </c>
      <c r="AC20" s="1226" t="s">
        <v>425</v>
      </c>
      <c r="AG20" s="252" t="s">
        <v>428</v>
      </c>
      <c r="AI20" s="252" t="s">
        <v>427</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597"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Департамент тарифной политики, энергетики и ЖКК ЯНАО </v>
      </c>
      <c r="W27" s="2317"/>
      <c r="X27" s="2317"/>
      <c r="Y27" s="2317"/>
      <c r="Z27" s="2317"/>
      <c r="AA27" s="2317"/>
      <c r="AB27" s="392"/>
      <c r="AC27" s="2317" t="str">
        <f>IF(TITLE_NAME_OR_PR_CHANGE="",IF(TITLE_NAME_OR_PR="","",TITLE_NAME_OR_PR),TITLE_NAME_OR_PR_CHANGE)</f>
        <v>Департамент тарифной политики, энергетики и ЖКК ЯНАО </v>
      </c>
      <c r="AD27" s="2317"/>
      <c r="AE27" s="2317"/>
      <c r="AF27" s="2317"/>
      <c r="AG27" s="2317"/>
      <c r="AH27" s="2317"/>
      <c r="AI27" s="392"/>
      <c r="AJ27" s="392"/>
      <c r="AK27" s="346"/>
      <c r="AL27" s="434"/>
      <c r="AM27" s="434"/>
      <c r="AN27" s="434"/>
      <c r="AO27" s="434"/>
      <c r="AP27" s="434"/>
      <c r="AQ27" s="484">
        <v>0</v>
      </c>
    </row>
    <row s="5597"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45631.41619212963</v>
      </c>
      <c r="W28" s="2330"/>
      <c r="X28" s="2330"/>
      <c r="Y28" s="2330"/>
      <c r="Z28" s="2330"/>
      <c r="AA28" s="2330"/>
      <c r="AB28" s="392"/>
      <c r="AC28" s="2330" t="str">
        <f>IF(TITLE_DATE_PR_CHANGE="",IF(TITLE_DATE_PR="","",TITLE_DATE_PR),TITLE_DATE_PR_CHANGE)</f>
        <v>45631.41619212963</v>
      </c>
      <c r="AD28" s="2330"/>
      <c r="AE28" s="2330"/>
      <c r="AF28" s="2330"/>
      <c r="AG28" s="2330"/>
      <c r="AH28" s="2330"/>
      <c r="AI28" s="392"/>
      <c r="AJ28" s="392"/>
      <c r="AK28" s="346"/>
      <c r="AL28" s="434"/>
      <c r="AM28" s="434"/>
      <c r="AN28" s="434"/>
      <c r="AO28" s="434"/>
      <c r="AP28" s="434"/>
      <c r="AQ28" s="484">
        <v>0</v>
      </c>
    </row>
    <row s="5597"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447-т</v>
      </c>
      <c r="W29" s="2317"/>
      <c r="X29" s="2317"/>
      <c r="Y29" s="2317"/>
      <c r="Z29" s="2317"/>
      <c r="AA29" s="2317"/>
      <c r="AB29" s="392"/>
      <c r="AC29" s="2317" t="str">
        <f>IF(TITLE_NUMBER_PR_CHANGE="",IF(TITLE_NUMBER_PR="","",TITLE_NUMBER_PR),TITLE_NUMBER_PR_CHANGE)</f>
        <v>447-т</v>
      </c>
      <c r="AD29" s="2317"/>
      <c r="AE29" s="2317"/>
      <c r="AF29" s="2317"/>
      <c r="AG29" s="2317"/>
      <c r="AH29" s="2317"/>
      <c r="AI29" s="392"/>
      <c r="AJ29" s="392"/>
      <c r="AK29" s="346"/>
      <c r="AL29" s="434"/>
      <c r="AM29" s="434"/>
      <c r="AN29" s="434"/>
      <c r="AO29" s="434"/>
      <c r="AP29" s="434"/>
      <c r="AQ29" s="484">
        <v>0</v>
      </c>
    </row>
    <row s="5597"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сайт Департамента тарифной политики, энергетики и ЖКК ЯНАО, https://rek-yamal.ru, 05.12.2024</v>
      </c>
      <c r="W30" s="2317"/>
      <c r="X30" s="2317"/>
      <c r="Y30" s="2317"/>
      <c r="Z30" s="2317"/>
      <c r="AA30" s="2317"/>
      <c r="AB30" s="392"/>
      <c r="AC30" s="2317" t="str">
        <f>IF(TITLE_IST_PUB_CHANGE="",IF(TITLE_IST_PUB="","",TITLE_IST_PUB),TITLE_IST_PUB_CHANGE)</f>
        <v>Официальный сайт Департамента тарифной политики, энергетики и ЖКК ЯНАО, https://rek-yamal.ru, 05.12.2024</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597"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45631.41619212963</v>
      </c>
      <c r="W32" s="2330"/>
      <c r="X32" s="2330"/>
      <c r="Y32" s="2330"/>
      <c r="Z32" s="2330"/>
      <c r="AA32" s="2330"/>
      <c r="AB32" s="392"/>
      <c r="AC32" s="2330" t="str">
        <f>IF(TITLE_DATE_PR_CHANGE="",IF(TITLE_DATE_PR="","",TITLE_DATE_PR),TITLE_DATE_PR_CHANGE)</f>
        <v>45631.41619212963</v>
      </c>
      <c r="AD32" s="2330"/>
      <c r="AE32" s="2330"/>
      <c r="AF32" s="2330"/>
      <c r="AG32" s="2330"/>
      <c r="AH32" s="2330"/>
      <c r="AI32" s="392"/>
      <c r="AJ32" s="392"/>
      <c r="AK32" s="346"/>
      <c r="AL32" s="434"/>
      <c r="AM32" s="434"/>
      <c r="AN32" s="434"/>
      <c r="AO32" s="434"/>
      <c r="AP32" s="434"/>
      <c r="AQ32" s="484">
        <v>0</v>
      </c>
    </row>
    <row s="5597"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447-т</v>
      </c>
      <c r="W33" s="2317"/>
      <c r="X33" s="2317"/>
      <c r="Y33" s="2317"/>
      <c r="Z33" s="2317"/>
      <c r="AA33" s="2317"/>
      <c r="AB33" s="392"/>
      <c r="AC33" s="2317" t="str">
        <f>IF(TITLE_NUMBER_PR_CHANGE="",IF(TITLE_NUMBER_PR="","",TITLE_NUMBER_PR),TITLE_NUMBER_PR_CHANGE)</f>
        <v>447-т</v>
      </c>
      <c r="AD33" s="2317"/>
      <c r="AE33" s="2317"/>
      <c r="AF33" s="2317"/>
      <c r="AG33" s="2317"/>
      <c r="AH33" s="2317"/>
      <c r="AI33" s="392"/>
      <c r="AJ33" s="392"/>
      <c r="AK33" s="346"/>
      <c r="AL33" s="434"/>
      <c r="AM33" s="434"/>
      <c r="AN33" s="434"/>
      <c r="AO33" s="434"/>
      <c r="AP33" s="434"/>
      <c r="AQ33" s="484">
        <v>0</v>
      </c>
    </row>
    <row s="5597"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433</v>
      </c>
      <c r="AC34" s="392"/>
      <c r="AD34" s="392"/>
      <c r="AE34" s="392"/>
      <c r="AF34" s="392"/>
      <c r="AG34" s="392"/>
      <c r="AH34" s="392"/>
      <c r="AI34" s="344" t="s">
        <v>433</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t="s">
        <v>310</v>
      </c>
      <c r="AQ36" s="1221">
        <v>14</v>
      </c>
    </row>
    <row customHeight="1" ht="14.699999999999998">
      <c r="Q37" s="442"/>
      <c r="R37" s="442"/>
      <c r="S37" s="2339" t="s">
        <v>93</v>
      </c>
      <c r="T37" s="2275" t="s">
        <v>434</v>
      </c>
      <c r="U37" s="367"/>
      <c r="V37" s="2340" t="s">
        <v>435</v>
      </c>
      <c r="W37" s="2341"/>
      <c r="X37" s="2341"/>
      <c r="Y37" s="2341"/>
      <c r="Z37" s="2341"/>
      <c r="AA37" s="2342"/>
      <c r="AB37" s="2343" t="s">
        <v>436</v>
      </c>
      <c r="AC37" s="2340" t="s">
        <v>435</v>
      </c>
      <c r="AD37" s="2341"/>
      <c r="AE37" s="2341"/>
      <c r="AF37" s="2341"/>
      <c r="AG37" s="2341"/>
      <c r="AH37" s="2342"/>
      <c r="AI37" s="2343" t="s">
        <v>437</v>
      </c>
      <c r="AJ37" s="2346" t="s">
        <v>438</v>
      </c>
      <c r="AK37" s="2193"/>
      <c r="AQ37" s="1221">
        <v>14</v>
      </c>
    </row>
    <row customHeight="1" ht="35.699999999999996">
      <c r="Q38" s="442"/>
      <c r="R38" s="442"/>
      <c r="S38" s="2339"/>
      <c r="T38" s="2275"/>
      <c r="U38" s="1097"/>
      <c r="V38" s="1549" t="s">
        <v>498</v>
      </c>
      <c r="W38" s="2328" t="s">
        <v>441</v>
      </c>
      <c r="X38" s="2329"/>
      <c r="Y38" s="2328" t="s">
        <v>442</v>
      </c>
      <c r="Z38" s="2335"/>
      <c r="AA38" s="2329"/>
      <c r="AB38" s="2344"/>
      <c r="AC38" s="1549" t="s">
        <v>498</v>
      </c>
      <c r="AD38" s="2328" t="s">
        <v>441</v>
      </c>
      <c r="AE38" s="2329"/>
      <c r="AF38" s="2328" t="s">
        <v>442</v>
      </c>
      <c r="AG38" s="2335"/>
      <c r="AH38" s="2329"/>
      <c r="AI38" s="2344"/>
      <c r="AJ38" s="2347"/>
      <c r="AK38" s="2193"/>
      <c r="AQ38" s="1221">
        <v>34</v>
      </c>
    </row>
    <row customHeight="1" ht="90.3">
      <c r="A39" s="1436"/>
      <c r="B39" s="1436" t="s">
        <v>140</v>
      </c>
      <c r="C39" s="1436" t="s">
        <v>141</v>
      </c>
      <c r="D39" s="1436" t="s">
        <v>142</v>
      </c>
      <c r="E39" s="1430" t="s">
        <v>443</v>
      </c>
      <c r="F39" s="1430" t="s">
        <v>444</v>
      </c>
      <c r="G39" s="1430" t="s">
        <v>445</v>
      </c>
      <c r="H39" s="1430"/>
      <c r="I39" s="1430" t="s">
        <v>499</v>
      </c>
      <c r="J39" s="1430" t="s">
        <v>448</v>
      </c>
      <c r="K39" s="1430" t="s">
        <v>500</v>
      </c>
      <c r="L39" s="1430" t="s">
        <v>424</v>
      </c>
      <c r="Q39" s="442"/>
      <c r="R39" s="442"/>
      <c r="S39" s="2339"/>
      <c r="T39" s="2275"/>
      <c r="U39" s="368"/>
      <c r="V39" s="1549" t="s">
        <v>527</v>
      </c>
      <c r="W39" s="1288" t="s">
        <v>528</v>
      </c>
      <c r="X39" s="1288" t="s">
        <v>503</v>
      </c>
      <c r="Y39" s="1555" t="s">
        <v>452</v>
      </c>
      <c r="Z39" s="2336" t="s">
        <v>453</v>
      </c>
      <c r="AA39" s="2337"/>
      <c r="AB39" s="2345"/>
      <c r="AC39" s="1549" t="s">
        <v>527</v>
      </c>
      <c r="AD39" s="1288" t="s">
        <v>528</v>
      </c>
      <c r="AE39" s="1288" t="s">
        <v>503</v>
      </c>
      <c r="AF39" s="1555" t="s">
        <v>452</v>
      </c>
      <c r="AG39" s="2336" t="s">
        <v>453</v>
      </c>
      <c r="AH39" s="2337"/>
      <c r="AI39" s="2345"/>
      <c r="AJ39" s="2348"/>
      <c r="AK39" s="2193"/>
      <c r="AQ39" s="1221">
        <v>86</v>
      </c>
    </row>
    <row s="4153"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114</v>
      </c>
      <c r="T40" s="1321" t="s">
        <v>115</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275</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128</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275</v>
      </c>
      <c r="B42" s="1429" t="s">
        <v>276</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406</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407</v>
      </c>
      <c r="AM42" s="566"/>
      <c r="AN42" s="566" t="str">
        <f>IF(T42="","",T42)</f>
        <v>Территория действия тарифа</v>
      </c>
      <c r="AO42" s="566"/>
      <c r="AP42" s="566"/>
      <c r="AQ42" s="1221">
        <v>23</v>
      </c>
    </row>
    <row customHeight="1" ht="24">
      <c r="A43" s="1429" t="s">
        <v>275</v>
      </c>
      <c r="B43" s="1429" t="s">
        <v>276</v>
      </c>
      <c r="C43" s="1429" t="s">
        <v>277</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525</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526</v>
      </c>
      <c r="AM43" s="566"/>
      <c r="AN43" s="566" t="str">
        <f>IF(T43="","",T43)</f>
        <v>Наименование централизованной системы водоотведения</v>
      </c>
      <c r="AO43" s="566"/>
      <c r="AP43" s="566"/>
      <c r="AQ43" s="1221">
        <v>23</v>
      </c>
    </row>
    <row customHeight="1" ht="24">
      <c r="A44" s="1429" t="s">
        <v>275</v>
      </c>
      <c r="B44" s="1429" t="s">
        <v>276</v>
      </c>
      <c r="C44" s="1429" t="s">
        <v>277</v>
      </c>
      <c r="D44" s="1429" t="s">
        <v>529</v>
      </c>
      <c r="E44" s="2325"/>
      <c r="F44" s="2325"/>
      <c r="G44" s="2325"/>
      <c r="H44" s="2325"/>
      <c r="I44" s="2322" t="str">
        <f>S43&amp;".1"</f>
        <v>...1</v>
      </c>
      <c r="J44" s="1429"/>
      <c r="K44" s="1429"/>
      <c r="L44" s="1430"/>
      <c r="P44" s="2323">
        <v>1</v>
      </c>
      <c r="Q44" s="1547"/>
      <c r="R44" s="422"/>
      <c r="S44" s="1559" t="str">
        <f>$I44</f>
        <v>...1</v>
      </c>
      <c r="T44" s="351" t="s">
        <v>492</v>
      </c>
      <c r="U44" s="366"/>
      <c r="V44" s="2416"/>
      <c r="W44" s="2417"/>
      <c r="X44" s="2417"/>
      <c r="Y44" s="2417"/>
      <c r="Z44" s="2417"/>
      <c r="AA44" s="2417"/>
      <c r="AB44" s="2418"/>
      <c r="AC44" s="2419"/>
      <c r="AD44" s="2420"/>
      <c r="AE44" s="2420"/>
      <c r="AF44" s="2420"/>
      <c r="AG44" s="2420"/>
      <c r="AH44" s="2420"/>
      <c r="AI44" s="2420"/>
      <c r="AJ44" s="2421"/>
      <c r="AK44" s="1324" t="s">
        <v>493</v>
      </c>
      <c r="AM44" s="566"/>
      <c r="AN44" s="566" t="str">
        <f>IF(T44="","",T44)</f>
        <v>Наименование признака дифференциации</v>
      </c>
      <c r="AO44" s="566"/>
      <c r="AP44" s="566"/>
      <c r="AQ44" s="1221">
        <v>23</v>
      </c>
    </row>
    <row customHeight="1" ht="24">
      <c r="A45" s="1429" t="s">
        <v>275</v>
      </c>
      <c r="B45" s="1429" t="s">
        <v>276</v>
      </c>
      <c r="C45" s="1429" t="s">
        <v>277</v>
      </c>
      <c r="D45" s="1429" t="s">
        <v>529</v>
      </c>
      <c r="E45" s="2325"/>
      <c r="F45" s="2325"/>
      <c r="G45" s="2325"/>
      <c r="H45" s="2325"/>
      <c r="I45" s="2352"/>
      <c r="J45" s="2322" t="str">
        <f>I44&amp;".1"</f>
        <v>...1.1</v>
      </c>
      <c r="K45" s="1429"/>
      <c r="L45" s="1430" t="s">
        <v>415</v>
      </c>
      <c r="P45" s="2323"/>
      <c r="Q45" s="2323">
        <v>1</v>
      </c>
      <c r="R45" s="423"/>
      <c r="S45" s="1559" t="str">
        <f>$J45</f>
        <v>...1.1</v>
      </c>
      <c r="T45" s="352" t="s">
        <v>416</v>
      </c>
      <c r="U45" s="366"/>
      <c r="V45" s="2311"/>
      <c r="W45" s="2312"/>
      <c r="X45" s="2312"/>
      <c r="Y45" s="2312"/>
      <c r="Z45" s="2312"/>
      <c r="AA45" s="2312"/>
      <c r="AB45" s="2313"/>
      <c r="AC45" s="2311"/>
      <c r="AD45" s="2312"/>
      <c r="AE45" s="2312"/>
      <c r="AF45" s="2312"/>
      <c r="AG45" s="2312"/>
      <c r="AH45" s="2312"/>
      <c r="AI45" s="2312"/>
      <c r="AJ45" s="2313"/>
      <c r="AK45" s="1373" t="s">
        <v>494</v>
      </c>
      <c r="AM45" s="566"/>
      <c r="AN45" s="566" t="str">
        <f>IF(T45="","",T45)</f>
        <v>Группа потребителей</v>
      </c>
      <c r="AO45" s="566"/>
      <c r="AP45" s="566"/>
      <c r="AQ45" s="1221">
        <v>23</v>
      </c>
    </row>
    <row customHeight="1" ht="24">
      <c r="A46" s="1429" t="s">
        <v>275</v>
      </c>
      <c r="B46" s="1429" t="s">
        <v>276</v>
      </c>
      <c r="C46" s="1429" t="s">
        <v>277</v>
      </c>
      <c r="D46" s="1429" t="s">
        <v>529</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71</v>
      </c>
      <c r="AA46" s="2333"/>
      <c r="AB46" s="2334" t="s">
        <v>71</v>
      </c>
      <c r="AC46" s="817"/>
      <c r="AD46" s="817"/>
      <c r="AE46" s="1323"/>
      <c r="AF46" s="2331"/>
      <c r="AG46" s="2173" t="s">
        <v>71</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275</v>
      </c>
      <c r="B47" s="1429" t="s">
        <v>276</v>
      </c>
      <c r="C47" s="1429" t="s">
        <v>277</v>
      </c>
      <c r="D47" s="1429" t="s">
        <v>529</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275</v>
      </c>
      <c r="B48" s="1429" t="s">
        <v>276</v>
      </c>
      <c r="C48" s="1429" t="s">
        <v>277</v>
      </c>
      <c r="D48" s="1429" t="s">
        <v>529</v>
      </c>
      <c r="E48" s="2325"/>
      <c r="F48" s="2325"/>
      <c r="G48" s="2325"/>
      <c r="H48" s="2325"/>
      <c r="I48" s="2352"/>
      <c r="J48" s="2322"/>
      <c r="K48" s="1429"/>
      <c r="L48" s="1430"/>
      <c r="P48" s="2323"/>
      <c r="Q48" s="2323"/>
      <c r="R48" s="422"/>
      <c r="S48" s="1344"/>
      <c r="T48" s="353" t="s">
        <v>495</v>
      </c>
      <c r="U48" s="433"/>
      <c r="V48" s="433"/>
      <c r="W48" s="433"/>
      <c r="X48" s="433"/>
      <c r="Y48" s="433"/>
      <c r="Z48" s="433"/>
      <c r="AA48" s="433"/>
      <c r="AB48" s="433"/>
      <c r="AC48" s="433"/>
      <c r="AD48" s="433"/>
      <c r="AE48" s="433"/>
      <c r="AF48" s="433"/>
      <c r="AG48" s="433"/>
      <c r="AH48" s="433"/>
      <c r="AI48" s="433"/>
      <c r="AJ48" s="433"/>
      <c r="AK48" s="1324" t="s">
        <v>496</v>
      </c>
      <c r="AM48" s="566"/>
      <c r="AN48" s="566" t="str">
        <f>IF(T48="","",T48)</f>
        <v>Добавить значение признака дифференциации</v>
      </c>
      <c r="AO48" s="566"/>
      <c r="AP48" s="566"/>
      <c r="AQ48" s="1221">
        <v>20</v>
      </c>
    </row>
    <row customHeight="1" ht="22.049999999999997">
      <c r="A49" s="1429" t="s">
        <v>275</v>
      </c>
      <c r="B49" s="1429" t="s">
        <v>276</v>
      </c>
      <c r="C49" s="1429" t="s">
        <v>277</v>
      </c>
      <c r="D49" s="1429" t="s">
        <v>529</v>
      </c>
      <c r="E49" s="2325"/>
      <c r="F49" s="2325"/>
      <c r="G49" s="2325"/>
      <c r="H49" s="2325"/>
      <c r="I49" s="2322"/>
      <c r="J49" s="1429"/>
      <c r="K49" s="1429"/>
      <c r="L49" s="1430"/>
      <c r="P49" s="2323"/>
      <c r="Q49" s="1547"/>
      <c r="R49" s="422"/>
      <c r="S49" s="1344"/>
      <c r="T49" s="431" t="s">
        <v>421</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275</v>
      </c>
      <c r="B50" s="1429" t="s">
        <v>276</v>
      </c>
      <c r="C50" s="1429" t="s">
        <v>277</v>
      </c>
      <c r="D50" s="1429" t="s">
        <v>529</v>
      </c>
      <c r="E50" s="2325"/>
      <c r="F50" s="2325"/>
      <c r="G50" s="2325"/>
      <c r="H50" s="2324"/>
      <c r="I50" s="1429"/>
      <c r="J50" s="1429"/>
      <c r="K50" s="1429"/>
      <c r="L50" s="1430"/>
      <c r="M50" s="1431"/>
      <c r="N50" s="1431"/>
      <c r="O50" s="603"/>
      <c r="P50" s="426"/>
      <c r="Q50" s="441"/>
      <c r="R50" s="421"/>
      <c r="S50" s="1344"/>
      <c r="T50" s="438" t="s">
        <v>497</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562" customFormat="1" customHeight="1" ht="0">
      <c r="A51" s="1409" t="s">
        <v>275</v>
      </c>
      <c r="B51" s="1409" t="s">
        <v>276</v>
      </c>
      <c r="C51" s="1380"/>
      <c r="D51" s="1380"/>
      <c r="E51" s="2325"/>
      <c r="F51" s="2324"/>
      <c r="G51" s="1380"/>
      <c r="H51" s="1380"/>
      <c r="I51" s="1380"/>
      <c r="J51" s="1380"/>
      <c r="K51" s="1380"/>
      <c r="L51" s="1560"/>
      <c r="M51" s="1387"/>
      <c r="N51" s="1387"/>
      <c r="P51" s="1382"/>
      <c r="Q51" s="1383"/>
      <c r="R51" s="1382"/>
      <c r="S51" s="1388"/>
      <c r="T51" s="1391" t="s">
        <v>174</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562" customFormat="1" customHeight="1" ht="0">
      <c r="A52" s="1409" t="s">
        <v>275</v>
      </c>
      <c r="B52" s="1409"/>
      <c r="C52" s="1409"/>
      <c r="D52" s="1409"/>
      <c r="E52" s="2324"/>
      <c r="F52" s="1409"/>
      <c r="G52" s="1409"/>
      <c r="H52" s="1409"/>
      <c r="I52" s="1409"/>
      <c r="J52" s="1409"/>
      <c r="K52" s="1409"/>
      <c r="L52" s="1412"/>
      <c r="M52" s="1387"/>
      <c r="N52" s="1387"/>
      <c r="O52" s="584"/>
      <c r="P52" s="446"/>
      <c r="Q52" s="1410"/>
      <c r="R52" s="446"/>
      <c r="S52" s="1388"/>
      <c r="T52" s="1391" t="s">
        <v>175</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562"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176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87</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0160C-F324-3B0F-76F7-0C607B2BFB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002" width="10.57421875" hidden="1"/>
    <col min="2" max="2" style="5002" width="11.00390625" hidden="1" customWidth="1"/>
    <col min="3" max="3" style="5002" width="10.57421875" hidden="1"/>
    <col min="4" max="4" style="5002" width="11.8515625" hidden="1" customWidth="1"/>
    <col min="5" max="5" style="5002" width="10.00390625" hidden="1" customWidth="1"/>
    <col min="6" max="6" style="5002" width="8.7109375" hidden="1" customWidth="1"/>
    <col min="7" max="7" style="5002" width="7.57421875" hidden="1" customWidth="1"/>
    <col min="8" max="8" style="5002" width="11.421875" hidden="1" customWidth="1"/>
    <col min="9" max="9" style="5002" width="14.140625" hidden="1" customWidth="1"/>
    <col min="10" max="10" style="5002" width="9.8515625" hidden="1" customWidth="1"/>
    <col min="11" max="11" style="5002" width="14.7109375" hidden="1" customWidth="1"/>
    <col min="12" max="12" style="5519" width="19.140625" hidden="1" customWidth="1"/>
    <col min="13" max="14" style="4246" width="12.28125" hidden="1" customWidth="1"/>
    <col min="15" max="15" style="4246" width="23.421875" hidden="1" customWidth="1"/>
    <col min="16" max="16" style="5737" width="3.00390625" customWidth="1"/>
    <col min="17" max="18" style="5023" width="3.00390625" customWidth="1"/>
    <col min="19" max="19" style="5711" width="12.00390625" customWidth="1"/>
    <col min="20" max="20" style="5053" width="35.00390625" customWidth="1"/>
    <col min="21" max="21" style="5053" width="0.140625" customWidth="1"/>
    <col min="22" max="24" style="5053" width="24.7109375" hidden="1" customWidth="1"/>
    <col min="25" max="25" style="5053" width="11.7109375" hidden="1" customWidth="1"/>
    <col min="26" max="26" style="5053" width="3.7109375" hidden="1" customWidth="1"/>
    <col min="27" max="27" style="5053" width="11.7109375" hidden="1" customWidth="1"/>
    <col min="28" max="28" style="5053" width="8.57421875" hidden="1" customWidth="1"/>
    <col min="29" max="29" style="5053" width="24.7109375" customWidth="1"/>
    <col min="30" max="31" style="5053" width="24.00390625" customWidth="1"/>
    <col min="32" max="32" style="5053" width="11.00390625" customWidth="1"/>
    <col min="33" max="33" style="5053" width="3.7109375" customWidth="1"/>
    <col min="34" max="34" style="5053" width="11.00390625" customWidth="1"/>
    <col min="35" max="35" style="5053" width="8.57421875" hidden="1" customWidth="1"/>
    <col min="36" max="36" style="5053" width="4.00390625" customWidth="1"/>
    <col min="37" max="37" style="5053" width="115.00390625" customWidth="1"/>
    <col min="38" max="42" style="4562" width="10.00390625" customWidth="1"/>
    <col min="43" max="43" style="5053"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128</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406</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407</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525</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526</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492</v>
      </c>
      <c r="U5" s="366"/>
      <c r="V5" s="2416"/>
      <c r="W5" s="2417"/>
      <c r="X5" s="2417"/>
      <c r="Y5" s="2417"/>
      <c r="Z5" s="2417"/>
      <c r="AA5" s="2417"/>
      <c r="AB5" s="2418"/>
      <c r="AC5" s="2419"/>
      <c r="AD5" s="2420"/>
      <c r="AE5" s="2420"/>
      <c r="AF5" s="2420"/>
      <c r="AG5" s="2420"/>
      <c r="AH5" s="2420"/>
      <c r="AI5" s="2420"/>
      <c r="AJ5" s="2421"/>
      <c r="AK5" s="1324" t="s">
        <v>493</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415</v>
      </c>
      <c r="P6" s="2323"/>
      <c r="Q6" s="2323">
        <v>1</v>
      </c>
      <c r="R6" s="423"/>
      <c r="S6" s="1559">
        <f>$J6</f>
      </c>
      <c r="T6" s="352" t="s">
        <v>416</v>
      </c>
      <c r="U6" s="366"/>
      <c r="V6" s="2311"/>
      <c r="W6" s="2312"/>
      <c r="X6" s="2312"/>
      <c r="Y6" s="2312"/>
      <c r="Z6" s="2312"/>
      <c r="AA6" s="2312"/>
      <c r="AB6" s="2313"/>
      <c r="AC6" s="2311"/>
      <c r="AD6" s="2312"/>
      <c r="AE6" s="2312"/>
      <c r="AF6" s="2312"/>
      <c r="AG6" s="2312"/>
      <c r="AH6" s="2312"/>
      <c r="AI6" s="2312"/>
      <c r="AJ6" s="2313"/>
      <c r="AK6" s="1373" t="s">
        <v>494</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71</v>
      </c>
      <c r="AA7" s="2331"/>
      <c r="AB7" s="2173" t="s">
        <v>71</v>
      </c>
      <c r="AC7" s="817"/>
      <c r="AD7" s="817"/>
      <c r="AE7" s="1323"/>
      <c r="AF7" s="2331"/>
      <c r="AG7" s="2173" t="s">
        <v>71</v>
      </c>
      <c r="AH7" s="2353"/>
      <c r="AI7" s="2173" t="s">
        <v>71</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495</v>
      </c>
      <c r="U9" s="433"/>
      <c r="V9" s="433"/>
      <c r="W9" s="433"/>
      <c r="X9" s="433"/>
      <c r="Y9" s="433"/>
      <c r="Z9" s="433"/>
      <c r="AA9" s="433"/>
      <c r="AB9" s="433"/>
      <c r="AC9" s="433"/>
      <c r="AD9" s="433"/>
      <c r="AE9" s="433"/>
      <c r="AF9" s="433"/>
      <c r="AG9" s="433"/>
      <c r="AH9" s="433"/>
      <c r="AI9" s="433"/>
      <c r="AJ9" s="433"/>
      <c r="AK9" s="1324" t="s">
        <v>496</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421</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497</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562"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174</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562"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175</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71</v>
      </c>
      <c r="AH15" s="2333"/>
      <c r="AI15" s="2334" t="s">
        <v>71</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5002" customFormat="1" customHeight="1" ht="22.5" hidden="1">
      <c r="L18" s="1544"/>
      <c r="M18" s="1428"/>
      <c r="N18" s="1428"/>
      <c r="O18" s="1433" t="s">
        <v>423</v>
      </c>
      <c r="P18" s="1428"/>
      <c r="Q18" s="1437"/>
      <c r="R18" s="1437"/>
      <c r="S18" s="795"/>
      <c r="Y18" s="1433"/>
      <c r="AA18" s="1433"/>
      <c r="AB18" s="1432"/>
      <c r="AF18" s="1433"/>
      <c r="AH18" s="1433"/>
      <c r="AI18" s="1432"/>
      <c r="AL18" s="577"/>
      <c r="AM18" s="577"/>
      <c r="AN18" s="577"/>
      <c r="AO18" s="577"/>
      <c r="AP18" s="577"/>
      <c r="AQ18" s="1226">
        <v>0</v>
      </c>
    </row>
    <row s="5002" customFormat="1" customHeight="1" ht="14.25" hidden="1">
      <c r="L19" s="1544"/>
      <c r="M19" s="1428"/>
      <c r="N19" s="1428"/>
      <c r="O19" s="1428"/>
      <c r="P19" s="1428"/>
      <c r="Q19" s="1437"/>
      <c r="R19" s="1437"/>
      <c r="S19" s="795"/>
      <c r="AB19" s="1432"/>
      <c r="AI19" s="1432"/>
      <c r="AL19" s="577"/>
      <c r="AM19" s="577"/>
      <c r="AN19" s="577"/>
      <c r="AO19" s="577"/>
      <c r="AP19" s="577"/>
      <c r="AQ19" s="1226">
        <v>0</v>
      </c>
    </row>
    <row s="5002" customFormat="1" customHeight="1" ht="12" hidden="1">
      <c r="L20" s="1544"/>
      <c r="M20" s="1428"/>
      <c r="N20" s="1428"/>
      <c r="O20" s="1430" t="s">
        <v>424</v>
      </c>
      <c r="P20" s="1428"/>
      <c r="Q20" s="1508"/>
      <c r="R20" s="1508"/>
      <c r="S20" s="795"/>
      <c r="T20" s="1226" t="s">
        <v>425</v>
      </c>
      <c r="Z20" s="252" t="s">
        <v>426</v>
      </c>
      <c r="AB20" s="252" t="s">
        <v>427</v>
      </c>
      <c r="AC20" s="1226" t="s">
        <v>425</v>
      </c>
      <c r="AG20" s="252" t="s">
        <v>428</v>
      </c>
      <c r="AI20" s="252" t="s">
        <v>427</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597"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Департамент тарифной политики, энергетики и ЖКК ЯНАО </v>
      </c>
      <c r="W27" s="2317"/>
      <c r="X27" s="2317"/>
      <c r="Y27" s="2317"/>
      <c r="Z27" s="2317"/>
      <c r="AA27" s="2317"/>
      <c r="AB27" s="392"/>
      <c r="AC27" s="2317" t="str">
        <f>IF(TITLE_NAME_OR_PR_CHANGE="",IF(TITLE_NAME_OR_PR="","",TITLE_NAME_OR_PR),TITLE_NAME_OR_PR_CHANGE)</f>
        <v>Департамент тарифной политики, энергетики и ЖКК ЯНАО </v>
      </c>
      <c r="AD27" s="2317"/>
      <c r="AE27" s="2317"/>
      <c r="AF27" s="2317"/>
      <c r="AG27" s="2317"/>
      <c r="AH27" s="2317"/>
      <c r="AI27" s="392"/>
      <c r="AJ27" s="392"/>
      <c r="AK27" s="346"/>
      <c r="AL27" s="434"/>
      <c r="AM27" s="434"/>
      <c r="AN27" s="434"/>
      <c r="AO27" s="434"/>
      <c r="AP27" s="434"/>
      <c r="AQ27" s="484">
        <v>0</v>
      </c>
    </row>
    <row s="5597"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45631.41619212963</v>
      </c>
      <c r="W28" s="2330"/>
      <c r="X28" s="2330"/>
      <c r="Y28" s="2330"/>
      <c r="Z28" s="2330"/>
      <c r="AA28" s="2330"/>
      <c r="AB28" s="392"/>
      <c r="AC28" s="2330" t="str">
        <f>IF(TITLE_DATE_PR_CHANGE="",IF(TITLE_DATE_PR="","",TITLE_DATE_PR),TITLE_DATE_PR_CHANGE)</f>
        <v>45631.41619212963</v>
      </c>
      <c r="AD28" s="2330"/>
      <c r="AE28" s="2330"/>
      <c r="AF28" s="2330"/>
      <c r="AG28" s="2330"/>
      <c r="AH28" s="2330"/>
      <c r="AI28" s="392"/>
      <c r="AJ28" s="392"/>
      <c r="AK28" s="346"/>
      <c r="AL28" s="434"/>
      <c r="AM28" s="434"/>
      <c r="AN28" s="434"/>
      <c r="AO28" s="434"/>
      <c r="AP28" s="434"/>
      <c r="AQ28" s="484">
        <v>0</v>
      </c>
    </row>
    <row s="5597"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447-т</v>
      </c>
      <c r="W29" s="2317"/>
      <c r="X29" s="2317"/>
      <c r="Y29" s="2317"/>
      <c r="Z29" s="2317"/>
      <c r="AA29" s="2317"/>
      <c r="AB29" s="392"/>
      <c r="AC29" s="2317" t="str">
        <f>IF(TITLE_NUMBER_PR_CHANGE="",IF(TITLE_NUMBER_PR="","",TITLE_NUMBER_PR),TITLE_NUMBER_PR_CHANGE)</f>
        <v>447-т</v>
      </c>
      <c r="AD29" s="2317"/>
      <c r="AE29" s="2317"/>
      <c r="AF29" s="2317"/>
      <c r="AG29" s="2317"/>
      <c r="AH29" s="2317"/>
      <c r="AI29" s="392"/>
      <c r="AJ29" s="392"/>
      <c r="AK29" s="346"/>
      <c r="AL29" s="434"/>
      <c r="AM29" s="434"/>
      <c r="AN29" s="434"/>
      <c r="AO29" s="434"/>
      <c r="AP29" s="434"/>
      <c r="AQ29" s="484">
        <v>0</v>
      </c>
    </row>
    <row s="5597"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сайт Департамента тарифной политики, энергетики и ЖКК ЯНАО, https://rek-yamal.ru, 05.12.2024</v>
      </c>
      <c r="W30" s="2317"/>
      <c r="X30" s="2317"/>
      <c r="Y30" s="2317"/>
      <c r="Z30" s="2317"/>
      <c r="AA30" s="2317"/>
      <c r="AB30" s="392"/>
      <c r="AC30" s="2317" t="str">
        <f>IF(TITLE_IST_PUB_CHANGE="",IF(TITLE_IST_PUB="","",TITLE_IST_PUB),TITLE_IST_PUB_CHANGE)</f>
        <v>Официальный сайт Департамента тарифной политики, энергетики и ЖКК ЯНАО, https://rek-yamal.ru, 05.12.2024</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597"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45631.41619212963</v>
      </c>
      <c r="W32" s="2330"/>
      <c r="X32" s="2330"/>
      <c r="Y32" s="2330"/>
      <c r="Z32" s="2330"/>
      <c r="AA32" s="2330"/>
      <c r="AB32" s="392"/>
      <c r="AC32" s="2330" t="str">
        <f>IF(TITLE_DATE_PR_CHANGE="",IF(TITLE_DATE_PR="","",TITLE_DATE_PR),TITLE_DATE_PR_CHANGE)</f>
        <v>45631.41619212963</v>
      </c>
      <c r="AD32" s="2330"/>
      <c r="AE32" s="2330"/>
      <c r="AF32" s="2330"/>
      <c r="AG32" s="2330"/>
      <c r="AH32" s="2330"/>
      <c r="AI32" s="392"/>
      <c r="AJ32" s="392"/>
      <c r="AK32" s="346"/>
      <c r="AL32" s="434"/>
      <c r="AM32" s="434"/>
      <c r="AN32" s="434"/>
      <c r="AO32" s="434"/>
      <c r="AP32" s="434"/>
      <c r="AQ32" s="484">
        <v>0</v>
      </c>
    </row>
    <row s="5597"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447-т</v>
      </c>
      <c r="W33" s="2317"/>
      <c r="X33" s="2317"/>
      <c r="Y33" s="2317"/>
      <c r="Z33" s="2317"/>
      <c r="AA33" s="2317"/>
      <c r="AB33" s="392"/>
      <c r="AC33" s="2317" t="str">
        <f>IF(TITLE_NUMBER_PR_CHANGE="",IF(TITLE_NUMBER_PR="","",TITLE_NUMBER_PR),TITLE_NUMBER_PR_CHANGE)</f>
        <v>447-т</v>
      </c>
      <c r="AD33" s="2317"/>
      <c r="AE33" s="2317"/>
      <c r="AF33" s="2317"/>
      <c r="AG33" s="2317"/>
      <c r="AH33" s="2317"/>
      <c r="AI33" s="392"/>
      <c r="AJ33" s="392"/>
      <c r="AK33" s="346"/>
      <c r="AL33" s="434"/>
      <c r="AM33" s="434"/>
      <c r="AN33" s="434"/>
      <c r="AO33" s="434"/>
      <c r="AP33" s="434"/>
      <c r="AQ33" s="484">
        <v>0</v>
      </c>
    </row>
    <row s="5597"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433</v>
      </c>
      <c r="AC34" s="392"/>
      <c r="AD34" s="392"/>
      <c r="AE34" s="392"/>
      <c r="AF34" s="392"/>
      <c r="AG34" s="392"/>
      <c r="AH34" s="392"/>
      <c r="AI34" s="344" t="s">
        <v>433</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t="s">
        <v>310</v>
      </c>
      <c r="AQ36" s="1221">
        <v>14</v>
      </c>
    </row>
    <row customHeight="1" ht="14.699999999999998">
      <c r="Q37" s="442"/>
      <c r="R37" s="442"/>
      <c r="S37" s="2339" t="s">
        <v>93</v>
      </c>
      <c r="T37" s="2275" t="s">
        <v>434</v>
      </c>
      <c r="U37" s="367"/>
      <c r="V37" s="2340" t="s">
        <v>435</v>
      </c>
      <c r="W37" s="2341"/>
      <c r="X37" s="2341"/>
      <c r="Y37" s="2341"/>
      <c r="Z37" s="2341"/>
      <c r="AA37" s="2342"/>
      <c r="AB37" s="2343" t="s">
        <v>436</v>
      </c>
      <c r="AC37" s="2340" t="s">
        <v>435</v>
      </c>
      <c r="AD37" s="2341"/>
      <c r="AE37" s="2341"/>
      <c r="AF37" s="2341"/>
      <c r="AG37" s="2341"/>
      <c r="AH37" s="2342"/>
      <c r="AI37" s="2343" t="s">
        <v>437</v>
      </c>
      <c r="AJ37" s="2346" t="s">
        <v>438</v>
      </c>
      <c r="AK37" s="2193"/>
      <c r="AQ37" s="1221">
        <v>14</v>
      </c>
    </row>
    <row customHeight="1" ht="35.699999999999996">
      <c r="Q38" s="442"/>
      <c r="R38" s="442"/>
      <c r="S38" s="2339"/>
      <c r="T38" s="2275"/>
      <c r="U38" s="1097"/>
      <c r="V38" s="1549" t="s">
        <v>498</v>
      </c>
      <c r="W38" s="2328" t="s">
        <v>441</v>
      </c>
      <c r="X38" s="2329"/>
      <c r="Y38" s="2328" t="s">
        <v>442</v>
      </c>
      <c r="Z38" s="2335"/>
      <c r="AA38" s="2329"/>
      <c r="AB38" s="2344"/>
      <c r="AC38" s="1549" t="s">
        <v>498</v>
      </c>
      <c r="AD38" s="2328" t="s">
        <v>441</v>
      </c>
      <c r="AE38" s="2329"/>
      <c r="AF38" s="2328" t="s">
        <v>442</v>
      </c>
      <c r="AG38" s="2335"/>
      <c r="AH38" s="2329"/>
      <c r="AI38" s="2344"/>
      <c r="AJ38" s="2347"/>
      <c r="AK38" s="2193"/>
      <c r="AQ38" s="1221">
        <v>34</v>
      </c>
    </row>
    <row customHeight="1" ht="90.3">
      <c r="A39" s="1436"/>
      <c r="B39" s="1436" t="s">
        <v>140</v>
      </c>
      <c r="C39" s="1436" t="s">
        <v>141</v>
      </c>
      <c r="D39" s="1436" t="s">
        <v>142</v>
      </c>
      <c r="E39" s="1430" t="s">
        <v>443</v>
      </c>
      <c r="F39" s="1430" t="s">
        <v>444</v>
      </c>
      <c r="G39" s="1430" t="s">
        <v>445</v>
      </c>
      <c r="H39" s="1430"/>
      <c r="I39" s="1430" t="s">
        <v>499</v>
      </c>
      <c r="J39" s="1430" t="s">
        <v>448</v>
      </c>
      <c r="K39" s="1430" t="s">
        <v>500</v>
      </c>
      <c r="L39" s="1430" t="s">
        <v>424</v>
      </c>
      <c r="Q39" s="442"/>
      <c r="R39" s="442"/>
      <c r="S39" s="2339"/>
      <c r="T39" s="2275"/>
      <c r="U39" s="368"/>
      <c r="V39" s="1549" t="s">
        <v>527</v>
      </c>
      <c r="W39" s="1288" t="s">
        <v>528</v>
      </c>
      <c r="X39" s="1288" t="s">
        <v>503</v>
      </c>
      <c r="Y39" s="1555" t="s">
        <v>452</v>
      </c>
      <c r="Z39" s="2336" t="s">
        <v>453</v>
      </c>
      <c r="AA39" s="2337"/>
      <c r="AB39" s="2345"/>
      <c r="AC39" s="1549" t="s">
        <v>527</v>
      </c>
      <c r="AD39" s="1288" t="s">
        <v>528</v>
      </c>
      <c r="AE39" s="1288" t="s">
        <v>503</v>
      </c>
      <c r="AF39" s="1555" t="s">
        <v>452</v>
      </c>
      <c r="AG39" s="2336" t="s">
        <v>453</v>
      </c>
      <c r="AH39" s="2337"/>
      <c r="AI39" s="2345"/>
      <c r="AJ39" s="2348"/>
      <c r="AK39" s="2193"/>
      <c r="AQ39" s="1221">
        <v>86</v>
      </c>
    </row>
    <row s="4153"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114</v>
      </c>
      <c r="T40" s="1321" t="s">
        <v>115</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280</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128</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280</v>
      </c>
      <c r="B42" s="1429" t="s">
        <v>281</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406</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407</v>
      </c>
      <c r="AM42" s="566"/>
      <c r="AN42" s="566" t="str">
        <f>IF(T42="","",T42)</f>
        <v>Территория действия тарифа</v>
      </c>
      <c r="AO42" s="566"/>
      <c r="AP42" s="566"/>
      <c r="AQ42" s="1221">
        <v>23</v>
      </c>
    </row>
    <row customHeight="1" ht="24">
      <c r="A43" s="1429" t="s">
        <v>280</v>
      </c>
      <c r="B43" s="1429" t="s">
        <v>281</v>
      </c>
      <c r="C43" s="1429" t="s">
        <v>282</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525</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526</v>
      </c>
      <c r="AM43" s="566"/>
      <c r="AN43" s="566" t="str">
        <f>IF(T43="","",T43)</f>
        <v>Наименование централизованной системы водоотведения</v>
      </c>
      <c r="AO43" s="566"/>
      <c r="AP43" s="566"/>
      <c r="AQ43" s="1221">
        <v>23</v>
      </c>
    </row>
    <row customHeight="1" ht="24">
      <c r="A44" s="1429" t="s">
        <v>280</v>
      </c>
      <c r="B44" s="1429" t="s">
        <v>281</v>
      </c>
      <c r="C44" s="1429" t="s">
        <v>282</v>
      </c>
      <c r="D44" s="1429" t="s">
        <v>530</v>
      </c>
      <c r="E44" s="2325"/>
      <c r="F44" s="2325"/>
      <c r="G44" s="2325"/>
      <c r="H44" s="2325"/>
      <c r="I44" s="2322" t="str">
        <f>S43&amp;".1"</f>
        <v>...1</v>
      </c>
      <c r="J44" s="1429"/>
      <c r="K44" s="1429"/>
      <c r="L44" s="1430"/>
      <c r="P44" s="2323">
        <v>1</v>
      </c>
      <c r="Q44" s="1547"/>
      <c r="R44" s="422"/>
      <c r="S44" s="1559" t="str">
        <f>$I44</f>
        <v>...1</v>
      </c>
      <c r="T44" s="351" t="s">
        <v>492</v>
      </c>
      <c r="U44" s="366"/>
      <c r="V44" s="2416"/>
      <c r="W44" s="2417"/>
      <c r="X44" s="2417"/>
      <c r="Y44" s="2417"/>
      <c r="Z44" s="2417"/>
      <c r="AA44" s="2417"/>
      <c r="AB44" s="2418"/>
      <c r="AC44" s="2419"/>
      <c r="AD44" s="2420"/>
      <c r="AE44" s="2420"/>
      <c r="AF44" s="2420"/>
      <c r="AG44" s="2420"/>
      <c r="AH44" s="2420"/>
      <c r="AI44" s="2420"/>
      <c r="AJ44" s="2421"/>
      <c r="AK44" s="1324" t="s">
        <v>493</v>
      </c>
      <c r="AM44" s="566"/>
      <c r="AN44" s="566" t="str">
        <f>IF(T44="","",T44)</f>
        <v>Наименование признака дифференциации</v>
      </c>
      <c r="AO44" s="566"/>
      <c r="AP44" s="566"/>
      <c r="AQ44" s="1221">
        <v>23</v>
      </c>
    </row>
    <row customHeight="1" ht="24">
      <c r="A45" s="1429" t="s">
        <v>280</v>
      </c>
      <c r="B45" s="1429" t="s">
        <v>281</v>
      </c>
      <c r="C45" s="1429" t="s">
        <v>282</v>
      </c>
      <c r="D45" s="1429" t="s">
        <v>530</v>
      </c>
      <c r="E45" s="2325"/>
      <c r="F45" s="2325"/>
      <c r="G45" s="2325"/>
      <c r="H45" s="2325"/>
      <c r="I45" s="2352"/>
      <c r="J45" s="2322" t="str">
        <f>I44&amp;".1"</f>
        <v>...1.1</v>
      </c>
      <c r="K45" s="1429"/>
      <c r="L45" s="1430" t="s">
        <v>415</v>
      </c>
      <c r="P45" s="2323"/>
      <c r="Q45" s="2323">
        <v>1</v>
      </c>
      <c r="R45" s="423"/>
      <c r="S45" s="1559" t="str">
        <f>$J45</f>
        <v>...1.1</v>
      </c>
      <c r="T45" s="352" t="s">
        <v>416</v>
      </c>
      <c r="U45" s="366"/>
      <c r="V45" s="2311"/>
      <c r="W45" s="2312"/>
      <c r="X45" s="2312"/>
      <c r="Y45" s="2312"/>
      <c r="Z45" s="2312"/>
      <c r="AA45" s="2312"/>
      <c r="AB45" s="2313"/>
      <c r="AC45" s="2311"/>
      <c r="AD45" s="2312"/>
      <c r="AE45" s="2312"/>
      <c r="AF45" s="2312"/>
      <c r="AG45" s="2312"/>
      <c r="AH45" s="2312"/>
      <c r="AI45" s="2312"/>
      <c r="AJ45" s="2313"/>
      <c r="AK45" s="1373" t="s">
        <v>494</v>
      </c>
      <c r="AM45" s="566"/>
      <c r="AN45" s="566" t="str">
        <f>IF(T45="","",T45)</f>
        <v>Группа потребителей</v>
      </c>
      <c r="AO45" s="566"/>
      <c r="AP45" s="566"/>
      <c r="AQ45" s="1221">
        <v>23</v>
      </c>
    </row>
    <row customHeight="1" ht="24">
      <c r="A46" s="1429" t="s">
        <v>280</v>
      </c>
      <c r="B46" s="1429" t="s">
        <v>281</v>
      </c>
      <c r="C46" s="1429" t="s">
        <v>282</v>
      </c>
      <c r="D46" s="1429" t="s">
        <v>530</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71</v>
      </c>
      <c r="AA46" s="2333"/>
      <c r="AB46" s="2334" t="s">
        <v>71</v>
      </c>
      <c r="AC46" s="817"/>
      <c r="AD46" s="817"/>
      <c r="AE46" s="1323"/>
      <c r="AF46" s="2331"/>
      <c r="AG46" s="2173" t="s">
        <v>71</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280</v>
      </c>
      <c r="B47" s="1429" t="s">
        <v>281</v>
      </c>
      <c r="C47" s="1429" t="s">
        <v>282</v>
      </c>
      <c r="D47" s="1429" t="s">
        <v>530</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280</v>
      </c>
      <c r="B48" s="1429" t="s">
        <v>281</v>
      </c>
      <c r="C48" s="1429" t="s">
        <v>282</v>
      </c>
      <c r="D48" s="1429" t="s">
        <v>530</v>
      </c>
      <c r="E48" s="2325"/>
      <c r="F48" s="2325"/>
      <c r="G48" s="2325"/>
      <c r="H48" s="2325"/>
      <c r="I48" s="2352"/>
      <c r="J48" s="2322"/>
      <c r="K48" s="1429"/>
      <c r="L48" s="1430"/>
      <c r="P48" s="2323"/>
      <c r="Q48" s="2323"/>
      <c r="R48" s="422"/>
      <c r="S48" s="1344"/>
      <c r="T48" s="353" t="s">
        <v>495</v>
      </c>
      <c r="U48" s="433"/>
      <c r="V48" s="433"/>
      <c r="W48" s="433"/>
      <c r="X48" s="433"/>
      <c r="Y48" s="433"/>
      <c r="Z48" s="433"/>
      <c r="AA48" s="433"/>
      <c r="AB48" s="433"/>
      <c r="AC48" s="433"/>
      <c r="AD48" s="433"/>
      <c r="AE48" s="433"/>
      <c r="AF48" s="433"/>
      <c r="AG48" s="433"/>
      <c r="AH48" s="433"/>
      <c r="AI48" s="433"/>
      <c r="AJ48" s="433"/>
      <c r="AK48" s="1324" t="s">
        <v>496</v>
      </c>
      <c r="AM48" s="566"/>
      <c r="AN48" s="566" t="str">
        <f>IF(T48="","",T48)</f>
        <v>Добавить значение признака дифференциации</v>
      </c>
      <c r="AO48" s="566"/>
      <c r="AP48" s="566"/>
      <c r="AQ48" s="1221">
        <v>20</v>
      </c>
    </row>
    <row customHeight="1" ht="22.049999999999997">
      <c r="A49" s="1429" t="s">
        <v>280</v>
      </c>
      <c r="B49" s="1429" t="s">
        <v>281</v>
      </c>
      <c r="C49" s="1429" t="s">
        <v>282</v>
      </c>
      <c r="D49" s="1429" t="s">
        <v>530</v>
      </c>
      <c r="E49" s="2325"/>
      <c r="F49" s="2325"/>
      <c r="G49" s="2325"/>
      <c r="H49" s="2325"/>
      <c r="I49" s="2322"/>
      <c r="J49" s="1429"/>
      <c r="K49" s="1429"/>
      <c r="L49" s="1430"/>
      <c r="P49" s="2323"/>
      <c r="Q49" s="1547"/>
      <c r="R49" s="422"/>
      <c r="S49" s="1344"/>
      <c r="T49" s="431" t="s">
        <v>421</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280</v>
      </c>
      <c r="B50" s="1429" t="s">
        <v>281</v>
      </c>
      <c r="C50" s="1429" t="s">
        <v>282</v>
      </c>
      <c r="D50" s="1429" t="s">
        <v>530</v>
      </c>
      <c r="E50" s="2325"/>
      <c r="F50" s="2325"/>
      <c r="G50" s="2325"/>
      <c r="H50" s="2324"/>
      <c r="I50" s="1429"/>
      <c r="J50" s="1429"/>
      <c r="K50" s="1429"/>
      <c r="L50" s="1430"/>
      <c r="M50" s="1431"/>
      <c r="N50" s="1431"/>
      <c r="O50" s="603"/>
      <c r="P50" s="426"/>
      <c r="Q50" s="441"/>
      <c r="R50" s="421"/>
      <c r="S50" s="1344"/>
      <c r="T50" s="438" t="s">
        <v>497</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562" customFormat="1" customHeight="1" ht="0">
      <c r="A51" s="1409" t="s">
        <v>280</v>
      </c>
      <c r="B51" s="1409" t="s">
        <v>281</v>
      </c>
      <c r="C51" s="1380"/>
      <c r="D51" s="1380"/>
      <c r="E51" s="2325"/>
      <c r="F51" s="2324"/>
      <c r="G51" s="1380"/>
      <c r="H51" s="1380"/>
      <c r="I51" s="1380"/>
      <c r="J51" s="1380"/>
      <c r="K51" s="1380"/>
      <c r="L51" s="1560"/>
      <c r="M51" s="1387"/>
      <c r="N51" s="1387"/>
      <c r="P51" s="1382"/>
      <c r="Q51" s="1383"/>
      <c r="R51" s="1382"/>
      <c r="S51" s="1388"/>
      <c r="T51" s="1391" t="s">
        <v>174</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562" customFormat="1" customHeight="1" ht="0">
      <c r="A52" s="1409" t="s">
        <v>280</v>
      </c>
      <c r="B52" s="1409"/>
      <c r="C52" s="1409"/>
      <c r="D52" s="1409"/>
      <c r="E52" s="2324"/>
      <c r="F52" s="1409"/>
      <c r="G52" s="1409"/>
      <c r="H52" s="1409"/>
      <c r="I52" s="1409"/>
      <c r="J52" s="1409"/>
      <c r="K52" s="1409"/>
      <c r="L52" s="1412"/>
      <c r="M52" s="1387"/>
      <c r="N52" s="1387"/>
      <c r="O52" s="584"/>
      <c r="P52" s="446"/>
      <c r="Q52" s="1410"/>
      <c r="R52" s="446"/>
      <c r="S52" s="1388"/>
      <c r="T52" s="1391" t="s">
        <v>175</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562"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176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87</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D984E-7E52-B5F4-058F-A82A92F56AC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5002" width="11.57421875" hidden="1" customWidth="1"/>
    <col min="2" max="2" style="5002" width="11.00390625" hidden="1" customWidth="1"/>
    <col min="3" max="3" style="5002" width="10.57421875" hidden="1"/>
    <col min="4" max="4" style="5002" width="12.8515625" hidden="1" customWidth="1"/>
    <col min="5" max="5" style="5002" width="10.00390625" hidden="1" customWidth="1"/>
    <col min="6" max="6" style="5002" width="8.7109375" hidden="1" customWidth="1"/>
    <col min="7" max="7" style="5002" width="7.57421875" hidden="1" customWidth="1"/>
    <col min="8" max="8" style="5002" width="11.421875" hidden="1" customWidth="1"/>
    <col min="9" max="9" style="5002" width="12.00390625" hidden="1" customWidth="1"/>
    <col min="10" max="10" style="5002" width="9.8515625" hidden="1" customWidth="1"/>
    <col min="11" max="11" style="5002" width="11.421875" hidden="1" customWidth="1"/>
    <col min="12" max="12" style="5519" width="19.140625" hidden="1" customWidth="1"/>
    <col min="13" max="14" style="4246" width="12.28125" hidden="1" customWidth="1"/>
    <col min="15" max="15" style="4246" width="23.421875" hidden="1" customWidth="1"/>
    <col min="16" max="16" style="4246" width="3.7109375" hidden="1" customWidth="1"/>
    <col min="17" max="17" style="3575" width="3.7109375" hidden="1" customWidth="1"/>
    <col min="18" max="18" style="5023" width="3.00390625" customWidth="1"/>
    <col min="19" max="19" style="5711" width="12.00390625" customWidth="1"/>
    <col min="20" max="20" style="5053" width="31.00390625" customWidth="1"/>
    <col min="21" max="21" style="5053" width="0.140625" customWidth="1"/>
    <col min="22" max="25" style="5053" width="21.7109375" hidden="1" customWidth="1"/>
    <col min="26" max="26" style="5053" width="11.7109375" hidden="1" customWidth="1"/>
    <col min="27" max="27" style="5053" width="3.7109375" hidden="1" customWidth="1"/>
    <col min="28" max="28" style="5053" width="11.7109375" hidden="1" customWidth="1"/>
    <col min="29" max="29" style="5053" width="8.57421875" hidden="1" customWidth="1"/>
    <col min="30" max="30" style="5053" width="3.7109375" customWidth="1"/>
    <col min="31" max="32" style="5053" width="3.00390625" customWidth="1"/>
    <col min="33" max="33" style="5053" width="24.00390625" customWidth="1"/>
    <col min="34" max="34" style="5053" width="3.7109375" customWidth="1"/>
    <col min="35" max="36" style="5053" width="3.00390625" customWidth="1"/>
    <col min="37" max="37" style="5053" width="24.00390625" customWidth="1"/>
    <col min="38" max="38" style="5053" width="3.7109375" customWidth="1"/>
    <col min="39" max="40" style="5053" width="3.00390625" customWidth="1"/>
    <col min="41" max="41" style="5053" width="18.00390625" customWidth="1"/>
    <col min="42" max="42" style="5053" width="3.7109375" customWidth="1"/>
    <col min="43" max="44" style="5053" width="3.00390625" customWidth="1"/>
    <col min="45" max="45" style="5053" width="18.00390625" customWidth="1"/>
    <col min="46" max="49" style="5053" width="21.00390625" customWidth="1"/>
    <col min="50" max="50" style="5053" width="11.00390625" customWidth="1"/>
    <col min="51" max="51" style="5053" width="3.7109375" customWidth="1"/>
    <col min="52" max="52" style="5053" width="11.00390625" customWidth="1"/>
    <col min="53" max="53" style="5053" width="8.57421875" hidden="1" customWidth="1"/>
    <col min="54" max="54" style="5053" width="4.00390625" customWidth="1"/>
    <col min="55" max="55" style="5053" width="115.00390625" customWidth="1"/>
    <col min="56" max="60" style="4562" width="10.00390625" customWidth="1"/>
    <col min="61" max="61" style="5053"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128</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406</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407</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525</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526</v>
      </c>
      <c r="BE4" s="566"/>
      <c r="BF4" s="566" t="str">
        <f>IF(T4="","",T4)</f>
        <v>Наименование централизованной системы водоотведения</v>
      </c>
      <c r="BG4" s="566"/>
      <c r="BH4" s="566"/>
      <c r="BI4" s="1221">
        <v>0</v>
      </c>
    </row>
    <row s="4562"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411</v>
      </c>
      <c r="BE5" s="566"/>
      <c r="BF5" s="566" t="str">
        <f>IF(T5="","",T5)</f>
        <v/>
      </c>
      <c r="BG5" s="566"/>
      <c r="BH5" s="566"/>
      <c r="BI5" s="577">
        <v>0</v>
      </c>
    </row>
    <row s="4562" customFormat="1" customHeight="1" ht="14.25" hidden="1">
      <c r="A6" s="1409"/>
      <c r="B6" s="1409"/>
      <c r="C6" s="1409"/>
      <c r="D6" s="1409"/>
      <c r="E6" s="2325"/>
      <c r="F6" s="2325"/>
      <c r="G6" s="2325"/>
      <c r="H6" s="2325"/>
      <c r="I6" s="2322" t="str">
        <f>S5&amp;".1"</f>
        <v>.1</v>
      </c>
      <c r="J6" s="1409"/>
      <c r="K6" s="1409"/>
      <c r="L6" s="1412" t="s">
        <v>412</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562"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71</v>
      </c>
      <c r="AB8" s="1800"/>
      <c r="AC8" s="1535" t="s">
        <v>71</v>
      </c>
      <c r="AD8" s="2251" t="s">
        <v>71</v>
      </c>
      <c r="AE8" s="2392"/>
      <c r="AF8" s="2271">
        <v>1</v>
      </c>
      <c r="AG8" s="2429"/>
      <c r="AH8" s="2173" t="s">
        <v>71</v>
      </c>
      <c r="AI8" s="2392"/>
      <c r="AJ8" s="2271">
        <v>1</v>
      </c>
      <c r="AK8" s="2393" t="s">
        <v>28</v>
      </c>
      <c r="AL8" s="2173" t="s">
        <v>71</v>
      </c>
      <c r="AM8" s="2258"/>
      <c r="AN8" s="2271">
        <v>1</v>
      </c>
      <c r="AO8" s="2423"/>
      <c r="AP8" s="2424" t="s">
        <v>71</v>
      </c>
      <c r="AQ8" s="377"/>
      <c r="AR8" s="1552">
        <v>1</v>
      </c>
      <c r="AS8" s="1558" t="s">
        <v>28</v>
      </c>
      <c r="AT8" s="817"/>
      <c r="AU8" s="1323"/>
      <c r="AV8" s="817"/>
      <c r="AW8" s="1323"/>
      <c r="AX8" s="1800"/>
      <c r="AY8" s="1535" t="s">
        <v>71</v>
      </c>
      <c r="AZ8" s="1800"/>
      <c r="BA8" s="1535" t="s">
        <v>71</v>
      </c>
      <c r="BB8" s="1414"/>
      <c r="BC8" s="2319" t="s">
        <v>510</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511</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531</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532</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514</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477</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562"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562"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562"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562"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174</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562"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175</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71</v>
      </c>
      <c r="AZ20" s="1802"/>
      <c r="BA20" s="1551" t="s">
        <v>71</v>
      </c>
      <c r="BI20" s="1221">
        <v>0</v>
      </c>
    </row>
    <row customHeight="1" ht="14.25" hidden="1">
      <c r="BD21" s="562"/>
      <c r="BE21" s="562"/>
      <c r="BF21" s="562"/>
      <c r="BG21" s="562"/>
      <c r="BH21" s="562"/>
      <c r="BI21" s="1221">
        <v>0</v>
      </c>
    </row>
    <row customHeight="1" ht="14.25" hidden="1">
      <c r="O22" s="1433" t="s">
        <v>423</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4285" customFormat="1" customHeight="1" ht="14.25" hidden="1">
      <c r="M24" s="1574"/>
      <c r="N24" s="1574"/>
      <c r="O24" s="1575" t="s">
        <v>424</v>
      </c>
      <c r="P24" s="1574"/>
      <c r="Q24" s="1576"/>
      <c r="R24" s="1576"/>
      <c r="AA24" s="1573" t="s">
        <v>426</v>
      </c>
      <c r="AC24" s="1573" t="s">
        <v>427</v>
      </c>
      <c r="AD24" s="1573" t="s">
        <v>478</v>
      </c>
      <c r="AH24" s="1573" t="s">
        <v>478</v>
      </c>
      <c r="AK24" s="1573" t="s">
        <v>515</v>
      </c>
      <c r="AL24" s="1573" t="s">
        <v>478</v>
      </c>
      <c r="AP24" s="1573" t="s">
        <v>478</v>
      </c>
      <c r="AY24" s="1573" t="s">
        <v>426</v>
      </c>
      <c r="BA24" s="1573" t="s">
        <v>427</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597" customFormat="1" customHeight="1" ht="25.5">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Департамент тарифной политики, энергетики и ЖКК ЯНАО </v>
      </c>
      <c r="W31" s="2317"/>
      <c r="X31" s="2317"/>
      <c r="Y31" s="2317"/>
      <c r="Z31" s="2317"/>
      <c r="AA31" s="2317"/>
      <c r="AB31" s="2317"/>
      <c r="AC31" s="392"/>
      <c r="AD31" s="2317" t="str">
        <f>IF(TITLE_NAME_OR_PR_CHANGE="",IF(TITLE_NAME_OR_PR="","",TITLE_NAME_OR_PR),TITLE_NAME_OR_PR_CHANGE)</f>
        <v>Департамент тарифной политики, энергетики и ЖКК ЯНАО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597" customFormat="1" customHeight="1" ht="18.75">
      <c r="A32" s="1434"/>
      <c r="B32" s="1434"/>
      <c r="C32" s="1434"/>
      <c r="D32" s="1434"/>
      <c r="E32" s="1434"/>
      <c r="F32" s="1434"/>
      <c r="G32" s="1434"/>
      <c r="H32" s="1434"/>
      <c r="I32" s="1434"/>
      <c r="J32" s="1434"/>
      <c r="K32" s="1434"/>
      <c r="L32" s="1435"/>
      <c r="M32" s="1434"/>
      <c r="N32" s="1434"/>
      <c r="O32" s="1434"/>
      <c r="P32" s="1434"/>
      <c r="Q32" s="1434"/>
      <c r="S32" s="2316" t="s">
        <v>429</v>
      </c>
      <c r="T32" s="2316"/>
      <c r="U32" s="1438"/>
      <c r="V32" s="2330" t="str">
        <f>IF(TITLE_DATE_PR_CHANGE="",IF(TITLE_DATE_PR="","",TITLE_DATE_PR),TITLE_DATE_PR_CHANGE)</f>
        <v>45631.41619212963</v>
      </c>
      <c r="W32" s="2330"/>
      <c r="X32" s="2330"/>
      <c r="Y32" s="2330"/>
      <c r="Z32" s="2330"/>
      <c r="AA32" s="2330"/>
      <c r="AB32" s="2330"/>
      <c r="AC32" s="392"/>
      <c r="AD32" s="2330" t="str">
        <f>IF(TITLE_DATE_PR_CHANGE="",IF(TITLE_DATE_PR="","",TITLE_DATE_PR),TITLE_DATE_PR_CHANGE)</f>
        <v>45631.41619212963</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597" customFormat="1" customHeight="1" ht="18.75">
      <c r="A33" s="1434"/>
      <c r="B33" s="1434"/>
      <c r="C33" s="1434"/>
      <c r="D33" s="1434"/>
      <c r="E33" s="1434"/>
      <c r="F33" s="1434"/>
      <c r="G33" s="1434"/>
      <c r="H33" s="1434"/>
      <c r="I33" s="1434"/>
      <c r="J33" s="1434"/>
      <c r="K33" s="1434"/>
      <c r="L33" s="1435"/>
      <c r="M33" s="1434"/>
      <c r="N33" s="1434"/>
      <c r="O33" s="1434"/>
      <c r="P33" s="1434"/>
      <c r="Q33" s="1434"/>
      <c r="S33" s="2316" t="s">
        <v>430</v>
      </c>
      <c r="T33" s="2316"/>
      <c r="U33" s="1438"/>
      <c r="V33" s="2317" t="str">
        <f>IF(TITLE_NUMBER_PR_CHANGE="",IF(TITLE_NUMBER_PR="","",TITLE_NUMBER_PR),TITLE_NUMBER_PR_CHANGE)</f>
        <v>447-т</v>
      </c>
      <c r="W33" s="2317"/>
      <c r="X33" s="2317"/>
      <c r="Y33" s="2317"/>
      <c r="Z33" s="2317"/>
      <c r="AA33" s="2317"/>
      <c r="AB33" s="2317"/>
      <c r="AC33" s="392"/>
      <c r="AD33" s="2317" t="str">
        <f>IF(TITLE_NUMBER_PR_CHANGE="",IF(TITLE_NUMBER_PR="","",TITLE_NUMBER_PR),TITLE_NUMBER_PR_CHANGE)</f>
        <v>447-т</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597" customFormat="1" customHeight="1" ht="18.75">
      <c r="A34" s="1434"/>
      <c r="B34" s="1434"/>
      <c r="C34" s="1434"/>
      <c r="D34" s="1434"/>
      <c r="E34" s="1434"/>
      <c r="F34" s="1434"/>
      <c r="G34" s="1434"/>
      <c r="H34" s="1434"/>
      <c r="I34" s="1434"/>
      <c r="J34" s="1434"/>
      <c r="K34" s="1434"/>
      <c r="L34" s="1435"/>
      <c r="M34" s="1434"/>
      <c r="N34" s="1434"/>
      <c r="O34" s="1434"/>
      <c r="P34" s="1434"/>
      <c r="Q34" s="1434"/>
      <c r="S34" s="2316" t="s">
        <v>44</v>
      </c>
      <c r="T34" s="2316"/>
      <c r="U34" s="1438"/>
      <c r="V34" s="2317" t="str">
        <f>IF(TITLE_IST_PUB_CHANGE="",IF(TITLE_IST_PUB="","",TITLE_IST_PUB),TITLE_IST_PUB_CHANGE)</f>
        <v>Официальный сайт Департамента тарифной политики, энергетики и ЖКК ЯНАО, https://rek-yamal.ru, 05.12.2024</v>
      </c>
      <c r="W34" s="2317"/>
      <c r="X34" s="2317"/>
      <c r="Y34" s="2317"/>
      <c r="Z34" s="2317"/>
      <c r="AA34" s="2317"/>
      <c r="AB34" s="2317"/>
      <c r="AC34" s="392"/>
      <c r="AD34" s="2317" t="str">
        <f>IF(TITLE_IST_PUB_CHANGE="",IF(TITLE_IST_PUB="","",TITLE_IST_PUB),TITLE_IST_PUB_CHANGE)</f>
        <v>Официальный сайт Департамента тарифной политики, энергетики и ЖКК ЯНАО, https://rek-yamal.ru, 05.12.2024</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597"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429</v>
      </c>
      <c r="T36" s="2316"/>
      <c r="U36" s="1438"/>
      <c r="V36" s="2330" t="str">
        <f>IF(TITLE_DATE_PR_CHANGE="",IF(TITLE_DATE_PR="","",TITLE_DATE_PR),TITLE_DATE_PR_CHANGE)</f>
        <v>45631.41619212963</v>
      </c>
      <c r="W36" s="2330"/>
      <c r="X36" s="2330"/>
      <c r="Y36" s="2330"/>
      <c r="Z36" s="2330"/>
      <c r="AA36" s="2330"/>
      <c r="AB36" s="2330"/>
      <c r="AC36" s="392"/>
      <c r="AD36" s="2330" t="str">
        <f>IF(TITLE_DATE_PR_CHANGE="",IF(TITLE_DATE_PR="","",TITLE_DATE_PR),TITLE_DATE_PR_CHANGE)</f>
        <v>45631.41619212963</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597"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430</v>
      </c>
      <c r="T37" s="2316"/>
      <c r="U37" s="1438"/>
      <c r="V37" s="2317" t="str">
        <f>IF(TITLE_NUMBER_PR_CHANGE="",IF(TITLE_NUMBER_PR="","",TITLE_NUMBER_PR),TITLE_NUMBER_PR_CHANGE)</f>
        <v>447-т</v>
      </c>
      <c r="W37" s="2317"/>
      <c r="X37" s="2317"/>
      <c r="Y37" s="2317"/>
      <c r="Z37" s="2317"/>
      <c r="AA37" s="2317"/>
      <c r="AB37" s="2317"/>
      <c r="AC37" s="392"/>
      <c r="AD37" s="2317" t="str">
        <f>IF(TITLE_NUMBER_PR_CHANGE="",IF(TITLE_NUMBER_PR="","",TITLE_NUMBER_PR),TITLE_NUMBER_PR_CHANGE)</f>
        <v>447-т</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597"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433</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433</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309</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310</v>
      </c>
      <c r="BI40" s="1221">
        <v>14</v>
      </c>
    </row>
    <row customHeight="1" ht="14.699999999999998">
      <c r="Q41" s="357"/>
      <c r="R41" s="442"/>
      <c r="S41" s="2339" t="s">
        <v>93</v>
      </c>
      <c r="T41" s="2275" t="s">
        <v>516</v>
      </c>
      <c r="U41" s="367"/>
      <c r="V41" s="2340" t="s">
        <v>435</v>
      </c>
      <c r="W41" s="2341"/>
      <c r="X41" s="2341"/>
      <c r="Y41" s="2341"/>
      <c r="Z41" s="2341"/>
      <c r="AA41" s="2341"/>
      <c r="AB41" s="2342"/>
      <c r="AC41" s="2343" t="s">
        <v>436</v>
      </c>
      <c r="AD41" s="2394" t="s">
        <v>533</v>
      </c>
      <c r="AE41" s="2357"/>
      <c r="AF41" s="2357"/>
      <c r="AG41" s="2395"/>
      <c r="AH41" s="2394" t="s">
        <v>534</v>
      </c>
      <c r="AI41" s="2357"/>
      <c r="AJ41" s="2357"/>
      <c r="AK41" s="2395"/>
      <c r="AL41" s="2394" t="s">
        <v>535</v>
      </c>
      <c r="AM41" s="2357"/>
      <c r="AN41" s="2357"/>
      <c r="AO41" s="2395"/>
      <c r="AP41" s="2394" t="s">
        <v>520</v>
      </c>
      <c r="AQ41" s="2357"/>
      <c r="AR41" s="2357"/>
      <c r="AS41" s="2395"/>
      <c r="AT41" s="2340" t="s">
        <v>435</v>
      </c>
      <c r="AU41" s="2341"/>
      <c r="AV41" s="2341"/>
      <c r="AW41" s="2341"/>
      <c r="AX41" s="2341"/>
      <c r="AY41" s="2341"/>
      <c r="AZ41" s="2342"/>
      <c r="BA41" s="2343" t="s">
        <v>436</v>
      </c>
      <c r="BB41" s="2346" t="s">
        <v>438</v>
      </c>
      <c r="BC41" s="2193"/>
      <c r="BI41" s="1221">
        <v>14</v>
      </c>
    </row>
    <row customHeight="1" ht="35.699999999999996">
      <c r="Q42" s="357"/>
      <c r="R42" s="442"/>
      <c r="S42" s="2339"/>
      <c r="T42" s="2275"/>
      <c r="U42" s="1097"/>
      <c r="V42" s="2258" t="s">
        <v>521</v>
      </c>
      <c r="W42" s="2259"/>
      <c r="X42" s="2258" t="s">
        <v>522</v>
      </c>
      <c r="Y42" s="2259"/>
      <c r="Z42" s="2360" t="s">
        <v>523</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536</v>
      </c>
      <c r="AU42" s="2259"/>
      <c r="AV42" s="2258" t="s">
        <v>537</v>
      </c>
      <c r="AW42" s="2259"/>
      <c r="AX42" s="2360" t="s">
        <v>523</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140</v>
      </c>
      <c r="C44" s="1436" t="s">
        <v>141</v>
      </c>
      <c r="D44" s="1436" t="s">
        <v>142</v>
      </c>
      <c r="E44" s="1430" t="s">
        <v>443</v>
      </c>
      <c r="F44" s="1430" t="s">
        <v>444</v>
      </c>
      <c r="G44" s="1430" t="s">
        <v>445</v>
      </c>
      <c r="H44" s="1430" t="s">
        <v>446</v>
      </c>
      <c r="I44" s="1430" t="s">
        <v>447</v>
      </c>
      <c r="J44" s="1430" t="s">
        <v>448</v>
      </c>
      <c r="K44" s="1430" t="s">
        <v>449</v>
      </c>
      <c r="L44" s="1430" t="s">
        <v>424</v>
      </c>
      <c r="Q44" s="357"/>
      <c r="R44" s="442"/>
      <c r="S44" s="2339"/>
      <c r="T44" s="2275"/>
      <c r="U44" s="368"/>
      <c r="V44" s="1545" t="s">
        <v>487</v>
      </c>
      <c r="W44" s="1545" t="s">
        <v>488</v>
      </c>
      <c r="X44" s="1545" t="s">
        <v>487</v>
      </c>
      <c r="Y44" s="1545" t="s">
        <v>488</v>
      </c>
      <c r="Z44" s="1555" t="s">
        <v>452</v>
      </c>
      <c r="AA44" s="2336" t="s">
        <v>453</v>
      </c>
      <c r="AB44" s="2337"/>
      <c r="AC44" s="2345"/>
      <c r="AD44" s="2399"/>
      <c r="AE44" s="2400"/>
      <c r="AF44" s="2400"/>
      <c r="AG44" s="2401"/>
      <c r="AH44" s="2399"/>
      <c r="AI44" s="2400"/>
      <c r="AJ44" s="2400"/>
      <c r="AK44" s="2401"/>
      <c r="AL44" s="2399"/>
      <c r="AM44" s="2400"/>
      <c r="AN44" s="2400"/>
      <c r="AO44" s="2401"/>
      <c r="AP44" s="2399"/>
      <c r="AQ44" s="2400"/>
      <c r="AR44" s="2400"/>
      <c r="AS44" s="2401"/>
      <c r="AT44" s="1545" t="s">
        <v>487</v>
      </c>
      <c r="AU44" s="1545" t="s">
        <v>488</v>
      </c>
      <c r="AV44" s="1545" t="s">
        <v>487</v>
      </c>
      <c r="AW44" s="1545" t="s">
        <v>488</v>
      </c>
      <c r="AX44" s="1555" t="s">
        <v>452</v>
      </c>
      <c r="AY44" s="2336" t="s">
        <v>453</v>
      </c>
      <c r="AZ44" s="2337"/>
      <c r="BA44" s="2345"/>
      <c r="BB44" s="2348"/>
      <c r="BC44" s="2193"/>
      <c r="BI44" s="1221">
        <v>14</v>
      </c>
    </row>
    <row s="4153"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114</v>
      </c>
      <c r="T45" s="1321" t="s">
        <v>115</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285</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128</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285</v>
      </c>
      <c r="B47" s="1429" t="s">
        <v>286</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406</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407</v>
      </c>
      <c r="BE47" s="566"/>
      <c r="BF47" s="566" t="str">
        <f>IF(T47="","",T47)</f>
        <v>Территория действия тарифа</v>
      </c>
      <c r="BG47" s="566"/>
      <c r="BH47" s="566"/>
      <c r="BI47" s="1221">
        <v>21</v>
      </c>
    </row>
    <row customHeight="1" ht="35.699999999999996">
      <c r="A48" s="1429" t="s">
        <v>285</v>
      </c>
      <c r="B48" s="1429" t="s">
        <v>286</v>
      </c>
      <c r="C48" s="1429" t="s">
        <v>287</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525</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526</v>
      </c>
      <c r="BE48" s="566"/>
      <c r="BF48" s="566" t="str">
        <f>IF(T48="","",T48)</f>
        <v>Наименование централизованной системы водоотведения</v>
      </c>
      <c r="BG48" s="566"/>
      <c r="BH48" s="566"/>
      <c r="BI48" s="1221">
        <v>34</v>
      </c>
    </row>
    <row s="4562" customFormat="1" customHeight="1" ht="0">
      <c r="A49" s="1409" t="s">
        <v>285</v>
      </c>
      <c r="B49" s="1409" t="s">
        <v>286</v>
      </c>
      <c r="C49" s="1409" t="s">
        <v>287</v>
      </c>
      <c r="D49" s="1409" t="s">
        <v>538</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411</v>
      </c>
      <c r="BE49" s="566"/>
      <c r="BF49" s="566" t="str">
        <f>IF(T49="","",T49)</f>
        <v/>
      </c>
      <c r="BG49" s="566"/>
      <c r="BH49" s="566"/>
      <c r="BI49" s="577">
        <v>0</v>
      </c>
    </row>
    <row s="4562" customFormat="1" customHeight="1" ht="0">
      <c r="A50" s="1409" t="s">
        <v>285</v>
      </c>
      <c r="B50" s="1409" t="s">
        <v>286</v>
      </c>
      <c r="C50" s="1409" t="s">
        <v>287</v>
      </c>
      <c r="D50" s="1409" t="s">
        <v>538</v>
      </c>
      <c r="E50" s="2325"/>
      <c r="F50" s="2325"/>
      <c r="G50" s="2325"/>
      <c r="H50" s="2325"/>
      <c r="I50" s="2322" t="str">
        <f>S49&amp;".1"</f>
        <v>.1</v>
      </c>
      <c r="J50" s="1409"/>
      <c r="K50" s="1409"/>
      <c r="L50" s="1412" t="s">
        <v>412</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562" customFormat="1" customHeight="1" ht="0">
      <c r="A51" s="1409" t="s">
        <v>285</v>
      </c>
      <c r="B51" s="1409" t="s">
        <v>286</v>
      </c>
      <c r="C51" s="1409" t="s">
        <v>287</v>
      </c>
      <c r="D51" s="1409" t="s">
        <v>538</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285</v>
      </c>
      <c r="B52" s="1429" t="s">
        <v>286</v>
      </c>
      <c r="C52" s="1429" t="s">
        <v>287</v>
      </c>
      <c r="D52" s="1429" t="s">
        <v>538</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71</v>
      </c>
      <c r="AB52" s="1800"/>
      <c r="AC52" s="1535" t="s">
        <v>71</v>
      </c>
      <c r="AD52" s="2251" t="s">
        <v>71</v>
      </c>
      <c r="AE52" s="2392"/>
      <c r="AF52" s="2271">
        <v>1</v>
      </c>
      <c r="AG52" s="2429"/>
      <c r="AH52" s="2173" t="s">
        <v>71</v>
      </c>
      <c r="AI52" s="2392"/>
      <c r="AJ52" s="2271">
        <v>1</v>
      </c>
      <c r="AK52" s="2393" t="s">
        <v>28</v>
      </c>
      <c r="AL52" s="2173" t="s">
        <v>71</v>
      </c>
      <c r="AM52" s="2258"/>
      <c r="AN52" s="2271">
        <v>1</v>
      </c>
      <c r="AO52" s="2423"/>
      <c r="AP52" s="2424" t="s">
        <v>71</v>
      </c>
      <c r="AQ52" s="377"/>
      <c r="AR52" s="1552">
        <v>1</v>
      </c>
      <c r="AS52" s="1558" t="s">
        <v>28</v>
      </c>
      <c r="AT52" s="817"/>
      <c r="AU52" s="1323"/>
      <c r="AV52" s="817"/>
      <c r="AW52" s="1323"/>
      <c r="AX52" s="1800"/>
      <c r="AY52" s="1535" t="s">
        <v>71</v>
      </c>
      <c r="AZ52" s="1800"/>
      <c r="BA52" s="1535" t="s">
        <v>71</v>
      </c>
      <c r="BB52" s="1414"/>
      <c r="BC52" s="2319" t="s">
        <v>510</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511</v>
      </c>
      <c r="AT53" s="1459"/>
      <c r="AU53" s="1562"/>
      <c r="AV53" s="1459"/>
      <c r="AW53" s="1562"/>
      <c r="AX53" s="1459"/>
      <c r="AY53" s="1459"/>
      <c r="AZ53" s="1459"/>
      <c r="BA53" s="1459"/>
      <c r="BB53" s="1463"/>
      <c r="BC53" s="2320"/>
      <c r="BE53" s="566"/>
      <c r="BF53" s="566"/>
      <c r="BG53" s="566"/>
      <c r="BH53" s="566"/>
      <c r="BI53" s="1221">
        <v>11</v>
      </c>
    </row>
    <row customHeight="1" ht="11.549999999999999">
      <c r="A54" s="1429" t="s">
        <v>285</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531</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285</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532</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285</v>
      </c>
      <c r="B56" s="1429" t="s">
        <v>286</v>
      </c>
      <c r="C56" s="1429" t="s">
        <v>287</v>
      </c>
      <c r="D56" s="1429" t="s">
        <v>538</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514</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285</v>
      </c>
      <c r="B57" s="1429" t="s">
        <v>286</v>
      </c>
      <c r="C57" s="1429" t="s">
        <v>287</v>
      </c>
      <c r="D57" s="1429" t="s">
        <v>538</v>
      </c>
      <c r="E57" s="2325"/>
      <c r="F57" s="2325"/>
      <c r="G57" s="2325"/>
      <c r="H57" s="2325"/>
      <c r="I57" s="2352"/>
      <c r="J57" s="2322"/>
      <c r="K57" s="1429"/>
      <c r="L57" s="1430"/>
      <c r="P57" s="2323"/>
      <c r="Q57" s="2323"/>
      <c r="R57" s="422"/>
      <c r="S57" s="1344"/>
      <c r="T57" s="353" t="s">
        <v>477</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562" customFormat="1" customHeight="1" ht="0">
      <c r="A58" s="1409" t="s">
        <v>285</v>
      </c>
      <c r="B58" s="1409" t="s">
        <v>286</v>
      </c>
      <c r="C58" s="1409" t="s">
        <v>287</v>
      </c>
      <c r="D58" s="1409" t="s">
        <v>538</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562" customFormat="1" customHeight="1" ht="0">
      <c r="A59" s="1409" t="s">
        <v>285</v>
      </c>
      <c r="B59" s="1409" t="s">
        <v>286</v>
      </c>
      <c r="C59" s="1409" t="s">
        <v>287</v>
      </c>
      <c r="D59" s="1409" t="s">
        <v>538</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562" customFormat="1" customHeight="1" ht="0">
      <c r="A60" s="1409" t="s">
        <v>285</v>
      </c>
      <c r="B60" s="1409" t="s">
        <v>286</v>
      </c>
      <c r="C60" s="1409" t="s">
        <v>287</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562" customFormat="1" customHeight="1" ht="0">
      <c r="A61" s="1409" t="s">
        <v>285</v>
      </c>
      <c r="B61" s="1409" t="s">
        <v>286</v>
      </c>
      <c r="C61" s="1380"/>
      <c r="D61" s="1380"/>
      <c r="E61" s="2325"/>
      <c r="F61" s="2324"/>
      <c r="G61" s="1380"/>
      <c r="H61" s="1380"/>
      <c r="I61" s="1380"/>
      <c r="J61" s="1380"/>
      <c r="K61" s="1380"/>
      <c r="L61" s="1560"/>
      <c r="M61" s="1387"/>
      <c r="N61" s="1387"/>
      <c r="P61" s="1382"/>
      <c r="Q61" s="1383"/>
      <c r="R61" s="1382"/>
      <c r="S61" s="1388"/>
      <c r="T61" s="1391" t="s">
        <v>174</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562" customFormat="1" customHeight="1" ht="0">
      <c r="A62" s="1409" t="s">
        <v>285</v>
      </c>
      <c r="B62" s="1409"/>
      <c r="C62" s="1409"/>
      <c r="D62" s="1409"/>
      <c r="E62" s="2324"/>
      <c r="F62" s="1409"/>
      <c r="G62" s="1409"/>
      <c r="H62" s="1409"/>
      <c r="I62" s="1409"/>
      <c r="J62" s="1409"/>
      <c r="K62" s="1409"/>
      <c r="L62" s="1412"/>
      <c r="M62" s="1387"/>
      <c r="N62" s="1387"/>
      <c r="O62" s="584"/>
      <c r="P62" s="446"/>
      <c r="Q62" s="1410"/>
      <c r="R62" s="446"/>
      <c r="S62" s="1388"/>
      <c r="T62" s="1391" t="s">
        <v>175</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562"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176</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4.699999999999998">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14</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4.699999999999998">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14</v>
      </c>
    </row>
    <row customHeight="1" ht="14.699999999999998">
      <c r="O68" s="603"/>
      <c r="BI68" s="1221">
        <v>14</v>
      </c>
    </row>
    <row customHeight="1" ht="14.25" hidden="1">
      <c r="A69" s="1226" t="s">
        <v>87</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C0957-69A6-8F4C-88C6-8E226041967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5053" width="8.00390625" hidden="1" customWidth="1"/>
    <col min="2" max="2" style="5002" width="6.00390625" hidden="1" customWidth="1"/>
    <col min="3" max="3" style="5053" width="3.00390625" customWidth="1"/>
    <col min="4" max="4" style="5349" width="3.00390625" customWidth="1"/>
    <col min="5" max="5" style="5053" width="6.00390625" customWidth="1"/>
    <col min="6" max="6" style="5053" width="2.7109375" hidden="1" customWidth="1"/>
    <col min="7" max="7" style="5053" width="46.7109375" customWidth="1"/>
    <col min="8" max="8" style="5053" width="42.00390625" customWidth="1"/>
    <col min="9" max="9" style="5053" width="14.00390625" customWidth="1"/>
    <col min="10" max="10" style="5005" width="3.00390625" customWidth="1"/>
    <col min="11" max="13" style="5005" width="9.140625" hidden="1"/>
    <col min="14" max="14" style="5005" width="25.7109375" hidden="1" customWidth="1"/>
    <col min="15" max="15" style="5005" width="14.421875" hidden="1" customWidth="1"/>
    <col min="16" max="19" style="2882" width="9.140625" hidden="1"/>
    <col min="20" max="27" style="5053" width="9.140625" hidden="1"/>
    <col min="28" max="28" style="5053" width="8.00390625" customWidth="1"/>
    <col min="29" max="29" style="5053" width="9.140625" hidden="1"/>
  </cols>
  <sheetData>
    <row s="4562" customFormat="1" customHeight="1" ht="5.25" hidden="1">
      <c r="A1" s="562"/>
      <c r="B1" s="577"/>
      <c r="C1" s="577"/>
      <c r="D1" s="287"/>
      <c r="F1" s="577"/>
      <c r="G1" s="313" t="s">
        <v>88</v>
      </c>
      <c r="H1" s="560" t="s">
        <v>89</v>
      </c>
      <c r="I1" s="293" t="s">
        <v>90</v>
      </c>
      <c r="J1" s="313" t="s">
        <v>88</v>
      </c>
      <c r="K1" s="313"/>
      <c r="L1" s="313"/>
      <c r="M1" s="313"/>
      <c r="N1" s="314"/>
      <c r="O1" s="313"/>
      <c r="P1" s="313"/>
      <c r="Q1" s="313"/>
      <c r="R1" s="313"/>
      <c r="S1" s="313"/>
      <c r="T1" s="293"/>
      <c r="U1" s="293"/>
      <c r="V1" s="293"/>
      <c r="W1" s="293"/>
      <c r="X1" s="293"/>
      <c r="Y1" s="293"/>
      <c r="Z1" s="293"/>
      <c r="AA1" s="293"/>
      <c r="AB1" s="293"/>
      <c r="AC1" s="218" t="s">
        <v>14</v>
      </c>
    </row>
    <row s="2872" customFormat="1" customHeight="1" ht="11.25">
      <c r="A2" s="897"/>
      <c r="B2" s="294"/>
      <c r="C2" s="294"/>
      <c r="D2" s="295"/>
      <c r="E2" s="294"/>
      <c r="F2" s="294"/>
      <c r="G2" s="294"/>
      <c r="H2" s="294"/>
      <c r="I2" s="294"/>
      <c r="J2" s="313"/>
      <c r="K2" s="313"/>
      <c r="L2" s="313"/>
      <c r="M2" s="313"/>
      <c r="N2" s="314"/>
      <c r="O2" s="313"/>
      <c r="P2" s="296"/>
      <c r="Q2" s="296"/>
      <c r="R2" s="296"/>
      <c r="S2" s="296"/>
      <c r="T2" s="295"/>
      <c r="U2" s="295"/>
      <c r="V2" s="295"/>
      <c r="W2" s="295"/>
      <c r="X2" s="295"/>
      <c r="Y2" s="295"/>
      <c r="Z2" s="295"/>
      <c r="AA2" s="295"/>
      <c r="AB2" s="295"/>
      <c r="AC2" s="297">
        <v>11</v>
      </c>
    </row>
    <row s="3439" customFormat="1" customHeight="1" ht="3">
      <c r="A3" s="824"/>
      <c r="B3" s="483"/>
      <c r="C3" s="824"/>
      <c r="D3" s="230"/>
      <c r="E3" s="169"/>
      <c r="F3" s="575"/>
      <c r="G3" s="169"/>
      <c r="H3" s="169"/>
      <c r="I3" s="232"/>
      <c r="J3" s="313"/>
      <c r="K3" s="221"/>
      <c r="L3" s="221"/>
      <c r="M3" s="221"/>
      <c r="N3" s="292"/>
      <c r="O3" s="221"/>
      <c r="P3" s="291"/>
      <c r="Q3" s="291"/>
      <c r="R3" s="291"/>
      <c r="S3" s="291"/>
      <c r="AC3" s="182">
        <v>3</v>
      </c>
    </row>
    <row s="3439" customFormat="1" customHeight="1" ht="27.299999999999997">
      <c r="A4" s="824"/>
      <c r="B4" s="483"/>
      <c r="C4" s="824"/>
      <c r="D4" s="230"/>
      <c r="E4" s="2166" t="str">
        <f>NameTemplatesInListMO</f>
        <v>Перечень муниципальных районов и муниципальных образований (территорий действия тарифа)</v>
      </c>
      <c r="F4" s="2166"/>
      <c r="G4" s="2166"/>
      <c r="H4" s="2166"/>
      <c r="I4" s="2166"/>
      <c r="J4" s="313"/>
      <c r="K4" s="221"/>
      <c r="L4" s="221"/>
      <c r="M4" s="221"/>
      <c r="N4" s="292"/>
      <c r="O4" s="221"/>
      <c r="P4" s="291"/>
      <c r="Q4" s="291"/>
      <c r="R4" s="291"/>
      <c r="S4" s="291"/>
      <c r="AC4" s="182">
        <v>26</v>
      </c>
    </row>
    <row s="3439" customFormat="1" customHeight="1" ht="3">
      <c r="A5" s="824"/>
      <c r="B5" s="483"/>
      <c r="C5" s="824"/>
      <c r="D5" s="230"/>
      <c r="E5" s="169"/>
      <c r="F5" s="575"/>
      <c r="G5" s="233"/>
      <c r="H5" s="233"/>
      <c r="I5" s="234"/>
      <c r="J5" s="221"/>
      <c r="K5" s="221"/>
      <c r="L5" s="221"/>
      <c r="M5" s="221"/>
      <c r="N5" s="292"/>
      <c r="O5" s="221"/>
      <c r="P5" s="291"/>
      <c r="Q5" s="291"/>
      <c r="R5" s="291"/>
      <c r="S5" s="291"/>
      <c r="AC5" s="182">
        <v>3</v>
      </c>
    </row>
    <row s="3439" customFormat="1" customHeight="1" ht="20.25" hidden="1">
      <c r="A6" s="903"/>
      <c r="B6" s="899"/>
      <c r="C6" s="235"/>
      <c r="D6" s="230"/>
      <c r="E6" s="845"/>
      <c r="F6" s="845"/>
      <c r="G6" s="233"/>
      <c r="H6" s="236"/>
      <c r="I6" s="236"/>
      <c r="J6" s="221"/>
      <c r="K6" s="221"/>
      <c r="L6" s="221"/>
      <c r="M6" s="221"/>
      <c r="N6" s="292"/>
      <c r="O6" s="221"/>
      <c r="P6" s="291"/>
      <c r="Q6" s="291"/>
      <c r="R6" s="291"/>
      <c r="S6" s="291"/>
      <c r="AC6" s="182">
        <v>0</v>
      </c>
    </row>
    <row customHeight="1" ht="25.5" hidden="1">
      <c r="AC7" s="149">
        <v>0</v>
      </c>
    </row>
    <row s="3439" customFormat="1" customHeight="1" ht="14.699999999999998">
      <c r="A8" s="824"/>
      <c r="B8" s="483"/>
      <c r="C8" s="824"/>
      <c r="D8" s="230"/>
      <c r="E8" s="2167" t="s">
        <v>91</v>
      </c>
      <c r="F8" s="2168"/>
      <c r="G8" s="2169"/>
      <c r="H8" s="2170" t="s">
        <v>92</v>
      </c>
      <c r="I8" s="2170"/>
      <c r="J8" s="221"/>
      <c r="K8" s="221"/>
      <c r="L8" s="221"/>
      <c r="M8" s="221"/>
      <c r="N8" s="292"/>
      <c r="O8" s="221"/>
      <c r="P8" s="291"/>
      <c r="Q8" s="291"/>
      <c r="R8" s="291"/>
      <c r="S8" s="291"/>
      <c r="AC8" s="182">
        <v>14</v>
      </c>
    </row>
    <row s="3439" customFormat="1" customHeight="1" ht="21">
      <c r="A9" s="824"/>
      <c r="B9" s="483"/>
      <c r="C9" s="824"/>
      <c r="D9" s="230"/>
      <c r="E9" s="843" t="s">
        <v>93</v>
      </c>
      <c r="F9" s="843"/>
      <c r="G9" s="238" t="s">
        <v>94</v>
      </c>
      <c r="H9" s="238" t="s">
        <v>94</v>
      </c>
      <c r="I9" s="238" t="s">
        <v>90</v>
      </c>
      <c r="J9" s="221"/>
      <c r="K9" s="221"/>
      <c r="L9" s="221"/>
      <c r="M9" s="221"/>
      <c r="N9" s="292"/>
      <c r="O9" s="221"/>
      <c r="P9" s="291"/>
      <c r="Q9" s="291"/>
      <c r="R9" s="291"/>
      <c r="S9" s="291"/>
      <c r="AC9" s="182">
        <v>20</v>
      </c>
    </row>
    <row customHeight="1" ht="11.549999999999999">
      <c r="D10" s="242"/>
      <c r="E10" s="844" t="s">
        <v>95</v>
      </c>
      <c r="F10" s="844"/>
      <c r="G10" s="289" t="s">
        <v>96</v>
      </c>
      <c r="H10" s="289" t="s">
        <v>97</v>
      </c>
      <c r="I10" s="289" t="s">
        <v>98</v>
      </c>
      <c r="J10" s="252"/>
      <c r="K10" s="252"/>
      <c r="L10" s="252"/>
      <c r="M10" s="252"/>
      <c r="N10" s="237"/>
      <c r="O10" s="252"/>
      <c r="P10" s="290"/>
      <c r="Q10" s="290"/>
      <c r="R10" s="290"/>
      <c r="S10" s="290"/>
      <c r="AC10" s="149">
        <v>11</v>
      </c>
    </row>
    <row s="3439" customFormat="1" customHeight="1" ht="1.05">
      <c r="A11" s="824"/>
      <c r="B11" s="483"/>
      <c r="C11" s="824"/>
      <c r="D11" s="230"/>
      <c r="E11" s="856"/>
      <c r="F11" s="856"/>
      <c r="G11" s="239"/>
      <c r="H11" s="239"/>
      <c r="I11" s="241"/>
      <c r="J11" s="315" t="s">
        <v>99</v>
      </c>
      <c r="K11" s="221"/>
      <c r="L11" s="221"/>
      <c r="M11" s="221" t="s">
        <v>100</v>
      </c>
      <c r="N11" s="292" t="s">
        <v>101</v>
      </c>
      <c r="O11" s="221" t="s">
        <v>102</v>
      </c>
      <c r="P11" s="291"/>
      <c r="Q11" s="291"/>
      <c r="R11" s="291"/>
      <c r="S11" s="291"/>
      <c r="AC11" s="182">
        <v>1</v>
      </c>
    </row>
    <row s="3439" customFormat="1" customHeight="1" ht="15">
      <c r="A12" s="2165">
        <v>1</v>
      </c>
      <c r="B12" s="483"/>
      <c r="C12" s="824"/>
      <c r="D12" s="848"/>
      <c r="E12" s="285">
        <f>A12</f>
        <v>1</v>
      </c>
      <c r="F12" s="868" t="s">
        <v>103</v>
      </c>
      <c r="G12" s="606" t="str">
        <f>"Территория "&amp;E12</f>
        <v>Территория 1</v>
      </c>
      <c r="H12" s="858"/>
      <c r="I12" s="858"/>
      <c r="J12" s="855"/>
      <c r="K12" s="566"/>
      <c r="L12" s="566"/>
      <c r="M12" s="566"/>
      <c r="N12" s="292"/>
      <c r="O12" s="566"/>
      <c r="P12" s="291"/>
      <c r="Q12" s="291"/>
      <c r="R12" s="291"/>
      <c r="S12" s="291"/>
      <c r="AC12" s="573">
        <v>14</v>
      </c>
    </row>
    <row s="5774" customFormat="1" customHeight="1" ht="15.75">
      <c r="A13" s="2165"/>
      <c r="B13" s="483">
        <v>1</v>
      </c>
      <c r="C13" s="483"/>
      <c r="D13" s="866"/>
      <c r="E13" s="846" t="str">
        <f>A12&amp;"."&amp;B13</f>
        <v>1.1</v>
      </c>
      <c r="F13" s="861" t="s">
        <v>104</v>
      </c>
      <c r="G13" s="859" t="s">
        <v>105</v>
      </c>
      <c r="H13" s="859" t="s">
        <v>105</v>
      </c>
      <c r="I13" s="857" t="s">
        <v>106</v>
      </c>
      <c r="J13" s="566">
        <f>MERGEVALUE(G13)</f>
      </c>
      <c r="K13" s="577"/>
      <c r="L13" s="577"/>
      <c r="M13" s="566" t="str">
        <f t="array" ref="M13:M13">IF(ISERROR(MATCH(MID(N13,1,250),MID(note_ter,1,250),0)),"n","y")</f>
        <v>n</v>
      </c>
      <c r="N13" s="577"/>
      <c r="O13" s="566" t="str">
        <f>H13&amp;"("&amp;I13&amp;")"</f>
        <v>город Новый Уренгой(71956000)</v>
      </c>
      <c r="P13" s="483"/>
      <c r="Q13" s="483"/>
      <c r="R13" s="486"/>
      <c r="S13" s="483"/>
      <c r="T13" s="483"/>
      <c r="U13" s="483"/>
      <c r="V13" s="488"/>
      <c r="W13" s="488"/>
      <c r="X13" s="485"/>
      <c r="Y13" s="485"/>
      <c r="Z13" s="485"/>
      <c r="AA13" s="485"/>
      <c r="AB13" s="485"/>
      <c r="AC13" s="489">
        <v>15</v>
      </c>
    </row>
    <row s="5774" customFormat="1" customHeight="1" ht="15.75">
      <c r="A14" s="2165"/>
      <c r="B14" s="483"/>
      <c r="C14" s="478"/>
      <c r="D14" s="867"/>
      <c r="E14" s="487"/>
      <c r="F14" s="243"/>
      <c r="G14" s="481" t="s">
        <v>107</v>
      </c>
      <c r="H14" s="253"/>
      <c r="I14" s="490"/>
      <c r="J14" s="577"/>
      <c r="K14" s="577"/>
      <c r="L14" s="577"/>
      <c r="M14" s="577"/>
      <c r="N14" s="566"/>
      <c r="O14" s="577"/>
      <c r="P14" s="483"/>
      <c r="Q14" s="483"/>
      <c r="R14" s="486"/>
      <c r="S14" s="483"/>
      <c r="T14" s="483"/>
      <c r="U14" s="483"/>
      <c r="V14" s="488"/>
      <c r="W14" s="488"/>
      <c r="X14" s="485"/>
      <c r="Y14" s="485"/>
      <c r="Z14" s="485"/>
      <c r="AA14" s="485"/>
      <c r="AB14" s="485"/>
      <c r="AC14" s="489">
        <v>15</v>
      </c>
    </row>
    <row s="3439" customFormat="1" customHeight="1" ht="14.699999999999998">
      <c r="A15" s="824"/>
      <c r="B15" s="483"/>
      <c r="C15" s="824"/>
      <c r="D15" s="848"/>
      <c r="E15" s="860"/>
      <c r="F15" s="244"/>
      <c r="G15" s="482" t="s">
        <v>108</v>
      </c>
      <c r="H15" s="244"/>
      <c r="I15" s="245"/>
      <c r="J15" s="315"/>
      <c r="K15" s="221"/>
      <c r="L15" s="221"/>
      <c r="M15" s="221"/>
      <c r="N15" s="292" t="s">
        <v>109</v>
      </c>
      <c r="O15" s="221"/>
      <c r="P15" s="291"/>
      <c r="Q15" s="291"/>
      <c r="R15" s="291"/>
      <c r="S15" s="291"/>
      <c r="AC15" s="182">
        <v>14</v>
      </c>
    </row>
    <row s="3439" customFormat="1" customHeight="1" ht="22.049999999999997">
      <c r="A16" s="824"/>
      <c r="B16" s="483"/>
      <c r="C16" s="824"/>
      <c r="D16" s="231"/>
      <c r="E16" s="246"/>
      <c r="F16" s="246"/>
      <c r="G16" s="246"/>
      <c r="H16" s="246"/>
      <c r="I16" s="246"/>
      <c r="J16" s="221"/>
      <c r="K16" s="221"/>
      <c r="L16" s="221"/>
      <c r="M16" s="221"/>
      <c r="N16" s="292"/>
      <c r="O16" s="221"/>
      <c r="P16" s="291"/>
      <c r="Q16" s="291"/>
      <c r="R16" s="291"/>
      <c r="S16" s="291"/>
      <c r="AC16" s="182">
        <v>21</v>
      </c>
    </row>
    <row s="3439" customFormat="1" customHeight="1" ht="14.699999999999998">
      <c r="A17" s="824"/>
      <c r="B17" s="483"/>
      <c r="C17" s="824"/>
      <c r="D17" s="231"/>
      <c r="E17" s="149"/>
      <c r="F17" s="824"/>
      <c r="G17" s="149"/>
      <c r="H17" s="149"/>
      <c r="I17" s="149"/>
      <c r="J17" s="221"/>
      <c r="K17" s="221"/>
      <c r="L17" s="221"/>
      <c r="M17" s="221"/>
      <c r="N17" s="292"/>
      <c r="O17" s="221"/>
      <c r="P17" s="291"/>
      <c r="Q17" s="291"/>
      <c r="R17" s="291"/>
      <c r="S17" s="291"/>
      <c r="AC17" s="182">
        <v>14</v>
      </c>
    </row>
    <row s="3439" customFormat="1" customHeight="1" ht="1.05">
      <c r="A18" s="824"/>
      <c r="B18" s="483"/>
      <c r="C18" s="824"/>
      <c r="D18" s="231"/>
      <c r="E18" s="149"/>
      <c r="F18" s="824"/>
      <c r="G18" s="149"/>
      <c r="H18" s="149"/>
      <c r="I18" s="149"/>
      <c r="J18" s="221"/>
      <c r="K18" s="221"/>
      <c r="L18" s="221"/>
      <c r="M18" s="221"/>
      <c r="N18" s="292"/>
      <c r="O18" s="221"/>
      <c r="P18" s="291"/>
      <c r="Q18" s="291"/>
      <c r="R18" s="291"/>
      <c r="S18" s="291"/>
      <c r="AC18" s="182">
        <v>1</v>
      </c>
    </row>
    <row s="3364" customFormat="1" customHeight="1" ht="10.5">
      <c r="B19" s="900"/>
      <c r="D19" s="248"/>
      <c r="J19" s="221"/>
      <c r="K19" s="221"/>
      <c r="L19" s="221"/>
      <c r="M19" s="221"/>
      <c r="N19" s="292"/>
      <c r="O19" s="221"/>
      <c r="P19" s="291"/>
      <c r="Q19" s="291"/>
      <c r="R19" s="291"/>
      <c r="S19" s="291"/>
      <c r="AC19" s="247">
        <v>10</v>
      </c>
    </row>
    <row s="3364" customFormat="1" customHeight="1" ht="10.5">
      <c r="B20" s="900"/>
      <c r="D20" s="248"/>
      <c r="J20" s="221"/>
      <c r="K20" s="221"/>
      <c r="L20" s="221"/>
      <c r="M20" s="221"/>
      <c r="N20" s="292"/>
      <c r="O20" s="221"/>
      <c r="P20" s="291"/>
      <c r="Q20" s="291"/>
      <c r="R20" s="291"/>
      <c r="S20" s="291"/>
      <c r="AC20" s="247">
        <v>10</v>
      </c>
    </row>
    <row customHeight="1" ht="14.699999999999998">
      <c r="AC21" s="149">
        <v>14</v>
      </c>
    </row>
    <row customHeight="1" ht="14.699999999999998">
      <c r="AC22" s="149">
        <v>14</v>
      </c>
    </row>
    <row customHeight="1" ht="14.699999999999998">
      <c r="AC23" s="149">
        <v>14</v>
      </c>
    </row>
    <row customHeight="1" ht="14.699999999999998">
      <c r="H24" s="128"/>
      <c r="AC24" s="149">
        <v>14</v>
      </c>
    </row>
    <row customHeight="1" ht="14.699999999999998">
      <c r="AC25" s="149">
        <v>14</v>
      </c>
    </row>
    <row customHeight="1" ht="14.699999999999998">
      <c r="AC26" s="149">
        <v>14</v>
      </c>
    </row>
    <row customHeight="1" ht="14.699999999999998">
      <c r="AC27" s="149">
        <v>14</v>
      </c>
    </row>
    <row customHeight="1" ht="14.699999999999998">
      <c r="J28" s="149"/>
      <c r="K28" s="149"/>
      <c r="L28" s="149"/>
      <c r="AC28" s="149">
        <v>14</v>
      </c>
    </row>
    <row customHeight="1" ht="22.5" hidden="1">
      <c r="A29" s="824" t="s">
        <v>87</v>
      </c>
      <c r="B29" s="483">
        <v>0</v>
      </c>
      <c r="C29" s="824">
        <v>3</v>
      </c>
      <c r="D29" s="231">
        <v>3</v>
      </c>
      <c r="E29" s="149">
        <v>6</v>
      </c>
      <c r="F29" s="824">
        <v>0</v>
      </c>
      <c r="G29" s="149">
        <v>46</v>
      </c>
      <c r="H29" s="149">
        <v>42</v>
      </c>
      <c r="I29" s="149">
        <v>14</v>
      </c>
      <c r="J29" s="221">
        <v>3</v>
      </c>
      <c r="K29" s="221">
        <v>0</v>
      </c>
      <c r="L29" s="221">
        <v>0</v>
      </c>
      <c r="M29" s="221">
        <v>0</v>
      </c>
      <c r="N29" s="292">
        <v>0</v>
      </c>
      <c r="O29" s="221">
        <v>0</v>
      </c>
      <c r="P29" s="291">
        <v>0</v>
      </c>
      <c r="Q29" s="291">
        <v>0</v>
      </c>
      <c r="R29" s="291">
        <v>0</v>
      </c>
      <c r="S29" s="291">
        <v>0</v>
      </c>
      <c r="T29" s="149">
        <v>0</v>
      </c>
      <c r="U29" s="149">
        <v>0</v>
      </c>
      <c r="V29" s="149">
        <v>0</v>
      </c>
      <c r="W29" s="149">
        <v>0</v>
      </c>
      <c r="X29" s="149">
        <v>0</v>
      </c>
      <c r="Y29" s="149">
        <v>0</v>
      </c>
      <c r="Z29" s="149">
        <v>0</v>
      </c>
      <c r="AA29" s="149">
        <v>0</v>
      </c>
      <c r="AB29" s="149">
        <v>8</v>
      </c>
      <c r="AC29" s="14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F1ED5-7E01-2E94-7B14-7F7A20E0D41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5002" width="10.57421875" hidden="1"/>
    <col min="2" max="2" style="5002" width="11.00390625" hidden="1" customWidth="1"/>
    <col min="3" max="3" style="5002" width="10.57421875" hidden="1"/>
    <col min="4" max="4" style="5002" width="11.8515625" hidden="1" customWidth="1"/>
    <col min="5" max="5" style="5002" width="10.00390625" hidden="1" customWidth="1"/>
    <col min="6" max="6" style="5002" width="8.7109375" hidden="1" customWidth="1"/>
    <col min="7" max="7" style="5002" width="7.57421875" hidden="1" customWidth="1"/>
    <col min="8" max="8" style="5002" width="11.421875" hidden="1" customWidth="1"/>
    <col min="9" max="9" style="5002" width="14.140625" hidden="1" customWidth="1"/>
    <col min="10" max="10" style="5002" width="9.8515625" hidden="1" customWidth="1"/>
    <col min="11" max="11" style="5002" width="14.7109375" hidden="1" customWidth="1"/>
    <col min="12" max="12" style="5519" width="19.140625" hidden="1" customWidth="1"/>
    <col min="13" max="14" style="4246" width="12.28125" hidden="1" customWidth="1"/>
    <col min="15" max="15" style="4246" width="23.421875" hidden="1" customWidth="1"/>
    <col min="16" max="16" style="5737" width="3.00390625" customWidth="1"/>
    <col min="17" max="18" style="5023" width="3.00390625" customWidth="1"/>
    <col min="19" max="19" style="5711" width="12.00390625" customWidth="1"/>
    <col min="20" max="20" style="5053" width="35.00390625" customWidth="1"/>
    <col min="21" max="21" style="5053" width="0.140625" customWidth="1"/>
    <col min="22" max="28" style="5053" width="19.7109375" hidden="1" customWidth="1"/>
    <col min="29" max="29" style="5053" width="11.7109375" hidden="1" customWidth="1"/>
    <col min="30" max="30" style="5053" width="3.7109375" hidden="1" customWidth="1"/>
    <col min="31" max="31" style="5053" width="11.7109375" hidden="1" customWidth="1"/>
    <col min="32" max="32" style="5053" width="8.57421875" hidden="1" customWidth="1"/>
    <col min="33" max="33" style="5053" width="19.7109375" customWidth="1"/>
    <col min="34" max="39" style="5053" width="19.00390625" customWidth="1"/>
    <col min="40" max="40" style="5053" width="11.00390625" customWidth="1"/>
    <col min="41" max="41" style="5053" width="3.7109375" customWidth="1"/>
    <col min="42" max="42" style="5053" width="11.00390625" customWidth="1"/>
    <col min="43" max="43" style="5053" width="8.57421875" hidden="1" customWidth="1"/>
    <col min="44" max="44" style="5053" width="4.00390625" customWidth="1"/>
    <col min="45" max="45" style="5053" width="115.00390625" customWidth="1"/>
    <col min="46" max="50" style="4562" width="10.00390625" customWidth="1"/>
    <col min="51" max="51" style="5053" width="10.57421875" hidden="1"/>
  </cols>
  <sheetData>
    <row customHeight="1" ht="22.5" hidden="1">
      <c r="AC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128</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406</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407</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539</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540</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492</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493</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415</v>
      </c>
      <c r="P6" s="2323"/>
      <c r="Q6" s="2323">
        <v>1</v>
      </c>
      <c r="R6" s="423"/>
      <c r="S6" s="1559">
        <f>$J6</f>
      </c>
      <c r="T6" s="352" t="s">
        <v>416</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494</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817"/>
      <c r="AC7" s="2331"/>
      <c r="AD7" s="2173" t="s">
        <v>71</v>
      </c>
      <c r="AE7" s="2331"/>
      <c r="AF7" s="2173" t="s">
        <v>71</v>
      </c>
      <c r="AG7" s="817"/>
      <c r="AH7" s="817"/>
      <c r="AI7" s="817"/>
      <c r="AJ7" s="817"/>
      <c r="AK7" s="817"/>
      <c r="AL7" s="817"/>
      <c r="AM7" s="817"/>
      <c r="AN7" s="2331"/>
      <c r="AO7" s="2173" t="s">
        <v>71</v>
      </c>
      <c r="AP7" s="2353"/>
      <c r="AQ7" s="2173" t="s">
        <v>71</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1"/>
      <c r="AC8" s="2332"/>
      <c r="AD8" s="2173"/>
      <c r="AE8" s="2332"/>
      <c r="AF8" s="2173"/>
      <c r="AG8" s="391"/>
      <c r="AH8" s="391"/>
      <c r="AI8" s="391"/>
      <c r="AJ8" s="391"/>
      <c r="AK8" s="391"/>
      <c r="AL8" s="391"/>
      <c r="AM8" s="391"/>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495</v>
      </c>
      <c r="U9" s="433"/>
      <c r="V9" s="433"/>
      <c r="W9" s="666"/>
      <c r="X9" s="666"/>
      <c r="Y9" s="666"/>
      <c r="Z9" s="666"/>
      <c r="AA9" s="666"/>
      <c r="AB9" s="666"/>
      <c r="AC9" s="433"/>
      <c r="AD9" s="433"/>
      <c r="AE9" s="433"/>
      <c r="AF9" s="433"/>
      <c r="AG9" s="433"/>
      <c r="AH9" s="666"/>
      <c r="AI9" s="666"/>
      <c r="AJ9" s="666"/>
      <c r="AK9" s="666"/>
      <c r="AL9" s="666"/>
      <c r="AM9" s="433"/>
      <c r="AN9" s="433"/>
      <c r="AO9" s="433"/>
      <c r="AP9" s="433"/>
      <c r="AQ9" s="433"/>
      <c r="AR9" s="433"/>
      <c r="AS9" s="1324" t="s">
        <v>496</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421</v>
      </c>
      <c r="U10" s="433"/>
      <c r="V10" s="433"/>
      <c r="W10" s="666"/>
      <c r="X10" s="666"/>
      <c r="Y10" s="666"/>
      <c r="Z10" s="666"/>
      <c r="AA10" s="666"/>
      <c r="AB10" s="666"/>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497</v>
      </c>
      <c r="U11" s="433"/>
      <c r="V11" s="433"/>
      <c r="W11" s="666"/>
      <c r="X11" s="666"/>
      <c r="Y11" s="666"/>
      <c r="Z11" s="666"/>
      <c r="AA11" s="666"/>
      <c r="AB11" s="666"/>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562"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174</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562"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175</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6"/>
      <c r="AN15" s="2333"/>
      <c r="AO15" s="2334" t="s">
        <v>71</v>
      </c>
      <c r="AP15" s="2333"/>
      <c r="AQ15" s="2334" t="s">
        <v>71</v>
      </c>
      <c r="AY15" s="1221">
        <v>0</v>
      </c>
    </row>
    <row customHeight="1" ht="14.25" hidden="1">
      <c r="AG16" s="1426"/>
      <c r="AH16" s="1426"/>
      <c r="AI16" s="1426"/>
      <c r="AJ16" s="1426"/>
      <c r="AK16" s="1426"/>
      <c r="AL16" s="1426"/>
      <c r="AM16" s="1426"/>
      <c r="AN16" s="2334"/>
      <c r="AO16" s="2334"/>
      <c r="AP16" s="2334"/>
      <c r="AQ16" s="2334"/>
      <c r="AY16" s="1221">
        <v>0</v>
      </c>
    </row>
    <row customHeight="1" ht="14.25" hidden="1">
      <c r="AQ17" s="393"/>
      <c r="AY17" s="1221">
        <v>0</v>
      </c>
    </row>
    <row s="5002" customFormat="1" customHeight="1" ht="22.5" hidden="1">
      <c r="L18" s="1544"/>
      <c r="M18" s="1428"/>
      <c r="N18" s="1428"/>
      <c r="O18" s="1433" t="s">
        <v>423</v>
      </c>
      <c r="P18" s="1428"/>
      <c r="Q18" s="1437"/>
      <c r="R18" s="1437"/>
      <c r="S18" s="795"/>
      <c r="W18" s="1432"/>
      <c r="X18" s="1432"/>
      <c r="Y18" s="1432"/>
      <c r="Z18" s="1432"/>
      <c r="AA18" s="1432"/>
      <c r="AB18" s="1432"/>
      <c r="AC18" s="1433"/>
      <c r="AE18" s="1433"/>
      <c r="AF18" s="1432"/>
      <c r="AH18" s="1432"/>
      <c r="AI18" s="1432"/>
      <c r="AJ18" s="1432"/>
      <c r="AK18" s="1432"/>
      <c r="AL18" s="1432"/>
      <c r="AN18" s="1433"/>
      <c r="AP18" s="1433"/>
      <c r="AQ18" s="1432"/>
      <c r="AT18" s="577"/>
      <c r="AU18" s="577"/>
      <c r="AV18" s="577"/>
      <c r="AW18" s="577"/>
      <c r="AX18" s="577"/>
      <c r="AY18" s="1226">
        <v>0</v>
      </c>
    </row>
    <row s="5002" customFormat="1" customHeight="1" ht="14.25" hidden="1">
      <c r="L19" s="1544"/>
      <c r="M19" s="1428"/>
      <c r="N19" s="1428"/>
      <c r="O19" s="1428"/>
      <c r="P19" s="1428"/>
      <c r="Q19" s="1437"/>
      <c r="R19" s="1437"/>
      <c r="S19" s="795"/>
      <c r="W19" s="1432"/>
      <c r="X19" s="1432"/>
      <c r="Y19" s="1432"/>
      <c r="Z19" s="1432"/>
      <c r="AA19" s="1432"/>
      <c r="AB19" s="1432"/>
      <c r="AF19" s="1432"/>
      <c r="AH19" s="1432"/>
      <c r="AI19" s="1432"/>
      <c r="AJ19" s="1432"/>
      <c r="AK19" s="1432"/>
      <c r="AL19" s="1432"/>
      <c r="AQ19" s="1432"/>
      <c r="AT19" s="577"/>
      <c r="AU19" s="577"/>
      <c r="AV19" s="577"/>
      <c r="AW19" s="577"/>
      <c r="AX19" s="577"/>
      <c r="AY19" s="1226">
        <v>0</v>
      </c>
    </row>
    <row s="5002" customFormat="1" customHeight="1" ht="12" hidden="1">
      <c r="L20" s="1544"/>
      <c r="M20" s="1428"/>
      <c r="N20" s="1428"/>
      <c r="O20" s="1430" t="s">
        <v>424</v>
      </c>
      <c r="P20" s="1428"/>
      <c r="Q20" s="1508"/>
      <c r="R20" s="1508"/>
      <c r="S20" s="795"/>
      <c r="T20" s="1226" t="s">
        <v>425</v>
      </c>
      <c r="W20" s="1432"/>
      <c r="X20" s="1432"/>
      <c r="Y20" s="1432"/>
      <c r="Z20" s="1432"/>
      <c r="AA20" s="1432"/>
      <c r="AB20" s="1432"/>
      <c r="AD20" s="252" t="s">
        <v>426</v>
      </c>
      <c r="AF20" s="252" t="s">
        <v>427</v>
      </c>
      <c r="AG20" s="1226" t="s">
        <v>425</v>
      </c>
      <c r="AH20" s="1432"/>
      <c r="AI20" s="1432"/>
      <c r="AJ20" s="1432"/>
      <c r="AK20" s="1432"/>
      <c r="AL20" s="1432"/>
      <c r="AO20" s="252" t="s">
        <v>428</v>
      </c>
      <c r="AQ20" s="252" t="s">
        <v>427</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1701"/>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597"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Департамент тарифной политики, энергетики и ЖКК ЯНАО </v>
      </c>
      <c r="W27" s="2317"/>
      <c r="X27" s="2317"/>
      <c r="Y27" s="2317"/>
      <c r="Z27" s="2317"/>
      <c r="AA27" s="2317"/>
      <c r="AB27" s="2317"/>
      <c r="AC27" s="2317"/>
      <c r="AD27" s="2317"/>
      <c r="AE27" s="2317"/>
      <c r="AF27" s="392"/>
      <c r="AG27" s="2317" t="str">
        <f>IF(TITLE_NAME_OR_PR_CHANGE="",IF(TITLE_NAME_OR_PR="","",TITLE_NAME_OR_PR),TITLE_NAME_OR_PR_CHANGE)</f>
        <v>Департамент тарифной политики, энергетики и ЖКК ЯНАО </v>
      </c>
      <c r="AH27" s="2317"/>
      <c r="AI27" s="2317"/>
      <c r="AJ27" s="2317"/>
      <c r="AK27" s="2317"/>
      <c r="AL27" s="2317"/>
      <c r="AM27" s="2317"/>
      <c r="AN27" s="2317"/>
      <c r="AO27" s="2317"/>
      <c r="AP27" s="2317"/>
      <c r="AQ27" s="392"/>
      <c r="AR27" s="392"/>
      <c r="AS27" s="346"/>
      <c r="AT27" s="434"/>
      <c r="AU27" s="434"/>
      <c r="AV27" s="434"/>
      <c r="AW27" s="434"/>
      <c r="AX27" s="434"/>
      <c r="AY27" s="484">
        <v>0</v>
      </c>
    </row>
    <row s="5597"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45631.41619212963</v>
      </c>
      <c r="W28" s="2330"/>
      <c r="X28" s="2330"/>
      <c r="Y28" s="2330"/>
      <c r="Z28" s="2330"/>
      <c r="AA28" s="2330"/>
      <c r="AB28" s="2330"/>
      <c r="AC28" s="2330"/>
      <c r="AD28" s="2330"/>
      <c r="AE28" s="2330"/>
      <c r="AF28" s="392"/>
      <c r="AG28" s="2330" t="str">
        <f>IF(TITLE_DATE_PR_CHANGE="",IF(TITLE_DATE_PR="","",TITLE_DATE_PR),TITLE_DATE_PR_CHANGE)</f>
        <v>45631.41619212963</v>
      </c>
      <c r="AH28" s="2330"/>
      <c r="AI28" s="2330"/>
      <c r="AJ28" s="2330"/>
      <c r="AK28" s="2330"/>
      <c r="AL28" s="2330"/>
      <c r="AM28" s="2330"/>
      <c r="AN28" s="2330"/>
      <c r="AO28" s="2330"/>
      <c r="AP28" s="2330"/>
      <c r="AQ28" s="392"/>
      <c r="AR28" s="392"/>
      <c r="AS28" s="346"/>
      <c r="AT28" s="434"/>
      <c r="AU28" s="434"/>
      <c r="AV28" s="434"/>
      <c r="AW28" s="434"/>
      <c r="AX28" s="434"/>
      <c r="AY28" s="484">
        <v>0</v>
      </c>
    </row>
    <row s="5597"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447-т</v>
      </c>
      <c r="W29" s="2317"/>
      <c r="X29" s="2317"/>
      <c r="Y29" s="2317"/>
      <c r="Z29" s="2317"/>
      <c r="AA29" s="2317"/>
      <c r="AB29" s="2317"/>
      <c r="AC29" s="2317"/>
      <c r="AD29" s="2317"/>
      <c r="AE29" s="2317"/>
      <c r="AF29" s="392"/>
      <c r="AG29" s="2317" t="str">
        <f>IF(TITLE_NUMBER_PR_CHANGE="",IF(TITLE_NUMBER_PR="","",TITLE_NUMBER_PR),TITLE_NUMBER_PR_CHANGE)</f>
        <v>447-т</v>
      </c>
      <c r="AH29" s="2317"/>
      <c r="AI29" s="2317"/>
      <c r="AJ29" s="2317"/>
      <c r="AK29" s="2317"/>
      <c r="AL29" s="2317"/>
      <c r="AM29" s="2317"/>
      <c r="AN29" s="2317"/>
      <c r="AO29" s="2317"/>
      <c r="AP29" s="2317"/>
      <c r="AQ29" s="392"/>
      <c r="AR29" s="392"/>
      <c r="AS29" s="346"/>
      <c r="AT29" s="434"/>
      <c r="AU29" s="434"/>
      <c r="AV29" s="434"/>
      <c r="AW29" s="434"/>
      <c r="AX29" s="434"/>
      <c r="AY29" s="484">
        <v>0</v>
      </c>
    </row>
    <row s="5597"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сайт Департамента тарифной политики, энергетики и ЖКК ЯНАО, https://rek-yamal.ru, 05.12.2024</v>
      </c>
      <c r="W30" s="2317"/>
      <c r="X30" s="2317"/>
      <c r="Y30" s="2317"/>
      <c r="Z30" s="2317"/>
      <c r="AA30" s="2317"/>
      <c r="AB30" s="2317"/>
      <c r="AC30" s="2317"/>
      <c r="AD30" s="2317"/>
      <c r="AE30" s="2317"/>
      <c r="AF30" s="392"/>
      <c r="AG30" s="2317" t="str">
        <f>IF(TITLE_IST_PUB_CHANGE="",IF(TITLE_IST_PUB="","",TITLE_IST_PUB),TITLE_IST_PUB_CHANGE)</f>
        <v>Официальный сайт Департамента тарифной политики, энергетики и ЖКК ЯНАО, https://rek-yamal.ru, 05.12.2024</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597"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45631.41619212963</v>
      </c>
      <c r="W32" s="2330"/>
      <c r="X32" s="2330"/>
      <c r="Y32" s="2330"/>
      <c r="Z32" s="2330"/>
      <c r="AA32" s="2330"/>
      <c r="AB32" s="2330"/>
      <c r="AC32" s="2330"/>
      <c r="AD32" s="2330"/>
      <c r="AE32" s="2330"/>
      <c r="AF32" s="392"/>
      <c r="AG32" s="2330" t="str">
        <f>IF(TITLE_DATE_PR_CHANGE="",IF(TITLE_DATE_PR="","",TITLE_DATE_PR),TITLE_DATE_PR_CHANGE)</f>
        <v>45631.41619212963</v>
      </c>
      <c r="AH32" s="2330"/>
      <c r="AI32" s="2330"/>
      <c r="AJ32" s="2330"/>
      <c r="AK32" s="2330"/>
      <c r="AL32" s="2330"/>
      <c r="AM32" s="2330"/>
      <c r="AN32" s="2330"/>
      <c r="AO32" s="2330"/>
      <c r="AP32" s="2330"/>
      <c r="AQ32" s="392"/>
      <c r="AR32" s="392"/>
      <c r="AS32" s="346"/>
      <c r="AT32" s="434"/>
      <c r="AU32" s="434"/>
      <c r="AV32" s="434"/>
      <c r="AW32" s="434"/>
      <c r="AX32" s="434"/>
      <c r="AY32" s="484">
        <v>0</v>
      </c>
    </row>
    <row s="5597"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447-т</v>
      </c>
      <c r="W33" s="2317"/>
      <c r="X33" s="2317"/>
      <c r="Y33" s="2317"/>
      <c r="Z33" s="2317"/>
      <c r="AA33" s="2317"/>
      <c r="AB33" s="2317"/>
      <c r="AC33" s="2317"/>
      <c r="AD33" s="2317"/>
      <c r="AE33" s="2317"/>
      <c r="AF33" s="392"/>
      <c r="AG33" s="2317" t="str">
        <f>IF(TITLE_NUMBER_PR_CHANGE="",IF(TITLE_NUMBER_PR="","",TITLE_NUMBER_PR),TITLE_NUMBER_PR_CHANGE)</f>
        <v>447-т</v>
      </c>
      <c r="AH33" s="2317"/>
      <c r="AI33" s="2317"/>
      <c r="AJ33" s="2317"/>
      <c r="AK33" s="2317"/>
      <c r="AL33" s="2317"/>
      <c r="AM33" s="2317"/>
      <c r="AN33" s="2317"/>
      <c r="AO33" s="2317"/>
      <c r="AP33" s="2317"/>
      <c r="AQ33" s="392"/>
      <c r="AR33" s="392"/>
      <c r="AS33" s="346"/>
      <c r="AT33" s="434"/>
      <c r="AU33" s="434"/>
      <c r="AV33" s="434"/>
      <c r="AW33" s="434"/>
      <c r="AX33" s="434"/>
      <c r="AY33" s="484">
        <v>0</v>
      </c>
    </row>
    <row s="5597"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1701"/>
      <c r="AC34" s="392"/>
      <c r="AD34" s="392"/>
      <c r="AE34" s="392"/>
      <c r="AF34" s="344" t="s">
        <v>433</v>
      </c>
      <c r="AG34" s="392"/>
      <c r="AH34" s="1701"/>
      <c r="AI34" s="1701"/>
      <c r="AJ34" s="1701"/>
      <c r="AK34" s="1701"/>
      <c r="AL34" s="1701"/>
      <c r="AM34" s="392"/>
      <c r="AN34" s="392"/>
      <c r="AO34" s="392"/>
      <c r="AP34" s="392"/>
      <c r="AQ34" s="344" t="s">
        <v>433</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310</v>
      </c>
      <c r="AY36" s="1221">
        <v>14</v>
      </c>
    </row>
    <row customHeight="1" ht="14.699999999999998">
      <c r="Q37" s="442"/>
      <c r="R37" s="442"/>
      <c r="S37" s="2339" t="s">
        <v>93</v>
      </c>
      <c r="T37" s="2275" t="s">
        <v>434</v>
      </c>
      <c r="U37" s="367"/>
      <c r="V37" s="2340" t="s">
        <v>435</v>
      </c>
      <c r="W37" s="2357"/>
      <c r="X37" s="2357"/>
      <c r="Y37" s="2357"/>
      <c r="Z37" s="2357"/>
      <c r="AA37" s="2357"/>
      <c r="AB37" s="2357"/>
      <c r="AC37" s="2341"/>
      <c r="AD37" s="2341"/>
      <c r="AE37" s="2342"/>
      <c r="AF37" s="2343" t="s">
        <v>436</v>
      </c>
      <c r="AG37" s="2340" t="s">
        <v>435</v>
      </c>
      <c r="AH37" s="2341"/>
      <c r="AI37" s="2341"/>
      <c r="AJ37" s="2341"/>
      <c r="AK37" s="2341"/>
      <c r="AL37" s="2341"/>
      <c r="AM37" s="2341"/>
      <c r="AN37" s="2341"/>
      <c r="AO37" s="2341"/>
      <c r="AP37" s="2342"/>
      <c r="AQ37" s="2343" t="s">
        <v>437</v>
      </c>
      <c r="AR37" s="2346" t="s">
        <v>438</v>
      </c>
      <c r="AS37" s="2193"/>
      <c r="AY37" s="1221">
        <v>14</v>
      </c>
    </row>
    <row customHeight="1" ht="19.95">
      <c r="Q38" s="442"/>
      <c r="R38" s="442"/>
      <c r="S38" s="2339"/>
      <c r="T38" s="2275"/>
      <c r="U38" s="1097"/>
      <c r="V38" s="2432" t="s">
        <v>541</v>
      </c>
      <c r="W38" s="2431" t="s">
        <v>542</v>
      </c>
      <c r="X38" s="2431"/>
      <c r="Y38" s="2431"/>
      <c r="Z38" s="2431" t="s">
        <v>543</v>
      </c>
      <c r="AA38" s="2431"/>
      <c r="AB38" s="2431"/>
      <c r="AC38" s="2360" t="s">
        <v>442</v>
      </c>
      <c r="AD38" s="2379"/>
      <c r="AE38" s="2380"/>
      <c r="AF38" s="2344"/>
      <c r="AG38" s="2432" t="s">
        <v>541</v>
      </c>
      <c r="AH38" s="2431" t="s">
        <v>542</v>
      </c>
      <c r="AI38" s="2431"/>
      <c r="AJ38" s="2431"/>
      <c r="AK38" s="2431" t="s">
        <v>543</v>
      </c>
      <c r="AL38" s="2431"/>
      <c r="AM38" s="2431"/>
      <c r="AN38" s="2360" t="s">
        <v>442</v>
      </c>
      <c r="AO38" s="2379"/>
      <c r="AP38" s="2380"/>
      <c r="AQ38" s="2344"/>
      <c r="AR38" s="2347"/>
      <c r="AS38" s="2193"/>
      <c r="AY38" s="1221">
        <v>19</v>
      </c>
    </row>
    <row s="5053" customFormat="1" customHeight="1" ht="19.95">
      <c r="A39" s="1432"/>
      <c r="B39" s="1432"/>
      <c r="C39" s="1432"/>
      <c r="D39" s="1432"/>
      <c r="E39" s="1432"/>
      <c r="F39" s="1432"/>
      <c r="G39" s="1432"/>
      <c r="H39" s="1432"/>
      <c r="I39" s="1432"/>
      <c r="J39" s="1432"/>
      <c r="K39" s="1432"/>
      <c r="L39" s="2017"/>
      <c r="M39" s="1428"/>
      <c r="N39" s="1428"/>
      <c r="O39" s="1428"/>
      <c r="P39" s="2031"/>
      <c r="Q39" s="442"/>
      <c r="R39" s="442"/>
      <c r="S39" s="2339"/>
      <c r="T39" s="2275"/>
      <c r="U39" s="1097"/>
      <c r="V39" s="2432"/>
      <c r="W39" s="2431" t="s">
        <v>544</v>
      </c>
      <c r="X39" s="2431" t="s">
        <v>545</v>
      </c>
      <c r="Y39" s="2431"/>
      <c r="Z39" s="2431" t="s">
        <v>546</v>
      </c>
      <c r="AA39" s="2431" t="s">
        <v>545</v>
      </c>
      <c r="AB39" s="2431"/>
      <c r="AC39" s="2361"/>
      <c r="AD39" s="2381"/>
      <c r="AE39" s="2382"/>
      <c r="AF39" s="2344"/>
      <c r="AG39" s="2432"/>
      <c r="AH39" s="2431" t="s">
        <v>544</v>
      </c>
      <c r="AI39" s="2431" t="s">
        <v>545</v>
      </c>
      <c r="AJ39" s="2431"/>
      <c r="AK39" s="2431" t="s">
        <v>546</v>
      </c>
      <c r="AL39" s="2431" t="s">
        <v>545</v>
      </c>
      <c r="AM39" s="2431"/>
      <c r="AN39" s="2361"/>
      <c r="AO39" s="2381"/>
      <c r="AP39" s="2382"/>
      <c r="AQ39" s="2344"/>
      <c r="AR39" s="2347"/>
      <c r="AS39" s="2193"/>
      <c r="AT39" s="1702"/>
      <c r="AU39" s="1702"/>
      <c r="AV39" s="1702"/>
      <c r="AW39" s="1702"/>
      <c r="AX39" s="1702"/>
      <c r="AY39" s="1697">
        <v>19</v>
      </c>
    </row>
    <row customHeight="1" ht="61.949999999999996">
      <c r="A40" s="1436"/>
      <c r="B40" s="1436" t="s">
        <v>140</v>
      </c>
      <c r="C40" s="1436" t="s">
        <v>141</v>
      </c>
      <c r="D40" s="1436" t="s">
        <v>142</v>
      </c>
      <c r="E40" s="1430" t="s">
        <v>443</v>
      </c>
      <c r="F40" s="1430" t="s">
        <v>444</v>
      </c>
      <c r="G40" s="1430" t="s">
        <v>445</v>
      </c>
      <c r="H40" s="1430"/>
      <c r="I40" s="1430" t="s">
        <v>499</v>
      </c>
      <c r="J40" s="1430" t="s">
        <v>448</v>
      </c>
      <c r="K40" s="1430" t="s">
        <v>500</v>
      </c>
      <c r="L40" s="1430" t="s">
        <v>424</v>
      </c>
      <c r="Q40" s="442"/>
      <c r="R40" s="442"/>
      <c r="S40" s="2339"/>
      <c r="T40" s="2275"/>
      <c r="U40" s="368"/>
      <c r="V40" s="2432"/>
      <c r="W40" s="2431"/>
      <c r="X40" s="2049" t="s">
        <v>547</v>
      </c>
      <c r="Y40" s="2049" t="s">
        <v>548</v>
      </c>
      <c r="Z40" s="2431"/>
      <c r="AA40" s="2049" t="s">
        <v>549</v>
      </c>
      <c r="AB40" s="2049" t="s">
        <v>550</v>
      </c>
      <c r="AC40" s="1555" t="s">
        <v>452</v>
      </c>
      <c r="AD40" s="2336" t="s">
        <v>453</v>
      </c>
      <c r="AE40" s="2337"/>
      <c r="AF40" s="2345"/>
      <c r="AG40" s="2432"/>
      <c r="AH40" s="2431"/>
      <c r="AI40" s="2049" t="s">
        <v>547</v>
      </c>
      <c r="AJ40" s="2049" t="s">
        <v>548</v>
      </c>
      <c r="AK40" s="2431"/>
      <c r="AL40" s="2049" t="s">
        <v>549</v>
      </c>
      <c r="AM40" s="2049" t="s">
        <v>550</v>
      </c>
      <c r="AN40" s="1555" t="s">
        <v>452</v>
      </c>
      <c r="AO40" s="2336" t="s">
        <v>453</v>
      </c>
      <c r="AP40" s="2337"/>
      <c r="AQ40" s="2345"/>
      <c r="AR40" s="2348"/>
      <c r="AS40" s="2193"/>
      <c r="AY40" s="1221">
        <v>59</v>
      </c>
    </row>
    <row s="4153"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114</v>
      </c>
      <c r="T41" s="1321" t="s">
        <v>115</v>
      </c>
      <c r="U41" s="1311" t="str">
        <f>OFFSET(U41,0,-1)</f>
        <v>2</v>
      </c>
      <c r="V41" s="1548">
        <f>OFFSET(V41,0,-1)+1</f>
        <v>3</v>
      </c>
      <c r="W41" s="1407"/>
      <c r="X41" s="1407"/>
      <c r="Y41" s="1407"/>
      <c r="Z41" s="1407"/>
      <c r="AA41" s="1407"/>
      <c r="AB41" s="1407"/>
      <c r="AC41" s="1548">
        <f>OFFSET(AC41,0,-1)+1</f>
        <v>1</v>
      </c>
      <c r="AD41" s="2338">
        <f>OFFSET(AD41,0,-1)+1</f>
        <v>2</v>
      </c>
      <c r="AE41" s="2338"/>
      <c r="AF41" s="1548">
        <f>OFFSET(AF41,0,-2)+1</f>
        <v>3</v>
      </c>
      <c r="AG41" s="1548">
        <f>OFFSET(AG41,0,-1)+1</f>
        <v>4</v>
      </c>
      <c r="AH41" s="2022"/>
      <c r="AI41" s="2022"/>
      <c r="AJ41" s="2022"/>
      <c r="AK41" s="2022"/>
      <c r="AL41" s="2022"/>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260</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128</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260</v>
      </c>
      <c r="B43" s="1429" t="s">
        <v>261</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406</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407</v>
      </c>
      <c r="AU43" s="566"/>
      <c r="AV43" s="566" t="str">
        <f>IF(T43="","",T43)</f>
        <v>Территория действия тарифа</v>
      </c>
      <c r="AW43" s="566"/>
      <c r="AX43" s="566"/>
      <c r="AY43" s="1221">
        <v>23</v>
      </c>
    </row>
    <row customHeight="1" ht="24">
      <c r="A44" s="1429" t="s">
        <v>260</v>
      </c>
      <c r="B44" s="1429" t="s">
        <v>261</v>
      </c>
      <c r="C44" s="1429" t="s">
        <v>262</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539</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540</v>
      </c>
      <c r="AU44" s="566"/>
      <c r="AV44" s="566" t="str">
        <f>IF(T44="","",T44)</f>
        <v>Наименование централизованной системы горячего водоснабжения</v>
      </c>
      <c r="AW44" s="566"/>
      <c r="AX44" s="566"/>
      <c r="AY44" s="1221">
        <v>23</v>
      </c>
    </row>
    <row customHeight="1" ht="24">
      <c r="A45" s="1429" t="s">
        <v>260</v>
      </c>
      <c r="B45" s="1429" t="s">
        <v>261</v>
      </c>
      <c r="C45" s="1429" t="s">
        <v>262</v>
      </c>
      <c r="D45" s="1429" t="s">
        <v>551</v>
      </c>
      <c r="E45" s="2325"/>
      <c r="F45" s="2325"/>
      <c r="G45" s="2325"/>
      <c r="H45" s="2325"/>
      <c r="I45" s="2322" t="str">
        <f>S44&amp;".1"</f>
        <v>...1</v>
      </c>
      <c r="J45" s="1429"/>
      <c r="K45" s="1429"/>
      <c r="L45" s="1430"/>
      <c r="P45" s="2323">
        <v>1</v>
      </c>
      <c r="Q45" s="1547"/>
      <c r="R45" s="422"/>
      <c r="S45" s="1559" t="str">
        <f>$I45</f>
        <v>...1</v>
      </c>
      <c r="T45" s="351" t="s">
        <v>492</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493</v>
      </c>
      <c r="AU45" s="566"/>
      <c r="AV45" s="566" t="str">
        <f>IF(T45="","",T45)</f>
        <v>Наименование признака дифференциации</v>
      </c>
      <c r="AW45" s="566"/>
      <c r="AX45" s="566"/>
      <c r="AY45" s="1221">
        <v>23</v>
      </c>
    </row>
    <row customHeight="1" ht="24">
      <c r="A46" s="1429" t="s">
        <v>260</v>
      </c>
      <c r="B46" s="1429" t="s">
        <v>261</v>
      </c>
      <c r="C46" s="1429" t="s">
        <v>262</v>
      </c>
      <c r="D46" s="1429" t="s">
        <v>551</v>
      </c>
      <c r="E46" s="2325"/>
      <c r="F46" s="2325"/>
      <c r="G46" s="2325"/>
      <c r="H46" s="2325"/>
      <c r="I46" s="2352"/>
      <c r="J46" s="2322" t="str">
        <f>I45&amp;".1"</f>
        <v>...1.1</v>
      </c>
      <c r="K46" s="1429"/>
      <c r="L46" s="1430" t="s">
        <v>415</v>
      </c>
      <c r="P46" s="2323"/>
      <c r="Q46" s="2323">
        <v>1</v>
      </c>
      <c r="R46" s="423"/>
      <c r="S46" s="1559" t="str">
        <f>$J46</f>
        <v>...1.1</v>
      </c>
      <c r="T46" s="352" t="s">
        <v>416</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494</v>
      </c>
      <c r="AU46" s="566"/>
      <c r="AV46" s="566" t="str">
        <f>IF(T46="","",T46)</f>
        <v>Группа потребителей</v>
      </c>
      <c r="AW46" s="566"/>
      <c r="AX46" s="566"/>
      <c r="AY46" s="1221">
        <v>23</v>
      </c>
    </row>
    <row customHeight="1" ht="24">
      <c r="A47" s="1429" t="s">
        <v>260</v>
      </c>
      <c r="B47" s="1429" t="s">
        <v>261</v>
      </c>
      <c r="C47" s="1429" t="s">
        <v>262</v>
      </c>
      <c r="D47" s="1429" t="s">
        <v>551</v>
      </c>
      <c r="E47" s="2325"/>
      <c r="F47" s="2325"/>
      <c r="G47" s="2325"/>
      <c r="H47" s="2325"/>
      <c r="I47" s="2352"/>
      <c r="J47" s="2352"/>
      <c r="K47" s="2322" t="str">
        <f>J46&amp;".1"</f>
        <v>...1.1.1</v>
      </c>
      <c r="L47" s="1430"/>
      <c r="P47" s="2323"/>
      <c r="Q47" s="2323"/>
      <c r="R47" s="423">
        <v>1</v>
      </c>
      <c r="S47" s="1559" t="str">
        <f>$K47</f>
        <v>...1.1.1</v>
      </c>
      <c r="T47" s="1503"/>
      <c r="U47" s="366"/>
      <c r="V47" s="817"/>
      <c r="W47" s="817"/>
      <c r="X47" s="817"/>
      <c r="Y47" s="817"/>
      <c r="Z47" s="817"/>
      <c r="AA47" s="817"/>
      <c r="AB47" s="817"/>
      <c r="AC47" s="2333"/>
      <c r="AD47" s="2334" t="s">
        <v>71</v>
      </c>
      <c r="AE47" s="2333"/>
      <c r="AF47" s="2334" t="s">
        <v>71</v>
      </c>
      <c r="AG47" s="817"/>
      <c r="AH47" s="817"/>
      <c r="AI47" s="817"/>
      <c r="AJ47" s="817"/>
      <c r="AK47" s="817"/>
      <c r="AL47" s="817"/>
      <c r="AM47" s="817"/>
      <c r="AN47" s="2331"/>
      <c r="AO47" s="2173" t="s">
        <v>71</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260</v>
      </c>
      <c r="B48" s="1429" t="s">
        <v>261</v>
      </c>
      <c r="C48" s="1429" t="s">
        <v>262</v>
      </c>
      <c r="D48" s="1429" t="s">
        <v>551</v>
      </c>
      <c r="E48" s="2325"/>
      <c r="F48" s="2325"/>
      <c r="G48" s="2325"/>
      <c r="H48" s="2325"/>
      <c r="I48" s="2352"/>
      <c r="J48" s="2352"/>
      <c r="K48" s="2322"/>
      <c r="L48" s="1430"/>
      <c r="P48" s="2323"/>
      <c r="Q48" s="2323"/>
      <c r="R48" s="423"/>
      <c r="S48" s="1556"/>
      <c r="T48" s="366"/>
      <c r="U48" s="366"/>
      <c r="V48" s="1426"/>
      <c r="W48" s="1426"/>
      <c r="X48" s="1426"/>
      <c r="Y48" s="1426"/>
      <c r="Z48" s="1426"/>
      <c r="AA48" s="1426"/>
      <c r="AB48" s="1426"/>
      <c r="AC48" s="2334"/>
      <c r="AD48" s="2334"/>
      <c r="AE48" s="2334"/>
      <c r="AF48" s="2334"/>
      <c r="AG48" s="391"/>
      <c r="AH48" s="391"/>
      <c r="AI48" s="391"/>
      <c r="AJ48" s="391"/>
      <c r="AK48" s="391"/>
      <c r="AL48" s="391"/>
      <c r="AM48" s="391"/>
      <c r="AN48" s="2332"/>
      <c r="AO48" s="2173"/>
      <c r="AP48" s="2354"/>
      <c r="AQ48" s="2173"/>
      <c r="AR48" s="1505"/>
      <c r="AS48" s="2415"/>
      <c r="AU48" s="566"/>
      <c r="AV48" s="566" t="str">
        <f>IF(T48="","",T48)</f>
        <v/>
      </c>
      <c r="AW48" s="566"/>
      <c r="AX48" s="566"/>
      <c r="AY48" s="1221">
        <v>0</v>
      </c>
    </row>
    <row customHeight="1" ht="21">
      <c r="A49" s="1429" t="s">
        <v>260</v>
      </c>
      <c r="B49" s="1429" t="s">
        <v>261</v>
      </c>
      <c r="C49" s="1429" t="s">
        <v>262</v>
      </c>
      <c r="D49" s="1429" t="s">
        <v>551</v>
      </c>
      <c r="E49" s="2325"/>
      <c r="F49" s="2325"/>
      <c r="G49" s="2325"/>
      <c r="H49" s="2325"/>
      <c r="I49" s="2352"/>
      <c r="J49" s="2322"/>
      <c r="K49" s="1429"/>
      <c r="L49" s="1430"/>
      <c r="P49" s="2323"/>
      <c r="Q49" s="2323"/>
      <c r="R49" s="422"/>
      <c r="S49" s="1344"/>
      <c r="T49" s="353" t="s">
        <v>495</v>
      </c>
      <c r="U49" s="433"/>
      <c r="V49" s="433"/>
      <c r="W49" s="666"/>
      <c r="X49" s="666"/>
      <c r="Y49" s="666"/>
      <c r="Z49" s="666"/>
      <c r="AA49" s="666"/>
      <c r="AB49" s="666"/>
      <c r="AC49" s="433"/>
      <c r="AD49" s="433"/>
      <c r="AE49" s="433"/>
      <c r="AF49" s="433"/>
      <c r="AG49" s="433"/>
      <c r="AH49" s="666"/>
      <c r="AI49" s="666"/>
      <c r="AJ49" s="666"/>
      <c r="AK49" s="666"/>
      <c r="AL49" s="666"/>
      <c r="AM49" s="433"/>
      <c r="AN49" s="433"/>
      <c r="AO49" s="433"/>
      <c r="AP49" s="433"/>
      <c r="AQ49" s="433"/>
      <c r="AR49" s="433"/>
      <c r="AS49" s="1324" t="s">
        <v>496</v>
      </c>
      <c r="AU49" s="566"/>
      <c r="AV49" s="566" t="str">
        <f>IF(T49="","",T49)</f>
        <v>Добавить значение признака дифференциации</v>
      </c>
      <c r="AW49" s="566"/>
      <c r="AX49" s="566"/>
      <c r="AY49" s="1221">
        <v>20</v>
      </c>
    </row>
    <row customHeight="1" ht="22.049999999999997">
      <c r="A50" s="1429" t="s">
        <v>260</v>
      </c>
      <c r="B50" s="1429" t="s">
        <v>261</v>
      </c>
      <c r="C50" s="1429" t="s">
        <v>262</v>
      </c>
      <c r="D50" s="1429" t="s">
        <v>551</v>
      </c>
      <c r="E50" s="2325"/>
      <c r="F50" s="2325"/>
      <c r="G50" s="2325"/>
      <c r="H50" s="2325"/>
      <c r="I50" s="2322"/>
      <c r="J50" s="1429"/>
      <c r="K50" s="1429"/>
      <c r="L50" s="1430"/>
      <c r="P50" s="2323"/>
      <c r="Q50" s="1547"/>
      <c r="R50" s="422"/>
      <c r="S50" s="1344"/>
      <c r="T50" s="431" t="s">
        <v>421</v>
      </c>
      <c r="U50" s="433"/>
      <c r="V50" s="433"/>
      <c r="W50" s="666"/>
      <c r="X50" s="666"/>
      <c r="Y50" s="666"/>
      <c r="Z50" s="666"/>
      <c r="AA50" s="666"/>
      <c r="AB50" s="666"/>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260</v>
      </c>
      <c r="B51" s="1429" t="s">
        <v>261</v>
      </c>
      <c r="C51" s="1429" t="s">
        <v>262</v>
      </c>
      <c r="D51" s="1429" t="s">
        <v>551</v>
      </c>
      <c r="E51" s="2325"/>
      <c r="F51" s="2325"/>
      <c r="G51" s="2325"/>
      <c r="H51" s="2324"/>
      <c r="I51" s="1429"/>
      <c r="J51" s="1429"/>
      <c r="K51" s="1429"/>
      <c r="L51" s="1430"/>
      <c r="M51" s="1431"/>
      <c r="N51" s="1431"/>
      <c r="O51" s="603"/>
      <c r="P51" s="426"/>
      <c r="Q51" s="441"/>
      <c r="R51" s="421"/>
      <c r="S51" s="1344"/>
      <c r="T51" s="438" t="s">
        <v>497</v>
      </c>
      <c r="U51" s="433"/>
      <c r="V51" s="433"/>
      <c r="W51" s="666"/>
      <c r="X51" s="666"/>
      <c r="Y51" s="666"/>
      <c r="Z51" s="666"/>
      <c r="AA51" s="666"/>
      <c r="AB51" s="666"/>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562" customFormat="1" customHeight="1" ht="0">
      <c r="A52" s="1409" t="s">
        <v>260</v>
      </c>
      <c r="B52" s="1409" t="s">
        <v>261</v>
      </c>
      <c r="C52" s="1380"/>
      <c r="D52" s="1380"/>
      <c r="E52" s="2325"/>
      <c r="F52" s="2324"/>
      <c r="G52" s="1380"/>
      <c r="H52" s="1380"/>
      <c r="I52" s="1380"/>
      <c r="J52" s="1380"/>
      <c r="K52" s="1380"/>
      <c r="L52" s="1560"/>
      <c r="M52" s="1387"/>
      <c r="N52" s="1387"/>
      <c r="P52" s="1382"/>
      <c r="Q52" s="1383"/>
      <c r="R52" s="1382"/>
      <c r="S52" s="1388"/>
      <c r="T52" s="1391" t="s">
        <v>174</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562" customFormat="1" customHeight="1" ht="0">
      <c r="A53" s="1409" t="s">
        <v>260</v>
      </c>
      <c r="B53" s="1409"/>
      <c r="C53" s="1409"/>
      <c r="D53" s="1409"/>
      <c r="E53" s="2324"/>
      <c r="F53" s="1409"/>
      <c r="G53" s="1409"/>
      <c r="H53" s="1409"/>
      <c r="I53" s="1409"/>
      <c r="J53" s="1409"/>
      <c r="K53" s="1409"/>
      <c r="L53" s="1412"/>
      <c r="M53" s="1387"/>
      <c r="N53" s="1387"/>
      <c r="O53" s="584"/>
      <c r="P53" s="446"/>
      <c r="Q53" s="1410"/>
      <c r="R53" s="446"/>
      <c r="S53" s="1388"/>
      <c r="T53" s="1391" t="s">
        <v>175</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562"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176</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87</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697">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7D2DB-E7EE-7E1C-561A-298FC642545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5002" width="10.57421875" hidden="1"/>
    <col min="2" max="2" style="5002" width="11.00390625" hidden="1" customWidth="1"/>
    <col min="3" max="3" style="5002" width="10.57421875" hidden="1"/>
    <col min="4" max="4" style="5002" width="11.8515625" hidden="1" customWidth="1"/>
    <col min="5" max="5" style="5002" width="10.00390625" hidden="1" customWidth="1"/>
    <col min="6" max="6" style="5002" width="8.7109375" hidden="1" customWidth="1"/>
    <col min="7" max="7" style="5002" width="7.57421875" hidden="1" customWidth="1"/>
    <col min="8" max="8" style="5002" width="11.421875" hidden="1" customWidth="1"/>
    <col min="9" max="9" style="5002" width="14.140625" hidden="1" customWidth="1"/>
    <col min="10" max="10" style="5002" width="9.8515625" hidden="1" customWidth="1"/>
    <col min="11" max="11" style="5002" width="14.7109375" hidden="1" customWidth="1"/>
    <col min="12" max="12" style="5519" width="19.140625" hidden="1" customWidth="1"/>
    <col min="13" max="14" style="4246" width="12.28125" hidden="1" customWidth="1"/>
    <col min="15" max="15" style="4246" width="23.421875" hidden="1" customWidth="1"/>
    <col min="16" max="16" style="5737" width="3.00390625" customWidth="1"/>
    <col min="17" max="18" style="5023" width="3.00390625" customWidth="1"/>
    <col min="19" max="19" style="5711" width="12.00390625" customWidth="1"/>
    <col min="20" max="20" style="5053" width="35.00390625" customWidth="1"/>
    <col min="21" max="21" style="5053" width="0.140625" customWidth="1"/>
    <col min="22" max="28" style="5053" width="19.7109375" hidden="1" customWidth="1"/>
    <col min="29" max="29" style="5053" width="11.7109375" hidden="1" customWidth="1"/>
    <col min="30" max="30" style="5053" width="3.7109375" hidden="1" customWidth="1"/>
    <col min="31" max="31" style="5053" width="11.7109375" hidden="1" customWidth="1"/>
    <col min="32" max="32" style="5053" width="8.57421875" hidden="1" customWidth="1"/>
    <col min="33" max="33" style="5053" width="19.7109375" customWidth="1"/>
    <col min="34" max="39" style="5053" width="19.00390625" customWidth="1"/>
    <col min="40" max="40" style="5053" width="11.00390625" customWidth="1"/>
    <col min="41" max="41" style="5053" width="3.7109375" customWidth="1"/>
    <col min="42" max="42" style="5053" width="11.00390625" customWidth="1"/>
    <col min="43" max="43" style="5053" width="8.57421875" hidden="1" customWidth="1"/>
    <col min="44" max="44" style="5053" width="4.00390625" customWidth="1"/>
    <col min="45" max="45" style="5053" width="115.00390625" customWidth="1"/>
    <col min="46" max="50" style="4562" width="10.00390625" customWidth="1"/>
    <col min="51" max="51" style="5053" width="10.57421875" hidden="1"/>
  </cols>
  <sheetData>
    <row customHeight="1" ht="22.5" hidden="1">
      <c r="AB1" s="393"/>
      <c r="AC1" s="393"/>
      <c r="AM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128</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406</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407</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539</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540</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492</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493</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415</v>
      </c>
      <c r="P6" s="2323"/>
      <c r="Q6" s="2323">
        <v>1</v>
      </c>
      <c r="R6" s="423"/>
      <c r="S6" s="1559">
        <f>$J6</f>
      </c>
      <c r="T6" s="352" t="s">
        <v>416</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494</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1323"/>
      <c r="AC7" s="2331"/>
      <c r="AD7" s="2173" t="s">
        <v>71</v>
      </c>
      <c r="AE7" s="2331"/>
      <c r="AF7" s="2173" t="s">
        <v>71</v>
      </c>
      <c r="AG7" s="817"/>
      <c r="AH7" s="817"/>
      <c r="AI7" s="817"/>
      <c r="AJ7" s="817"/>
      <c r="AK7" s="817"/>
      <c r="AL7" s="817"/>
      <c r="AM7" s="1323"/>
      <c r="AN7" s="2331"/>
      <c r="AO7" s="2173" t="s">
        <v>71</v>
      </c>
      <c r="AP7" s="2353"/>
      <c r="AQ7" s="2173" t="s">
        <v>71</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4" t="str">
        <f>AC7&amp;"-"&amp;AE7</f>
        <v>-</v>
      </c>
      <c r="AC8" s="2332"/>
      <c r="AD8" s="2173"/>
      <c r="AE8" s="2332"/>
      <c r="AF8" s="2173"/>
      <c r="AG8" s="391"/>
      <c r="AH8" s="391"/>
      <c r="AI8" s="391"/>
      <c r="AJ8" s="391"/>
      <c r="AK8" s="391"/>
      <c r="AL8" s="391"/>
      <c r="AM8" s="394" t="str">
        <f>AN7&amp;"-"&amp;AP7</f>
        <v>-</v>
      </c>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495</v>
      </c>
      <c r="U9" s="433"/>
      <c r="V9" s="433"/>
      <c r="W9" s="666"/>
      <c r="X9" s="666"/>
      <c r="Y9" s="666"/>
      <c r="Z9" s="666"/>
      <c r="AA9" s="666"/>
      <c r="AB9" s="433"/>
      <c r="AC9" s="433"/>
      <c r="AD9" s="433"/>
      <c r="AE9" s="433"/>
      <c r="AF9" s="433"/>
      <c r="AG9" s="433"/>
      <c r="AH9" s="666"/>
      <c r="AI9" s="666"/>
      <c r="AJ9" s="666"/>
      <c r="AK9" s="666"/>
      <c r="AL9" s="666"/>
      <c r="AM9" s="433"/>
      <c r="AN9" s="433"/>
      <c r="AO9" s="433"/>
      <c r="AP9" s="433"/>
      <c r="AQ9" s="433"/>
      <c r="AR9" s="433"/>
      <c r="AS9" s="1324" t="s">
        <v>496</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421</v>
      </c>
      <c r="U10" s="433"/>
      <c r="V10" s="433"/>
      <c r="W10" s="666"/>
      <c r="X10" s="666"/>
      <c r="Y10" s="666"/>
      <c r="Z10" s="666"/>
      <c r="AA10" s="666"/>
      <c r="AB10" s="433"/>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497</v>
      </c>
      <c r="U11" s="433"/>
      <c r="V11" s="433"/>
      <c r="W11" s="666"/>
      <c r="X11" s="666"/>
      <c r="Y11" s="666"/>
      <c r="Z11" s="666"/>
      <c r="AA11" s="666"/>
      <c r="AB11" s="433"/>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562"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174</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562"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175</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7"/>
      <c r="AN15" s="2333"/>
      <c r="AO15" s="2334" t="s">
        <v>71</v>
      </c>
      <c r="AP15" s="2333"/>
      <c r="AQ15" s="2334" t="s">
        <v>71</v>
      </c>
      <c r="AY15" s="1221">
        <v>0</v>
      </c>
    </row>
    <row customHeight="1" ht="14.25" hidden="1">
      <c r="AG16" s="1426"/>
      <c r="AH16" s="1426"/>
      <c r="AI16" s="1426"/>
      <c r="AJ16" s="1426"/>
      <c r="AK16" s="1426"/>
      <c r="AL16" s="1426"/>
      <c r="AM16" s="394" t="str">
        <f>AN15&amp;"-"&amp;AP15</f>
        <v>-</v>
      </c>
      <c r="AN16" s="2334"/>
      <c r="AO16" s="2334"/>
      <c r="AP16" s="2334"/>
      <c r="AQ16" s="2334"/>
      <c r="AY16" s="1221">
        <v>0</v>
      </c>
    </row>
    <row customHeight="1" ht="14.25" hidden="1">
      <c r="AQ17" s="393"/>
      <c r="AY17" s="1221">
        <v>0</v>
      </c>
    </row>
    <row s="5002" customFormat="1" customHeight="1" ht="22.5" hidden="1">
      <c r="L18" s="1544"/>
      <c r="M18" s="1428"/>
      <c r="N18" s="1428"/>
      <c r="O18" s="1433" t="s">
        <v>423</v>
      </c>
      <c r="P18" s="1428"/>
      <c r="Q18" s="1437"/>
      <c r="R18" s="1437"/>
      <c r="S18" s="795"/>
      <c r="W18" s="1432"/>
      <c r="X18" s="1432"/>
      <c r="Y18" s="1432"/>
      <c r="Z18" s="1432"/>
      <c r="AA18" s="1432"/>
      <c r="AC18" s="1433"/>
      <c r="AE18" s="1433"/>
      <c r="AF18" s="1432"/>
      <c r="AH18" s="1432"/>
      <c r="AI18" s="1432"/>
      <c r="AJ18" s="1432"/>
      <c r="AK18" s="1432"/>
      <c r="AL18" s="1432"/>
      <c r="AN18" s="1433"/>
      <c r="AP18" s="1433"/>
      <c r="AQ18" s="1432"/>
      <c r="AT18" s="577"/>
      <c r="AU18" s="577"/>
      <c r="AV18" s="577"/>
      <c r="AW18" s="577"/>
      <c r="AX18" s="577"/>
      <c r="AY18" s="1226">
        <v>0</v>
      </c>
    </row>
    <row s="5002" customFormat="1" customHeight="1" ht="14.25" hidden="1">
      <c r="L19" s="1544"/>
      <c r="M19" s="1428"/>
      <c r="N19" s="1428"/>
      <c r="O19" s="1428"/>
      <c r="P19" s="1428"/>
      <c r="Q19" s="1437"/>
      <c r="R19" s="1437"/>
      <c r="S19" s="795"/>
      <c r="W19" s="1432"/>
      <c r="X19" s="1432"/>
      <c r="Y19" s="1432"/>
      <c r="Z19" s="1432"/>
      <c r="AA19" s="1432"/>
      <c r="AF19" s="1432"/>
      <c r="AH19" s="1432"/>
      <c r="AI19" s="1432"/>
      <c r="AJ19" s="1432"/>
      <c r="AK19" s="1432"/>
      <c r="AL19" s="1432"/>
      <c r="AQ19" s="1432"/>
      <c r="AT19" s="577"/>
      <c r="AU19" s="577"/>
      <c r="AV19" s="577"/>
      <c r="AW19" s="577"/>
      <c r="AX19" s="577"/>
      <c r="AY19" s="1226">
        <v>0</v>
      </c>
    </row>
    <row s="5002" customFormat="1" customHeight="1" ht="12" hidden="1">
      <c r="L20" s="1544"/>
      <c r="M20" s="1428"/>
      <c r="N20" s="1428"/>
      <c r="O20" s="1430" t="s">
        <v>424</v>
      </c>
      <c r="P20" s="1428"/>
      <c r="Q20" s="1508"/>
      <c r="R20" s="1508"/>
      <c r="S20" s="795"/>
      <c r="T20" s="1226" t="s">
        <v>425</v>
      </c>
      <c r="W20" s="1432"/>
      <c r="X20" s="1432"/>
      <c r="Y20" s="1432"/>
      <c r="Z20" s="1432"/>
      <c r="AA20" s="1432"/>
      <c r="AD20" s="252" t="s">
        <v>426</v>
      </c>
      <c r="AF20" s="252" t="s">
        <v>427</v>
      </c>
      <c r="AG20" s="1226" t="s">
        <v>425</v>
      </c>
      <c r="AH20" s="1432"/>
      <c r="AI20" s="1432"/>
      <c r="AJ20" s="1432"/>
      <c r="AK20" s="1432"/>
      <c r="AL20" s="1432"/>
      <c r="AO20" s="252" t="s">
        <v>428</v>
      </c>
      <c r="AQ20" s="252" t="s">
        <v>427</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575"/>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597"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Департамент тарифной политики, энергетики и ЖКК ЯНАО </v>
      </c>
      <c r="W27" s="2317"/>
      <c r="X27" s="2317"/>
      <c r="Y27" s="2317"/>
      <c r="Z27" s="2317"/>
      <c r="AA27" s="2317"/>
      <c r="AB27" s="2317"/>
      <c r="AC27" s="2317"/>
      <c r="AD27" s="2317"/>
      <c r="AE27" s="2317"/>
      <c r="AF27" s="392"/>
      <c r="AG27" s="2317" t="str">
        <f>IF(TITLE_NAME_OR_PR_CHANGE="",IF(TITLE_NAME_OR_PR="","",TITLE_NAME_OR_PR),TITLE_NAME_OR_PR_CHANGE)</f>
        <v>Департамент тарифной политики, энергетики и ЖКК ЯНАО </v>
      </c>
      <c r="AH27" s="2317"/>
      <c r="AI27" s="2317"/>
      <c r="AJ27" s="2317"/>
      <c r="AK27" s="2317"/>
      <c r="AL27" s="2317"/>
      <c r="AM27" s="2317"/>
      <c r="AN27" s="2317"/>
      <c r="AO27" s="2317"/>
      <c r="AP27" s="2317"/>
      <c r="AQ27" s="392"/>
      <c r="AR27" s="392"/>
      <c r="AS27" s="346"/>
      <c r="AT27" s="434"/>
      <c r="AU27" s="434"/>
      <c r="AV27" s="434"/>
      <c r="AW27" s="434"/>
      <c r="AX27" s="434"/>
      <c r="AY27" s="484">
        <v>0</v>
      </c>
    </row>
    <row s="5597"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45631.41619212963</v>
      </c>
      <c r="W28" s="2330"/>
      <c r="X28" s="2330"/>
      <c r="Y28" s="2330"/>
      <c r="Z28" s="2330"/>
      <c r="AA28" s="2330"/>
      <c r="AB28" s="2330"/>
      <c r="AC28" s="2330"/>
      <c r="AD28" s="2330"/>
      <c r="AE28" s="2330"/>
      <c r="AF28" s="392"/>
      <c r="AG28" s="2330" t="str">
        <f>IF(TITLE_DATE_PR_CHANGE="",IF(TITLE_DATE_PR="","",TITLE_DATE_PR),TITLE_DATE_PR_CHANGE)</f>
        <v>45631.41619212963</v>
      </c>
      <c r="AH28" s="2330"/>
      <c r="AI28" s="2330"/>
      <c r="AJ28" s="2330"/>
      <c r="AK28" s="2330"/>
      <c r="AL28" s="2330"/>
      <c r="AM28" s="2330"/>
      <c r="AN28" s="2330"/>
      <c r="AO28" s="2330"/>
      <c r="AP28" s="2330"/>
      <c r="AQ28" s="392"/>
      <c r="AR28" s="392"/>
      <c r="AS28" s="346"/>
      <c r="AT28" s="434"/>
      <c r="AU28" s="434"/>
      <c r="AV28" s="434"/>
      <c r="AW28" s="434"/>
      <c r="AX28" s="434"/>
      <c r="AY28" s="484">
        <v>0</v>
      </c>
    </row>
    <row s="5597"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447-т</v>
      </c>
      <c r="W29" s="2317"/>
      <c r="X29" s="2317"/>
      <c r="Y29" s="2317"/>
      <c r="Z29" s="2317"/>
      <c r="AA29" s="2317"/>
      <c r="AB29" s="2317"/>
      <c r="AC29" s="2317"/>
      <c r="AD29" s="2317"/>
      <c r="AE29" s="2317"/>
      <c r="AF29" s="392"/>
      <c r="AG29" s="2317" t="str">
        <f>IF(TITLE_NUMBER_PR_CHANGE="",IF(TITLE_NUMBER_PR="","",TITLE_NUMBER_PR),TITLE_NUMBER_PR_CHANGE)</f>
        <v>447-т</v>
      </c>
      <c r="AH29" s="2317"/>
      <c r="AI29" s="2317"/>
      <c r="AJ29" s="2317"/>
      <c r="AK29" s="2317"/>
      <c r="AL29" s="2317"/>
      <c r="AM29" s="2317"/>
      <c r="AN29" s="2317"/>
      <c r="AO29" s="2317"/>
      <c r="AP29" s="2317"/>
      <c r="AQ29" s="392"/>
      <c r="AR29" s="392"/>
      <c r="AS29" s="346"/>
      <c r="AT29" s="434"/>
      <c r="AU29" s="434"/>
      <c r="AV29" s="434"/>
      <c r="AW29" s="434"/>
      <c r="AX29" s="434"/>
      <c r="AY29" s="484">
        <v>0</v>
      </c>
    </row>
    <row s="5597"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сайт Департамента тарифной политики, энергетики и ЖКК ЯНАО, https://rek-yamal.ru, 05.12.2024</v>
      </c>
      <c r="W30" s="2317"/>
      <c r="X30" s="2317"/>
      <c r="Y30" s="2317"/>
      <c r="Z30" s="2317"/>
      <c r="AA30" s="2317"/>
      <c r="AB30" s="2317"/>
      <c r="AC30" s="2317"/>
      <c r="AD30" s="2317"/>
      <c r="AE30" s="2317"/>
      <c r="AF30" s="392"/>
      <c r="AG30" s="2317" t="str">
        <f>IF(TITLE_IST_PUB_CHANGE="",IF(TITLE_IST_PUB="","",TITLE_IST_PUB),TITLE_IST_PUB_CHANGE)</f>
        <v>Официальный сайт Департамента тарифной политики, энергетики и ЖКК ЯНАО, https://rek-yamal.ru, 05.12.2024</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597"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45631.41619212963</v>
      </c>
      <c r="W32" s="2330"/>
      <c r="X32" s="2330"/>
      <c r="Y32" s="2330"/>
      <c r="Z32" s="2330"/>
      <c r="AA32" s="2330"/>
      <c r="AB32" s="2330"/>
      <c r="AC32" s="2330"/>
      <c r="AD32" s="2330"/>
      <c r="AE32" s="2330"/>
      <c r="AF32" s="392"/>
      <c r="AG32" s="2330" t="str">
        <f>IF(TITLE_DATE_PR_CHANGE="",IF(TITLE_DATE_PR="","",TITLE_DATE_PR),TITLE_DATE_PR_CHANGE)</f>
        <v>45631.41619212963</v>
      </c>
      <c r="AH32" s="2330"/>
      <c r="AI32" s="2330"/>
      <c r="AJ32" s="2330"/>
      <c r="AK32" s="2330"/>
      <c r="AL32" s="2330"/>
      <c r="AM32" s="2330"/>
      <c r="AN32" s="2330"/>
      <c r="AO32" s="2330"/>
      <c r="AP32" s="2330"/>
      <c r="AQ32" s="392"/>
      <c r="AR32" s="392"/>
      <c r="AS32" s="346"/>
      <c r="AT32" s="434"/>
      <c r="AU32" s="434"/>
      <c r="AV32" s="434"/>
      <c r="AW32" s="434"/>
      <c r="AX32" s="434"/>
      <c r="AY32" s="484">
        <v>0</v>
      </c>
    </row>
    <row s="5597"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447-т</v>
      </c>
      <c r="W33" s="2317"/>
      <c r="X33" s="2317"/>
      <c r="Y33" s="2317"/>
      <c r="Z33" s="2317"/>
      <c r="AA33" s="2317"/>
      <c r="AB33" s="2317"/>
      <c r="AC33" s="2317"/>
      <c r="AD33" s="2317"/>
      <c r="AE33" s="2317"/>
      <c r="AF33" s="392"/>
      <c r="AG33" s="2317" t="str">
        <f>IF(TITLE_NUMBER_PR_CHANGE="",IF(TITLE_NUMBER_PR="","",TITLE_NUMBER_PR),TITLE_NUMBER_PR_CHANGE)</f>
        <v>447-т</v>
      </c>
      <c r="AH33" s="2317"/>
      <c r="AI33" s="2317"/>
      <c r="AJ33" s="2317"/>
      <c r="AK33" s="2317"/>
      <c r="AL33" s="2317"/>
      <c r="AM33" s="2317"/>
      <c r="AN33" s="2317"/>
      <c r="AO33" s="2317"/>
      <c r="AP33" s="2317"/>
      <c r="AQ33" s="392"/>
      <c r="AR33" s="392"/>
      <c r="AS33" s="346"/>
      <c r="AT33" s="434"/>
      <c r="AU33" s="434"/>
      <c r="AV33" s="434"/>
      <c r="AW33" s="434"/>
      <c r="AX33" s="434"/>
      <c r="AY33" s="484">
        <v>0</v>
      </c>
    </row>
    <row s="5597"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392"/>
      <c r="AC34" s="392"/>
      <c r="AD34" s="392"/>
      <c r="AE34" s="392"/>
      <c r="AF34" s="344" t="s">
        <v>433</v>
      </c>
      <c r="AG34" s="392"/>
      <c r="AH34" s="1701"/>
      <c r="AI34" s="1701"/>
      <c r="AJ34" s="1701"/>
      <c r="AK34" s="1701"/>
      <c r="AL34" s="1701"/>
      <c r="AM34" s="392"/>
      <c r="AN34" s="392"/>
      <c r="AO34" s="392"/>
      <c r="AP34" s="392"/>
      <c r="AQ34" s="344" t="s">
        <v>433</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310</v>
      </c>
      <c r="AY36" s="1221">
        <v>14</v>
      </c>
    </row>
    <row customHeight="1" ht="14.699999999999998">
      <c r="Q37" s="442"/>
      <c r="R37" s="442"/>
      <c r="S37" s="2339" t="s">
        <v>93</v>
      </c>
      <c r="T37" s="2275" t="s">
        <v>434</v>
      </c>
      <c r="U37" s="367"/>
      <c r="V37" s="2340" t="s">
        <v>435</v>
      </c>
      <c r="W37" s="2341"/>
      <c r="X37" s="2341"/>
      <c r="Y37" s="2341"/>
      <c r="Z37" s="2341"/>
      <c r="AA37" s="2341"/>
      <c r="AB37" s="2341"/>
      <c r="AC37" s="2341"/>
      <c r="AD37" s="2341"/>
      <c r="AE37" s="2342"/>
      <c r="AF37" s="2343" t="s">
        <v>436</v>
      </c>
      <c r="AG37" s="2340" t="s">
        <v>435</v>
      </c>
      <c r="AH37" s="2341"/>
      <c r="AI37" s="2341"/>
      <c r="AJ37" s="2341"/>
      <c r="AK37" s="2341"/>
      <c r="AL37" s="2341"/>
      <c r="AM37" s="2341"/>
      <c r="AN37" s="2341"/>
      <c r="AO37" s="2341"/>
      <c r="AP37" s="2342"/>
      <c r="AQ37" s="2343" t="s">
        <v>437</v>
      </c>
      <c r="AR37" s="2346" t="s">
        <v>438</v>
      </c>
      <c r="AS37" s="2193"/>
      <c r="AY37" s="1221">
        <v>14</v>
      </c>
    </row>
    <row s="5053" customFormat="1" customHeight="1" ht="19.95">
      <c r="A38" s="1432"/>
      <c r="B38" s="1432"/>
      <c r="C38" s="1432"/>
      <c r="D38" s="1432"/>
      <c r="E38" s="1432"/>
      <c r="F38" s="1432"/>
      <c r="G38" s="1432"/>
      <c r="H38" s="1432"/>
      <c r="I38" s="1432"/>
      <c r="J38" s="1432"/>
      <c r="K38" s="1432"/>
      <c r="L38" s="2046"/>
      <c r="M38" s="1428"/>
      <c r="N38" s="1428"/>
      <c r="O38" s="1428"/>
      <c r="P38" s="2047"/>
      <c r="Q38" s="442"/>
      <c r="R38" s="442"/>
      <c r="S38" s="2339"/>
      <c r="T38" s="2275"/>
      <c r="U38" s="1097"/>
      <c r="V38" s="2432" t="s">
        <v>541</v>
      </c>
      <c r="W38" s="2431" t="s">
        <v>542</v>
      </c>
      <c r="X38" s="2431"/>
      <c r="Y38" s="2431"/>
      <c r="Z38" s="2431" t="s">
        <v>543</v>
      </c>
      <c r="AA38" s="2431"/>
      <c r="AB38" s="2431"/>
      <c r="AC38" s="2360" t="s">
        <v>442</v>
      </c>
      <c r="AD38" s="2379"/>
      <c r="AE38" s="2380"/>
      <c r="AF38" s="2344"/>
      <c r="AG38" s="2432" t="s">
        <v>541</v>
      </c>
      <c r="AH38" s="2431" t="s">
        <v>542</v>
      </c>
      <c r="AI38" s="2431"/>
      <c r="AJ38" s="2431"/>
      <c r="AK38" s="2431" t="s">
        <v>543</v>
      </c>
      <c r="AL38" s="2431"/>
      <c r="AM38" s="2431"/>
      <c r="AN38" s="2360" t="s">
        <v>442</v>
      </c>
      <c r="AO38" s="2379"/>
      <c r="AP38" s="2380"/>
      <c r="AQ38" s="2344"/>
      <c r="AR38" s="2347"/>
      <c r="AS38" s="2193"/>
      <c r="AT38" s="1702"/>
      <c r="AU38" s="1702"/>
      <c r="AV38" s="1702"/>
      <c r="AW38" s="1702"/>
      <c r="AX38" s="1702"/>
      <c r="AY38" s="1697">
        <v>19</v>
      </c>
    </row>
    <row customHeight="1" ht="19.95">
      <c r="Q39" s="442"/>
      <c r="R39" s="442"/>
      <c r="S39" s="2339"/>
      <c r="T39" s="2275"/>
      <c r="U39" s="1097"/>
      <c r="V39" s="2432"/>
      <c r="W39" s="2431" t="s">
        <v>544</v>
      </c>
      <c r="X39" s="2431" t="s">
        <v>545</v>
      </c>
      <c r="Y39" s="2431"/>
      <c r="Z39" s="2431" t="s">
        <v>546</v>
      </c>
      <c r="AA39" s="2431" t="s">
        <v>545</v>
      </c>
      <c r="AB39" s="2431"/>
      <c r="AC39" s="2361"/>
      <c r="AD39" s="2381"/>
      <c r="AE39" s="2382"/>
      <c r="AF39" s="2344"/>
      <c r="AG39" s="2432"/>
      <c r="AH39" s="2431" t="s">
        <v>544</v>
      </c>
      <c r="AI39" s="2431" t="s">
        <v>545</v>
      </c>
      <c r="AJ39" s="2431"/>
      <c r="AK39" s="2431" t="s">
        <v>546</v>
      </c>
      <c r="AL39" s="2431" t="s">
        <v>545</v>
      </c>
      <c r="AM39" s="2431"/>
      <c r="AN39" s="2361"/>
      <c r="AO39" s="2381"/>
      <c r="AP39" s="2382"/>
      <c r="AQ39" s="2344"/>
      <c r="AR39" s="2347"/>
      <c r="AS39" s="2193"/>
      <c r="AY39" s="1221">
        <v>19</v>
      </c>
    </row>
    <row customHeight="1" ht="61.949999999999996">
      <c r="A40" s="1436"/>
      <c r="B40" s="1436" t="s">
        <v>140</v>
      </c>
      <c r="C40" s="1436" t="s">
        <v>141</v>
      </c>
      <c r="D40" s="1436" t="s">
        <v>142</v>
      </c>
      <c r="E40" s="1430" t="s">
        <v>443</v>
      </c>
      <c r="F40" s="1430" t="s">
        <v>444</v>
      </c>
      <c r="G40" s="1430" t="s">
        <v>445</v>
      </c>
      <c r="H40" s="1430"/>
      <c r="I40" s="1430" t="s">
        <v>499</v>
      </c>
      <c r="J40" s="1430" t="s">
        <v>448</v>
      </c>
      <c r="K40" s="1430" t="s">
        <v>500</v>
      </c>
      <c r="L40" s="1430" t="s">
        <v>424</v>
      </c>
      <c r="Q40" s="442"/>
      <c r="R40" s="442"/>
      <c r="S40" s="2339"/>
      <c r="T40" s="2275"/>
      <c r="U40" s="368"/>
      <c r="V40" s="2432"/>
      <c r="W40" s="2431"/>
      <c r="X40" s="2049" t="s">
        <v>547</v>
      </c>
      <c r="Y40" s="2049" t="s">
        <v>548</v>
      </c>
      <c r="Z40" s="2431"/>
      <c r="AA40" s="2049" t="s">
        <v>549</v>
      </c>
      <c r="AB40" s="2049" t="s">
        <v>550</v>
      </c>
      <c r="AC40" s="1555" t="s">
        <v>452</v>
      </c>
      <c r="AD40" s="2336" t="s">
        <v>453</v>
      </c>
      <c r="AE40" s="2337"/>
      <c r="AF40" s="2345"/>
      <c r="AG40" s="2432"/>
      <c r="AH40" s="2431"/>
      <c r="AI40" s="2049" t="s">
        <v>547</v>
      </c>
      <c r="AJ40" s="2049" t="s">
        <v>548</v>
      </c>
      <c r="AK40" s="2431"/>
      <c r="AL40" s="2049" t="s">
        <v>549</v>
      </c>
      <c r="AM40" s="2049" t="s">
        <v>550</v>
      </c>
      <c r="AN40" s="1555" t="s">
        <v>452</v>
      </c>
      <c r="AO40" s="2336" t="s">
        <v>453</v>
      </c>
      <c r="AP40" s="2337"/>
      <c r="AQ40" s="2345"/>
      <c r="AR40" s="2348"/>
      <c r="AS40" s="2193"/>
      <c r="AY40" s="1221">
        <v>59</v>
      </c>
    </row>
    <row s="4153"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114</v>
      </c>
      <c r="T41" s="1321" t="s">
        <v>115</v>
      </c>
      <c r="U41" s="1311" t="str">
        <f>OFFSET(U41,0,-1)</f>
        <v>2</v>
      </c>
      <c r="V41" s="1548">
        <f>OFFSET(V41,0,-1)+1</f>
        <v>3</v>
      </c>
      <c r="W41" s="2045"/>
      <c r="X41" s="2045"/>
      <c r="Y41" s="2045"/>
      <c r="Z41" s="2045"/>
      <c r="AA41" s="2045"/>
      <c r="AB41" s="1548">
        <f>OFFSET(AB41,0,-1)+1</f>
        <v>1</v>
      </c>
      <c r="AC41" s="1548">
        <f>OFFSET(AC41,0,-1)+1</f>
        <v>2</v>
      </c>
      <c r="AD41" s="2338">
        <f>OFFSET(AD41,0,-1)+1</f>
        <v>3</v>
      </c>
      <c r="AE41" s="2338"/>
      <c r="AF41" s="1548">
        <f>OFFSET(AF41,0,-2)+1</f>
        <v>4</v>
      </c>
      <c r="AG41" s="1548">
        <f>OFFSET(AG41,0,-1)+1</f>
        <v>5</v>
      </c>
      <c r="AH41" s="2045"/>
      <c r="AI41" s="2045"/>
      <c r="AJ41" s="2045"/>
      <c r="AK41" s="2045"/>
      <c r="AL41" s="2045"/>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265</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128</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265</v>
      </c>
      <c r="B43" s="1429" t="s">
        <v>266</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406</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407</v>
      </c>
      <c r="AU43" s="566"/>
      <c r="AV43" s="566" t="str">
        <f>IF(T43="","",T43)</f>
        <v>Территория действия тарифа</v>
      </c>
      <c r="AW43" s="566"/>
      <c r="AX43" s="566"/>
      <c r="AY43" s="1221">
        <v>23</v>
      </c>
    </row>
    <row customHeight="1" ht="24">
      <c r="A44" s="1429" t="s">
        <v>265</v>
      </c>
      <c r="B44" s="1429" t="s">
        <v>266</v>
      </c>
      <c r="C44" s="1429" t="s">
        <v>267</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539</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540</v>
      </c>
      <c r="AU44" s="566"/>
      <c r="AV44" s="566" t="str">
        <f>IF(T44="","",T44)</f>
        <v>Наименование централизованной системы горячего водоснабжения</v>
      </c>
      <c r="AW44" s="566"/>
      <c r="AX44" s="566"/>
      <c r="AY44" s="1221">
        <v>23</v>
      </c>
    </row>
    <row customHeight="1" ht="24">
      <c r="A45" s="1429" t="s">
        <v>265</v>
      </c>
      <c r="B45" s="1429" t="s">
        <v>266</v>
      </c>
      <c r="C45" s="1429" t="s">
        <v>267</v>
      </c>
      <c r="D45" s="1429" t="s">
        <v>552</v>
      </c>
      <c r="E45" s="2325"/>
      <c r="F45" s="2325"/>
      <c r="G45" s="2325"/>
      <c r="H45" s="2325"/>
      <c r="I45" s="2322" t="str">
        <f>S44&amp;".1"</f>
        <v>...1</v>
      </c>
      <c r="J45" s="1429"/>
      <c r="K45" s="1429"/>
      <c r="L45" s="1430"/>
      <c r="P45" s="2323">
        <v>1</v>
      </c>
      <c r="Q45" s="1547"/>
      <c r="R45" s="422"/>
      <c r="S45" s="1559" t="str">
        <f>$I45</f>
        <v>...1</v>
      </c>
      <c r="T45" s="351" t="s">
        <v>492</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493</v>
      </c>
      <c r="AU45" s="566"/>
      <c r="AV45" s="566" t="str">
        <f>IF(T45="","",T45)</f>
        <v>Наименование признака дифференциации</v>
      </c>
      <c r="AW45" s="566"/>
      <c r="AX45" s="566"/>
      <c r="AY45" s="1221">
        <v>23</v>
      </c>
    </row>
    <row customHeight="1" ht="24">
      <c r="A46" s="1429" t="s">
        <v>265</v>
      </c>
      <c r="B46" s="1429" t="s">
        <v>266</v>
      </c>
      <c r="C46" s="1429" t="s">
        <v>267</v>
      </c>
      <c r="D46" s="1429" t="s">
        <v>552</v>
      </c>
      <c r="E46" s="2325"/>
      <c r="F46" s="2325"/>
      <c r="G46" s="2325"/>
      <c r="H46" s="2325"/>
      <c r="I46" s="2352"/>
      <c r="J46" s="2322" t="str">
        <f>I45&amp;".1"</f>
        <v>...1.1</v>
      </c>
      <c r="K46" s="1429"/>
      <c r="L46" s="1430" t="s">
        <v>415</v>
      </c>
      <c r="P46" s="2323"/>
      <c r="Q46" s="2323">
        <v>1</v>
      </c>
      <c r="R46" s="423"/>
      <c r="S46" s="1559" t="str">
        <f>$J46</f>
        <v>...1.1</v>
      </c>
      <c r="T46" s="352" t="s">
        <v>416</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494</v>
      </c>
      <c r="AU46" s="566"/>
      <c r="AV46" s="566" t="str">
        <f>IF(T46="","",T46)</f>
        <v>Группа потребителей</v>
      </c>
      <c r="AW46" s="566"/>
      <c r="AX46" s="566"/>
      <c r="AY46" s="1221">
        <v>23</v>
      </c>
    </row>
    <row customHeight="1" ht="24">
      <c r="A47" s="1429" t="s">
        <v>265</v>
      </c>
      <c r="B47" s="1429" t="s">
        <v>266</v>
      </c>
      <c r="C47" s="1429" t="s">
        <v>267</v>
      </c>
      <c r="D47" s="1429" t="s">
        <v>552</v>
      </c>
      <c r="E47" s="2325"/>
      <c r="F47" s="2325"/>
      <c r="G47" s="2325"/>
      <c r="H47" s="2325"/>
      <c r="I47" s="2352"/>
      <c r="J47" s="2352"/>
      <c r="K47" s="2322" t="str">
        <f>J46&amp;".1"</f>
        <v>...1.1.1</v>
      </c>
      <c r="L47" s="1430"/>
      <c r="P47" s="2323"/>
      <c r="Q47" s="2323"/>
      <c r="R47" s="423">
        <v>1</v>
      </c>
      <c r="S47" s="1559" t="str">
        <f>$K47</f>
        <v>...1.1.1</v>
      </c>
      <c r="T47" s="1503"/>
      <c r="U47" s="366"/>
      <c r="V47" s="1426"/>
      <c r="W47" s="1426"/>
      <c r="X47" s="1426"/>
      <c r="Y47" s="1426"/>
      <c r="Z47" s="1426"/>
      <c r="AA47" s="1426"/>
      <c r="AB47" s="1427"/>
      <c r="AC47" s="2333"/>
      <c r="AD47" s="2334" t="s">
        <v>71</v>
      </c>
      <c r="AE47" s="2333"/>
      <c r="AF47" s="2334" t="s">
        <v>71</v>
      </c>
      <c r="AG47" s="817"/>
      <c r="AH47" s="817"/>
      <c r="AI47" s="817"/>
      <c r="AJ47" s="817"/>
      <c r="AK47" s="817"/>
      <c r="AL47" s="817"/>
      <c r="AM47" s="1323"/>
      <c r="AN47" s="2331"/>
      <c r="AO47" s="2173" t="s">
        <v>71</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265</v>
      </c>
      <c r="B48" s="1429" t="s">
        <v>266</v>
      </c>
      <c r="C48" s="1429" t="s">
        <v>267</v>
      </c>
      <c r="D48" s="1429" t="s">
        <v>552</v>
      </c>
      <c r="E48" s="2325"/>
      <c r="F48" s="2325"/>
      <c r="G48" s="2325"/>
      <c r="H48" s="2325"/>
      <c r="I48" s="2352"/>
      <c r="J48" s="2352"/>
      <c r="K48" s="2322"/>
      <c r="L48" s="1430"/>
      <c r="P48" s="2323"/>
      <c r="Q48" s="2323"/>
      <c r="R48" s="423"/>
      <c r="S48" s="1556"/>
      <c r="T48" s="366"/>
      <c r="U48" s="366"/>
      <c r="V48" s="1426"/>
      <c r="W48" s="1426"/>
      <c r="X48" s="1426"/>
      <c r="Y48" s="1426"/>
      <c r="Z48" s="1426"/>
      <c r="AA48" s="1426"/>
      <c r="AB48" s="394" t="str">
        <f>AC47&amp;"-"&amp;AE47</f>
        <v>-</v>
      </c>
      <c r="AC48" s="2334"/>
      <c r="AD48" s="2334"/>
      <c r="AE48" s="2334"/>
      <c r="AF48" s="2334"/>
      <c r="AG48" s="391"/>
      <c r="AH48" s="391"/>
      <c r="AI48" s="391"/>
      <c r="AJ48" s="391"/>
      <c r="AK48" s="391"/>
      <c r="AL48" s="391"/>
      <c r="AM48" s="394" t="str">
        <f>AN47&amp;"-"&amp;AP47</f>
        <v>-</v>
      </c>
      <c r="AN48" s="2332"/>
      <c r="AO48" s="2173"/>
      <c r="AP48" s="2354"/>
      <c r="AQ48" s="2173"/>
      <c r="AR48" s="1505"/>
      <c r="AS48" s="2415"/>
      <c r="AU48" s="566"/>
      <c r="AV48" s="566" t="str">
        <f>IF(T48="","",T48)</f>
        <v/>
      </c>
      <c r="AW48" s="566"/>
      <c r="AX48" s="566"/>
      <c r="AY48" s="1221">
        <v>0</v>
      </c>
    </row>
    <row customHeight="1" ht="21">
      <c r="A49" s="1429" t="s">
        <v>265</v>
      </c>
      <c r="B49" s="1429" t="s">
        <v>266</v>
      </c>
      <c r="C49" s="1429" t="s">
        <v>267</v>
      </c>
      <c r="D49" s="1429" t="s">
        <v>552</v>
      </c>
      <c r="E49" s="2325"/>
      <c r="F49" s="2325"/>
      <c r="G49" s="2325"/>
      <c r="H49" s="2325"/>
      <c r="I49" s="2352"/>
      <c r="J49" s="2322"/>
      <c r="K49" s="1429"/>
      <c r="L49" s="1430"/>
      <c r="P49" s="2323"/>
      <c r="Q49" s="2323"/>
      <c r="R49" s="422"/>
      <c r="S49" s="1344"/>
      <c r="T49" s="353" t="s">
        <v>495</v>
      </c>
      <c r="U49" s="433"/>
      <c r="V49" s="433"/>
      <c r="W49" s="666"/>
      <c r="X49" s="666"/>
      <c r="Y49" s="666"/>
      <c r="Z49" s="666"/>
      <c r="AA49" s="666"/>
      <c r="AB49" s="433"/>
      <c r="AC49" s="433"/>
      <c r="AD49" s="433"/>
      <c r="AE49" s="433"/>
      <c r="AF49" s="433"/>
      <c r="AG49" s="433"/>
      <c r="AH49" s="666"/>
      <c r="AI49" s="666"/>
      <c r="AJ49" s="666"/>
      <c r="AK49" s="666"/>
      <c r="AL49" s="666"/>
      <c r="AM49" s="433"/>
      <c r="AN49" s="433"/>
      <c r="AO49" s="433"/>
      <c r="AP49" s="433"/>
      <c r="AQ49" s="433"/>
      <c r="AR49" s="433"/>
      <c r="AS49" s="1324" t="s">
        <v>496</v>
      </c>
      <c r="AU49" s="566"/>
      <c r="AV49" s="566" t="str">
        <f>IF(T49="","",T49)</f>
        <v>Добавить значение признака дифференциации</v>
      </c>
      <c r="AW49" s="566"/>
      <c r="AX49" s="566"/>
      <c r="AY49" s="1221">
        <v>20</v>
      </c>
    </row>
    <row customHeight="1" ht="22.049999999999997">
      <c r="A50" s="1429" t="s">
        <v>265</v>
      </c>
      <c r="B50" s="1429" t="s">
        <v>266</v>
      </c>
      <c r="C50" s="1429" t="s">
        <v>267</v>
      </c>
      <c r="D50" s="1429" t="s">
        <v>552</v>
      </c>
      <c r="E50" s="2325"/>
      <c r="F50" s="2325"/>
      <c r="G50" s="2325"/>
      <c r="H50" s="2325"/>
      <c r="I50" s="2322"/>
      <c r="J50" s="1429"/>
      <c r="K50" s="1429"/>
      <c r="L50" s="1430"/>
      <c r="P50" s="2323"/>
      <c r="Q50" s="1547"/>
      <c r="R50" s="422"/>
      <c r="S50" s="1344"/>
      <c r="T50" s="431" t="s">
        <v>421</v>
      </c>
      <c r="U50" s="433"/>
      <c r="V50" s="433"/>
      <c r="W50" s="666"/>
      <c r="X50" s="666"/>
      <c r="Y50" s="666"/>
      <c r="Z50" s="666"/>
      <c r="AA50" s="666"/>
      <c r="AB50" s="433"/>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265</v>
      </c>
      <c r="B51" s="1429" t="s">
        <v>266</v>
      </c>
      <c r="C51" s="1429" t="s">
        <v>267</v>
      </c>
      <c r="D51" s="1429" t="s">
        <v>552</v>
      </c>
      <c r="E51" s="2325"/>
      <c r="F51" s="2325"/>
      <c r="G51" s="2325"/>
      <c r="H51" s="2324"/>
      <c r="I51" s="1429"/>
      <c r="J51" s="1429"/>
      <c r="K51" s="1429"/>
      <c r="L51" s="1430"/>
      <c r="M51" s="1431"/>
      <c r="N51" s="1431"/>
      <c r="O51" s="603"/>
      <c r="P51" s="426"/>
      <c r="Q51" s="441"/>
      <c r="R51" s="421"/>
      <c r="S51" s="1344"/>
      <c r="T51" s="438" t="s">
        <v>497</v>
      </c>
      <c r="U51" s="433"/>
      <c r="V51" s="433"/>
      <c r="W51" s="666"/>
      <c r="X51" s="666"/>
      <c r="Y51" s="666"/>
      <c r="Z51" s="666"/>
      <c r="AA51" s="666"/>
      <c r="AB51" s="433"/>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562" customFormat="1" customHeight="1" ht="0">
      <c r="A52" s="1409" t="s">
        <v>265</v>
      </c>
      <c r="B52" s="1409" t="s">
        <v>266</v>
      </c>
      <c r="C52" s="1380"/>
      <c r="D52" s="1380"/>
      <c r="E52" s="2325"/>
      <c r="F52" s="2324"/>
      <c r="G52" s="1380"/>
      <c r="H52" s="1380"/>
      <c r="I52" s="1380"/>
      <c r="J52" s="1380"/>
      <c r="K52" s="1380"/>
      <c r="L52" s="1560"/>
      <c r="M52" s="1387"/>
      <c r="N52" s="1387"/>
      <c r="P52" s="1382"/>
      <c r="Q52" s="1383"/>
      <c r="R52" s="1382"/>
      <c r="S52" s="1388"/>
      <c r="T52" s="1391" t="s">
        <v>174</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562" customFormat="1" customHeight="1" ht="0">
      <c r="A53" s="1409" t="s">
        <v>265</v>
      </c>
      <c r="B53" s="1409"/>
      <c r="C53" s="1409"/>
      <c r="D53" s="1409"/>
      <c r="E53" s="2324"/>
      <c r="F53" s="1409"/>
      <c r="G53" s="1409"/>
      <c r="H53" s="1409"/>
      <c r="I53" s="1409"/>
      <c r="J53" s="1409"/>
      <c r="K53" s="1409"/>
      <c r="L53" s="1412"/>
      <c r="M53" s="1387"/>
      <c r="N53" s="1387"/>
      <c r="O53" s="584"/>
      <c r="P53" s="446"/>
      <c r="Q53" s="1410"/>
      <c r="R53" s="446"/>
      <c r="S53" s="1388"/>
      <c r="T53" s="1391" t="s">
        <v>175</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562"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176</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87</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221">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0FB07-039A-5E4A-2F63-A47E08BD951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5002" width="11.57421875" hidden="1" customWidth="1"/>
    <col min="2" max="2" style="5002" width="11.00390625" hidden="1" customWidth="1"/>
    <col min="3" max="3" style="5002" width="10.57421875" hidden="1"/>
    <col min="4" max="4" style="5002" width="12.8515625" hidden="1" customWidth="1"/>
    <col min="5" max="5" style="5002" width="10.00390625" hidden="1" customWidth="1"/>
    <col min="6" max="6" style="5002" width="8.7109375" hidden="1" customWidth="1"/>
    <col min="7" max="7" style="5002" width="7.57421875" hidden="1" customWidth="1"/>
    <col min="8" max="8" style="5002" width="11.421875" hidden="1" customWidth="1"/>
    <col min="9" max="9" style="5002" width="12.00390625" hidden="1" customWidth="1"/>
    <col min="10" max="10" style="5002" width="9.8515625" hidden="1" customWidth="1"/>
    <col min="11" max="11" style="5002" width="11.421875" hidden="1" customWidth="1"/>
    <col min="12" max="12" style="5519" width="19.140625" hidden="1" customWidth="1"/>
    <col min="13" max="14" style="4246" width="12.28125" hidden="1" customWidth="1"/>
    <col min="15" max="15" style="4246" width="23.421875" hidden="1" customWidth="1"/>
    <col min="16" max="16" style="4246" width="3.7109375" hidden="1" customWidth="1"/>
    <col min="17" max="17" style="3575" width="3.7109375" hidden="1" customWidth="1"/>
    <col min="18" max="18" style="5023" width="3.00390625" customWidth="1"/>
    <col min="19" max="19" style="5711" width="12.00390625" customWidth="1"/>
    <col min="20" max="20" style="5053" width="31.00390625" customWidth="1"/>
    <col min="21" max="21" style="5053" width="0.140625" customWidth="1"/>
    <col min="22" max="25" style="5053" width="21.7109375" hidden="1" customWidth="1"/>
    <col min="26" max="26" style="5053" width="11.7109375" hidden="1" customWidth="1"/>
    <col min="27" max="27" style="5053" width="3.7109375" hidden="1" customWidth="1"/>
    <col min="28" max="28" style="5053" width="11.7109375" hidden="1" customWidth="1"/>
    <col min="29" max="29" style="5053" width="8.57421875" hidden="1" customWidth="1"/>
    <col min="30" max="30" style="5053" width="3.7109375" customWidth="1"/>
    <col min="31" max="32" style="5053" width="3.00390625" customWidth="1"/>
    <col min="33" max="33" style="5053" width="24.00390625" customWidth="1"/>
    <col min="34" max="34" style="5053" width="3.7109375" customWidth="1"/>
    <col min="35" max="36" style="5053" width="3.00390625" customWidth="1"/>
    <col min="37" max="37" style="5053" width="24.00390625" customWidth="1"/>
    <col min="38" max="38" style="5053" width="3.7109375" customWidth="1"/>
    <col min="39" max="40" style="5053" width="3.00390625" customWidth="1"/>
    <col min="41" max="41" style="5053" width="18.00390625" customWidth="1"/>
    <col min="42" max="42" style="5053" width="3.7109375" customWidth="1"/>
    <col min="43" max="44" style="5053" width="3.00390625" customWidth="1"/>
    <col min="45" max="45" style="5053" width="18.00390625" customWidth="1"/>
    <col min="46" max="49" style="5053" width="21.00390625" customWidth="1"/>
    <col min="50" max="50" style="5053" width="11.00390625" customWidth="1"/>
    <col min="51" max="51" style="5053" width="3.7109375" customWidth="1"/>
    <col min="52" max="52" style="5053" width="11.00390625" customWidth="1"/>
    <col min="53" max="53" style="5053" width="8.57421875" hidden="1" customWidth="1"/>
    <col min="54" max="54" style="5053" width="4.00390625" customWidth="1"/>
    <col min="55" max="55" style="5053" width="115.00390625" customWidth="1"/>
    <col min="56" max="60" style="4562" width="10.00390625" customWidth="1"/>
    <col min="61" max="61" style="5053"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128</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406</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407</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539</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540</v>
      </c>
      <c r="BE4" s="566"/>
      <c r="BF4" s="566" t="str">
        <f>IF(T4="","",T4)</f>
        <v>Наименование централизованной системы горячего водоснабжения</v>
      </c>
      <c r="BG4" s="566"/>
      <c r="BH4" s="566"/>
      <c r="BI4" s="1221">
        <v>0</v>
      </c>
    </row>
    <row s="4562"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411</v>
      </c>
      <c r="BE5" s="566"/>
      <c r="BF5" s="566" t="str">
        <f>IF(T5="","",T5)</f>
        <v/>
      </c>
      <c r="BG5" s="566"/>
      <c r="BH5" s="566"/>
      <c r="BI5" s="577">
        <v>0</v>
      </c>
    </row>
    <row s="4562" customFormat="1" customHeight="1" ht="14.25" hidden="1">
      <c r="A6" s="1409"/>
      <c r="B6" s="1409"/>
      <c r="C6" s="1409"/>
      <c r="D6" s="1409"/>
      <c r="E6" s="2325"/>
      <c r="F6" s="2325"/>
      <c r="G6" s="2325"/>
      <c r="H6" s="2325"/>
      <c r="I6" s="2322" t="str">
        <f>S5&amp;".1"</f>
        <v>.1</v>
      </c>
      <c r="J6" s="1409"/>
      <c r="K6" s="1409"/>
      <c r="L6" s="1412" t="s">
        <v>412</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562"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71</v>
      </c>
      <c r="AB8" s="1800"/>
      <c r="AC8" s="1535" t="s">
        <v>71</v>
      </c>
      <c r="AD8" s="2251" t="s">
        <v>71</v>
      </c>
      <c r="AE8" s="2392"/>
      <c r="AF8" s="2271">
        <v>1</v>
      </c>
      <c r="AG8" s="2429"/>
      <c r="AH8" s="2173" t="s">
        <v>71</v>
      </c>
      <c r="AI8" s="2392"/>
      <c r="AJ8" s="2271">
        <v>1</v>
      </c>
      <c r="AK8" s="2393" t="s">
        <v>28</v>
      </c>
      <c r="AL8" s="2173" t="s">
        <v>71</v>
      </c>
      <c r="AM8" s="2258"/>
      <c r="AN8" s="2271">
        <v>1</v>
      </c>
      <c r="AO8" s="2423"/>
      <c r="AP8" s="2424" t="s">
        <v>71</v>
      </c>
      <c r="AQ8" s="377"/>
      <c r="AR8" s="1552">
        <v>1</v>
      </c>
      <c r="AS8" s="1558" t="s">
        <v>28</v>
      </c>
      <c r="AT8" s="817"/>
      <c r="AU8" s="1323"/>
      <c r="AV8" s="817"/>
      <c r="AW8" s="1323"/>
      <c r="AX8" s="1800"/>
      <c r="AY8" s="1535" t="s">
        <v>71</v>
      </c>
      <c r="AZ8" s="1800"/>
      <c r="BA8" s="1535" t="s">
        <v>71</v>
      </c>
      <c r="BB8" s="1414"/>
      <c r="BC8" s="2319" t="s">
        <v>510</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511</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512</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513</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514</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477</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562"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562"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562"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562"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174</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562"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175</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71</v>
      </c>
      <c r="AZ20" s="1802"/>
      <c r="BA20" s="1551" t="s">
        <v>71</v>
      </c>
      <c r="BI20" s="1221">
        <v>0</v>
      </c>
    </row>
    <row customHeight="1" ht="14.25" hidden="1">
      <c r="BD21" s="562"/>
      <c r="BE21" s="562"/>
      <c r="BF21" s="562"/>
      <c r="BG21" s="562"/>
      <c r="BH21" s="562"/>
      <c r="BI21" s="1221">
        <v>0</v>
      </c>
    </row>
    <row customHeight="1" ht="14.25" hidden="1">
      <c r="O22" s="1433" t="s">
        <v>423</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4285" customFormat="1" customHeight="1" ht="14.25" hidden="1">
      <c r="M24" s="1574"/>
      <c r="N24" s="1574"/>
      <c r="O24" s="1575" t="s">
        <v>424</v>
      </c>
      <c r="P24" s="1574"/>
      <c r="Q24" s="1576"/>
      <c r="R24" s="1576"/>
      <c r="AA24" s="1573" t="s">
        <v>426</v>
      </c>
      <c r="AC24" s="1573" t="s">
        <v>427</v>
      </c>
      <c r="AD24" s="1573" t="s">
        <v>478</v>
      </c>
      <c r="AH24" s="1573" t="s">
        <v>478</v>
      </c>
      <c r="AK24" s="1573" t="s">
        <v>515</v>
      </c>
      <c r="AL24" s="1573" t="s">
        <v>478</v>
      </c>
      <c r="AP24" s="1573" t="s">
        <v>478</v>
      </c>
      <c r="AY24" s="1573" t="s">
        <v>426</v>
      </c>
      <c r="BA24" s="1573" t="s">
        <v>427</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597" customFormat="1" customHeight="1" ht="25.5">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Департамент тарифной политики, энергетики и ЖКК ЯНАО </v>
      </c>
      <c r="W31" s="2317"/>
      <c r="X31" s="2317"/>
      <c r="Y31" s="2317"/>
      <c r="Z31" s="2317"/>
      <c r="AA31" s="2317"/>
      <c r="AB31" s="2317"/>
      <c r="AC31" s="392"/>
      <c r="AD31" s="2317" t="str">
        <f>IF(TITLE_NAME_OR_PR_CHANGE="",IF(TITLE_NAME_OR_PR="","",TITLE_NAME_OR_PR),TITLE_NAME_OR_PR_CHANGE)</f>
        <v>Департамент тарифной политики, энергетики и ЖКК ЯНАО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597" customFormat="1" customHeight="1" ht="18.75">
      <c r="A32" s="1434"/>
      <c r="B32" s="1434"/>
      <c r="C32" s="1434"/>
      <c r="D32" s="1434"/>
      <c r="E32" s="1434"/>
      <c r="F32" s="1434"/>
      <c r="G32" s="1434"/>
      <c r="H32" s="1434"/>
      <c r="I32" s="1434"/>
      <c r="J32" s="1434"/>
      <c r="K32" s="1434"/>
      <c r="L32" s="1435"/>
      <c r="M32" s="1434"/>
      <c r="N32" s="1434"/>
      <c r="O32" s="1434"/>
      <c r="P32" s="1434"/>
      <c r="Q32" s="1434"/>
      <c r="S32" s="2316" t="s">
        <v>429</v>
      </c>
      <c r="T32" s="2316"/>
      <c r="U32" s="1438"/>
      <c r="V32" s="2330" t="str">
        <f>IF(TITLE_DATE_PR_CHANGE="",IF(TITLE_DATE_PR="","",TITLE_DATE_PR),TITLE_DATE_PR_CHANGE)</f>
        <v>45631.41619212963</v>
      </c>
      <c r="W32" s="2330"/>
      <c r="X32" s="2330"/>
      <c r="Y32" s="2330"/>
      <c r="Z32" s="2330"/>
      <c r="AA32" s="2330"/>
      <c r="AB32" s="2330"/>
      <c r="AC32" s="392"/>
      <c r="AD32" s="2330" t="str">
        <f>IF(TITLE_DATE_PR_CHANGE="",IF(TITLE_DATE_PR="","",TITLE_DATE_PR),TITLE_DATE_PR_CHANGE)</f>
        <v>45631.41619212963</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597" customFormat="1" customHeight="1" ht="18.75">
      <c r="A33" s="1434"/>
      <c r="B33" s="1434"/>
      <c r="C33" s="1434"/>
      <c r="D33" s="1434"/>
      <c r="E33" s="1434"/>
      <c r="F33" s="1434"/>
      <c r="G33" s="1434"/>
      <c r="H33" s="1434"/>
      <c r="I33" s="1434"/>
      <c r="J33" s="1434"/>
      <c r="K33" s="1434"/>
      <c r="L33" s="1435"/>
      <c r="M33" s="1434"/>
      <c r="N33" s="1434"/>
      <c r="O33" s="1434"/>
      <c r="P33" s="1434"/>
      <c r="Q33" s="1434"/>
      <c r="S33" s="2316" t="s">
        <v>430</v>
      </c>
      <c r="T33" s="2316"/>
      <c r="U33" s="1438"/>
      <c r="V33" s="2317" t="str">
        <f>IF(TITLE_NUMBER_PR_CHANGE="",IF(TITLE_NUMBER_PR="","",TITLE_NUMBER_PR),TITLE_NUMBER_PR_CHANGE)</f>
        <v>447-т</v>
      </c>
      <c r="W33" s="2317"/>
      <c r="X33" s="2317"/>
      <c r="Y33" s="2317"/>
      <c r="Z33" s="2317"/>
      <c r="AA33" s="2317"/>
      <c r="AB33" s="2317"/>
      <c r="AC33" s="392"/>
      <c r="AD33" s="2317" t="str">
        <f>IF(TITLE_NUMBER_PR_CHANGE="",IF(TITLE_NUMBER_PR="","",TITLE_NUMBER_PR),TITLE_NUMBER_PR_CHANGE)</f>
        <v>447-т</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597" customFormat="1" customHeight="1" ht="18.75">
      <c r="A34" s="1434"/>
      <c r="B34" s="1434"/>
      <c r="C34" s="1434"/>
      <c r="D34" s="1434"/>
      <c r="E34" s="1434"/>
      <c r="F34" s="1434"/>
      <c r="G34" s="1434"/>
      <c r="H34" s="1434"/>
      <c r="I34" s="1434"/>
      <c r="J34" s="1434"/>
      <c r="K34" s="1434"/>
      <c r="L34" s="1435"/>
      <c r="M34" s="1434"/>
      <c r="N34" s="1434"/>
      <c r="O34" s="1434"/>
      <c r="P34" s="1434"/>
      <c r="Q34" s="1434"/>
      <c r="S34" s="2316" t="s">
        <v>44</v>
      </c>
      <c r="T34" s="2316"/>
      <c r="U34" s="1438"/>
      <c r="V34" s="2317" t="str">
        <f>IF(TITLE_IST_PUB_CHANGE="",IF(TITLE_IST_PUB="","",TITLE_IST_PUB),TITLE_IST_PUB_CHANGE)</f>
        <v>Официальный сайт Департамента тарифной политики, энергетики и ЖКК ЯНАО, https://rek-yamal.ru, 05.12.2024</v>
      </c>
      <c r="W34" s="2317"/>
      <c r="X34" s="2317"/>
      <c r="Y34" s="2317"/>
      <c r="Z34" s="2317"/>
      <c r="AA34" s="2317"/>
      <c r="AB34" s="2317"/>
      <c r="AC34" s="392"/>
      <c r="AD34" s="2317" t="str">
        <f>IF(TITLE_IST_PUB_CHANGE="",IF(TITLE_IST_PUB="","",TITLE_IST_PUB),TITLE_IST_PUB_CHANGE)</f>
        <v>Официальный сайт Департамента тарифной политики, энергетики и ЖКК ЯНАО, https://rek-yamal.ru, 05.12.2024</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597"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429</v>
      </c>
      <c r="T36" s="2316"/>
      <c r="U36" s="1438"/>
      <c r="V36" s="2330" t="str">
        <f>IF(TITLE_DATE_PR_CHANGE="",IF(TITLE_DATE_PR="","",TITLE_DATE_PR),TITLE_DATE_PR_CHANGE)</f>
        <v>45631.41619212963</v>
      </c>
      <c r="W36" s="2330"/>
      <c r="X36" s="2330"/>
      <c r="Y36" s="2330"/>
      <c r="Z36" s="2330"/>
      <c r="AA36" s="2330"/>
      <c r="AB36" s="2330"/>
      <c r="AC36" s="392"/>
      <c r="AD36" s="2330" t="str">
        <f>IF(TITLE_DATE_PR_CHANGE="",IF(TITLE_DATE_PR="","",TITLE_DATE_PR),TITLE_DATE_PR_CHANGE)</f>
        <v>45631.41619212963</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597"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430</v>
      </c>
      <c r="T37" s="2316"/>
      <c r="U37" s="1438"/>
      <c r="V37" s="2317" t="str">
        <f>IF(TITLE_NUMBER_PR_CHANGE="",IF(TITLE_NUMBER_PR="","",TITLE_NUMBER_PR),TITLE_NUMBER_PR_CHANGE)</f>
        <v>447-т</v>
      </c>
      <c r="W37" s="2317"/>
      <c r="X37" s="2317"/>
      <c r="Y37" s="2317"/>
      <c r="Z37" s="2317"/>
      <c r="AA37" s="2317"/>
      <c r="AB37" s="2317"/>
      <c r="AC37" s="392"/>
      <c r="AD37" s="2317" t="str">
        <f>IF(TITLE_NUMBER_PR_CHANGE="",IF(TITLE_NUMBER_PR="","",TITLE_NUMBER_PR),TITLE_NUMBER_PR_CHANGE)</f>
        <v>447-т</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597"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433</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433</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309</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310</v>
      </c>
      <c r="BI40" s="1221">
        <v>14</v>
      </c>
    </row>
    <row customHeight="1" ht="14.699999999999998">
      <c r="Q41" s="357"/>
      <c r="R41" s="442"/>
      <c r="S41" s="2339" t="s">
        <v>93</v>
      </c>
      <c r="T41" s="2275" t="s">
        <v>516</v>
      </c>
      <c r="U41" s="367"/>
      <c r="V41" s="2340" t="s">
        <v>435</v>
      </c>
      <c r="W41" s="2341"/>
      <c r="X41" s="2341"/>
      <c r="Y41" s="2341"/>
      <c r="Z41" s="2341"/>
      <c r="AA41" s="2341"/>
      <c r="AB41" s="2342"/>
      <c r="AC41" s="2343" t="s">
        <v>436</v>
      </c>
      <c r="AD41" s="2394" t="s">
        <v>517</v>
      </c>
      <c r="AE41" s="2357"/>
      <c r="AF41" s="2357"/>
      <c r="AG41" s="2395"/>
      <c r="AH41" s="2394" t="s">
        <v>518</v>
      </c>
      <c r="AI41" s="2357"/>
      <c r="AJ41" s="2357"/>
      <c r="AK41" s="2395"/>
      <c r="AL41" s="2394" t="s">
        <v>519</v>
      </c>
      <c r="AM41" s="2357"/>
      <c r="AN41" s="2357"/>
      <c r="AO41" s="2395"/>
      <c r="AP41" s="2394" t="s">
        <v>520</v>
      </c>
      <c r="AQ41" s="2357"/>
      <c r="AR41" s="2357"/>
      <c r="AS41" s="2395"/>
      <c r="AT41" s="2340" t="s">
        <v>435</v>
      </c>
      <c r="AU41" s="2341"/>
      <c r="AV41" s="2341"/>
      <c r="AW41" s="2341"/>
      <c r="AX41" s="2341"/>
      <c r="AY41" s="2341"/>
      <c r="AZ41" s="2342"/>
      <c r="BA41" s="2343" t="s">
        <v>436</v>
      </c>
      <c r="BB41" s="2346" t="s">
        <v>438</v>
      </c>
      <c r="BC41" s="2193"/>
      <c r="BI41" s="1221">
        <v>14</v>
      </c>
    </row>
    <row customHeight="1" ht="35.699999999999996">
      <c r="Q42" s="357"/>
      <c r="R42" s="442"/>
      <c r="S42" s="2339"/>
      <c r="T42" s="2275"/>
      <c r="U42" s="1097"/>
      <c r="V42" s="2258" t="s">
        <v>521</v>
      </c>
      <c r="W42" s="2259"/>
      <c r="X42" s="2258" t="s">
        <v>522</v>
      </c>
      <c r="Y42" s="2259"/>
      <c r="Z42" s="2360" t="s">
        <v>523</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521</v>
      </c>
      <c r="AU42" s="2259"/>
      <c r="AV42" s="2258" t="s">
        <v>522</v>
      </c>
      <c r="AW42" s="2259"/>
      <c r="AX42" s="2360" t="s">
        <v>523</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140</v>
      </c>
      <c r="C44" s="1436" t="s">
        <v>141</v>
      </c>
      <c r="D44" s="1436" t="s">
        <v>142</v>
      </c>
      <c r="E44" s="1430" t="s">
        <v>443</v>
      </c>
      <c r="F44" s="1430" t="s">
        <v>444</v>
      </c>
      <c r="G44" s="1430" t="s">
        <v>445</v>
      </c>
      <c r="H44" s="1430" t="s">
        <v>446</v>
      </c>
      <c r="I44" s="1430" t="s">
        <v>447</v>
      </c>
      <c r="J44" s="1430" t="s">
        <v>448</v>
      </c>
      <c r="K44" s="1430" t="s">
        <v>449</v>
      </c>
      <c r="L44" s="1430" t="s">
        <v>424</v>
      </c>
      <c r="Q44" s="357"/>
      <c r="R44" s="442"/>
      <c r="S44" s="2339"/>
      <c r="T44" s="2275"/>
      <c r="U44" s="368"/>
      <c r="V44" s="1545" t="s">
        <v>487</v>
      </c>
      <c r="W44" s="1545" t="s">
        <v>488</v>
      </c>
      <c r="X44" s="1545" t="s">
        <v>487</v>
      </c>
      <c r="Y44" s="1545" t="s">
        <v>488</v>
      </c>
      <c r="Z44" s="1555" t="s">
        <v>452</v>
      </c>
      <c r="AA44" s="2336" t="s">
        <v>453</v>
      </c>
      <c r="AB44" s="2337"/>
      <c r="AC44" s="2345"/>
      <c r="AD44" s="2399"/>
      <c r="AE44" s="2400"/>
      <c r="AF44" s="2400"/>
      <c r="AG44" s="2401"/>
      <c r="AH44" s="2399"/>
      <c r="AI44" s="2400"/>
      <c r="AJ44" s="2400"/>
      <c r="AK44" s="2401"/>
      <c r="AL44" s="2399"/>
      <c r="AM44" s="2400"/>
      <c r="AN44" s="2400"/>
      <c r="AO44" s="2401"/>
      <c r="AP44" s="2399"/>
      <c r="AQ44" s="2400"/>
      <c r="AR44" s="2400"/>
      <c r="AS44" s="2401"/>
      <c r="AT44" s="1545" t="s">
        <v>487</v>
      </c>
      <c r="AU44" s="1545" t="s">
        <v>488</v>
      </c>
      <c r="AV44" s="1545" t="s">
        <v>487</v>
      </c>
      <c r="AW44" s="1545" t="s">
        <v>488</v>
      </c>
      <c r="AX44" s="1555" t="s">
        <v>452</v>
      </c>
      <c r="AY44" s="2336" t="s">
        <v>453</v>
      </c>
      <c r="AZ44" s="2337"/>
      <c r="BA44" s="2345"/>
      <c r="BB44" s="2348"/>
      <c r="BC44" s="2193"/>
      <c r="BI44" s="1221">
        <v>14</v>
      </c>
    </row>
    <row s="4153" customFormat="1" customHeight="1" ht="0">
      <c r="A45" s="1436"/>
      <c r="B45" s="1436"/>
      <c r="C45" s="1436"/>
      <c r="D45" s="1436"/>
      <c r="E45" s="1436"/>
      <c r="F45" s="1436"/>
      <c r="G45" s="1436"/>
      <c r="H45" s="1436"/>
      <c r="I45" s="1436"/>
      <c r="J45" s="1436"/>
      <c r="K45" s="1436"/>
      <c r="L45" s="1430"/>
      <c r="M45" s="1428"/>
      <c r="N45" s="1428"/>
      <c r="O45" s="1428"/>
      <c r="P45" s="576"/>
      <c r="Q45" s="1320"/>
      <c r="R45" s="1320">
        <v>1</v>
      </c>
      <c r="S45" s="1343" t="s">
        <v>114</v>
      </c>
      <c r="T45" s="1321" t="s">
        <v>115</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270</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128</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270</v>
      </c>
      <c r="B47" s="1429" t="s">
        <v>271</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406</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407</v>
      </c>
      <c r="BE47" s="566"/>
      <c r="BF47" s="566" t="str">
        <f>IF(T47="","",T47)</f>
        <v>Территория действия тарифа</v>
      </c>
      <c r="BG47" s="566"/>
      <c r="BH47" s="566"/>
      <c r="BI47" s="1221">
        <v>21</v>
      </c>
    </row>
    <row customHeight="1" ht="35.699999999999996">
      <c r="A48" s="1429" t="s">
        <v>270</v>
      </c>
      <c r="B48" s="1429" t="s">
        <v>271</v>
      </c>
      <c r="C48" s="1429" t="s">
        <v>272</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539</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540</v>
      </c>
      <c r="BE48" s="566"/>
      <c r="BF48" s="566" t="str">
        <f>IF(T48="","",T48)</f>
        <v>Наименование централизованной системы горячего водоснабжения</v>
      </c>
      <c r="BG48" s="566"/>
      <c r="BH48" s="566"/>
      <c r="BI48" s="1221">
        <v>34</v>
      </c>
    </row>
    <row s="4562" customFormat="1" customHeight="1" ht="0">
      <c r="A49" s="1409" t="s">
        <v>270</v>
      </c>
      <c r="B49" s="1409" t="s">
        <v>271</v>
      </c>
      <c r="C49" s="1409" t="s">
        <v>272</v>
      </c>
      <c r="D49" s="1409" t="s">
        <v>553</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411</v>
      </c>
      <c r="BE49" s="566"/>
      <c r="BF49" s="566" t="str">
        <f>IF(T49="","",T49)</f>
        <v/>
      </c>
      <c r="BG49" s="566"/>
      <c r="BH49" s="566"/>
      <c r="BI49" s="577">
        <v>0</v>
      </c>
    </row>
    <row s="4562" customFormat="1" customHeight="1" ht="0">
      <c r="A50" s="1409" t="s">
        <v>270</v>
      </c>
      <c r="B50" s="1409" t="s">
        <v>271</v>
      </c>
      <c r="C50" s="1409" t="s">
        <v>272</v>
      </c>
      <c r="D50" s="1409" t="s">
        <v>553</v>
      </c>
      <c r="E50" s="2325"/>
      <c r="F50" s="2325"/>
      <c r="G50" s="2325"/>
      <c r="H50" s="2325"/>
      <c r="I50" s="2322" t="str">
        <f>S49&amp;".1"</f>
        <v>.1</v>
      </c>
      <c r="J50" s="1409"/>
      <c r="K50" s="1409"/>
      <c r="L50" s="1412" t="s">
        <v>412</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562" customFormat="1" customHeight="1" ht="0">
      <c r="A51" s="1409" t="s">
        <v>270</v>
      </c>
      <c r="B51" s="1409" t="s">
        <v>271</v>
      </c>
      <c r="C51" s="1409" t="s">
        <v>272</v>
      </c>
      <c r="D51" s="1409" t="s">
        <v>553</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270</v>
      </c>
      <c r="B52" s="1429" t="s">
        <v>271</v>
      </c>
      <c r="C52" s="1429" t="s">
        <v>272</v>
      </c>
      <c r="D52" s="1429" t="s">
        <v>553</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71</v>
      </c>
      <c r="AB52" s="1800"/>
      <c r="AC52" s="1535" t="s">
        <v>71</v>
      </c>
      <c r="AD52" s="2251" t="s">
        <v>71</v>
      </c>
      <c r="AE52" s="2392"/>
      <c r="AF52" s="2271">
        <v>1</v>
      </c>
      <c r="AG52" s="2429"/>
      <c r="AH52" s="2173" t="s">
        <v>71</v>
      </c>
      <c r="AI52" s="2392"/>
      <c r="AJ52" s="2271">
        <v>1</v>
      </c>
      <c r="AK52" s="2393" t="s">
        <v>28</v>
      </c>
      <c r="AL52" s="2173" t="s">
        <v>71</v>
      </c>
      <c r="AM52" s="2258"/>
      <c r="AN52" s="2271">
        <v>1</v>
      </c>
      <c r="AO52" s="2423"/>
      <c r="AP52" s="2424" t="s">
        <v>71</v>
      </c>
      <c r="AQ52" s="377"/>
      <c r="AR52" s="1552">
        <v>1</v>
      </c>
      <c r="AS52" s="1558" t="s">
        <v>28</v>
      </c>
      <c r="AT52" s="817"/>
      <c r="AU52" s="1323"/>
      <c r="AV52" s="817"/>
      <c r="AW52" s="1323"/>
      <c r="AX52" s="1800"/>
      <c r="AY52" s="1535" t="s">
        <v>71</v>
      </c>
      <c r="AZ52" s="1800"/>
      <c r="BA52" s="1535" t="s">
        <v>71</v>
      </c>
      <c r="BB52" s="1414"/>
      <c r="BC52" s="2319" t="s">
        <v>510</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511</v>
      </c>
      <c r="AT53" s="1459"/>
      <c r="AU53" s="1562"/>
      <c r="AV53" s="1459"/>
      <c r="AW53" s="1562"/>
      <c r="AX53" s="1459"/>
      <c r="AY53" s="1459"/>
      <c r="AZ53" s="1459"/>
      <c r="BA53" s="1459"/>
      <c r="BB53" s="1463"/>
      <c r="BC53" s="2320"/>
      <c r="BE53" s="566"/>
      <c r="BF53" s="566"/>
      <c r="BG53" s="566"/>
      <c r="BH53" s="566"/>
      <c r="BI53" s="1221">
        <v>11</v>
      </c>
    </row>
    <row customHeight="1" ht="11.549999999999999">
      <c r="A54" s="1429" t="s">
        <v>270</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512</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270</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513</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270</v>
      </c>
      <c r="B56" s="1429" t="s">
        <v>271</v>
      </c>
      <c r="C56" s="1429" t="s">
        <v>272</v>
      </c>
      <c r="D56" s="1429" t="s">
        <v>553</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514</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270</v>
      </c>
      <c r="B57" s="1429" t="s">
        <v>271</v>
      </c>
      <c r="C57" s="1429" t="s">
        <v>272</v>
      </c>
      <c r="D57" s="1429" t="s">
        <v>553</v>
      </c>
      <c r="E57" s="2325"/>
      <c r="F57" s="2325"/>
      <c r="G57" s="2325"/>
      <c r="H57" s="2325"/>
      <c r="I57" s="2352"/>
      <c r="J57" s="2322"/>
      <c r="K57" s="1429"/>
      <c r="L57" s="1430"/>
      <c r="P57" s="2323"/>
      <c r="Q57" s="2323"/>
      <c r="R57" s="422"/>
      <c r="S57" s="1344"/>
      <c r="T57" s="353" t="s">
        <v>477</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562" customFormat="1" customHeight="1" ht="0">
      <c r="A58" s="1409" t="s">
        <v>270</v>
      </c>
      <c r="B58" s="1409" t="s">
        <v>271</v>
      </c>
      <c r="C58" s="1409" t="s">
        <v>272</v>
      </c>
      <c r="D58" s="1409" t="s">
        <v>553</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562" customFormat="1" customHeight="1" ht="0">
      <c r="A59" s="1409" t="s">
        <v>270</v>
      </c>
      <c r="B59" s="1409" t="s">
        <v>271</v>
      </c>
      <c r="C59" s="1409" t="s">
        <v>272</v>
      </c>
      <c r="D59" s="1409" t="s">
        <v>553</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562" customFormat="1" customHeight="1" ht="0">
      <c r="A60" s="1409" t="s">
        <v>270</v>
      </c>
      <c r="B60" s="1409" t="s">
        <v>271</v>
      </c>
      <c r="C60" s="1409" t="s">
        <v>272</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562" customFormat="1" customHeight="1" ht="0">
      <c r="A61" s="1409" t="s">
        <v>270</v>
      </c>
      <c r="B61" s="1409" t="s">
        <v>271</v>
      </c>
      <c r="C61" s="1380"/>
      <c r="D61" s="1380"/>
      <c r="E61" s="2325"/>
      <c r="F61" s="2324"/>
      <c r="G61" s="1380"/>
      <c r="H61" s="1380"/>
      <c r="I61" s="1380"/>
      <c r="J61" s="1380"/>
      <c r="K61" s="1380"/>
      <c r="L61" s="1560"/>
      <c r="M61" s="1387"/>
      <c r="N61" s="1387"/>
      <c r="P61" s="1382"/>
      <c r="Q61" s="1383"/>
      <c r="R61" s="1382"/>
      <c r="S61" s="1388"/>
      <c r="T61" s="1391" t="s">
        <v>174</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562" customFormat="1" customHeight="1" ht="0">
      <c r="A62" s="1409" t="s">
        <v>270</v>
      </c>
      <c r="B62" s="1409"/>
      <c r="C62" s="1409"/>
      <c r="D62" s="1409"/>
      <c r="E62" s="2324"/>
      <c r="F62" s="1409"/>
      <c r="G62" s="1409"/>
      <c r="H62" s="1409"/>
      <c r="I62" s="1409"/>
      <c r="J62" s="1409"/>
      <c r="K62" s="1409"/>
      <c r="L62" s="1412"/>
      <c r="M62" s="1387"/>
      <c r="N62" s="1387"/>
      <c r="O62" s="584"/>
      <c r="P62" s="446"/>
      <c r="Q62" s="1410"/>
      <c r="R62" s="446"/>
      <c r="S62" s="1388"/>
      <c r="T62" s="1391" t="s">
        <v>175</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562"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176</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87</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8333F-5CCF-D895-8E94-45AE500C80D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4437" width="10.7109375" hidden="1" customWidth="1"/>
    <col min="2" max="2" style="5002" width="16.8515625" hidden="1" customWidth="1"/>
    <col min="3" max="3" style="4562" width="5.57421875" hidden="1" customWidth="1"/>
    <col min="4" max="4" style="5053" width="3.00390625" customWidth="1"/>
    <col min="5" max="5" style="5053" width="7.00390625" customWidth="1"/>
    <col min="6" max="6" style="5053" width="54.00390625" customWidth="1"/>
    <col min="7" max="7" style="5053" width="10.00390625" customWidth="1"/>
    <col min="8" max="8" style="5053" width="40.7109375" hidden="1" customWidth="1"/>
    <col min="9" max="9" style="5053" width="40.7109375" customWidth="1"/>
    <col min="10" max="10" style="5053" width="102.00390625" customWidth="1"/>
    <col min="11" max="11" style="5002" width="9.00390625" customWidth="1"/>
    <col min="12" max="12" style="4562" width="5.00390625" customWidth="1"/>
    <col min="13" max="13" style="4562" width="3.00390625" customWidth="1"/>
    <col min="14" max="17" style="5002" width="3.00390625" customWidth="1"/>
    <col min="18" max="18" style="4562" width="10.00390625" customWidth="1"/>
    <col min="19" max="19" style="5002" width="34.00390625" customWidth="1"/>
    <col min="20" max="20" style="5002" width="9.00390625" customWidth="1"/>
    <col min="21" max="21" style="4507" width="8.00390625" customWidth="1"/>
    <col min="22" max="26" style="5002" width="8.00390625" customWidth="1"/>
    <col min="27" max="31" style="5297" width="8.00390625" customWidth="1"/>
    <col min="32" max="32" style="5053" width="9.140625" hidden="1"/>
  </cols>
  <sheetData>
    <row customHeight="1" ht="22.5" hidden="1">
      <c r="AF1" s="1697" t="s">
        <v>14</v>
      </c>
    </row>
    <row customHeight="1" ht="23.25" hidden="1">
      <c r="B2" s="2165"/>
      <c r="C2" s="1233" t="s">
        <v>554</v>
      </c>
      <c r="D2" s="1704"/>
      <c r="E2" s="612">
        <f>B2</f>
        <v>0</v>
      </c>
      <c r="F2" s="613"/>
      <c r="G2" s="1712" t="s">
        <v>555</v>
      </c>
      <c r="H2" s="1712" t="s">
        <v>555</v>
      </c>
      <c r="I2" s="1712" t="s">
        <v>555</v>
      </c>
      <c r="J2" s="355" t="s">
        <v>556</v>
      </c>
      <c r="K2" s="609"/>
      <c r="AF2" s="1697">
        <v>0</v>
      </c>
    </row>
    <row s="4562" customFormat="1" customHeight="1" ht="0.75" hidden="1">
      <c r="B3" s="2165"/>
      <c r="C3" s="1233"/>
      <c r="D3" s="614"/>
      <c r="E3" s="615"/>
      <c r="F3" s="616" t="s">
        <v>557</v>
      </c>
      <c r="G3" s="617"/>
      <c r="H3" s="617">
        <f>H4*H5+H7</f>
        <v>0</v>
      </c>
      <c r="I3" s="617">
        <f>I4*I5+I6</f>
        <v>0</v>
      </c>
      <c r="J3" s="618"/>
      <c r="AF3" s="1702">
        <v>0</v>
      </c>
    </row>
    <row customHeight="1" ht="23.25" hidden="1">
      <c r="B4" s="2165"/>
      <c r="C4" s="1233"/>
      <c r="D4" s="1704"/>
      <c r="E4" s="612" t="str">
        <f>B2&amp;".1"</f>
        <v>.1</v>
      </c>
      <c r="F4" s="619" t="s">
        <v>558</v>
      </c>
      <c r="G4" s="620"/>
      <c r="H4" s="607"/>
      <c r="I4" s="607"/>
      <c r="J4" s="355" t="s">
        <v>559</v>
      </c>
      <c r="K4" s="609"/>
      <c r="AF4" s="1697">
        <v>0</v>
      </c>
    </row>
    <row customHeight="1" ht="18.75" hidden="1">
      <c r="B5" s="2165"/>
      <c r="C5" s="1233"/>
      <c r="D5" s="1704"/>
      <c r="E5" s="612" t="str">
        <f>B2&amp;".2"</f>
        <v>.2</v>
      </c>
      <c r="F5" s="619" t="s">
        <v>560</v>
      </c>
      <c r="G5" s="1712" t="s">
        <v>561</v>
      </c>
      <c r="H5" s="607"/>
      <c r="I5" s="607"/>
      <c r="J5" s="355"/>
      <c r="K5" s="609"/>
      <c r="AF5" s="1697">
        <v>0</v>
      </c>
    </row>
    <row customHeight="1" ht="18.75" hidden="1">
      <c r="B6" s="2165"/>
      <c r="C6" s="1233"/>
      <c r="D6" s="1704"/>
      <c r="E6" s="612" t="str">
        <f>B2&amp;".3"</f>
        <v>.3</v>
      </c>
      <c r="F6" s="619" t="s">
        <v>562</v>
      </c>
      <c r="G6" s="1712" t="s">
        <v>561</v>
      </c>
      <c r="H6" s="607"/>
      <c r="I6" s="607"/>
      <c r="J6" s="355"/>
      <c r="K6" s="609"/>
      <c r="AF6" s="1697">
        <v>0</v>
      </c>
    </row>
    <row customHeight="1" ht="18.75" hidden="1">
      <c r="B7" s="2165"/>
      <c r="C7" s="1233"/>
      <c r="D7" s="1704"/>
      <c r="E7" s="612" t="str">
        <f>B2&amp;".4"</f>
        <v>.4</v>
      </c>
      <c r="F7" s="619" t="s">
        <v>563</v>
      </c>
      <c r="G7" s="1712" t="s">
        <v>555</v>
      </c>
      <c r="H7" s="621"/>
      <c r="I7" s="621"/>
      <c r="J7" s="355"/>
      <c r="K7" s="609"/>
      <c r="AF7" s="1697">
        <v>0</v>
      </c>
    </row>
    <row s="5002" customFormat="1" customHeight="1" ht="11.25" hidden="1">
      <c r="A8" s="1053"/>
      <c r="C8" s="1702"/>
      <c r="D8" s="603"/>
      <c r="H8" s="1226">
        <v>4</v>
      </c>
      <c r="I8" s="1226">
        <v>4</v>
      </c>
      <c r="L8" s="1702"/>
      <c r="M8" s="1702"/>
      <c r="R8" s="1702"/>
      <c r="AF8" s="1226">
        <v>0</v>
      </c>
    </row>
    <row s="5002" customFormat="1" customHeight="1" ht="22.5" hidden="1">
      <c r="A9" s="1053"/>
      <c r="C9" s="1702"/>
      <c r="D9" s="604"/>
      <c r="E9" s="1714"/>
      <c r="F9" s="606"/>
      <c r="G9" s="1712" t="s">
        <v>561</v>
      </c>
      <c r="H9" s="607"/>
      <c r="I9" s="607"/>
      <c r="J9" s="608" t="s">
        <v>564</v>
      </c>
      <c r="K9" s="609"/>
      <c r="L9" s="1702"/>
      <c r="M9" s="1702"/>
      <c r="R9" s="1702"/>
      <c r="U9" s="610"/>
      <c r="AA9" s="1698"/>
      <c r="AB9" s="1698"/>
      <c r="AC9" s="1698"/>
      <c r="AD9" s="1698"/>
      <c r="AE9" s="1698"/>
      <c r="AF9" s="1226">
        <v>0</v>
      </c>
    </row>
    <row customHeight="1" ht="11.25" hidden="1">
      <c r="AF10" s="1697">
        <v>0</v>
      </c>
    </row>
    <row customHeight="1" ht="18.75" hidden="1">
      <c r="D11" s="1704"/>
      <c r="E11" s="612"/>
      <c r="F11" s="606"/>
      <c r="G11" s="1712" t="s">
        <v>565</v>
      </c>
      <c r="H11" s="607"/>
      <c r="I11" s="607"/>
      <c r="J11" s="355" t="s">
        <v>566</v>
      </c>
      <c r="K11" s="609"/>
      <c r="AF11" s="1697">
        <v>0</v>
      </c>
    </row>
    <row customHeight="1" ht="11.25" hidden="1">
      <c r="AF12" s="1697">
        <v>0</v>
      </c>
    </row>
    <row customHeight="1" ht="22.5" hidden="1">
      <c r="D13" s="1704"/>
      <c r="E13" s="612"/>
      <c r="F13" s="606"/>
      <c r="G13" s="1035" t="s">
        <v>567</v>
      </c>
      <c r="H13" s="611"/>
      <c r="I13" s="611"/>
      <c r="J13" s="811" t="s">
        <v>568</v>
      </c>
      <c r="K13" s="609"/>
      <c r="AF13" s="1697">
        <v>0</v>
      </c>
    </row>
    <row customHeight="1" ht="11.25" hidden="1">
      <c r="AF14" s="1697">
        <v>0</v>
      </c>
    </row>
    <row customHeight="1" ht="22.5" hidden="1">
      <c r="D15" s="1704"/>
      <c r="E15" s="612"/>
      <c r="F15" s="606"/>
      <c r="G15" s="1712" t="s">
        <v>569</v>
      </c>
      <c r="H15" s="611"/>
      <c r="I15" s="611"/>
      <c r="J15" s="355" t="s">
        <v>570</v>
      </c>
      <c r="K15" s="609"/>
      <c r="AF15" s="1697">
        <v>0</v>
      </c>
    </row>
    <row customHeight="1" ht="11.25" hidden="1">
      <c r="AF16" s="1697">
        <v>0</v>
      </c>
    </row>
    <row customHeight="1" ht="22.5" hidden="1">
      <c r="D17" s="1704"/>
      <c r="E17" s="612"/>
      <c r="F17" s="606"/>
      <c r="G17" s="1712" t="s">
        <v>571</v>
      </c>
      <c r="H17" s="611"/>
      <c r="I17" s="611"/>
      <c r="J17" s="355" t="s">
        <v>572</v>
      </c>
      <c r="K17" s="609"/>
      <c r="AF17" s="1697">
        <v>0</v>
      </c>
    </row>
    <row customHeight="1" ht="11.25" hidden="1">
      <c r="AF18" s="1697">
        <v>0</v>
      </c>
    </row>
    <row s="5297" customFormat="1" customHeight="1" ht="11.25" hidden="1">
      <c r="A19" s="1053"/>
      <c r="B19" s="1226"/>
      <c r="C19" s="1702"/>
      <c r="D19" s="428"/>
      <c r="J19" s="1698">
        <v>4</v>
      </c>
      <c r="K19" s="1226"/>
      <c r="L19" s="1702"/>
      <c r="M19" s="1702"/>
      <c r="N19" s="1226"/>
      <c r="O19" s="1226"/>
      <c r="P19" s="1226"/>
      <c r="Q19" s="1226"/>
      <c r="R19" s="1702"/>
      <c r="S19" s="1226"/>
      <c r="T19" s="1226"/>
      <c r="U19" s="610"/>
      <c r="V19" s="1226"/>
      <c r="W19" s="1226"/>
      <c r="X19" s="1226"/>
      <c r="Y19" s="1226"/>
      <c r="Z19" s="1226"/>
      <c r="AF19" s="1698">
        <v>0</v>
      </c>
    </row>
    <row customHeight="1" ht="11.549999999999999">
      <c r="AF20" s="1697">
        <v>11</v>
      </c>
    </row>
    <row customHeight="1" ht="25.2">
      <c r="E21" s="231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4"/>
      <c r="G21" s="2314"/>
      <c r="H21" s="2314"/>
      <c r="I21" s="2314"/>
      <c r="J21" s="622"/>
      <c r="AF21" s="1697">
        <v>24</v>
      </c>
    </row>
    <row customHeight="1" ht="25.2">
      <c r="E22" s="2315" t="str">
        <f>IF(org=0,"Не определено",org)</f>
        <v>Филиал "Уренгойская ГРЭС" АО "Интер РАО - Электрогенерация"</v>
      </c>
      <c r="F22" s="2315"/>
      <c r="G22" s="2315"/>
      <c r="H22" s="2315"/>
      <c r="I22" s="2315"/>
      <c r="AF22" s="1697">
        <v>24</v>
      </c>
    </row>
    <row customHeight="1" ht="11.549999999999999">
      <c r="E23" s="1201"/>
      <c r="F23" s="1201"/>
      <c r="G23" s="1201"/>
      <c r="H23" s="1201"/>
      <c r="I23" s="1201"/>
      <c r="AF23" s="1697">
        <v>11</v>
      </c>
    </row>
    <row s="4562" customFormat="1" customHeight="1" ht="1.05">
      <c r="A24" s="1233"/>
      <c r="D24" s="1708"/>
      <c r="H24" s="955"/>
      <c r="I24" s="955" t="s">
        <v>122</v>
      </c>
      <c r="AF24" s="1702">
        <v>1</v>
      </c>
    </row>
    <row customHeight="1" ht="11.549999999999999">
      <c r="E25" s="777"/>
      <c r="F25" s="2433" t="s">
        <v>110</v>
      </c>
      <c r="G25" s="2434"/>
      <c r="H25" s="1718" t="str">
        <f>IF(H24="","",INDEX(DIFFERENTIATION_UNMERGE_VD,MATCH(H24,DIFFERENTIATION_ID_DIFF,0)))</f>
        <v/>
      </c>
      <c r="I25" s="1718">
        <f>IF(I24="","",INDEX(DIFFERENTIATION_UNMERGE_VD,MATCH(I24,DIFFERENTIATION_ID_DIFF,0)))</f>
        <v>0</v>
      </c>
      <c r="J25" s="2193"/>
      <c r="AF25" s="1697">
        <v>11</v>
      </c>
    </row>
    <row customHeight="1" ht="11.549999999999999">
      <c r="E26" s="777"/>
      <c r="F26" s="2433" t="s">
        <v>573</v>
      </c>
      <c r="G26" s="2434"/>
      <c r="H26" s="1718" t="str">
        <f>IF(H24="","",INDEX(DIFFERENTIATION_UNMERGE_AREA,MATCH(H24,DIFFERENTIATION_ID_DIFF,0)))</f>
        <v/>
      </c>
      <c r="I26" s="1718" t="str">
        <f>IF(I24="","",INDEX(DIFFERENTIATION_UNMERGE_AREA,MATCH(I24,DIFFERENTIATION_ID_DIFF,0)))</f>
        <v/>
      </c>
      <c r="J26" s="2193"/>
      <c r="AF26" s="1697">
        <v>11</v>
      </c>
    </row>
    <row customHeight="1" ht="11.549999999999999">
      <c r="E27" s="777"/>
      <c r="F27" s="2433" t="s">
        <v>574</v>
      </c>
      <c r="G27" s="2434"/>
      <c r="H27" s="1718" t="str">
        <f>IF(H24="","",INDEX(DIFFERENTIATION_UNMERGE_SYSTEM,MATCH(H24,DIFFERENTIATION_ID_DIFF,0)))</f>
        <v/>
      </c>
      <c r="I27" s="1718" t="str">
        <f>IF(I24="","",INDEX(DIFFERENTIATION_UNMERGE_SYSTEM,MATCH(I24,DIFFERENTIATION_ID_DIFF,0)))</f>
        <v>без дифференциации</v>
      </c>
      <c r="J27" s="2193"/>
      <c r="AF27" s="1697">
        <v>11</v>
      </c>
    </row>
    <row customHeight="1" ht="11.549999999999999">
      <c r="E28" s="2435" t="s">
        <v>309</v>
      </c>
      <c r="F28" s="2436"/>
      <c r="G28" s="2436"/>
      <c r="H28" s="1711"/>
      <c r="I28" s="1711"/>
      <c r="J28" s="2193"/>
      <c r="AF28" s="1697">
        <v>11</v>
      </c>
    </row>
    <row customHeight="1" ht="24">
      <c r="E29" s="1712" t="s">
        <v>93</v>
      </c>
      <c r="F29" s="1719" t="s">
        <v>311</v>
      </c>
      <c r="G29" s="1719" t="s">
        <v>575</v>
      </c>
      <c r="H29" s="1719" t="s">
        <v>312</v>
      </c>
      <c r="I29" s="1719" t="s">
        <v>312</v>
      </c>
      <c r="J29" s="2193"/>
      <c r="AF29" s="1697">
        <v>23</v>
      </c>
    </row>
    <row customHeight="1" ht="19.95">
      <c r="D30" s="1704"/>
      <c r="E30" s="612">
        <f>FHD_NUM_P_1</f>
        <v>1</v>
      </c>
      <c r="F30" s="1946" t="str">
        <f>FHD_P_1</f>
        <v>Выручка от регулируемого вида деятельности с распределением по видам деятельности</v>
      </c>
      <c r="G30" s="1944" t="s">
        <v>561</v>
      </c>
      <c r="H30" s="623"/>
      <c r="I30" s="623"/>
      <c r="J30" s="355" t="str">
        <f>FHD_NOTE_P_1</f>
        <v>Указывается выручка от регулируемого вида деятельности с распределением по видам деятельности.</v>
      </c>
      <c r="K30" s="609"/>
      <c r="AF30" s="1697">
        <v>19</v>
      </c>
    </row>
    <row customHeight="1" ht="11.549999999999999">
      <c r="D31" s="1704"/>
      <c r="E31" s="612">
        <f>FHD_NUM_P_2</f>
        <v>2</v>
      </c>
      <c r="F31" s="1946" t="str">
        <f>FHD_P_2</f>
        <v>Себестоимость производимых товаров (оказываемых услуг) по регулируемому виду деятельности, включая:</v>
      </c>
      <c r="G31" s="1944" t="s">
        <v>561</v>
      </c>
      <c r="H31" s="624">
        <f>SUMIF($K33:$K71,$K31,H33:H71)</f>
        <v>0</v>
      </c>
      <c r="I31" s="624">
        <f>SUMIF($K33:$K71,$K31,I33:I71)</f>
        <v>0</v>
      </c>
      <c r="J31" s="355" t="str">
        <f>FHD_NOTE_P_2</f>
        <v>Указывается суммарная себестоимость производимых товаров.</v>
      </c>
      <c r="K31" s="1702" t="s">
        <v>576</v>
      </c>
      <c r="AF31" s="1697">
        <v>11</v>
      </c>
    </row>
    <row customHeight="1" ht="11.549999999999999">
      <c r="D32" s="1704"/>
      <c r="E32" s="612" t="str">
        <f>FHD_NUM_P_3</f>
        <v>2.1</v>
      </c>
      <c r="F32" s="1590" t="str">
        <f>FHD_P_3</f>
        <v>Расходы на приобретаемую тепловую энергию (мощность), теплоноситель</v>
      </c>
      <c r="G32" s="1944" t="s">
        <v>561</v>
      </c>
      <c r="H32" s="623"/>
      <c r="I32" s="623"/>
      <c r="J32" s="355" t="str">
        <f>FHD_NOTE_P_3</f>
        <v/>
      </c>
      <c r="K32" s="1702" t="str">
        <f>IF((LEN(E32)-LEN(SUBSTITUTE(E32,".","")))/LEN(".")=1,"p","")</f>
        <v>p</v>
      </c>
      <c r="AF32" s="1697">
        <v>11</v>
      </c>
    </row>
    <row customHeight="1" ht="11.25">
      <c r="A33" s="2437" t="s">
        <v>577</v>
      </c>
      <c r="D33" s="1704"/>
      <c r="E33" s="612" t="str">
        <f>FHD_NUM_P_4</f>
        <v>2.2</v>
      </c>
      <c r="F33" s="159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4" t="s">
        <v>561</v>
      </c>
      <c r="H33" s="624">
        <f>SUMIF($F34:$F40,$F3,H34:H40)</f>
        <v>0</v>
      </c>
      <c r="I33" s="624">
        <f>SUMIF($F34:$F40,$F3,I34:I40)</f>
        <v>0</v>
      </c>
      <c r="J33" s="355" t="str">
        <f>FHD_NOTE_P_4</f>
        <v>Указываются суммарные расходы на приобретение топлива всех видов.</v>
      </c>
      <c r="K33" s="1702" t="str">
        <f>IF((LEN(E33)-LEN(SUBSTITUTE(E33,".","")))/LEN(".")=1,"p","")</f>
        <v>p</v>
      </c>
      <c r="AF33" s="1697">
        <v>0</v>
      </c>
    </row>
    <row s="4153" customFormat="1" customHeight="1" ht="0.75">
      <c r="A34" s="2437"/>
      <c r="B34" s="2438" t="str">
        <f>E33&amp;".0"</f>
        <v>2.2.0</v>
      </c>
      <c r="C34" s="1233"/>
      <c r="D34" s="626"/>
      <c r="E34" s="627"/>
      <c r="F34" s="628"/>
      <c r="G34" s="629"/>
      <c r="H34" s="563"/>
      <c r="I34" s="563"/>
      <c r="J34" s="630"/>
      <c r="K34" s="1702" t="str">
        <f>IF((LEN(E34)-LEN(SUBSTITUTE(E34,".","")))/LEN(".")=1,"p","")</f>
        <v/>
      </c>
      <c r="L34" s="1702"/>
      <c r="M34" s="1702"/>
      <c r="N34" s="1702"/>
      <c r="O34" s="1702"/>
      <c r="P34" s="1702"/>
      <c r="Q34" s="1702"/>
      <c r="R34" s="1702"/>
      <c r="S34" s="1702"/>
      <c r="T34" s="1702"/>
      <c r="U34" s="631"/>
      <c r="V34" s="1702"/>
      <c r="W34" s="1702"/>
      <c r="X34" s="1702"/>
      <c r="Y34" s="1702"/>
      <c r="Z34" s="1702"/>
      <c r="AA34" s="632"/>
      <c r="AB34" s="632"/>
      <c r="AC34" s="632"/>
      <c r="AD34" s="632"/>
      <c r="AE34" s="632"/>
      <c r="AF34" s="1707">
        <v>0</v>
      </c>
    </row>
    <row s="4153" customFormat="1" customHeight="1" ht="0.75">
      <c r="A35" s="2437"/>
      <c r="B35" s="2438"/>
      <c r="C35" s="1233"/>
      <c r="D35" s="626"/>
      <c r="E35" s="633"/>
      <c r="F35" s="634"/>
      <c r="G35" s="629"/>
      <c r="H35" s="635"/>
      <c r="I35" s="635"/>
      <c r="J35" s="630"/>
      <c r="K35" s="1702" t="str">
        <f>IF((LEN(E35)-LEN(SUBSTITUTE(E35,".","")))/LEN(".")=1,"p","")</f>
        <v/>
      </c>
      <c r="L35" s="1702"/>
      <c r="M35" s="1702"/>
      <c r="N35" s="1702"/>
      <c r="O35" s="1702"/>
      <c r="P35" s="1702"/>
      <c r="Q35" s="1702"/>
      <c r="R35" s="1702"/>
      <c r="S35" s="1702"/>
      <c r="T35" s="1702"/>
      <c r="U35" s="631"/>
      <c r="V35" s="1702"/>
      <c r="W35" s="1702"/>
      <c r="X35" s="1702"/>
      <c r="Y35" s="1702"/>
      <c r="Z35" s="1702"/>
      <c r="AA35" s="632"/>
      <c r="AB35" s="632"/>
      <c r="AC35" s="632"/>
      <c r="AD35" s="632"/>
      <c r="AE35" s="632"/>
      <c r="AF35" s="1707">
        <v>0</v>
      </c>
    </row>
    <row s="4153" customFormat="1" customHeight="1" ht="0.75">
      <c r="A36" s="2437"/>
      <c r="B36" s="2438"/>
      <c r="C36" s="1233"/>
      <c r="D36" s="626"/>
      <c r="E36" s="633"/>
      <c r="F36" s="634"/>
      <c r="G36" s="629"/>
      <c r="H36" s="635"/>
      <c r="I36" s="635"/>
      <c r="J36" s="630"/>
      <c r="K36" s="1702" t="str">
        <f>IF((LEN(E36)-LEN(SUBSTITUTE(E36,".","")))/LEN(".")=1,"p","")</f>
        <v/>
      </c>
      <c r="L36" s="1702"/>
      <c r="M36" s="1702"/>
      <c r="N36" s="1702"/>
      <c r="O36" s="1702"/>
      <c r="P36" s="1702"/>
      <c r="Q36" s="1702"/>
      <c r="R36" s="1702"/>
      <c r="S36" s="1702"/>
      <c r="T36" s="1702"/>
      <c r="U36" s="631"/>
      <c r="V36" s="1702"/>
      <c r="W36" s="1702"/>
      <c r="X36" s="1702"/>
      <c r="Y36" s="1702"/>
      <c r="Z36" s="1702"/>
      <c r="AA36" s="632"/>
      <c r="AB36" s="632"/>
      <c r="AC36" s="632"/>
      <c r="AD36" s="632"/>
      <c r="AE36" s="632"/>
      <c r="AF36" s="1707">
        <v>0</v>
      </c>
    </row>
    <row s="4153" customFormat="1" customHeight="1" ht="0.75">
      <c r="A37" s="2437"/>
      <c r="B37" s="2438"/>
      <c r="C37" s="1233"/>
      <c r="D37" s="626"/>
      <c r="E37" s="633"/>
      <c r="F37" s="634"/>
      <c r="G37" s="629"/>
      <c r="H37" s="635"/>
      <c r="I37" s="635"/>
      <c r="J37" s="630"/>
      <c r="K37" s="1702" t="str">
        <f>IF((LEN(E37)-LEN(SUBSTITUTE(E37,".","")))/LEN(".")=1,"p","")</f>
        <v/>
      </c>
      <c r="L37" s="1702"/>
      <c r="M37" s="1702"/>
      <c r="N37" s="1702"/>
      <c r="O37" s="1702"/>
      <c r="P37" s="1702"/>
      <c r="Q37" s="1702"/>
      <c r="R37" s="1702"/>
      <c r="S37" s="1702"/>
      <c r="T37" s="1702"/>
      <c r="U37" s="631"/>
      <c r="V37" s="1702"/>
      <c r="W37" s="1702"/>
      <c r="X37" s="1702"/>
      <c r="Y37" s="1702"/>
      <c r="Z37" s="1702"/>
      <c r="AA37" s="632"/>
      <c r="AB37" s="632"/>
      <c r="AC37" s="632"/>
      <c r="AD37" s="632"/>
      <c r="AE37" s="632"/>
      <c r="AF37" s="1707">
        <v>0</v>
      </c>
    </row>
    <row s="4153" customFormat="1" customHeight="1" ht="0.75">
      <c r="A38" s="2437"/>
      <c r="B38" s="2438"/>
      <c r="C38" s="1233"/>
      <c r="D38" s="626"/>
      <c r="E38" s="633"/>
      <c r="F38" s="634"/>
      <c r="G38" s="629"/>
      <c r="H38" s="635"/>
      <c r="I38" s="635"/>
      <c r="J38" s="630"/>
      <c r="K38" s="1702" t="str">
        <f>IF((LEN(E38)-LEN(SUBSTITUTE(E38,".","")))/LEN(".")=1,"p","")</f>
        <v/>
      </c>
      <c r="L38" s="1702"/>
      <c r="M38" s="1702"/>
      <c r="N38" s="1702"/>
      <c r="O38" s="1702"/>
      <c r="P38" s="1702"/>
      <c r="Q38" s="1702"/>
      <c r="R38" s="1702"/>
      <c r="S38" s="1702"/>
      <c r="T38" s="1702"/>
      <c r="U38" s="631"/>
      <c r="V38" s="1702"/>
      <c r="W38" s="1702"/>
      <c r="X38" s="1702"/>
      <c r="Y38" s="1702"/>
      <c r="Z38" s="1702"/>
      <c r="AA38" s="632"/>
      <c r="AB38" s="632"/>
      <c r="AC38" s="632"/>
      <c r="AD38" s="632"/>
      <c r="AE38" s="632"/>
      <c r="AF38" s="1707">
        <v>0</v>
      </c>
    </row>
    <row s="4153" customFormat="1" customHeight="1" ht="0.75">
      <c r="A39" s="2437"/>
      <c r="B39" s="2438"/>
      <c r="C39" s="1233"/>
      <c r="D39" s="626"/>
      <c r="E39" s="633"/>
      <c r="F39" s="634"/>
      <c r="G39" s="629"/>
      <c r="H39" s="563"/>
      <c r="I39" s="563"/>
      <c r="J39" s="630"/>
      <c r="K39" s="1702" t="str">
        <f>IF((LEN(E39)-LEN(SUBSTITUTE(E39,".","")))/LEN(".")=1,"p","")</f>
        <v/>
      </c>
      <c r="L39" s="1702"/>
      <c r="M39" s="1702"/>
      <c r="N39" s="1702"/>
      <c r="O39" s="1702"/>
      <c r="P39" s="1702"/>
      <c r="Q39" s="1702"/>
      <c r="R39" s="1702"/>
      <c r="S39" s="1702"/>
      <c r="T39" s="1702"/>
      <c r="U39" s="631"/>
      <c r="V39" s="1702"/>
      <c r="W39" s="1702"/>
      <c r="X39" s="1702"/>
      <c r="Y39" s="1702"/>
      <c r="Z39" s="1702"/>
      <c r="AA39" s="632"/>
      <c r="AB39" s="632"/>
      <c r="AC39" s="632"/>
      <c r="AD39" s="632"/>
      <c r="AE39" s="632"/>
      <c r="AF39" s="1707">
        <v>0</v>
      </c>
    </row>
    <row s="5002" customFormat="1" customHeight="1" ht="15">
      <c r="A40" s="2437"/>
      <c r="C40" s="1702"/>
      <c r="D40" s="1699"/>
      <c r="E40" s="636"/>
      <c r="F40" s="637" t="s">
        <v>578</v>
      </c>
      <c r="G40" s="638"/>
      <c r="H40" s="639"/>
      <c r="I40" s="639"/>
      <c r="J40" s="367"/>
      <c r="K40" s="1702" t="str">
        <f>IF((LEN(E40)-LEN(SUBSTITUTE(E40,".","")))/LEN(".")=1,"p","")</f>
        <v/>
      </c>
      <c r="L40" s="1702"/>
      <c r="M40" s="1702"/>
      <c r="R40" s="1702"/>
      <c r="U40" s="610"/>
      <c r="AA40" s="1698"/>
      <c r="AB40" s="1698"/>
      <c r="AC40" s="1698"/>
      <c r="AD40" s="1698"/>
      <c r="AE40" s="1698"/>
      <c r="AF40" s="1226">
        <v>0</v>
      </c>
    </row>
    <row customHeight="1" ht="11.25" hidden="1">
      <c r="A41" s="2437" t="s">
        <v>579</v>
      </c>
      <c r="D41" s="1704"/>
      <c r="E41" s="612" t="str">
        <f>FHD_NUM_P_5</f>
        <v/>
      </c>
      <c r="F41" s="1590" t="str">
        <f>FHD_P_5</f>
        <v/>
      </c>
      <c r="G41" s="1944" t="s">
        <v>561</v>
      </c>
      <c r="H41" s="623"/>
      <c r="I41" s="623"/>
      <c r="J41" s="355" t="str">
        <f>FHD_NOTE_P_5</f>
        <v/>
      </c>
      <c r="K41" s="1702" t="str">
        <f>IF((LEN(E41)-LEN(SUBSTITUTE(E41,".","")))/LEN(".")=1,"p","")</f>
        <v/>
      </c>
      <c r="AF41" s="1697">
        <v>0</v>
      </c>
    </row>
    <row customHeight="1" ht="11.25" hidden="1">
      <c r="A42" s="2437"/>
      <c r="D42" s="1704"/>
      <c r="E42" s="612" t="str">
        <f>FHD_NUM_P_6</f>
        <v/>
      </c>
      <c r="F42" s="1590" t="str">
        <f>FHD_P_6</f>
        <v/>
      </c>
      <c r="G42" s="1944" t="s">
        <v>561</v>
      </c>
      <c r="H42" s="623"/>
      <c r="I42" s="623"/>
      <c r="J42" s="355" t="str">
        <f>FHD_NOTE_P_6</f>
        <v/>
      </c>
      <c r="K42" s="1702" t="str">
        <f>IF((LEN(E42)-LEN(SUBSTITUTE(E42,".","")))/LEN(".")=1,"p","")</f>
        <v/>
      </c>
      <c r="AF42" s="1697">
        <v>0</v>
      </c>
    </row>
    <row customHeight="1" ht="11.25" hidden="1">
      <c r="A43" s="2437"/>
      <c r="D43" s="1704"/>
      <c r="E43" s="612" t="str">
        <f>FHD_NUM_P_7</f>
        <v/>
      </c>
      <c r="F43" s="1590" t="str">
        <f>FHD_P_7</f>
        <v/>
      </c>
      <c r="G43" s="1944" t="s">
        <v>561</v>
      </c>
      <c r="H43" s="623"/>
      <c r="I43" s="623"/>
      <c r="J43" s="355" t="str">
        <f>FHD_NOTE_P_7</f>
        <v/>
      </c>
      <c r="K43" s="1702" t="str">
        <f>IF((LEN(E43)-LEN(SUBSTITUTE(E43,".","")))/LEN(".")=1,"p","")</f>
        <v/>
      </c>
      <c r="AF43" s="1697">
        <v>0</v>
      </c>
    </row>
    <row customHeight="1" ht="11.549999999999999">
      <c r="D44" s="1704"/>
      <c r="E44" s="612" t="str">
        <f>FHD_NUM_P_8</f>
        <v>2.3</v>
      </c>
      <c r="F44" s="1590" t="str">
        <f>FHD_P_8</f>
        <v>Расходы на приобретаемую электрическую энергию (мощность), используемую в технологическом процессе</v>
      </c>
      <c r="G44" s="1944" t="s">
        <v>561</v>
      </c>
      <c r="H44" s="623"/>
      <c r="I44" s="623"/>
      <c r="J44" s="355" t="str">
        <f>FHD_NOTE_P_8</f>
        <v/>
      </c>
      <c r="K44" s="1702" t="str">
        <f>IF((LEN(E44)-LEN(SUBSTITUTE(E44,".","")))/LEN(".")=1,"p","")</f>
        <v>p</v>
      </c>
      <c r="AF44" s="1697">
        <v>11</v>
      </c>
    </row>
    <row customHeight="1" ht="11.549999999999999">
      <c r="D45" s="1704"/>
      <c r="E45" s="612" t="str">
        <f>FHD_NUM_P_9</f>
        <v>2.3.1</v>
      </c>
      <c r="F45" s="1716" t="str">
        <f>FHD_P_9</f>
        <v>Средневзвешенная стоимость 1 кВт.ч (с учетом мощности)</v>
      </c>
      <c r="G45" s="1944" t="s">
        <v>580</v>
      </c>
      <c r="H45" s="623"/>
      <c r="I45" s="623"/>
      <c r="J45" s="355" t="str">
        <f>FHD_NOTE_P_9</f>
        <v/>
      </c>
      <c r="K45" s="1702" t="str">
        <f>IF((LEN(E45)-LEN(SUBSTITUTE(E45,".","")))/LEN(".")=1,"p","")</f>
        <v/>
      </c>
      <c r="AF45" s="1697">
        <v>11</v>
      </c>
    </row>
    <row s="5002" customFormat="1" customHeight="1" ht="11.549999999999999">
      <c r="A46" s="1053"/>
      <c r="C46" s="1702"/>
      <c r="D46" s="640"/>
      <c r="E46" s="612" t="str">
        <f>FHD_NUM_P_10</f>
        <v>2.3.2</v>
      </c>
      <c r="F46" s="1716" t="str">
        <f>FHD_P_10</f>
        <v>Объём приобретения электрической энергии</v>
      </c>
      <c r="G46" s="1944" t="s">
        <v>581</v>
      </c>
      <c r="H46" s="623"/>
      <c r="I46" s="623"/>
      <c r="J46" s="355" t="str">
        <f>FHD_NOTE_P_10</f>
        <v/>
      </c>
      <c r="K46" s="1702" t="str">
        <f>IF((LEN(E46)-LEN(SUBSTITUTE(E46,".","")))/LEN(".")=1,"p","")</f>
        <v/>
      </c>
      <c r="L46" s="1702"/>
      <c r="M46" s="1702"/>
      <c r="R46" s="1702"/>
      <c r="U46" s="610"/>
      <c r="AA46" s="1698"/>
      <c r="AB46" s="1698"/>
      <c r="AC46" s="1698"/>
      <c r="AD46" s="1698"/>
      <c r="AE46" s="1698"/>
      <c r="AF46" s="1226">
        <v>11</v>
      </c>
    </row>
    <row s="5002" customFormat="1" customHeight="1" ht="11.25">
      <c r="A47" s="1055" t="s">
        <v>582</v>
      </c>
      <c r="C47" s="1702"/>
      <c r="D47" s="641"/>
      <c r="E47" s="612" t="str">
        <f>FHD_NUM_P_11</f>
        <v>2.4</v>
      </c>
      <c r="F47" s="1590" t="str">
        <f>FHD_P_11</f>
        <v>Расходы на приобретение холодной воды, используемой в технологическом процессе</v>
      </c>
      <c r="G47" s="1944" t="s">
        <v>561</v>
      </c>
      <c r="H47" s="623"/>
      <c r="I47" s="623"/>
      <c r="J47" s="355" t="str">
        <f>FHD_NOTE_P_11</f>
        <v/>
      </c>
      <c r="K47" s="1702" t="str">
        <f>IF((LEN(E47)-LEN(SUBSTITUTE(E47,".","")))/LEN(".")=1,"p","")</f>
        <v>p</v>
      </c>
      <c r="L47" s="1702"/>
      <c r="M47" s="1702"/>
      <c r="R47" s="1702"/>
      <c r="U47" s="610"/>
      <c r="AA47" s="1698"/>
      <c r="AB47" s="1698"/>
      <c r="AC47" s="1698"/>
      <c r="AD47" s="1698"/>
      <c r="AE47" s="1698"/>
      <c r="AF47" s="1226">
        <v>0</v>
      </c>
    </row>
    <row s="5002" customFormat="1" customHeight="1" ht="18.75">
      <c r="A48" s="1055" t="s">
        <v>583</v>
      </c>
      <c r="C48" s="1702"/>
      <c r="D48" s="1704"/>
      <c r="E48" s="612" t="str">
        <f>FHD_NUM_P_12</f>
        <v>2.5</v>
      </c>
      <c r="F48" s="1590" t="str">
        <f>FHD_P_12</f>
        <v>Расходы на  химические реагенты, используемые в технологическом процессе</v>
      </c>
      <c r="G48" s="1944" t="s">
        <v>561</v>
      </c>
      <c r="H48" s="643"/>
      <c r="I48" s="643"/>
      <c r="J48" s="355" t="str">
        <f>FHD_NOTE_P_12</f>
        <v/>
      </c>
      <c r="K48" s="1702" t="str">
        <f>IF((LEN(E48)-LEN(SUBSTITUTE(E48,".","")))/LEN(".")=1,"p","")</f>
        <v>p</v>
      </c>
      <c r="L48" s="1702"/>
      <c r="M48" s="1702"/>
      <c r="R48" s="1702"/>
      <c r="U48" s="610"/>
      <c r="AA48" s="1698"/>
      <c r="AB48" s="1698"/>
      <c r="AC48" s="1698"/>
      <c r="AD48" s="1698"/>
      <c r="AE48" s="1698"/>
      <c r="AF48" s="1226">
        <v>18</v>
      </c>
    </row>
    <row s="3576" customFormat="1" customHeight="1" ht="11.549999999999999">
      <c r="A49" s="1054"/>
      <c r="C49" s="796"/>
      <c r="D49" s="739"/>
      <c r="E49" s="612" t="str">
        <f>FHD_NUM_P_13</f>
        <v>2.6</v>
      </c>
      <c r="F49" s="159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4" t="s">
        <v>561</v>
      </c>
      <c r="H49" s="623"/>
      <c r="I49" s="623"/>
      <c r="J49" s="355" t="str">
        <f>FHD_NOTE_P_13</f>
        <v/>
      </c>
      <c r="K49" s="1702" t="str">
        <f>IF((LEN(E49)-LEN(SUBSTITUTE(E49,".","")))/LEN(".")=1,"p","")</f>
        <v>p</v>
      </c>
      <c r="L49" s="796"/>
      <c r="M49" s="796"/>
      <c r="R49" s="796"/>
      <c r="U49" s="797"/>
      <c r="AA49" s="798"/>
      <c r="AB49" s="798"/>
      <c r="AC49" s="798"/>
      <c r="AD49" s="798"/>
      <c r="AE49" s="798"/>
      <c r="AF49" s="795">
        <v>11</v>
      </c>
    </row>
    <row s="3576" customFormat="1" customHeight="1" ht="11.549999999999999">
      <c r="A50" s="1054"/>
      <c r="C50" s="796"/>
      <c r="D50" s="739"/>
      <c r="E50" s="612" t="str">
        <f>FHD_NUM_P_14</f>
        <v>2.6.1</v>
      </c>
      <c r="F50" s="1716" t="str">
        <f>FHD_P_14</f>
        <v>Расходы на оплату труда основного производственного персонала</v>
      </c>
      <c r="G50" s="1944" t="s">
        <v>561</v>
      </c>
      <c r="H50" s="623"/>
      <c r="I50" s="623"/>
      <c r="J50" s="355" t="str">
        <f>FHD_NOTE_P_14</f>
        <v/>
      </c>
      <c r="K50" s="1702" t="str">
        <f>IF((LEN(E50)-LEN(SUBSTITUTE(E50,".","")))/LEN(".")=1,"p","")</f>
        <v/>
      </c>
      <c r="L50" s="796"/>
      <c r="M50" s="796"/>
      <c r="R50" s="796"/>
      <c r="U50" s="797"/>
      <c r="AA50" s="798"/>
      <c r="AB50" s="798"/>
      <c r="AC50" s="798"/>
      <c r="AD50" s="798"/>
      <c r="AE50" s="798"/>
      <c r="AF50" s="795">
        <v>11</v>
      </c>
    </row>
    <row s="3576" customFormat="1" customHeight="1" ht="11.549999999999999">
      <c r="A51" s="1054"/>
      <c r="C51" s="796"/>
      <c r="D51" s="739"/>
      <c r="E51" s="612" t="str">
        <f>FHD_NUM_P_15</f>
        <v>2.6.2</v>
      </c>
      <c r="F51" s="1716" t="str">
        <f>FHD_P_15</f>
        <v>Страховые взносы на обязательное социальное страхование, выплачиваемые из фонда оплаты труда основного производственного персонала</v>
      </c>
      <c r="G51" s="1944" t="s">
        <v>561</v>
      </c>
      <c r="H51" s="623"/>
      <c r="I51" s="623"/>
      <c r="J51" s="355" t="str">
        <f>FHD_NOTE_P_15</f>
        <v/>
      </c>
      <c r="K51" s="1702" t="str">
        <f>IF((LEN(E51)-LEN(SUBSTITUTE(E51,".","")))/LEN(".")=1,"p","")</f>
        <v/>
      </c>
      <c r="L51" s="796"/>
      <c r="M51" s="796"/>
      <c r="R51" s="796"/>
      <c r="U51" s="797"/>
      <c r="AA51" s="798"/>
      <c r="AB51" s="798"/>
      <c r="AC51" s="798"/>
      <c r="AD51" s="798"/>
      <c r="AE51" s="798"/>
      <c r="AF51" s="795">
        <v>11</v>
      </c>
    </row>
    <row s="5002" customFormat="1" customHeight="1" ht="11.549999999999999">
      <c r="A52" s="1053"/>
      <c r="C52" s="1702"/>
      <c r="D52" s="1704"/>
      <c r="E52" s="612" t="str">
        <f>FHD_NUM_P_16</f>
        <v>2.7</v>
      </c>
      <c r="F52" s="159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4" t="s">
        <v>561</v>
      </c>
      <c r="H52" s="623"/>
      <c r="I52" s="623"/>
      <c r="J52" s="355" t="str">
        <f>FHD_NOTE_P_16</f>
        <v/>
      </c>
      <c r="K52" s="1702" t="str">
        <f>IF((LEN(E52)-LEN(SUBSTITUTE(E52,".","")))/LEN(".")=1,"p","")</f>
        <v>p</v>
      </c>
      <c r="L52" s="1702"/>
      <c r="M52" s="1708"/>
      <c r="N52" s="603"/>
      <c r="O52" s="603"/>
      <c r="R52" s="1702"/>
      <c r="U52" s="610"/>
      <c r="AA52" s="1698"/>
      <c r="AB52" s="1698"/>
      <c r="AC52" s="1698"/>
      <c r="AD52" s="1698"/>
      <c r="AE52" s="1698"/>
      <c r="AF52" s="1226">
        <v>11</v>
      </c>
    </row>
    <row s="5002" customFormat="1" customHeight="1" ht="11.549999999999999">
      <c r="A53" s="1053"/>
      <c r="C53" s="1702"/>
      <c r="D53" s="1704"/>
      <c r="E53" s="612" t="str">
        <f>FHD_NUM_P_17</f>
        <v>2.7.1</v>
      </c>
      <c r="F53" s="1716" t="str">
        <f>FHD_P_17</f>
        <v>Расходы на оплату труда административно-управленческого персонала</v>
      </c>
      <c r="G53" s="1944" t="s">
        <v>561</v>
      </c>
      <c r="H53" s="623"/>
      <c r="I53" s="623"/>
      <c r="J53" s="355" t="str">
        <f>FHD_NOTE_P_17</f>
        <v/>
      </c>
      <c r="K53" s="1702" t="str">
        <f>IF((LEN(E53)-LEN(SUBSTITUTE(E53,".","")))/LEN(".")=1,"p","")</f>
        <v/>
      </c>
      <c r="L53" s="1702"/>
      <c r="M53" s="1708"/>
      <c r="N53" s="603"/>
      <c r="O53" s="603"/>
      <c r="R53" s="1702"/>
      <c r="U53" s="610"/>
      <c r="AA53" s="1698"/>
      <c r="AB53" s="1698"/>
      <c r="AC53" s="1698"/>
      <c r="AD53" s="1698"/>
      <c r="AE53" s="1698"/>
      <c r="AF53" s="1226">
        <v>11</v>
      </c>
    </row>
    <row s="5002" customFormat="1" customHeight="1" ht="11.549999999999999">
      <c r="A54" s="1053"/>
      <c r="C54" s="1702"/>
      <c r="D54" s="1704"/>
      <c r="E54" s="612" t="str">
        <f>FHD_NUM_P_18</f>
        <v>2.7.2</v>
      </c>
      <c r="F54" s="17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4" t="s">
        <v>561</v>
      </c>
      <c r="H54" s="623"/>
      <c r="I54" s="623"/>
      <c r="J54" s="355" t="str">
        <f>FHD_NOTE_P_18</f>
        <v/>
      </c>
      <c r="K54" s="1702" t="str">
        <f>IF((LEN(E54)-LEN(SUBSTITUTE(E54,".","")))/LEN(".")=1,"p","")</f>
        <v/>
      </c>
      <c r="L54" s="1702"/>
      <c r="M54" s="1708"/>
      <c r="N54" s="603"/>
      <c r="O54" s="603"/>
      <c r="R54" s="1702"/>
      <c r="U54" s="610"/>
      <c r="AA54" s="1698"/>
      <c r="AB54" s="1698"/>
      <c r="AC54" s="1698"/>
      <c r="AD54" s="1698"/>
      <c r="AE54" s="1698"/>
      <c r="AF54" s="1226">
        <v>11</v>
      </c>
    </row>
    <row s="5002" customFormat="1" customHeight="1" ht="11.549999999999999">
      <c r="A55" s="1053"/>
      <c r="C55" s="1702"/>
      <c r="D55" s="641"/>
      <c r="E55" s="612" t="str">
        <f>FHD_NUM_P_19</f>
        <v>2.8</v>
      </c>
      <c r="F55" s="1590" t="str">
        <f>FHD_P_19</f>
        <v>Расходы на амортизацию основных средств и нематериальных активов</v>
      </c>
      <c r="G55" s="1944" t="s">
        <v>561</v>
      </c>
      <c r="H55" s="623"/>
      <c r="I55" s="623"/>
      <c r="J55" s="355" t="str">
        <f>FHD_NOTE_P_19</f>
        <v/>
      </c>
      <c r="K55" s="1702" t="str">
        <f>IF((LEN(E55)-LEN(SUBSTITUTE(E55,".","")))/LEN(".")=1,"p","")</f>
        <v>p</v>
      </c>
      <c r="L55" s="1702"/>
      <c r="M55" s="1702"/>
      <c r="R55" s="1702"/>
      <c r="U55" s="610"/>
      <c r="AA55" s="1698"/>
      <c r="AB55" s="1698"/>
      <c r="AC55" s="1698"/>
      <c r="AD55" s="1698"/>
      <c r="AE55" s="1698"/>
      <c r="AF55" s="1226">
        <v>11</v>
      </c>
    </row>
    <row s="5002" customFormat="1" customHeight="1" ht="11.549999999999999">
      <c r="A56" s="1053"/>
      <c r="C56" s="1702"/>
      <c r="D56" s="641"/>
      <c r="E56" s="612" t="str">
        <f>FHD_NUM_P_20</f>
        <v>2.8.1</v>
      </c>
      <c r="F56" s="1716" t="str">
        <f>FHD_P_20</f>
        <v>Расходы на амортизацию основных средств</v>
      </c>
      <c r="G56" s="1944" t="s">
        <v>561</v>
      </c>
      <c r="H56" s="623"/>
      <c r="I56" s="623"/>
      <c r="J56" s="355" t="str">
        <f>FHD_NOTE_P_20</f>
        <v/>
      </c>
      <c r="K56" s="1702" t="str">
        <f>IF((LEN(E56)-LEN(SUBSTITUTE(E56,".","")))/LEN(".")=1,"p","")</f>
        <v/>
      </c>
      <c r="L56" s="1702"/>
      <c r="M56" s="1702"/>
      <c r="R56" s="1702"/>
      <c r="U56" s="610"/>
      <c r="AA56" s="1698"/>
      <c r="AB56" s="1698"/>
      <c r="AC56" s="1698"/>
      <c r="AD56" s="1698"/>
      <c r="AE56" s="1698"/>
      <c r="AF56" s="1226">
        <v>11</v>
      </c>
    </row>
    <row s="5002" customFormat="1" customHeight="1" ht="11.549999999999999">
      <c r="A57" s="1053"/>
      <c r="C57" s="1702"/>
      <c r="D57" s="641"/>
      <c r="E57" s="612" t="str">
        <f>FHD_NUM_P_21</f>
        <v>2.8.2</v>
      </c>
      <c r="F57" s="1716" t="str">
        <f>FHD_P_21</f>
        <v>Расходы на амортизацию нематериальных активов</v>
      </c>
      <c r="G57" s="1944" t="s">
        <v>561</v>
      </c>
      <c r="H57" s="623"/>
      <c r="I57" s="623"/>
      <c r="J57" s="355" t="str">
        <f>FHD_NOTE_P_21</f>
        <v/>
      </c>
      <c r="K57" s="1702" t="str">
        <f>IF((LEN(E57)-LEN(SUBSTITUTE(E57,".","")))/LEN(".")=1,"p","")</f>
        <v/>
      </c>
      <c r="L57" s="1702"/>
      <c r="M57" s="1702"/>
      <c r="R57" s="1702"/>
      <c r="U57" s="610"/>
      <c r="AA57" s="1698"/>
      <c r="AB57" s="1698"/>
      <c r="AC57" s="1698"/>
      <c r="AD57" s="1698"/>
      <c r="AE57" s="1698"/>
      <c r="AF57" s="1226">
        <v>11</v>
      </c>
    </row>
    <row s="5002" customFormat="1" customHeight="1" ht="11.549999999999999">
      <c r="A58" s="1053"/>
      <c r="C58" s="1702"/>
      <c r="D58" s="1704"/>
      <c r="E58" s="612" t="str">
        <f>FHD_NUM_P_22</f>
        <v>2.9</v>
      </c>
      <c r="F58" s="1590" t="str">
        <f>FHD_P_22</f>
        <v>Расходы на аренду имущества, используемого для осуществления регулируемого вида деятельности</v>
      </c>
      <c r="G58" s="1944" t="s">
        <v>561</v>
      </c>
      <c r="H58" s="623"/>
      <c r="I58" s="623"/>
      <c r="J58" s="355" t="str">
        <f>FHD_NOTE_P_22</f>
        <v/>
      </c>
      <c r="K58" s="1702" t="str">
        <f>IF((LEN(E58)-LEN(SUBSTITUTE(E58,".","")))/LEN(".")=1,"p","")</f>
        <v>p</v>
      </c>
      <c r="L58" s="1702"/>
      <c r="M58" s="1702"/>
      <c r="R58" s="1702"/>
      <c r="U58" s="610"/>
      <c r="AA58" s="1698"/>
      <c r="AB58" s="1698"/>
      <c r="AC58" s="1698"/>
      <c r="AD58" s="1698"/>
      <c r="AE58" s="1698"/>
      <c r="AF58" s="1226">
        <v>11</v>
      </c>
    </row>
    <row s="5002" customFormat="1" customHeight="1" ht="11.549999999999999">
      <c r="A59" s="1053"/>
      <c r="C59" s="1702"/>
      <c r="D59" s="641"/>
      <c r="E59" s="612" t="str">
        <f>FHD_NUM_P_23</f>
        <v>2.10</v>
      </c>
      <c r="F59" s="1590" t="str">
        <f>FHD_P_23</f>
        <v>Общепроизводственные расходы, в том числе:</v>
      </c>
      <c r="G59" s="1944" t="s">
        <v>561</v>
      </c>
      <c r="H59" s="623"/>
      <c r="I59" s="623"/>
      <c r="J59" s="355" t="str">
        <f>FHD_NOTE_P_23</f>
        <v>Указывается общая сумма общепроизводственных расходов.</v>
      </c>
      <c r="K59" s="1702" t="str">
        <f>IF((LEN(E59)-LEN(SUBSTITUTE(E59,".","")))/LEN(".")=1,"p","")</f>
        <v>p</v>
      </c>
      <c r="L59" s="1702"/>
      <c r="M59" s="1702"/>
      <c r="R59" s="1702"/>
      <c r="U59" s="610"/>
      <c r="AA59" s="1698"/>
      <c r="AB59" s="1698"/>
      <c r="AC59" s="1698"/>
      <c r="AD59" s="1698"/>
      <c r="AE59" s="1698"/>
      <c r="AF59" s="1226">
        <v>11</v>
      </c>
    </row>
    <row s="5002" customFormat="1" customHeight="1" ht="11.549999999999999">
      <c r="A60" s="1053"/>
      <c r="C60" s="1702"/>
      <c r="D60" s="641"/>
      <c r="E60" s="612" t="str">
        <f>FHD_NUM_P_24</f>
        <v>2.10.1</v>
      </c>
      <c r="F60" s="1716" t="str">
        <f>FHD_P_24</f>
        <v>Расходы на текущий ремонт</v>
      </c>
      <c r="G60" s="1944" t="s">
        <v>561</v>
      </c>
      <c r="H60" s="623"/>
      <c r="I60" s="623"/>
      <c r="J60" s="355" t="str">
        <f>FHD_NOTE_P_24</f>
        <v>Указываются расходы на текущий ремонт, отнесенные к общепроизводственным расходам.</v>
      </c>
      <c r="K60" s="1702" t="str">
        <f>IF((LEN(E60)-LEN(SUBSTITUTE(E60,".","")))/LEN(".")=1,"p","")</f>
        <v/>
      </c>
      <c r="L60" s="1702"/>
      <c r="M60" s="1702"/>
      <c r="R60" s="1702"/>
      <c r="U60" s="610"/>
      <c r="AA60" s="1698"/>
      <c r="AB60" s="1698"/>
      <c r="AC60" s="1698"/>
      <c r="AD60" s="1698"/>
      <c r="AE60" s="1698"/>
      <c r="AF60" s="1226">
        <v>11</v>
      </c>
    </row>
    <row s="5002" customFormat="1" customHeight="1" ht="11.549999999999999">
      <c r="A61" s="1053"/>
      <c r="C61" s="1702"/>
      <c r="D61" s="641"/>
      <c r="E61" s="612" t="str">
        <f>FHD_NUM_P_25</f>
        <v>2.10.2</v>
      </c>
      <c r="F61" s="1716" t="str">
        <f>FHD_P_25</f>
        <v>Расходы на капитальный ремонт</v>
      </c>
      <c r="G61" s="1944" t="s">
        <v>561</v>
      </c>
      <c r="H61" s="623"/>
      <c r="I61" s="623"/>
      <c r="J61" s="355" t="str">
        <f>FHD_NOTE_P_25</f>
        <v>Указываются расходы на капитальный ремонт, отнесенные к общепроизводственным расходам.</v>
      </c>
      <c r="K61" s="1702" t="str">
        <f>IF((LEN(E61)-LEN(SUBSTITUTE(E61,".","")))/LEN(".")=1,"p","")</f>
        <v/>
      </c>
      <c r="L61" s="1702"/>
      <c r="M61" s="1702"/>
      <c r="R61" s="1702"/>
      <c r="U61" s="610"/>
      <c r="AA61" s="1698"/>
      <c r="AB61" s="1698"/>
      <c r="AC61" s="1698"/>
      <c r="AD61" s="1698"/>
      <c r="AE61" s="1698"/>
      <c r="AF61" s="1226">
        <v>11</v>
      </c>
    </row>
    <row s="5002" customFormat="1" customHeight="1" ht="11.549999999999999">
      <c r="A62" s="1053"/>
      <c r="C62" s="1702"/>
      <c r="D62" s="1704"/>
      <c r="E62" s="612" t="str">
        <f>FHD_NUM_P_26</f>
        <v>2.11</v>
      </c>
      <c r="F62" s="1590" t="str">
        <f>FHD_P_26</f>
        <v>Общехозяйственные расходы, в том числе:</v>
      </c>
      <c r="G62" s="1944" t="s">
        <v>561</v>
      </c>
      <c r="H62" s="623"/>
      <c r="I62" s="623"/>
      <c r="J62" s="355" t="str">
        <f>FHD_NOTE_P_26</f>
        <v>Указывается общая сумма общехозяйственных расходов.</v>
      </c>
      <c r="K62" s="1702" t="str">
        <f>IF((LEN(E62)-LEN(SUBSTITUTE(E62,".","")))/LEN(".")=1,"p","")</f>
        <v>p</v>
      </c>
      <c r="L62" s="1702"/>
      <c r="M62" s="1702"/>
      <c r="R62" s="1702"/>
      <c r="U62" s="610"/>
      <c r="AA62" s="1698"/>
      <c r="AB62" s="1698"/>
      <c r="AC62" s="1698"/>
      <c r="AD62" s="1698"/>
      <c r="AE62" s="1698"/>
      <c r="AF62" s="1226">
        <v>11</v>
      </c>
    </row>
    <row s="5002" customFormat="1" customHeight="1" ht="11.549999999999999">
      <c r="A63" s="1053"/>
      <c r="C63" s="1702"/>
      <c r="D63" s="1704"/>
      <c r="E63" s="612" t="str">
        <f>FHD_NUM_P_27</f>
        <v>2.11.1</v>
      </c>
      <c r="F63" s="1716" t="str">
        <f>FHD_P_27</f>
        <v>Расходы на текущий ремонт</v>
      </c>
      <c r="G63" s="1944" t="s">
        <v>561</v>
      </c>
      <c r="H63" s="623"/>
      <c r="I63" s="623"/>
      <c r="J63" s="355" t="str">
        <f>FHD_NOTE_P_27</f>
        <v>Указываются расходы на текущий ремонт, отнесенные к общехозяйственным расходам.</v>
      </c>
      <c r="K63" s="1702" t="str">
        <f>IF((LEN(E63)-LEN(SUBSTITUTE(E63,".","")))/LEN(".")=1,"p","")</f>
        <v/>
      </c>
      <c r="L63" s="1702"/>
      <c r="M63" s="1702"/>
      <c r="R63" s="1702"/>
      <c r="U63" s="610"/>
      <c r="AA63" s="1698"/>
      <c r="AB63" s="1698"/>
      <c r="AC63" s="1698"/>
      <c r="AD63" s="1698"/>
      <c r="AE63" s="1698"/>
      <c r="AF63" s="1226">
        <v>11</v>
      </c>
    </row>
    <row s="5002" customFormat="1" customHeight="1" ht="11.549999999999999">
      <c r="A64" s="1053"/>
      <c r="C64" s="1702"/>
      <c r="D64" s="1704"/>
      <c r="E64" s="612" t="str">
        <f>FHD_NUM_P_28</f>
        <v>2.11.2</v>
      </c>
      <c r="F64" s="1716" t="str">
        <f>FHD_P_28</f>
        <v>Расходы на капитальный ремонт</v>
      </c>
      <c r="G64" s="1944" t="s">
        <v>561</v>
      </c>
      <c r="H64" s="623"/>
      <c r="I64" s="623"/>
      <c r="J64" s="355" t="str">
        <f>FHD_NOTE_P_28</f>
        <v>Указываются расходы на капитальный ремонт, отнесенные к общехозяйственным расходам.</v>
      </c>
      <c r="K64" s="1702" t="str">
        <f>IF((LEN(E64)-LEN(SUBSTITUTE(E64,".","")))/LEN(".")=1,"p","")</f>
        <v/>
      </c>
      <c r="L64" s="1702"/>
      <c r="M64" s="1702"/>
      <c r="R64" s="1702"/>
      <c r="U64" s="610"/>
      <c r="AA64" s="1698"/>
      <c r="AB64" s="1698"/>
      <c r="AC64" s="1698"/>
      <c r="AD64" s="1698"/>
      <c r="AE64" s="1698"/>
      <c r="AF64" s="1226">
        <v>11</v>
      </c>
    </row>
    <row s="5002" customFormat="1" customHeight="1" ht="11.549999999999999">
      <c r="A65" s="1053"/>
      <c r="C65" s="1702"/>
      <c r="D65" s="1704"/>
      <c r="E65" s="612" t="str">
        <f>FHD_NUM_P_29</f>
        <v>2.12</v>
      </c>
      <c r="F65" s="1590" t="str">
        <f>FHD_P_29</f>
        <v>Расходы на капитальный и текущий ремонт основных средств</v>
      </c>
      <c r="G65" s="1944" t="s">
        <v>561</v>
      </c>
      <c r="H65" s="623"/>
      <c r="I65" s="623"/>
      <c r="J65" s="35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2" t="str">
        <f>IF((LEN(E65)-LEN(SUBSTITUTE(E65,".","")))/LEN(".")=1,"p","")</f>
        <v>p</v>
      </c>
      <c r="L65" s="1702"/>
      <c r="M65" s="1702"/>
      <c r="R65" s="1702"/>
      <c r="U65" s="610"/>
      <c r="AA65" s="1698"/>
      <c r="AB65" s="1698"/>
      <c r="AC65" s="1698"/>
      <c r="AD65" s="1698"/>
      <c r="AE65" s="1698"/>
      <c r="AF65" s="1226">
        <v>11</v>
      </c>
    </row>
    <row s="5002" customFormat="1" customHeight="1" ht="11.549999999999999">
      <c r="A66" s="1053"/>
      <c r="C66" s="1702"/>
      <c r="D66" s="1704"/>
      <c r="E66" s="612" t="str">
        <f>FHD_NUM_P_30</f>
        <v>2.12.1</v>
      </c>
      <c r="F66" s="17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4" t="s">
        <v>315</v>
      </c>
      <c r="H66" s="1715" t="s">
        <v>584</v>
      </c>
      <c r="I66" s="1715" t="s">
        <v>584</v>
      </c>
      <c r="J66" s="355" t="str">
        <f>FHD_NOTE_P_30</f>
        <v/>
      </c>
      <c r="K66" s="1702" t="str">
        <f>IF((LEN(E66)-LEN(SUBSTITUTE(E66,".","")))/LEN(".")=1,"p","")</f>
        <v/>
      </c>
      <c r="L66" s="1702">
        <f>_xlfn.IFERROR(MATCH("есть",B_FHD_FLAG_INDEX_1,0),0)</f>
        <v>0</v>
      </c>
      <c r="M66" s="1702"/>
      <c r="R66" s="1702"/>
      <c r="U66" s="610"/>
      <c r="AA66" s="1698"/>
      <c r="AB66" s="1698"/>
      <c r="AC66" s="1698"/>
      <c r="AD66" s="1698"/>
      <c r="AE66" s="1698"/>
      <c r="AF66" s="1226">
        <v>11</v>
      </c>
    </row>
    <row s="5002" customFormat="1" customHeight="1" ht="23.25" hidden="1">
      <c r="A67" s="2437" t="s">
        <v>585</v>
      </c>
      <c r="C67" s="1702"/>
      <c r="D67" s="1704"/>
      <c r="E67" s="612" t="str">
        <f>FHD_NUM_P_31</f>
        <v/>
      </c>
      <c r="F67" s="1590" t="str">
        <f>FHD_P_31</f>
        <v/>
      </c>
      <c r="G67" s="1944" t="s">
        <v>561</v>
      </c>
      <c r="H67" s="623"/>
      <c r="I67" s="623"/>
      <c r="J67" s="355" t="str">
        <f>FHD_NOTE_P_31</f>
        <v/>
      </c>
      <c r="K67" s="1702" t="str">
        <f>IF((LEN(E67)-LEN(SUBSTITUTE(E67,".","")))/LEN(".")=1,"p","")</f>
        <v/>
      </c>
      <c r="L67" s="1702"/>
      <c r="M67" s="1702"/>
      <c r="R67" s="1702"/>
      <c r="U67" s="610"/>
      <c r="AA67" s="1698"/>
      <c r="AB67" s="1698"/>
      <c r="AC67" s="1698"/>
      <c r="AD67" s="1698"/>
      <c r="AE67" s="1698"/>
      <c r="AF67" s="1226">
        <v>22</v>
      </c>
    </row>
    <row s="5002" customFormat="1" customHeight="1" ht="47.25" hidden="1">
      <c r="A68" s="2437"/>
      <c r="C68" s="1702"/>
      <c r="D68" s="1704"/>
      <c r="E68" s="612" t="str">
        <f>FHD_NUM_P_32</f>
        <v/>
      </c>
      <c r="F68" s="1716" t="str">
        <f>FHD_P_32</f>
        <v/>
      </c>
      <c r="G68" s="1944" t="s">
        <v>315</v>
      </c>
      <c r="H68" s="1715" t="s">
        <v>584</v>
      </c>
      <c r="I68" s="1715" t="s">
        <v>584</v>
      </c>
      <c r="J68" s="355" t="str">
        <f>FHD_NOTE_P_32</f>
        <v/>
      </c>
      <c r="K68" s="1702" t="str">
        <f>IF((LEN(E68)-LEN(SUBSTITUTE(E68,".","")))/LEN(".")=1,"p","")</f>
        <v/>
      </c>
      <c r="L68" s="1702">
        <f>_xlfn.IFERROR(MATCH("есть",B_FHD_FLAG_INDEX_2,0),0)</f>
        <v>0</v>
      </c>
      <c r="M68" s="1702"/>
      <c r="R68" s="1702"/>
      <c r="U68" s="610"/>
      <c r="AA68" s="1698"/>
      <c r="AB68" s="1698"/>
      <c r="AC68" s="1698"/>
      <c r="AD68" s="1698"/>
      <c r="AE68" s="1698"/>
      <c r="AF68" s="1226">
        <v>45</v>
      </c>
    </row>
    <row s="5002" customFormat="1" customHeight="1" ht="11.549999999999999">
      <c r="A69" s="1053"/>
      <c r="C69" s="1702"/>
      <c r="D69" s="1704"/>
      <c r="E69" s="612" t="str">
        <f>FHD_NUM_P_33</f>
        <v>2.13</v>
      </c>
      <c r="F69" s="159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5" t="s">
        <v>561</v>
      </c>
      <c r="H69" s="645">
        <f>SUM(H70:H71)</f>
        <v>0</v>
      </c>
      <c r="I69" s="645">
        <f>SUM(I70:I71)</f>
        <v>0</v>
      </c>
      <c r="J69" s="35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2" t="str">
        <f>IF((LEN(E69)-LEN(SUBSTITUTE(E69,".","")))/LEN(".")=1,"p","")</f>
        <v>p</v>
      </c>
      <c r="L69" s="1702"/>
      <c r="M69" s="1702"/>
      <c r="R69" s="1702"/>
      <c r="U69" s="610"/>
      <c r="AA69" s="1698"/>
      <c r="AB69" s="1698"/>
      <c r="AC69" s="1698"/>
      <c r="AD69" s="1698"/>
      <c r="AE69" s="1698"/>
      <c r="AF69" s="1226">
        <v>11</v>
      </c>
    </row>
    <row s="4562" customFormat="1" customHeight="1" ht="1.05">
      <c r="A70" s="1233"/>
      <c r="D70" s="614"/>
      <c r="E70" s="1079" t="str">
        <f>E69&amp;".0"</f>
        <v>2.13.0</v>
      </c>
      <c r="F70" s="1057"/>
      <c r="G70" s="1079"/>
      <c r="H70" s="1058"/>
      <c r="I70" s="1058"/>
      <c r="J70" s="1059"/>
      <c r="K70" s="1702" t="str">
        <f>IF((LEN(E70)-LEN(SUBSTITUTE(E70,".","")))/LEN(".")=1,"p","")</f>
        <v/>
      </c>
      <c r="AF70" s="1702">
        <v>1</v>
      </c>
    </row>
    <row s="5002" customFormat="1" customHeight="1" ht="14.699999999999998">
      <c r="A71" s="1053"/>
      <c r="C71" s="1702"/>
      <c r="D71" s="1699"/>
      <c r="E71" s="636"/>
      <c r="F71" s="637" t="s">
        <v>586</v>
      </c>
      <c r="G71" s="638"/>
      <c r="H71" s="639"/>
      <c r="I71" s="639"/>
      <c r="J71" s="367"/>
      <c r="K71" s="1702"/>
      <c r="L71" s="1702"/>
      <c r="M71" s="1702"/>
      <c r="R71" s="1702"/>
      <c r="U71" s="610"/>
      <c r="AA71" s="1698"/>
      <c r="AB71" s="1698"/>
      <c r="AC71" s="1698"/>
      <c r="AD71" s="1698"/>
      <c r="AE71" s="1698"/>
      <c r="AF71" s="1226">
        <v>14</v>
      </c>
    </row>
    <row s="5002" customFormat="1" customHeight="1" ht="18.75">
      <c r="A72" s="1055" t="s">
        <v>587</v>
      </c>
      <c r="C72" s="1702"/>
      <c r="D72" s="1704"/>
      <c r="E72" s="612" t="str">
        <f>FHD_NUM_P_34</f>
        <v>3</v>
      </c>
      <c r="F72" s="1946" t="str">
        <f>FHD_P_34</f>
        <v>Валовая прибыль (убытки) от реализации товаров и оказания услуг по регулируемому виду деятельности</v>
      </c>
      <c r="G72" s="1944" t="s">
        <v>561</v>
      </c>
      <c r="H72" s="623"/>
      <c r="I72" s="623"/>
      <c r="J72" s="355" t="str">
        <f>FHD_NOTE_P_34</f>
        <v/>
      </c>
      <c r="K72" s="609"/>
      <c r="L72" s="1702"/>
      <c r="M72" s="1702"/>
      <c r="R72" s="1702"/>
      <c r="U72" s="610"/>
      <c r="AA72" s="1698"/>
      <c r="AB72" s="1698"/>
      <c r="AC72" s="1698"/>
      <c r="AD72" s="1698"/>
      <c r="AE72" s="1698"/>
      <c r="AF72" s="1226">
        <v>0</v>
      </c>
    </row>
    <row s="5002" customFormat="1" customHeight="1" ht="19.95">
      <c r="A73" s="1053"/>
      <c r="C73" s="1702"/>
      <c r="D73" s="641"/>
      <c r="E73" s="612" t="str">
        <f>FHD_NUM_P_35</f>
        <v>4</v>
      </c>
      <c r="F73" s="1946" t="str">
        <f>FHD_P_35</f>
        <v>Чистая прибыль, полученная от регулируемого вида деятельности, в том числе:</v>
      </c>
      <c r="G73" s="1944" t="s">
        <v>561</v>
      </c>
      <c r="H73" s="623"/>
      <c r="I73" s="623"/>
      <c r="J73" s="355" t="str">
        <f>FHD_NOTE_P_35</f>
        <v>Указывается общая сумма чистой прибыли, полученной от регулируемого вида деятельности.</v>
      </c>
      <c r="K73" s="609"/>
      <c r="L73" s="1702"/>
      <c r="M73" s="1702"/>
      <c r="R73" s="1702"/>
      <c r="U73" s="610"/>
      <c r="AA73" s="1698"/>
      <c r="AB73" s="1698"/>
      <c r="AC73" s="1698"/>
      <c r="AD73" s="1698"/>
      <c r="AE73" s="1698"/>
      <c r="AF73" s="1226">
        <v>19</v>
      </c>
    </row>
    <row s="5002" customFormat="1" customHeight="1" ht="19.95">
      <c r="A74" s="1053"/>
      <c r="C74" s="1702"/>
      <c r="D74" s="1704"/>
      <c r="E74" s="612" t="str">
        <f>FHD_NUM_P_36</f>
        <v>4.1</v>
      </c>
      <c r="F74" s="159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4" t="s">
        <v>561</v>
      </c>
      <c r="H74" s="623"/>
      <c r="I74" s="623"/>
      <c r="J74" s="355" t="str">
        <f>FHD_NOTE_P_36</f>
        <v/>
      </c>
      <c r="K74" s="609"/>
      <c r="L74" s="1702"/>
      <c r="M74" s="1702"/>
      <c r="R74" s="1702"/>
      <c r="U74" s="610"/>
      <c r="AA74" s="1698"/>
      <c r="AB74" s="1698"/>
      <c r="AC74" s="1698"/>
      <c r="AD74" s="1698"/>
      <c r="AE74" s="1698"/>
      <c r="AF74" s="1226">
        <v>19</v>
      </c>
    </row>
    <row s="5002" customFormat="1" customHeight="1" ht="19.95">
      <c r="A75" s="1053"/>
      <c r="C75" s="1702"/>
      <c r="D75" s="1704"/>
      <c r="E75" s="612" t="str">
        <f>FHD_NUM_P_37</f>
        <v>5</v>
      </c>
      <c r="F75" s="1946" t="str">
        <f>FHD_P_37</f>
        <v>Изменение стоимости основных фондов, в том числе:</v>
      </c>
      <c r="G75" s="1944" t="s">
        <v>561</v>
      </c>
      <c r="H75" s="623"/>
      <c r="I75" s="623"/>
      <c r="J75" s="355" t="str">
        <f>FHD_NOTE_P_37</f>
        <v>Указывается общее изменение стоимости основных фондов.</v>
      </c>
      <c r="K75" s="609"/>
      <c r="L75" s="1702"/>
      <c r="M75" s="1702"/>
      <c r="R75" s="1702"/>
      <c r="U75" s="610"/>
      <c r="AA75" s="1698"/>
      <c r="AB75" s="1698"/>
      <c r="AC75" s="1698"/>
      <c r="AD75" s="1698"/>
      <c r="AE75" s="1698"/>
      <c r="AF75" s="1226">
        <v>19</v>
      </c>
    </row>
    <row s="5002" customFormat="1" customHeight="1" ht="19.95">
      <c r="A76" s="1053"/>
      <c r="C76" s="1702"/>
      <c r="D76" s="1704"/>
      <c r="E76" s="612" t="str">
        <f>FHD_NUM_P_38</f>
        <v>5.1</v>
      </c>
      <c r="F76" s="1590" t="str">
        <f>FHD_P_38</f>
        <v>Изменение стоимости основных фондов за счет:</v>
      </c>
      <c r="G76" s="1944" t="s">
        <v>561</v>
      </c>
      <c r="H76" s="623"/>
      <c r="I76" s="623"/>
      <c r="J76" s="355" t="str">
        <f>FHD_NOTE_P_38</f>
        <v>Указываются общее изменение стоимости основных фондов за счет их ввода в эксплуатацию и вывода из эксплуатации.</v>
      </c>
      <c r="K76" s="609"/>
      <c r="L76" s="1702"/>
      <c r="M76" s="1702"/>
      <c r="R76" s="1702"/>
      <c r="U76" s="610"/>
      <c r="AA76" s="1698"/>
      <c r="AB76" s="1698"/>
      <c r="AC76" s="1698"/>
      <c r="AD76" s="1698"/>
      <c r="AE76" s="1698"/>
      <c r="AF76" s="1226">
        <v>19</v>
      </c>
    </row>
    <row s="5002" customFormat="1" customHeight="1" ht="19.95">
      <c r="A77" s="1053"/>
      <c r="C77" s="1702"/>
      <c r="D77" s="1704"/>
      <c r="E77" s="612" t="str">
        <f>FHD_NUM_P_39</f>
        <v>5.1.1</v>
      </c>
      <c r="F77" s="1716" t="str">
        <f>FHD_P_39</f>
        <v>Изменения стоимости основных фондов за счет их ввода в эксплуатацию</v>
      </c>
      <c r="G77" s="2138" t="s">
        <v>561</v>
      </c>
      <c r="H77" s="623"/>
      <c r="I77" s="623"/>
      <c r="J77" s="355" t="str">
        <f>FHD_NOTE_P_39</f>
        <v>Указываются изменение стоимости основных фондов за счет их ввода в эксплуатацию.</v>
      </c>
      <c r="K77" s="609"/>
      <c r="L77" s="1702"/>
      <c r="M77" s="1702"/>
      <c r="R77" s="1702"/>
      <c r="U77" s="610"/>
      <c r="AA77" s="1698"/>
      <c r="AB77" s="1698"/>
      <c r="AC77" s="1698"/>
      <c r="AD77" s="1698"/>
      <c r="AE77" s="1698"/>
      <c r="AF77" s="1226">
        <v>19</v>
      </c>
    </row>
    <row s="5002" customFormat="1" customHeight="1" ht="19.95">
      <c r="A78" s="1053"/>
      <c r="C78" s="1702"/>
      <c r="D78" s="1704"/>
      <c r="E78" s="612" t="str">
        <f>FHD_NUM_P_40</f>
        <v>5.1.2</v>
      </c>
      <c r="F78" s="2142" t="str">
        <f>FHD_P_40</f>
        <v>Изменения стоимости основных фондов за счет их вывода в эксплуатацию</v>
      </c>
      <c r="G78" s="2137" t="s">
        <v>561</v>
      </c>
      <c r="H78" s="1042"/>
      <c r="I78" s="623"/>
      <c r="J78" s="355" t="str">
        <f>FHD_NOTE_P_40</f>
        <v>Указываются изменение стоимости основных фондов за счет их вывода из эксплуатации.</v>
      </c>
      <c r="K78" s="609"/>
      <c r="L78" s="1702"/>
      <c r="M78" s="1702"/>
      <c r="R78" s="1702"/>
      <c r="U78" s="610"/>
      <c r="AA78" s="1698"/>
      <c r="AB78" s="1698"/>
      <c r="AC78" s="1698"/>
      <c r="AD78" s="1698"/>
      <c r="AE78" s="1698"/>
      <c r="AF78" s="1226">
        <v>19</v>
      </c>
    </row>
    <row s="5002" customFormat="1" customHeight="1" ht="19.95">
      <c r="A79" s="1053"/>
      <c r="C79" s="1702"/>
      <c r="D79" s="1704"/>
      <c r="E79" s="612" t="str">
        <f>FHD_NUM_P_41</f>
        <v>5.2</v>
      </c>
      <c r="F79" s="2141" t="str">
        <f>FHD_P_41</f>
        <v>Изменение стоимости основных фондов за счет их переоценки</v>
      </c>
      <c r="G79" s="2137" t="s">
        <v>561</v>
      </c>
      <c r="H79" s="1042"/>
      <c r="I79" s="623"/>
      <c r="J79" s="355" t="str">
        <f>FHD_NOTE_P_41</f>
        <v/>
      </c>
      <c r="K79" s="609"/>
      <c r="L79" s="1702"/>
      <c r="M79" s="1702"/>
      <c r="R79" s="1702"/>
      <c r="U79" s="610"/>
      <c r="AA79" s="1698"/>
      <c r="AB79" s="1698"/>
      <c r="AC79" s="1698"/>
      <c r="AD79" s="1698"/>
      <c r="AE79" s="1698"/>
      <c r="AF79" s="1226">
        <v>19</v>
      </c>
    </row>
    <row s="5002" customFormat="1" customHeight="1" ht="20.25" hidden="1">
      <c r="A80" s="1055" t="s">
        <v>588</v>
      </c>
      <c r="C80" s="1702"/>
      <c r="D80" s="1704"/>
      <c r="E80" s="612" t="str">
        <f>FHD_NUM_P_42</f>
        <v/>
      </c>
      <c r="F80" s="2139" t="str">
        <f>FHD_P_42</f>
        <v/>
      </c>
      <c r="G80" s="2137" t="s">
        <v>561</v>
      </c>
      <c r="H80" s="1042"/>
      <c r="I80" s="623"/>
      <c r="J80" s="355" t="str">
        <f>FHD_NOTE_P_42</f>
        <v/>
      </c>
      <c r="K80" s="609"/>
      <c r="L80" s="1702"/>
      <c r="M80" s="1702"/>
      <c r="R80" s="1702"/>
      <c r="U80" s="610"/>
      <c r="AA80" s="1698"/>
      <c r="AB80" s="1698"/>
      <c r="AC80" s="1698"/>
      <c r="AD80" s="1698"/>
      <c r="AE80" s="1698"/>
      <c r="AF80" s="1226">
        <v>19</v>
      </c>
    </row>
    <row s="5002" customFormat="1" customHeight="1" ht="19.95">
      <c r="A81" s="1053"/>
      <c r="C81" s="1702"/>
      <c r="D81" s="1704"/>
      <c r="E81" s="612" t="str">
        <f>FHD_NUM_P_43</f>
        <v>6</v>
      </c>
      <c r="F81" s="1946" t="str">
        <f>FHD_P_43</f>
        <v>Годовая бухгалтерская (финансовая) отчетность, включая бухгалтерский баланс и приложения к нему</v>
      </c>
      <c r="G81" s="2140" t="s">
        <v>315</v>
      </c>
      <c r="H81" s="1121"/>
      <c r="I81" s="884"/>
      <c r="J81" s="35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9"/>
      <c r="L81" s="1702"/>
      <c r="M81" s="1702"/>
      <c r="R81" s="1702"/>
      <c r="U81" s="610"/>
      <c r="AA81" s="1698"/>
      <c r="AB81" s="1698"/>
      <c r="AC81" s="1698"/>
      <c r="AD81" s="1698"/>
      <c r="AE81" s="1698"/>
      <c r="AF81" s="1226">
        <v>19</v>
      </c>
    </row>
    <row s="5002" customFormat="1" customHeight="1" ht="18.75" hidden="1">
      <c r="A82" s="2437" t="s">
        <v>589</v>
      </c>
      <c r="C82" s="801"/>
      <c r="D82" s="799"/>
      <c r="E82" s="612" t="str">
        <f>FHD_NUM_P_44</f>
        <v/>
      </c>
      <c r="F82" s="1946" t="str">
        <f>FHD_P_44</f>
        <v/>
      </c>
      <c r="G82" s="1947" t="s">
        <v>590</v>
      </c>
      <c r="H82" s="1043"/>
      <c r="I82" s="643"/>
      <c r="J82" s="355" t="str">
        <f>FHD_NOTE_P_44</f>
        <v/>
      </c>
      <c r="K82" s="800"/>
      <c r="L82" s="801"/>
      <c r="M82" s="801"/>
      <c r="R82" s="801"/>
      <c r="U82" s="802"/>
      <c r="AA82" s="803"/>
      <c r="AB82" s="803"/>
      <c r="AC82" s="803"/>
      <c r="AD82" s="803"/>
      <c r="AE82" s="803"/>
      <c r="AF82" s="976">
        <v>0</v>
      </c>
    </row>
    <row s="5002" customFormat="1" customHeight="1" ht="18.75" hidden="1">
      <c r="A83" s="2437"/>
      <c r="C83" s="801"/>
      <c r="D83" s="799"/>
      <c r="E83" s="612" t="str">
        <f>FHD_NUM_P_45</f>
        <v/>
      </c>
      <c r="F83" s="1946" t="str">
        <f>FHD_P_45</f>
        <v/>
      </c>
      <c r="G83" s="1947" t="s">
        <v>590</v>
      </c>
      <c r="H83" s="1043"/>
      <c r="I83" s="643"/>
      <c r="J83" s="355" t="str">
        <f>FHD_NOTE_P_45</f>
        <v/>
      </c>
      <c r="K83" s="800"/>
      <c r="L83" s="801"/>
      <c r="M83" s="801"/>
      <c r="R83" s="801"/>
      <c r="U83" s="802"/>
      <c r="AA83" s="803"/>
      <c r="AB83" s="803"/>
      <c r="AC83" s="803"/>
      <c r="AD83" s="803"/>
      <c r="AE83" s="803"/>
      <c r="AF83" s="976">
        <v>0</v>
      </c>
    </row>
    <row s="5002" customFormat="1" customHeight="1" ht="18.75" hidden="1">
      <c r="A84" s="2437"/>
      <c r="C84" s="801"/>
      <c r="D84" s="804"/>
      <c r="E84" s="612" t="str">
        <f>FHD_NUM_P_46</f>
        <v/>
      </c>
      <c r="F84" s="1946" t="str">
        <f>FHD_P_46</f>
        <v/>
      </c>
      <c r="G84" s="1947" t="s">
        <v>590</v>
      </c>
      <c r="H84" s="1043"/>
      <c r="I84" s="643"/>
      <c r="J84" s="355" t="str">
        <f>FHD_NOTE_P_46</f>
        <v/>
      </c>
      <c r="K84" s="800"/>
      <c r="L84" s="801"/>
      <c r="M84" s="801"/>
      <c r="R84" s="801"/>
      <c r="U84" s="802"/>
      <c r="AA84" s="803"/>
      <c r="AB84" s="803"/>
      <c r="AC84" s="803"/>
      <c r="AD84" s="803"/>
      <c r="AE84" s="803"/>
      <c r="AF84" s="976">
        <v>0</v>
      </c>
    </row>
    <row s="5002" customFormat="1" customHeight="1" ht="18.75" hidden="1">
      <c r="A85" s="2437"/>
      <c r="C85" s="801"/>
      <c r="D85" s="799"/>
      <c r="E85" s="612" t="str">
        <f>FHD_NUM_P_47</f>
        <v/>
      </c>
      <c r="F85" s="1946" t="str">
        <f>FHD_P_47</f>
        <v/>
      </c>
      <c r="G85" s="1947" t="s">
        <v>590</v>
      </c>
      <c r="H85" s="1043"/>
      <c r="I85" s="643"/>
      <c r="J85" s="355" t="str">
        <f>FHD_NOTE_P_47</f>
        <v/>
      </c>
      <c r="K85" s="800"/>
      <c r="L85" s="801"/>
      <c r="M85" s="801"/>
      <c r="R85" s="801"/>
      <c r="U85" s="802"/>
      <c r="AA85" s="803"/>
      <c r="AB85" s="803"/>
      <c r="AC85" s="803"/>
      <c r="AD85" s="803"/>
      <c r="AE85" s="803"/>
      <c r="AF85" s="976">
        <v>0</v>
      </c>
    </row>
    <row s="5053" customFormat="1" customHeight="1" ht="18.75" hidden="1">
      <c r="A86" s="2437"/>
      <c r="B86" s="976"/>
      <c r="C86" s="801"/>
      <c r="D86" s="799"/>
      <c r="E86" s="612" t="str">
        <f>FHD_NUM_P_48</f>
        <v/>
      </c>
      <c r="F86" s="1946" t="str">
        <f>FHD_P_48</f>
        <v/>
      </c>
      <c r="G86" s="1947" t="s">
        <v>590</v>
      </c>
      <c r="H86" s="1043"/>
      <c r="I86" s="643"/>
      <c r="J86" s="355" t="str">
        <f>FHD_NOTE_P_48</f>
        <v/>
      </c>
      <c r="K86" s="800"/>
      <c r="L86" s="801"/>
      <c r="M86" s="801"/>
      <c r="N86" s="976"/>
      <c r="O86" s="976"/>
      <c r="P86" s="976"/>
      <c r="Q86" s="976"/>
      <c r="R86" s="801"/>
      <c r="S86" s="976"/>
      <c r="T86" s="976"/>
      <c r="U86" s="802"/>
      <c r="V86" s="976"/>
      <c r="W86" s="976"/>
      <c r="X86" s="976"/>
      <c r="Y86" s="976"/>
      <c r="Z86" s="976"/>
      <c r="AA86" s="803"/>
      <c r="AB86" s="803"/>
      <c r="AC86" s="803"/>
      <c r="AD86" s="803"/>
      <c r="AE86" s="803"/>
      <c r="AF86" s="805">
        <v>0</v>
      </c>
    </row>
    <row s="5053" customFormat="1" customHeight="1" ht="18.75" hidden="1">
      <c r="A87" s="2437"/>
      <c r="B87" s="976"/>
      <c r="C87" s="801"/>
      <c r="D87" s="799"/>
      <c r="E87" s="612" t="str">
        <f>FHD_NUM_P_49</f>
        <v/>
      </c>
      <c r="F87" s="1946" t="str">
        <f>FHD_P_49</f>
        <v/>
      </c>
      <c r="G87" s="1947" t="s">
        <v>590</v>
      </c>
      <c r="H87" s="1044">
        <f>SUM(H88:H89)</f>
        <v>0</v>
      </c>
      <c r="I87" s="815">
        <f>SUM(I88:I89)</f>
        <v>0</v>
      </c>
      <c r="J87" s="355" t="str">
        <f>FHD_NOTE_P_49</f>
        <v/>
      </c>
      <c r="K87" s="800"/>
      <c r="L87" s="801"/>
      <c r="M87" s="801"/>
      <c r="N87" s="976"/>
      <c r="O87" s="976"/>
      <c r="P87" s="976"/>
      <c r="Q87" s="976"/>
      <c r="R87" s="801"/>
      <c r="S87" s="976"/>
      <c r="T87" s="976"/>
      <c r="U87" s="802"/>
      <c r="V87" s="976"/>
      <c r="W87" s="976"/>
      <c r="X87" s="976"/>
      <c r="Y87" s="976"/>
      <c r="Z87" s="976"/>
      <c r="AA87" s="803"/>
      <c r="AB87" s="803"/>
      <c r="AC87" s="803"/>
      <c r="AD87" s="803"/>
      <c r="AE87" s="803"/>
      <c r="AF87" s="805">
        <v>0</v>
      </c>
    </row>
    <row s="5053" customFormat="1" customHeight="1" ht="18.75" hidden="1">
      <c r="A88" s="2437"/>
      <c r="B88" s="976"/>
      <c r="C88" s="801"/>
      <c r="D88" s="799"/>
      <c r="E88" s="612" t="str">
        <f>FHD_NUM_P_50</f>
        <v/>
      </c>
      <c r="F88" s="1946" t="str">
        <f>FHD_P_50</f>
        <v/>
      </c>
      <c r="G88" s="1947" t="s">
        <v>590</v>
      </c>
      <c r="H88" s="1043"/>
      <c r="I88" s="643"/>
      <c r="J88" s="355" t="str">
        <f>FHD_NOTE_P_50</f>
        <v/>
      </c>
      <c r="K88" s="800"/>
      <c r="L88" s="801"/>
      <c r="M88" s="801"/>
      <c r="N88" s="976"/>
      <c r="O88" s="976"/>
      <c r="P88" s="976"/>
      <c r="Q88" s="976"/>
      <c r="R88" s="801"/>
      <c r="S88" s="976"/>
      <c r="T88" s="976"/>
      <c r="U88" s="802"/>
      <c r="V88" s="976"/>
      <c r="W88" s="976"/>
      <c r="X88" s="976"/>
      <c r="Y88" s="976"/>
      <c r="Z88" s="976"/>
      <c r="AA88" s="803"/>
      <c r="AB88" s="803"/>
      <c r="AC88" s="803"/>
      <c r="AD88" s="803"/>
      <c r="AE88" s="803"/>
      <c r="AF88" s="805">
        <v>0</v>
      </c>
    </row>
    <row s="5053" customFormat="1" customHeight="1" ht="18.75" hidden="1">
      <c r="A89" s="2437"/>
      <c r="B89" s="976"/>
      <c r="C89" s="801"/>
      <c r="D89" s="799"/>
      <c r="E89" s="612" t="str">
        <f>FHD_NUM_P_51</f>
        <v/>
      </c>
      <c r="F89" s="1946" t="str">
        <f>FHD_P_51</f>
        <v/>
      </c>
      <c r="G89" s="1947" t="s">
        <v>590</v>
      </c>
      <c r="H89" s="1043"/>
      <c r="I89" s="643"/>
      <c r="J89" s="355" t="str">
        <f>FHD_NOTE_P_51</f>
        <v/>
      </c>
      <c r="K89" s="800"/>
      <c r="L89" s="801"/>
      <c r="M89" s="801"/>
      <c r="N89" s="976"/>
      <c r="O89" s="976"/>
      <c r="P89" s="976"/>
      <c r="Q89" s="976"/>
      <c r="R89" s="801"/>
      <c r="S89" s="976"/>
      <c r="T89" s="976"/>
      <c r="U89" s="802"/>
      <c r="V89" s="976"/>
      <c r="W89" s="976"/>
      <c r="X89" s="976"/>
      <c r="Y89" s="976"/>
      <c r="Z89" s="976"/>
      <c r="AA89" s="803"/>
      <c r="AB89" s="803"/>
      <c r="AC89" s="803"/>
      <c r="AD89" s="803"/>
      <c r="AE89" s="803"/>
      <c r="AF89" s="805">
        <v>0</v>
      </c>
    </row>
    <row s="5053" customFormat="1" customHeight="1" ht="18.75" hidden="1">
      <c r="A90" s="2437"/>
      <c r="B90" s="976"/>
      <c r="C90" s="801"/>
      <c r="D90" s="799"/>
      <c r="E90" s="612" t="str">
        <f>FHD_NUM_P_52</f>
        <v/>
      </c>
      <c r="F90" s="1946" t="str">
        <f>FHD_P_52</f>
        <v/>
      </c>
      <c r="G90" s="1947" t="s">
        <v>567</v>
      </c>
      <c r="H90" s="1042"/>
      <c r="I90" s="623"/>
      <c r="J90" s="355" t="str">
        <f>FHD_NOTE_P_52</f>
        <v/>
      </c>
      <c r="K90" s="800"/>
      <c r="L90" s="801"/>
      <c r="M90" s="801"/>
      <c r="N90" s="976"/>
      <c r="O90" s="976"/>
      <c r="P90" s="976"/>
      <c r="Q90" s="976"/>
      <c r="R90" s="801"/>
      <c r="S90" s="976"/>
      <c r="T90" s="976"/>
      <c r="U90" s="802"/>
      <c r="V90" s="976"/>
      <c r="W90" s="976"/>
      <c r="X90" s="976"/>
      <c r="Y90" s="976"/>
      <c r="Z90" s="976"/>
      <c r="AA90" s="803"/>
      <c r="AB90" s="803"/>
      <c r="AC90" s="803"/>
      <c r="AD90" s="803"/>
      <c r="AE90" s="803"/>
      <c r="AF90" s="805">
        <v>0</v>
      </c>
    </row>
    <row s="5002" customFormat="1" customHeight="1" ht="18.75" hidden="1">
      <c r="A91" s="2439" t="s">
        <v>591</v>
      </c>
      <c r="C91" s="801"/>
      <c r="D91" s="799"/>
      <c r="E91" s="612" t="str">
        <f>FHD_NUM_P_53</f>
        <v/>
      </c>
      <c r="F91" s="1946" t="str">
        <f>FHD_P_53</f>
        <v/>
      </c>
      <c r="G91" s="1947" t="s">
        <v>590</v>
      </c>
      <c r="H91" s="1043"/>
      <c r="I91" s="643"/>
      <c r="J91" s="355" t="str">
        <f>FHD_NOTE_P_53</f>
        <v/>
      </c>
      <c r="K91" s="800"/>
      <c r="L91" s="801"/>
      <c r="M91" s="801"/>
      <c r="R91" s="801"/>
      <c r="U91" s="802"/>
      <c r="AA91" s="803"/>
      <c r="AB91" s="803"/>
      <c r="AC91" s="803"/>
      <c r="AD91" s="803"/>
      <c r="AE91" s="803"/>
      <c r="AF91" s="976">
        <v>0</v>
      </c>
    </row>
    <row s="5002" customFormat="1" customHeight="1" ht="18.75" hidden="1">
      <c r="A92" s="2439"/>
      <c r="C92" s="801"/>
      <c r="D92" s="799"/>
      <c r="E92" s="612" t="str">
        <f>FHD_NUM_P_54</f>
        <v/>
      </c>
      <c r="F92" s="1946" t="str">
        <f>FHD_P_54</f>
        <v/>
      </c>
      <c r="G92" s="1947" t="s">
        <v>590</v>
      </c>
      <c r="H92" s="1043"/>
      <c r="I92" s="643"/>
      <c r="J92" s="355" t="str">
        <f>FHD_NOTE_P_54</f>
        <v/>
      </c>
      <c r="K92" s="800"/>
      <c r="L92" s="801"/>
      <c r="M92" s="801"/>
      <c r="R92" s="801"/>
      <c r="U92" s="802"/>
      <c r="AA92" s="803"/>
      <c r="AB92" s="803"/>
      <c r="AC92" s="803"/>
      <c r="AD92" s="803"/>
      <c r="AE92" s="803"/>
      <c r="AF92" s="976">
        <v>0</v>
      </c>
    </row>
    <row s="5002" customFormat="1" customHeight="1" ht="18.75" hidden="1">
      <c r="A93" s="2439"/>
      <c r="C93" s="801"/>
      <c r="D93" s="804"/>
      <c r="E93" s="612" t="str">
        <f>FHD_NUM_P_55</f>
        <v/>
      </c>
      <c r="F93" s="1946" t="str">
        <f>FHD_P_55</f>
        <v/>
      </c>
      <c r="G93" s="1950"/>
      <c r="H93" s="1043"/>
      <c r="I93" s="643"/>
      <c r="J93" s="355" t="str">
        <f>FHD_NOTE_P_55</f>
        <v/>
      </c>
      <c r="K93" s="800"/>
      <c r="L93" s="801"/>
      <c r="M93" s="801"/>
      <c r="R93" s="801"/>
      <c r="U93" s="802"/>
      <c r="AA93" s="803"/>
      <c r="AB93" s="803"/>
      <c r="AC93" s="803"/>
      <c r="AD93" s="803"/>
      <c r="AE93" s="803"/>
      <c r="AF93" s="976">
        <v>0</v>
      </c>
    </row>
    <row s="5002" customFormat="1" customHeight="1" ht="18.75" hidden="1">
      <c r="A94" s="2439"/>
      <c r="C94" s="801"/>
      <c r="D94" s="799"/>
      <c r="E94" s="612" t="str">
        <f>FHD_NUM_P_56</f>
        <v/>
      </c>
      <c r="F94" s="1946" t="str">
        <f>FHD_P_56</f>
        <v/>
      </c>
      <c r="G94" s="1947" t="s">
        <v>592</v>
      </c>
      <c r="H94" s="1043"/>
      <c r="I94" s="643"/>
      <c r="J94" s="355" t="str">
        <f>FHD_NOTE_P_56</f>
        <v/>
      </c>
      <c r="K94" s="800"/>
      <c r="L94" s="801"/>
      <c r="M94" s="801"/>
      <c r="R94" s="801"/>
      <c r="U94" s="802"/>
      <c r="AA94" s="803"/>
      <c r="AB94" s="803"/>
      <c r="AC94" s="803"/>
      <c r="AD94" s="803"/>
      <c r="AE94" s="803"/>
      <c r="AF94" s="976">
        <v>0</v>
      </c>
    </row>
    <row s="5053" customFormat="1" customHeight="1" ht="18.75" hidden="1">
      <c r="A95" s="2439"/>
      <c r="B95" s="976"/>
      <c r="C95" s="801"/>
      <c r="D95" s="799"/>
      <c r="E95" s="612" t="str">
        <f>FHD_NUM_P_57</f>
        <v/>
      </c>
      <c r="F95" s="1946" t="str">
        <f>FHD_P_57</f>
        <v/>
      </c>
      <c r="G95" s="1947" t="s">
        <v>567</v>
      </c>
      <c r="H95" s="1042"/>
      <c r="I95" s="623"/>
      <c r="J95" s="355" t="str">
        <f>FHD_NOTE_P_57</f>
        <v/>
      </c>
      <c r="K95" s="800"/>
      <c r="L95" s="801"/>
      <c r="M95" s="801"/>
      <c r="N95" s="976"/>
      <c r="O95" s="976"/>
      <c r="P95" s="976"/>
      <c r="Q95" s="976"/>
      <c r="R95" s="801"/>
      <c r="S95" s="976"/>
      <c r="T95" s="976"/>
      <c r="U95" s="802"/>
      <c r="V95" s="976"/>
      <c r="W95" s="976"/>
      <c r="X95" s="976"/>
      <c r="Y95" s="976"/>
      <c r="Z95" s="976"/>
      <c r="AA95" s="803"/>
      <c r="AB95" s="803"/>
      <c r="AC95" s="803"/>
      <c r="AD95" s="803"/>
      <c r="AE95" s="803"/>
      <c r="AF95" s="805">
        <v>0</v>
      </c>
    </row>
    <row customHeight="1" ht="18.75" hidden="1">
      <c r="A96" s="2437" t="s">
        <v>593</v>
      </c>
      <c r="D96" s="1704"/>
      <c r="E96" s="612" t="str">
        <f>FHD_NUM_P_58</f>
        <v/>
      </c>
      <c r="F96" s="1946" t="str">
        <f>FHD_P_58</f>
        <v/>
      </c>
      <c r="G96" s="1947" t="s">
        <v>590</v>
      </c>
      <c r="H96" s="1043"/>
      <c r="I96" s="643"/>
      <c r="J96" s="355" t="str">
        <f>FHD_NOTE_P_58</f>
        <v/>
      </c>
      <c r="K96" s="609"/>
      <c r="AF96" s="1697">
        <v>0</v>
      </c>
    </row>
    <row customHeight="1" ht="18.75" hidden="1">
      <c r="A97" s="2437"/>
      <c r="D97" s="1704"/>
      <c r="E97" s="612" t="str">
        <f>FHD_NUM_P_59</f>
        <v/>
      </c>
      <c r="F97" s="1946" t="str">
        <f>FHD_P_59</f>
        <v/>
      </c>
      <c r="G97" s="1947" t="s">
        <v>590</v>
      </c>
      <c r="H97" s="1043"/>
      <c r="I97" s="643"/>
      <c r="J97" s="355" t="str">
        <f>FHD_NOTE_P_59</f>
        <v/>
      </c>
      <c r="K97" s="609"/>
      <c r="AF97" s="1697">
        <v>0</v>
      </c>
    </row>
    <row customHeight="1" ht="18.75" hidden="1">
      <c r="A98" s="2437"/>
      <c r="D98" s="1704"/>
      <c r="E98" s="612" t="str">
        <f>FHD_NUM_P_60</f>
        <v/>
      </c>
      <c r="F98" s="1946" t="str">
        <f>FHD_P_60</f>
        <v/>
      </c>
      <c r="G98" s="1947" t="s">
        <v>590</v>
      </c>
      <c r="H98" s="1043"/>
      <c r="I98" s="643"/>
      <c r="J98" s="355" t="str">
        <f>FHD_NOTE_P_60</f>
        <v/>
      </c>
      <c r="K98" s="609"/>
      <c r="AF98" s="1697">
        <v>0</v>
      </c>
    </row>
    <row s="5002" customFormat="1" customHeight="1" ht="18.75">
      <c r="A99" s="2437" t="s">
        <v>594</v>
      </c>
      <c r="C99" s="1702"/>
      <c r="D99" s="1704"/>
      <c r="E99" s="612" t="str">
        <f>FHD_NUM_P_61</f>
        <v>7</v>
      </c>
      <c r="F99" s="194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4" t="s">
        <v>565</v>
      </c>
      <c r="H99" s="1045"/>
      <c r="I99" s="808"/>
      <c r="J99" s="35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9"/>
      <c r="L99" s="1702"/>
      <c r="M99" s="1702"/>
      <c r="R99" s="1702"/>
      <c r="U99" s="610"/>
      <c r="AA99" s="1698"/>
      <c r="AB99" s="1698"/>
      <c r="AC99" s="1698"/>
      <c r="AD99" s="1698"/>
      <c r="AE99" s="1698"/>
      <c r="AF99" s="1226">
        <v>0</v>
      </c>
    </row>
    <row s="4562" customFormat="1" customHeight="1" ht="0.75">
      <c r="A100" s="2437"/>
      <c r="D100" s="614"/>
      <c r="E100" s="1079" t="str">
        <f>E99&amp;".0"</f>
        <v>7.0</v>
      </c>
      <c r="F100" s="1060"/>
      <c r="G100" s="1061"/>
      <c r="H100" s="1058"/>
      <c r="I100" s="1058"/>
      <c r="J100" s="1062"/>
      <c r="AF100" s="1702">
        <v>0</v>
      </c>
    </row>
    <row customHeight="1" ht="15">
      <c r="A101" s="2437"/>
      <c r="D101" s="1699"/>
      <c r="E101" s="1037"/>
      <c r="F101" s="1038" t="s">
        <v>595</v>
      </c>
      <c r="G101" s="638"/>
      <c r="H101" s="639"/>
      <c r="I101" s="639"/>
      <c r="J101" s="1070" t="s">
        <v>596</v>
      </c>
      <c r="K101" s="609"/>
      <c r="AF101" s="1697">
        <v>0</v>
      </c>
    </row>
    <row s="5002" customFormat="1" customHeight="1" ht="18.75">
      <c r="A102" s="2437"/>
      <c r="C102" s="1702"/>
      <c r="D102" s="1704"/>
      <c r="E102" s="612" t="str">
        <f>FHD_NUM_P_62</f>
        <v>8</v>
      </c>
      <c r="F102" s="1946" t="str">
        <f>FHD_P_62</f>
        <v>Тепловая нагрузка по договорам, заключенным в рамках осуществления регулируемых видов деятельности</v>
      </c>
      <c r="G102" s="1943" t="s">
        <v>565</v>
      </c>
      <c r="H102" s="623"/>
      <c r="I102" s="623"/>
      <c r="J102" s="35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9"/>
      <c r="L102" s="1702"/>
      <c r="M102" s="1702"/>
      <c r="R102" s="1702"/>
      <c r="U102" s="610"/>
      <c r="AA102" s="1698"/>
      <c r="AB102" s="1698"/>
      <c r="AC102" s="1698"/>
      <c r="AD102" s="1698"/>
      <c r="AE102" s="1698"/>
      <c r="AF102" s="1226">
        <v>0</v>
      </c>
    </row>
    <row s="5002" customFormat="1" customHeight="1" ht="18.75">
      <c r="A103" s="2437"/>
      <c r="C103" s="1702"/>
      <c r="D103" s="1704"/>
      <c r="E103" s="612" t="str">
        <f>FHD_NUM_P_63</f>
        <v>9</v>
      </c>
      <c r="F103" s="1946" t="str">
        <f>FHD_P_63</f>
        <v>Объем вырабатываемой регулируемой организацией тепловой энергии в рамках осуществления регулируемых видов деятельности</v>
      </c>
      <c r="G103" s="1943" t="s">
        <v>592</v>
      </c>
      <c r="H103" s="643"/>
      <c r="I103" s="643"/>
      <c r="J103" s="35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9"/>
      <c r="L103" s="1702"/>
      <c r="M103" s="1702"/>
      <c r="R103" s="1702"/>
      <c r="U103" s="610"/>
      <c r="AA103" s="1698"/>
      <c r="AB103" s="1698"/>
      <c r="AC103" s="1698"/>
      <c r="AD103" s="1698"/>
      <c r="AE103" s="1698"/>
      <c r="AF103" s="1226">
        <v>0</v>
      </c>
    </row>
    <row s="5002" customFormat="1" customHeight="1" ht="18.75">
      <c r="A104" s="2437"/>
      <c r="C104" s="1702" t="s">
        <v>597</v>
      </c>
      <c r="D104" s="1704"/>
      <c r="E104" s="612" t="str">
        <f>FHD_NUM_P_64</f>
        <v>9.1</v>
      </c>
      <c r="F104" s="1946" t="str">
        <f>FHD_P_64</f>
        <v>Объем приобретаемой регулируемой организацией тепловой энергии в рамках осуществления регулируемых видов деятельности</v>
      </c>
      <c r="G104" s="1943" t="s">
        <v>592</v>
      </c>
      <c r="H104" s="611"/>
      <c r="I104" s="611"/>
      <c r="J104" s="355" t="str">
        <f>FHD_NOTE_P_64</f>
        <v>Информация указывается только едиными теплоснабжающими организациями.</v>
      </c>
      <c r="K104" s="609"/>
      <c r="L104" s="1702"/>
      <c r="M104" s="1702"/>
      <c r="R104" s="1702"/>
      <c r="U104" s="610"/>
      <c r="AA104" s="1698"/>
      <c r="AB104" s="1698"/>
      <c r="AC104" s="1698"/>
      <c r="AD104" s="1698"/>
      <c r="AE104" s="1698"/>
      <c r="AF104" s="1226">
        <v>0</v>
      </c>
    </row>
    <row s="5002" customFormat="1" customHeight="1" ht="18.75">
      <c r="A105" s="2437"/>
      <c r="C105" s="1702"/>
      <c r="D105" s="1704"/>
      <c r="E105" s="612" t="str">
        <f>FHD_NUM_P_65</f>
        <v>10</v>
      </c>
      <c r="F105" s="194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3" t="s">
        <v>592</v>
      </c>
      <c r="H105" s="643"/>
      <c r="I105" s="643"/>
      <c r="J105" s="35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9"/>
      <c r="L105" s="1702"/>
      <c r="M105" s="1702"/>
      <c r="R105" s="1702"/>
      <c r="U105" s="610"/>
      <c r="AA105" s="1698"/>
      <c r="AB105" s="1698"/>
      <c r="AC105" s="1698"/>
      <c r="AD105" s="1698"/>
      <c r="AE105" s="1698"/>
      <c r="AF105" s="1226">
        <v>0</v>
      </c>
    </row>
    <row s="5002" customFormat="1" customHeight="1" ht="18.75">
      <c r="A106" s="2437"/>
      <c r="C106" s="1702"/>
      <c r="D106" s="1704"/>
      <c r="E106" s="612" t="str">
        <f>FHD_NUM_P_66</f>
        <v>10.1</v>
      </c>
      <c r="F106" s="1590" t="str">
        <f>FHD_P_66</f>
        <v>По приборам учёта </v>
      </c>
      <c r="G106" s="1943" t="s">
        <v>592</v>
      </c>
      <c r="H106" s="643"/>
      <c r="I106" s="643"/>
      <c r="J106" s="355" t="str">
        <f>FHD_NOTE_P_66</f>
        <v/>
      </c>
      <c r="K106" s="609"/>
      <c r="L106" s="1702"/>
      <c r="M106" s="1702"/>
      <c r="R106" s="1702"/>
      <c r="U106" s="610"/>
      <c r="AA106" s="1698"/>
      <c r="AB106" s="1698"/>
      <c r="AC106" s="1698"/>
      <c r="AD106" s="1698"/>
      <c r="AE106" s="1698"/>
      <c r="AF106" s="1226">
        <v>0</v>
      </c>
    </row>
    <row s="5002" customFormat="1" customHeight="1" ht="18.75">
      <c r="A107" s="2437"/>
      <c r="C107" s="1702"/>
      <c r="D107" s="1704"/>
      <c r="E107" s="612" t="str">
        <f>FHD_NUM_P_67</f>
        <v>10.1.1</v>
      </c>
      <c r="F107" s="171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3" t="s">
        <v>592</v>
      </c>
      <c r="H107" s="643"/>
      <c r="I107" s="643"/>
      <c r="J107" s="355" t="str">
        <f>FHD_NOTE_P_67</f>
        <v/>
      </c>
      <c r="K107" s="609"/>
      <c r="L107" s="1702"/>
      <c r="M107" s="1702"/>
      <c r="R107" s="1702"/>
      <c r="U107" s="610"/>
      <c r="AA107" s="1698"/>
      <c r="AB107" s="1698"/>
      <c r="AC107" s="1698"/>
      <c r="AD107" s="1698"/>
      <c r="AE107" s="1698"/>
      <c r="AF107" s="1226">
        <v>0</v>
      </c>
    </row>
    <row s="5002" customFormat="1" customHeight="1" ht="18.75">
      <c r="A108" s="2437"/>
      <c r="C108" s="1702"/>
      <c r="D108" s="1704"/>
      <c r="E108" s="612" t="str">
        <f>FHD_NUM_P_68</f>
        <v>10.2</v>
      </c>
      <c r="F108" s="1590" t="str">
        <f>FHD_P_68</f>
        <v>Расчётным путём</v>
      </c>
      <c r="G108" s="1943" t="s">
        <v>592</v>
      </c>
      <c r="H108" s="643"/>
      <c r="I108" s="643"/>
      <c r="J108" s="355" t="str">
        <f>FHD_NOTE_P_68</f>
        <v/>
      </c>
      <c r="K108" s="609"/>
      <c r="L108" s="1702"/>
      <c r="M108" s="1702"/>
      <c r="R108" s="1702"/>
      <c r="U108" s="610"/>
      <c r="AA108" s="1698"/>
      <c r="AB108" s="1698"/>
      <c r="AC108" s="1698"/>
      <c r="AD108" s="1698"/>
      <c r="AE108" s="1698"/>
      <c r="AF108" s="1226">
        <v>0</v>
      </c>
    </row>
    <row s="5002" customFormat="1" customHeight="1" ht="18.75">
      <c r="A109" s="2437"/>
      <c r="C109" s="1702"/>
      <c r="D109" s="1704"/>
      <c r="E109" s="612" t="str">
        <f>FHD_NUM_P_69</f>
        <v>10.3</v>
      </c>
      <c r="F109" s="1590" t="str">
        <f>FHD_P_69</f>
        <v>По нормативам потребления коммунальных услуг и нормативам потребления коммунальных ресурсов</v>
      </c>
      <c r="G109" s="1943" t="s">
        <v>592</v>
      </c>
      <c r="H109" s="643"/>
      <c r="I109" s="643"/>
      <c r="J109" s="355" t="str">
        <f>FHD_NOTE_P_69</f>
        <v/>
      </c>
      <c r="K109" s="609"/>
      <c r="L109" s="1702"/>
      <c r="M109" s="1702"/>
      <c r="R109" s="1702"/>
      <c r="U109" s="610"/>
      <c r="AA109" s="1698"/>
      <c r="AB109" s="1698"/>
      <c r="AC109" s="1698"/>
      <c r="AD109" s="1698"/>
      <c r="AE109" s="1698"/>
      <c r="AF109" s="1226">
        <v>0</v>
      </c>
    </row>
    <row s="5002" customFormat="1" customHeight="1" ht="22.5">
      <c r="A110" s="2437"/>
      <c r="C110" s="1702"/>
      <c r="D110" s="1704"/>
      <c r="E110" s="612" t="str">
        <f>FHD_NUM_P_70</f>
        <v>11</v>
      </c>
      <c r="F110" s="194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3" t="s">
        <v>598</v>
      </c>
      <c r="H110" s="623"/>
      <c r="I110" s="623"/>
      <c r="J110" s="355" t="str">
        <f>FHD_NOTE_P_70</f>
        <v/>
      </c>
      <c r="K110" s="609"/>
      <c r="L110" s="1702"/>
      <c r="M110" s="1702"/>
      <c r="R110" s="1702"/>
      <c r="U110" s="610"/>
      <c r="AA110" s="1698"/>
      <c r="AB110" s="1698"/>
      <c r="AC110" s="1698"/>
      <c r="AD110" s="1698"/>
      <c r="AE110" s="1698"/>
      <c r="AF110" s="1226">
        <v>0</v>
      </c>
    </row>
    <row s="5002" customFormat="1" customHeight="1" ht="22.5">
      <c r="A111" s="2437"/>
      <c r="C111" s="1702"/>
      <c r="D111" s="1704"/>
      <c r="E111" s="612" t="str">
        <f>FHD_NUM_P_71</f>
        <v>12</v>
      </c>
      <c r="F111" s="1946" t="str">
        <f>FHD_P_71</f>
        <v>Фактический объем потерь при передаче тепловой энергии</v>
      </c>
      <c r="G111" s="1943" t="s">
        <v>598</v>
      </c>
      <c r="H111" s="623"/>
      <c r="I111" s="623"/>
      <c r="J111" s="355" t="str">
        <f>FHD_NOTE_P_71</f>
        <v/>
      </c>
      <c r="K111" s="609"/>
      <c r="L111" s="1702"/>
      <c r="M111" s="1702"/>
      <c r="R111" s="1702"/>
      <c r="U111" s="610"/>
      <c r="AA111" s="1698"/>
      <c r="AB111" s="1698"/>
      <c r="AC111" s="1698"/>
      <c r="AD111" s="1698"/>
      <c r="AE111" s="1698"/>
      <c r="AF111" s="1226">
        <v>0</v>
      </c>
    </row>
    <row customHeight="1" ht="19.95">
      <c r="D112" s="1704"/>
      <c r="E112" s="612" t="str">
        <f>FHD_NUM_P_72</f>
        <v>13</v>
      </c>
      <c r="F112" s="1946" t="str">
        <f>FHD_P_72</f>
        <v>Среднесписочная численность основного производственного персонала</v>
      </c>
      <c r="G112" s="1942" t="s">
        <v>599</v>
      </c>
      <c r="H112" s="643"/>
      <c r="I112" s="643"/>
      <c r="J112" s="355" t="str">
        <f>FHD_NOTE_P_72</f>
        <v/>
      </c>
      <c r="K112" s="609"/>
      <c r="AF112" s="1697">
        <v>19</v>
      </c>
    </row>
    <row customHeight="1" ht="18.75">
      <c r="A113" s="1055" t="s">
        <v>600</v>
      </c>
      <c r="D113" s="1704"/>
      <c r="E113" s="612" t="str">
        <f>FHD_NUM_P_73</f>
        <v>14</v>
      </c>
      <c r="F113" s="1946" t="str">
        <f>FHD_P_73</f>
        <v>Среднесписочная численность административно-управленческого персонала</v>
      </c>
      <c r="G113" s="1036" t="s">
        <v>599</v>
      </c>
      <c r="H113" s="1034"/>
      <c r="I113" s="1034"/>
      <c r="J113" s="355" t="str">
        <f>FHD_NOTE_P_73</f>
        <v/>
      </c>
      <c r="K113" s="609"/>
      <c r="AF113" s="1697">
        <v>0</v>
      </c>
    </row>
    <row customHeight="1" ht="33.75" hidden="1">
      <c r="A114" s="1055" t="s">
        <v>601</v>
      </c>
      <c r="D114" s="1704"/>
      <c r="E114" s="612" t="str">
        <f>FHD_NUM_P_74</f>
        <v/>
      </c>
      <c r="F114" s="1946" t="str">
        <f>FHD_P_74</f>
        <v/>
      </c>
      <c r="G114" s="1942" t="s">
        <v>602</v>
      </c>
      <c r="H114" s="643"/>
      <c r="I114" s="643"/>
      <c r="J114" s="355" t="str">
        <f>FHD_NOTE_P_74</f>
        <v/>
      </c>
      <c r="K114" s="609"/>
      <c r="AF114" s="1697">
        <v>0</v>
      </c>
    </row>
    <row s="5053" customFormat="1" customHeight="1" ht="18.75" hidden="1">
      <c r="A115" s="2439" t="s">
        <v>603</v>
      </c>
      <c r="B115" s="976"/>
      <c r="C115" s="801"/>
      <c r="D115" s="799"/>
      <c r="E115" s="612" t="str">
        <f>FHD_NUM_P_75</f>
        <v/>
      </c>
      <c r="F115" s="1946" t="str">
        <f>FHD_P_75</f>
        <v/>
      </c>
      <c r="G115" s="1942" t="s">
        <v>567</v>
      </c>
      <c r="H115" s="623"/>
      <c r="I115" s="623"/>
      <c r="J115" s="355" t="str">
        <f>FHD_NOTE_P_75</f>
        <v/>
      </c>
      <c r="K115" s="800"/>
      <c r="L115" s="801"/>
      <c r="M115" s="801"/>
      <c r="N115" s="976"/>
      <c r="O115" s="976"/>
      <c r="P115" s="976"/>
      <c r="Q115" s="976"/>
      <c r="R115" s="801"/>
      <c r="S115" s="976"/>
      <c r="T115" s="976"/>
      <c r="U115" s="802"/>
      <c r="V115" s="976"/>
      <c r="W115" s="976"/>
      <c r="X115" s="976"/>
      <c r="Y115" s="976"/>
      <c r="Z115" s="976"/>
      <c r="AA115" s="803"/>
      <c r="AB115" s="803"/>
      <c r="AC115" s="803"/>
      <c r="AD115" s="803"/>
      <c r="AE115" s="803"/>
      <c r="AF115" s="805">
        <v>0</v>
      </c>
    </row>
    <row s="5053" customFormat="1" customHeight="1" ht="18.75" hidden="1">
      <c r="A116" s="2439"/>
      <c r="B116" s="976"/>
      <c r="C116" s="801"/>
      <c r="D116" s="799"/>
      <c r="E116" s="612" t="str">
        <f>FHD_NUM_P_76</f>
        <v/>
      </c>
      <c r="F116" s="1946" t="str">
        <f>FHD_P_76</f>
        <v/>
      </c>
      <c r="G116" s="1942" t="s">
        <v>567</v>
      </c>
      <c r="H116" s="623"/>
      <c r="I116" s="623"/>
      <c r="J116" s="355" t="str">
        <f>FHD_NOTE_P_76</f>
        <v/>
      </c>
      <c r="K116" s="800"/>
      <c r="L116" s="801"/>
      <c r="M116" s="801"/>
      <c r="N116" s="976"/>
      <c r="O116" s="976"/>
      <c r="P116" s="976"/>
      <c r="Q116" s="976"/>
      <c r="R116" s="801"/>
      <c r="S116" s="976"/>
      <c r="T116" s="976"/>
      <c r="U116" s="802"/>
      <c r="V116" s="976"/>
      <c r="W116" s="976"/>
      <c r="X116" s="976"/>
      <c r="Y116" s="976"/>
      <c r="Z116" s="976"/>
      <c r="AA116" s="803"/>
      <c r="AB116" s="803"/>
      <c r="AC116" s="803"/>
      <c r="AD116" s="803"/>
      <c r="AE116" s="803"/>
      <c r="AF116" s="805">
        <v>0</v>
      </c>
    </row>
    <row s="5053" customFormat="1" customHeight="1" ht="18.75" hidden="1">
      <c r="A117" s="2439"/>
      <c r="B117" s="976"/>
      <c r="C117" s="801"/>
      <c r="D117" s="799"/>
      <c r="E117" s="612" t="str">
        <f>FHD_NUM_P_77</f>
        <v/>
      </c>
      <c r="F117" s="1946" t="str">
        <f>FHD_P_77</f>
        <v/>
      </c>
      <c r="G117" s="1942" t="s">
        <v>567</v>
      </c>
      <c r="H117" s="623"/>
      <c r="I117" s="623"/>
      <c r="J117" s="355" t="str">
        <f>FHD_NOTE_P_77</f>
        <v/>
      </c>
      <c r="K117" s="800"/>
      <c r="L117" s="801"/>
      <c r="M117" s="801"/>
      <c r="N117" s="976"/>
      <c r="O117" s="976"/>
      <c r="P117" s="976"/>
      <c r="Q117" s="976"/>
      <c r="R117" s="801"/>
      <c r="S117" s="976"/>
      <c r="T117" s="976"/>
      <c r="U117" s="802"/>
      <c r="V117" s="976"/>
      <c r="W117" s="976"/>
      <c r="X117" s="976"/>
      <c r="Y117" s="976"/>
      <c r="Z117" s="976"/>
      <c r="AA117" s="803"/>
      <c r="AB117" s="803"/>
      <c r="AC117" s="803"/>
      <c r="AD117" s="803"/>
      <c r="AE117" s="803"/>
      <c r="AF117" s="805">
        <v>0</v>
      </c>
    </row>
    <row s="4562" customFormat="1" customHeight="1" ht="0.75" hidden="1">
      <c r="A118" s="2439"/>
      <c r="D118" s="614"/>
      <c r="E118" s="1079" t="str">
        <f>E117&amp;".0"</f>
        <v>.0</v>
      </c>
      <c r="F118" s="1063"/>
      <c r="G118" s="1717"/>
      <c r="H118" s="1058"/>
      <c r="I118" s="1058"/>
      <c r="J118" s="1062"/>
      <c r="AF118" s="1702">
        <v>0</v>
      </c>
    </row>
    <row s="5053" customFormat="1" customHeight="1" ht="15" hidden="1">
      <c r="A119" s="2439"/>
      <c r="B119" s="976"/>
      <c r="C119" s="801"/>
      <c r="D119" s="812"/>
      <c r="E119" s="1039"/>
      <c r="F119" s="1040" t="s">
        <v>604</v>
      </c>
      <c r="G119" s="813"/>
      <c r="H119" s="814"/>
      <c r="I119" s="814"/>
      <c r="J119" s="1069" t="s">
        <v>605</v>
      </c>
      <c r="K119" s="800"/>
      <c r="L119" s="801"/>
      <c r="M119" s="801"/>
      <c r="N119" s="976"/>
      <c r="O119" s="976"/>
      <c r="P119" s="976"/>
      <c r="Q119" s="976"/>
      <c r="R119" s="801"/>
      <c r="S119" s="976"/>
      <c r="T119" s="976"/>
      <c r="U119" s="802"/>
      <c r="V119" s="976"/>
      <c r="W119" s="976"/>
      <c r="X119" s="976"/>
      <c r="Y119" s="976"/>
      <c r="Z119" s="976"/>
      <c r="AA119" s="803"/>
      <c r="AB119" s="803"/>
      <c r="AC119" s="803"/>
      <c r="AD119" s="803"/>
      <c r="AE119" s="803"/>
      <c r="AF119" s="805">
        <v>0</v>
      </c>
    </row>
    <row customHeight="1" ht="22.5">
      <c r="A120" s="2437" t="s">
        <v>606</v>
      </c>
      <c r="D120" s="1704"/>
      <c r="E120" s="612" t="str">
        <f>FHD_NUM_P_78</f>
        <v>15</v>
      </c>
      <c r="F120" s="194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3" t="s">
        <v>569</v>
      </c>
      <c r="H120" s="643"/>
      <c r="I120" s="643"/>
      <c r="J120" s="355" t="str">
        <f>FHD_NOTE_P_78</f>
        <v/>
      </c>
      <c r="K120" s="609"/>
      <c r="AF120" s="1697">
        <v>0</v>
      </c>
    </row>
    <row s="4562" customFormat="1" customHeight="1" ht="0.75">
      <c r="A121" s="2437"/>
      <c r="D121" s="614"/>
      <c r="E121" s="1079" t="str">
        <f>E120&amp;".0"</f>
        <v>15.0</v>
      </c>
      <c r="F121" s="1063"/>
      <c r="G121" s="1717"/>
      <c r="H121" s="1058"/>
      <c r="I121" s="1058"/>
      <c r="J121" s="1062"/>
      <c r="AF121" s="1702">
        <v>0</v>
      </c>
    </row>
    <row customHeight="1" ht="15">
      <c r="A122" s="2437"/>
      <c r="D122" s="1699"/>
      <c r="E122" s="636"/>
      <c r="F122" s="1234" t="s">
        <v>595</v>
      </c>
      <c r="G122" s="638"/>
      <c r="H122" s="639"/>
      <c r="I122" s="639"/>
      <c r="J122" s="1070" t="s">
        <v>607</v>
      </c>
      <c r="K122" s="609"/>
      <c r="AF122" s="1697">
        <v>0</v>
      </c>
    </row>
    <row customHeight="1" ht="22.5">
      <c r="A123" s="2437"/>
      <c r="D123" s="1704"/>
      <c r="E123" s="612" t="str">
        <f>FHD_NUM_P_79</f>
        <v>16</v>
      </c>
      <c r="F123" s="194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4" t="s">
        <v>571</v>
      </c>
      <c r="H123" s="643"/>
      <c r="I123" s="643"/>
      <c r="J123" s="35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9"/>
      <c r="AF123" s="1697">
        <v>0</v>
      </c>
    </row>
    <row s="4562" customFormat="1" customHeight="1" ht="0.75">
      <c r="A124" s="2437"/>
      <c r="D124" s="614"/>
      <c r="E124" s="1079" t="str">
        <f>E123&amp;".0"</f>
        <v>16.0</v>
      </c>
      <c r="F124" s="1064"/>
      <c r="G124" s="1717"/>
      <c r="H124" s="1058"/>
      <c r="I124" s="1058"/>
      <c r="J124" s="1062"/>
      <c r="AF124" s="1702">
        <v>0</v>
      </c>
    </row>
    <row customHeight="1" ht="15">
      <c r="A125" s="2437"/>
      <c r="D125" s="1699"/>
      <c r="E125" s="636"/>
      <c r="F125" s="1234" t="s">
        <v>595</v>
      </c>
      <c r="G125" s="638"/>
      <c r="H125" s="639"/>
      <c r="I125" s="639"/>
      <c r="J125" s="1070" t="s">
        <v>608</v>
      </c>
      <c r="K125" s="609"/>
      <c r="AF125" s="1697">
        <v>0</v>
      </c>
    </row>
    <row customHeight="1" ht="22.5">
      <c r="A126" s="2437"/>
      <c r="D126" s="1704"/>
      <c r="E126" s="612" t="str">
        <f>FHD_NUM_P_80</f>
        <v>17</v>
      </c>
      <c r="F126" s="194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4" t="s">
        <v>609</v>
      </c>
      <c r="H126" s="623"/>
      <c r="I126" s="623"/>
      <c r="J126" s="355" t="str">
        <f>FHD_NOTE_P_80</f>
        <v>Регулируемыми организациями указывается информация с по договорам, заключенным в рамках осуществления регулируемой деятельности.</v>
      </c>
      <c r="K126" s="609"/>
      <c r="AF126" s="1697">
        <v>0</v>
      </c>
    </row>
    <row customHeight="1" ht="18.75">
      <c r="A127" s="2437"/>
      <c r="D127" s="1704"/>
      <c r="E127" s="612" t="str">
        <f>FHD_NUM_P_81</f>
        <v>18</v>
      </c>
      <c r="F127" s="194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4" t="s">
        <v>610</v>
      </c>
      <c r="H127" s="623"/>
      <c r="I127" s="623"/>
      <c r="J127" s="355" t="str">
        <f>FHD_NOTE_P_81</f>
        <v>Регулируемыми организациями указывается информация с по договорам, заключенным в рамках осуществления регулируемой деятельности.</v>
      </c>
      <c r="K127" s="609"/>
      <c r="AF127" s="1697">
        <v>0</v>
      </c>
    </row>
    <row customHeight="1" ht="18.75">
      <c r="A128" s="2437"/>
      <c r="C128" s="1702" t="s">
        <v>597</v>
      </c>
      <c r="D128" s="1704"/>
      <c r="E128" s="612" t="str">
        <f>FHD_NUM_P_82</f>
        <v>19</v>
      </c>
      <c r="F128" s="194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4" t="s">
        <v>315</v>
      </c>
      <c r="H128" s="467"/>
      <c r="I128" s="467"/>
      <c r="J128" s="355" t="str">
        <f>FHD_NOTE_P_82</f>
        <v>Указывается ссылка на документ, предварительно загруженный в хранилище файлов ФГИС ЕИАС.</v>
      </c>
      <c r="K128" s="609"/>
      <c r="AF128" s="1697">
        <v>0</v>
      </c>
    </row>
    <row customHeight="1" ht="18.75">
      <c r="A129" s="2437"/>
      <c r="C129" s="1702" t="s">
        <v>597</v>
      </c>
      <c r="D129" s="1704"/>
      <c r="E129" s="612" t="str">
        <f>FHD_NUM_P_83</f>
        <v>19.1</v>
      </c>
      <c r="F129" s="1590" t="str">
        <f>FHD_P_83</f>
        <v>Информация о показателях физического износа объектов теплоснабжения</v>
      </c>
      <c r="G129" s="1944" t="s">
        <v>315</v>
      </c>
      <c r="H129" s="467"/>
      <c r="I129" s="467"/>
      <c r="J129" s="355" t="str">
        <f>FHD_NOTE_P_83</f>
        <v>Указывается ссылка на документ, предварительно загруженный в хранилище файлов ФГИС ЕИАС.</v>
      </c>
      <c r="K129" s="609"/>
      <c r="AF129" s="1697">
        <v>0</v>
      </c>
    </row>
    <row customHeight="1" ht="18.75">
      <c r="A130" s="2437"/>
      <c r="C130" s="1702" t="s">
        <v>597</v>
      </c>
      <c r="D130" s="1704"/>
      <c r="E130" s="612" t="str">
        <f>FHD_NUM_P_84</f>
        <v>19.2</v>
      </c>
      <c r="F130" s="1590" t="str">
        <f>FHD_P_84</f>
        <v>Информация о показателях энергетической эффективности объектов теплоснабжения</v>
      </c>
      <c r="G130" s="1944" t="s">
        <v>315</v>
      </c>
      <c r="H130" s="467"/>
      <c r="I130" s="467"/>
      <c r="J130" s="355" t="str">
        <f>FHD_NOTE_P_84</f>
        <v>Указывается ссылка на документ, предварительно загруженный в хранилище файлов ФГИС ЕИАС.</v>
      </c>
      <c r="K130" s="609"/>
      <c r="AF130" s="1697">
        <v>0</v>
      </c>
    </row>
    <row customHeight="1" ht="11.549999999999999">
      <c r="D131" s="1704"/>
      <c r="AF131" s="1697">
        <v>11</v>
      </c>
    </row>
    <row customHeight="1" ht="13.5">
      <c r="D132" s="1704"/>
      <c r="E132" s="402"/>
      <c r="F132" s="435"/>
      <c r="G132" s="435"/>
      <c r="H132" s="435"/>
      <c r="I132" s="1713"/>
      <c r="J132" s="647"/>
      <c r="AF132" s="1697">
        <v>13</v>
      </c>
    </row>
    <row s="4153" customFormat="1" customHeight="1" ht="11.549999999999999">
      <c r="A133" s="1053"/>
      <c r="B133" s="1702"/>
      <c r="C133" s="1702"/>
      <c r="D133" s="417"/>
      <c r="F133" s="1706"/>
      <c r="G133" s="1697"/>
      <c r="H133" s="1697"/>
      <c r="I133" s="169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4153"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4153"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4153" customFormat="1" customHeight="1" ht="11.549999999999999">
      <c r="A136" s="1053"/>
      <c r="B136" s="1702"/>
      <c r="C136" s="1702"/>
      <c r="D136" s="417"/>
      <c r="H136" s="632" t="str">
        <f>IF(H30-H31&lt;&gt;H72,"WARNING","")</f>
        <v/>
      </c>
      <c r="I136" s="632" t="str">
        <f>IF(I30-I31&lt;&gt;I72,"WARNING","")</f>
        <v/>
      </c>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4153"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4153"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4153"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4153"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4153"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4153"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4153"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4153"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4153"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4153"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4153"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4153"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4153"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4153"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4153"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4153"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4153"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4153"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4153"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4153"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4153"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4153"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4153"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4153"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4153"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4153"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4153"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4153"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4153"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4153"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4153"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4153"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4153"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4153"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4153"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4153"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4153"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4153"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4153"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4153"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4153"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4153"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4153"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4153"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4153"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4153"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4153"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4153"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4153"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4153"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4153"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4153"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4153"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4153"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4153"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4153"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4153"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4153"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4153"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4153"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4153"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4153"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4153"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4153"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4153"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4153"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s="4153" customFormat="1" customHeight="1" ht="11.549999999999999">
      <c r="A203" s="1053"/>
      <c r="B203" s="1702"/>
      <c r="C203" s="1702"/>
      <c r="D203" s="417"/>
      <c r="K203" s="1226"/>
      <c r="L203" s="1702"/>
      <c r="M203" s="1702"/>
      <c r="N203" s="1226"/>
      <c r="O203" s="1226"/>
      <c r="P203" s="1226"/>
      <c r="Q203" s="1226"/>
      <c r="R203" s="1702"/>
      <c r="S203" s="1226"/>
      <c r="T203" s="1226"/>
      <c r="U203" s="610"/>
      <c r="V203" s="1226"/>
      <c r="W203" s="1226"/>
      <c r="X203" s="1226"/>
      <c r="Y203" s="1226"/>
      <c r="Z203" s="1226"/>
      <c r="AA203" s="1698"/>
      <c r="AB203" s="632"/>
      <c r="AC203" s="632"/>
      <c r="AD203" s="632"/>
      <c r="AE203" s="632"/>
      <c r="AF203" s="1707">
        <v>11</v>
      </c>
    </row>
    <row s="4153" customFormat="1" customHeight="1" ht="11.549999999999999">
      <c r="A204" s="1053"/>
      <c r="B204" s="1702"/>
      <c r="C204" s="1702"/>
      <c r="D204" s="417"/>
      <c r="K204" s="1226"/>
      <c r="L204" s="1702"/>
      <c r="M204" s="1702"/>
      <c r="N204" s="1226"/>
      <c r="O204" s="1226"/>
      <c r="P204" s="1226"/>
      <c r="Q204" s="1226"/>
      <c r="R204" s="1702"/>
      <c r="S204" s="1226"/>
      <c r="T204" s="1226"/>
      <c r="U204" s="610"/>
      <c r="V204" s="1226"/>
      <c r="W204" s="1226"/>
      <c r="X204" s="1226"/>
      <c r="Y204" s="1226"/>
      <c r="Z204" s="1226"/>
      <c r="AA204" s="1698"/>
      <c r="AB204" s="632"/>
      <c r="AC204" s="632"/>
      <c r="AD204" s="632"/>
      <c r="AE204" s="632"/>
      <c r="AF204" s="1707">
        <v>11</v>
      </c>
    </row>
    <row s="4153" customFormat="1" customHeight="1" ht="11.549999999999999">
      <c r="A205" s="1053"/>
      <c r="B205" s="1702"/>
      <c r="C205" s="1702"/>
      <c r="D205" s="417"/>
      <c r="K205" s="1226"/>
      <c r="L205" s="1702"/>
      <c r="M205" s="1702"/>
      <c r="N205" s="1226"/>
      <c r="O205" s="1226"/>
      <c r="P205" s="1226"/>
      <c r="Q205" s="1226"/>
      <c r="R205" s="1702"/>
      <c r="S205" s="1226"/>
      <c r="T205" s="1226"/>
      <c r="U205" s="610"/>
      <c r="V205" s="1226"/>
      <c r="W205" s="1226"/>
      <c r="X205" s="1226"/>
      <c r="Y205" s="1226"/>
      <c r="Z205" s="1226"/>
      <c r="AA205" s="1698"/>
      <c r="AB205" s="632"/>
      <c r="AC205" s="632"/>
      <c r="AD205" s="632"/>
      <c r="AE205" s="632"/>
      <c r="AF205" s="1707">
        <v>11</v>
      </c>
    </row>
    <row s="4153" customFormat="1" customHeight="1" ht="11.549999999999999">
      <c r="A206" s="1053"/>
      <c r="B206" s="1702"/>
      <c r="C206" s="1702"/>
      <c r="D206" s="417"/>
      <c r="K206" s="1226"/>
      <c r="L206" s="1702"/>
      <c r="M206" s="1702"/>
      <c r="N206" s="1226"/>
      <c r="O206" s="1226"/>
      <c r="P206" s="1226"/>
      <c r="Q206" s="1226"/>
      <c r="R206" s="1702"/>
      <c r="S206" s="1226"/>
      <c r="T206" s="1226"/>
      <c r="U206" s="610"/>
      <c r="V206" s="1226"/>
      <c r="W206" s="1226"/>
      <c r="X206" s="1226"/>
      <c r="Y206" s="1226"/>
      <c r="Z206" s="1226"/>
      <c r="AA206" s="1698"/>
      <c r="AB206" s="632"/>
      <c r="AC206" s="632"/>
      <c r="AD206" s="632"/>
      <c r="AE206" s="632"/>
      <c r="AF206" s="1707">
        <v>11</v>
      </c>
    </row>
    <row s="4153" customFormat="1" customHeight="1" ht="11.549999999999999">
      <c r="A207" s="1053"/>
      <c r="B207" s="1702"/>
      <c r="C207" s="1702"/>
      <c r="D207" s="417"/>
      <c r="K207" s="1226"/>
      <c r="L207" s="1702"/>
      <c r="M207" s="1702"/>
      <c r="N207" s="1226"/>
      <c r="O207" s="1226"/>
      <c r="P207" s="1226"/>
      <c r="Q207" s="1226"/>
      <c r="R207" s="1702"/>
      <c r="S207" s="1226"/>
      <c r="T207" s="1226"/>
      <c r="U207" s="610"/>
      <c r="V207" s="1226"/>
      <c r="W207" s="1226"/>
      <c r="X207" s="1226"/>
      <c r="Y207" s="1226"/>
      <c r="Z207" s="1226"/>
      <c r="AA207" s="1698"/>
      <c r="AB207" s="632"/>
      <c r="AC207" s="632"/>
      <c r="AD207" s="632"/>
      <c r="AE207" s="632"/>
      <c r="AF207" s="1707">
        <v>11</v>
      </c>
    </row>
    <row s="4153" customFormat="1" customHeight="1" ht="11.549999999999999">
      <c r="A208" s="1053"/>
      <c r="B208" s="1702"/>
      <c r="C208" s="1702"/>
      <c r="D208" s="417"/>
      <c r="K208" s="1226"/>
      <c r="L208" s="1702"/>
      <c r="M208" s="1702"/>
      <c r="N208" s="1226"/>
      <c r="O208" s="1226"/>
      <c r="P208" s="1226"/>
      <c r="Q208" s="1226"/>
      <c r="R208" s="1702"/>
      <c r="S208" s="1226"/>
      <c r="T208" s="1226"/>
      <c r="U208" s="610"/>
      <c r="V208" s="1226"/>
      <c r="W208" s="1226"/>
      <c r="X208" s="1226"/>
      <c r="Y208" s="1226"/>
      <c r="Z208" s="1226"/>
      <c r="AA208" s="1698"/>
      <c r="AB208" s="632"/>
      <c r="AC208" s="632"/>
      <c r="AD208" s="632"/>
      <c r="AE208" s="632"/>
      <c r="AF208" s="1707">
        <v>11</v>
      </c>
    </row>
    <row s="4153" customFormat="1" customHeight="1" ht="11.549999999999999">
      <c r="A209" s="1053"/>
      <c r="B209" s="1702"/>
      <c r="C209" s="1702"/>
      <c r="D209" s="417"/>
      <c r="K209" s="1226"/>
      <c r="L209" s="1702"/>
      <c r="M209" s="1702"/>
      <c r="N209" s="1226"/>
      <c r="O209" s="1226"/>
      <c r="P209" s="1226"/>
      <c r="Q209" s="1226"/>
      <c r="R209" s="1702"/>
      <c r="S209" s="1226"/>
      <c r="T209" s="1226"/>
      <c r="U209" s="610"/>
      <c r="V209" s="1226"/>
      <c r="W209" s="1226"/>
      <c r="X209" s="1226"/>
      <c r="Y209" s="1226"/>
      <c r="Z209" s="1226"/>
      <c r="AA209" s="1698"/>
      <c r="AB209" s="632"/>
      <c r="AC209" s="632"/>
      <c r="AD209" s="632"/>
      <c r="AE209" s="632"/>
      <c r="AF209" s="1707">
        <v>11</v>
      </c>
    </row>
    <row s="4153" customFormat="1" customHeight="1" ht="11.549999999999999">
      <c r="A210" s="1053"/>
      <c r="B210" s="1702"/>
      <c r="C210" s="1702"/>
      <c r="D210" s="417"/>
      <c r="K210" s="1226"/>
      <c r="L210" s="1702"/>
      <c r="M210" s="1702"/>
      <c r="N210" s="1226"/>
      <c r="O210" s="1226"/>
      <c r="P210" s="1226"/>
      <c r="Q210" s="1226"/>
      <c r="R210" s="1702"/>
      <c r="S210" s="1226"/>
      <c r="T210" s="1226"/>
      <c r="U210" s="610"/>
      <c r="V210" s="1226"/>
      <c r="W210" s="1226"/>
      <c r="X210" s="1226"/>
      <c r="Y210" s="1226"/>
      <c r="Z210" s="1226"/>
      <c r="AA210" s="1698"/>
      <c r="AB210" s="632"/>
      <c r="AC210" s="632"/>
      <c r="AD210" s="632"/>
      <c r="AE210" s="632"/>
      <c r="AF210" s="1707">
        <v>11</v>
      </c>
    </row>
    <row s="4153" customFormat="1" customHeight="1" ht="11.549999999999999">
      <c r="A211" s="1053"/>
      <c r="B211" s="1702"/>
      <c r="C211" s="1702"/>
      <c r="D211" s="417"/>
      <c r="K211" s="1226"/>
      <c r="L211" s="1702"/>
      <c r="M211" s="1702"/>
      <c r="N211" s="1226"/>
      <c r="O211" s="1226"/>
      <c r="P211" s="1226"/>
      <c r="Q211" s="1226"/>
      <c r="R211" s="1702"/>
      <c r="S211" s="1226"/>
      <c r="T211" s="1226"/>
      <c r="U211" s="610"/>
      <c r="V211" s="1226"/>
      <c r="W211" s="1226"/>
      <c r="X211" s="1226"/>
      <c r="Y211" s="1226"/>
      <c r="Z211" s="1226"/>
      <c r="AA211" s="1698"/>
      <c r="AB211" s="632"/>
      <c r="AC211" s="632"/>
      <c r="AD211" s="632"/>
      <c r="AE211" s="632"/>
      <c r="AF211" s="1707">
        <v>11</v>
      </c>
    </row>
    <row s="4153" customFormat="1" customHeight="1" ht="11.549999999999999">
      <c r="A212" s="1053"/>
      <c r="B212" s="1702"/>
      <c r="C212" s="1702"/>
      <c r="D212" s="417"/>
      <c r="K212" s="1226"/>
      <c r="L212" s="1702"/>
      <c r="M212" s="1702"/>
      <c r="N212" s="1226"/>
      <c r="O212" s="1226"/>
      <c r="P212" s="1226"/>
      <c r="Q212" s="1226"/>
      <c r="R212" s="1702"/>
      <c r="S212" s="1226"/>
      <c r="T212" s="1226"/>
      <c r="U212" s="610"/>
      <c r="V212" s="1226"/>
      <c r="W212" s="1226"/>
      <c r="X212" s="1226"/>
      <c r="Y212" s="1226"/>
      <c r="Z212" s="1226"/>
      <c r="AA212" s="1698"/>
      <c r="AB212" s="632"/>
      <c r="AC212" s="632"/>
      <c r="AD212" s="632"/>
      <c r="AE212" s="632"/>
      <c r="AF212" s="1707">
        <v>11</v>
      </c>
    </row>
    <row s="4153" customFormat="1" customHeight="1" ht="11.549999999999999">
      <c r="A213" s="1053"/>
      <c r="B213" s="1702"/>
      <c r="C213" s="1702"/>
      <c r="D213" s="417"/>
      <c r="K213" s="1226"/>
      <c r="L213" s="1702"/>
      <c r="M213" s="1702"/>
      <c r="N213" s="1226"/>
      <c r="O213" s="1226"/>
      <c r="P213" s="1226"/>
      <c r="Q213" s="1226"/>
      <c r="R213" s="1702"/>
      <c r="S213" s="1226"/>
      <c r="T213" s="1226"/>
      <c r="U213" s="610"/>
      <c r="V213" s="1226"/>
      <c r="W213" s="1226"/>
      <c r="X213" s="1226"/>
      <c r="Y213" s="1226"/>
      <c r="Z213" s="1226"/>
      <c r="AA213" s="1698"/>
      <c r="AB213" s="632"/>
      <c r="AC213" s="632"/>
      <c r="AD213" s="632"/>
      <c r="AE213" s="632"/>
      <c r="AF213" s="1707">
        <v>11</v>
      </c>
    </row>
    <row s="4153" customFormat="1" customHeight="1" ht="11.549999999999999">
      <c r="A214" s="1053"/>
      <c r="B214" s="1702"/>
      <c r="C214" s="1702"/>
      <c r="D214" s="417"/>
      <c r="K214" s="1226"/>
      <c r="L214" s="1702"/>
      <c r="M214" s="1702"/>
      <c r="N214" s="1226"/>
      <c r="O214" s="1226"/>
      <c r="P214" s="1226"/>
      <c r="Q214" s="1226"/>
      <c r="R214" s="1702"/>
      <c r="S214" s="1226"/>
      <c r="T214" s="1226"/>
      <c r="U214" s="610"/>
      <c r="V214" s="1226"/>
      <c r="W214" s="1226"/>
      <c r="X214" s="1226"/>
      <c r="Y214" s="1226"/>
      <c r="Z214" s="1226"/>
      <c r="AA214" s="1698"/>
      <c r="AB214" s="632"/>
      <c r="AC214" s="632"/>
      <c r="AD214" s="632"/>
      <c r="AE214" s="632"/>
      <c r="AF214" s="1707">
        <v>11</v>
      </c>
    </row>
    <row s="4153" customFormat="1" customHeight="1" ht="11.549999999999999">
      <c r="A215" s="1053"/>
      <c r="B215" s="1702"/>
      <c r="C215" s="1702"/>
      <c r="D215" s="417"/>
      <c r="K215" s="1226"/>
      <c r="L215" s="1702"/>
      <c r="M215" s="1702"/>
      <c r="N215" s="1226"/>
      <c r="O215" s="1226"/>
      <c r="P215" s="1226"/>
      <c r="Q215" s="1226"/>
      <c r="R215" s="1702"/>
      <c r="S215" s="1226"/>
      <c r="T215" s="1226"/>
      <c r="U215" s="610"/>
      <c r="V215" s="1226"/>
      <c r="W215" s="1226"/>
      <c r="X215" s="1226"/>
      <c r="Y215" s="1226"/>
      <c r="Z215" s="1226"/>
      <c r="AA215" s="1698"/>
      <c r="AB215" s="632"/>
      <c r="AC215" s="632"/>
      <c r="AD215" s="632"/>
      <c r="AE215" s="632"/>
      <c r="AF215" s="1707">
        <v>11</v>
      </c>
    </row>
    <row s="4153" customFormat="1" customHeight="1" ht="11.549999999999999">
      <c r="A216" s="1053"/>
      <c r="B216" s="1702"/>
      <c r="C216" s="1702"/>
      <c r="D216" s="417"/>
      <c r="K216" s="1226"/>
      <c r="L216" s="1702"/>
      <c r="M216" s="1702"/>
      <c r="N216" s="1226"/>
      <c r="O216" s="1226"/>
      <c r="P216" s="1226"/>
      <c r="Q216" s="1226"/>
      <c r="R216" s="1702"/>
      <c r="S216" s="1226"/>
      <c r="T216" s="1226"/>
      <c r="U216" s="610"/>
      <c r="V216" s="1226"/>
      <c r="W216" s="1226"/>
      <c r="X216" s="1226"/>
      <c r="Y216" s="1226"/>
      <c r="Z216" s="1226"/>
      <c r="AA216" s="1698"/>
      <c r="AB216" s="632"/>
      <c r="AC216" s="632"/>
      <c r="AD216" s="632"/>
      <c r="AE216" s="632"/>
      <c r="AF216" s="1707">
        <v>11</v>
      </c>
    </row>
    <row s="4153" customFormat="1" customHeight="1" ht="11.549999999999999">
      <c r="A217" s="1053"/>
      <c r="B217" s="1702"/>
      <c r="C217" s="1702"/>
      <c r="D217" s="417"/>
      <c r="K217" s="1226"/>
      <c r="L217" s="1702"/>
      <c r="M217" s="1702"/>
      <c r="N217" s="1226"/>
      <c r="O217" s="1226"/>
      <c r="P217" s="1226"/>
      <c r="Q217" s="1226"/>
      <c r="R217" s="1702"/>
      <c r="S217" s="1226"/>
      <c r="T217" s="1226"/>
      <c r="U217" s="610"/>
      <c r="V217" s="1226"/>
      <c r="W217" s="1226"/>
      <c r="X217" s="1226"/>
      <c r="Y217" s="1226"/>
      <c r="Z217" s="1226"/>
      <c r="AA217" s="1698"/>
      <c r="AB217" s="632"/>
      <c r="AC217" s="632"/>
      <c r="AD217" s="632"/>
      <c r="AE217" s="632"/>
      <c r="AF217" s="1707">
        <v>11</v>
      </c>
    </row>
    <row s="4153" customFormat="1" customHeight="1" ht="11.549999999999999">
      <c r="A218" s="1053"/>
      <c r="B218" s="1702"/>
      <c r="C218" s="1702"/>
      <c r="D218" s="417"/>
      <c r="K218" s="1226"/>
      <c r="L218" s="1702"/>
      <c r="M218" s="1702"/>
      <c r="N218" s="1226"/>
      <c r="O218" s="1226"/>
      <c r="P218" s="1226"/>
      <c r="Q218" s="1226"/>
      <c r="R218" s="1702"/>
      <c r="S218" s="1226"/>
      <c r="T218" s="1226"/>
      <c r="U218" s="610"/>
      <c r="V218" s="1226"/>
      <c r="W218" s="1226"/>
      <c r="X218" s="1226"/>
      <c r="Y218" s="1226"/>
      <c r="Z218" s="1226"/>
      <c r="AA218" s="1698"/>
      <c r="AB218" s="632"/>
      <c r="AC218" s="632"/>
      <c r="AD218" s="632"/>
      <c r="AE218" s="632"/>
      <c r="AF218" s="1707">
        <v>11</v>
      </c>
    </row>
    <row s="4153" customFormat="1" customHeight="1" ht="11.549999999999999">
      <c r="A219" s="1053"/>
      <c r="B219" s="1702"/>
      <c r="C219" s="1702"/>
      <c r="D219" s="417"/>
      <c r="K219" s="1226"/>
      <c r="L219" s="1702"/>
      <c r="M219" s="1702"/>
      <c r="N219" s="1226"/>
      <c r="O219" s="1226"/>
      <c r="P219" s="1226"/>
      <c r="Q219" s="1226"/>
      <c r="R219" s="1702"/>
      <c r="S219" s="1226"/>
      <c r="T219" s="1226"/>
      <c r="U219" s="610"/>
      <c r="V219" s="1226"/>
      <c r="W219" s="1226"/>
      <c r="X219" s="1226"/>
      <c r="Y219" s="1226"/>
      <c r="Z219" s="1226"/>
      <c r="AA219" s="1698"/>
      <c r="AB219" s="632"/>
      <c r="AC219" s="632"/>
      <c r="AD219" s="632"/>
      <c r="AE219" s="632"/>
      <c r="AF219" s="1707">
        <v>11</v>
      </c>
    </row>
    <row s="4153" customFormat="1" customHeight="1" ht="11.549999999999999">
      <c r="A220" s="1053"/>
      <c r="B220" s="1702"/>
      <c r="C220" s="1702"/>
      <c r="D220" s="417"/>
      <c r="K220" s="1226"/>
      <c r="L220" s="1702"/>
      <c r="M220" s="1702"/>
      <c r="N220" s="1226"/>
      <c r="O220" s="1226"/>
      <c r="P220" s="1226"/>
      <c r="Q220" s="1226"/>
      <c r="R220" s="1702"/>
      <c r="S220" s="1226"/>
      <c r="T220" s="1226"/>
      <c r="U220" s="610"/>
      <c r="V220" s="1226"/>
      <c r="W220" s="1226"/>
      <c r="X220" s="1226"/>
      <c r="Y220" s="1226"/>
      <c r="Z220" s="1226"/>
      <c r="AA220" s="1698"/>
      <c r="AB220" s="632"/>
      <c r="AC220" s="632"/>
      <c r="AD220" s="632"/>
      <c r="AE220" s="632"/>
      <c r="AF220" s="1707">
        <v>11</v>
      </c>
    </row>
    <row s="4153" customFormat="1" customHeight="1" ht="11.549999999999999">
      <c r="A221" s="1053"/>
      <c r="B221" s="1702"/>
      <c r="C221" s="1702"/>
      <c r="D221" s="417"/>
      <c r="K221" s="1226"/>
      <c r="L221" s="1702"/>
      <c r="M221" s="1702"/>
      <c r="N221" s="1226"/>
      <c r="O221" s="1226"/>
      <c r="P221" s="1226"/>
      <c r="Q221" s="1226"/>
      <c r="R221" s="1702"/>
      <c r="S221" s="1226"/>
      <c r="T221" s="1226"/>
      <c r="U221" s="610"/>
      <c r="V221" s="1226"/>
      <c r="W221" s="1226"/>
      <c r="X221" s="1226"/>
      <c r="Y221" s="1226"/>
      <c r="Z221" s="1226"/>
      <c r="AA221" s="1698"/>
      <c r="AB221" s="632"/>
      <c r="AC221" s="632"/>
      <c r="AD221" s="632"/>
      <c r="AE221" s="632"/>
      <c r="AF221" s="1707">
        <v>11</v>
      </c>
    </row>
    <row s="4153" customFormat="1" customHeight="1" ht="11.549999999999999">
      <c r="A222" s="1053"/>
      <c r="B222" s="1702"/>
      <c r="C222" s="1702"/>
      <c r="D222" s="417"/>
      <c r="K222" s="1226"/>
      <c r="L222" s="1702"/>
      <c r="M222" s="1702"/>
      <c r="N222" s="1226"/>
      <c r="O222" s="1226"/>
      <c r="P222" s="1226"/>
      <c r="Q222" s="1226"/>
      <c r="R222" s="1702"/>
      <c r="S222" s="1226"/>
      <c r="T222" s="1226"/>
      <c r="U222" s="610"/>
      <c r="V222" s="1226"/>
      <c r="W222" s="1226"/>
      <c r="X222" s="1226"/>
      <c r="Y222" s="1226"/>
      <c r="Z222" s="1226"/>
      <c r="AA222" s="1698"/>
      <c r="AB222" s="632"/>
      <c r="AC222" s="632"/>
      <c r="AD222" s="632"/>
      <c r="AE222" s="632"/>
      <c r="AF222" s="1707">
        <v>11</v>
      </c>
    </row>
    <row s="4153" customFormat="1" customHeight="1" ht="11.549999999999999">
      <c r="A223" s="1053"/>
      <c r="B223" s="1702"/>
      <c r="C223" s="1702"/>
      <c r="D223" s="417"/>
      <c r="K223" s="1226"/>
      <c r="L223" s="1702"/>
      <c r="M223" s="1702"/>
      <c r="N223" s="1226"/>
      <c r="O223" s="1226"/>
      <c r="P223" s="1226"/>
      <c r="Q223" s="1226"/>
      <c r="R223" s="1702"/>
      <c r="S223" s="1226"/>
      <c r="T223" s="1226"/>
      <c r="U223" s="610"/>
      <c r="V223" s="1226"/>
      <c r="W223" s="1226"/>
      <c r="X223" s="1226"/>
      <c r="Y223" s="1226"/>
      <c r="Z223" s="1226"/>
      <c r="AA223" s="1698"/>
      <c r="AB223" s="632"/>
      <c r="AC223" s="632"/>
      <c r="AD223" s="632"/>
      <c r="AE223" s="632"/>
      <c r="AF223" s="1707">
        <v>11</v>
      </c>
    </row>
    <row s="4153" customFormat="1" customHeight="1" ht="11.549999999999999">
      <c r="A224" s="1053"/>
      <c r="B224" s="1702"/>
      <c r="C224" s="1702"/>
      <c r="D224" s="417"/>
      <c r="K224" s="1226"/>
      <c r="L224" s="1702"/>
      <c r="M224" s="1702"/>
      <c r="N224" s="1226"/>
      <c r="O224" s="1226"/>
      <c r="P224" s="1226"/>
      <c r="Q224" s="1226"/>
      <c r="R224" s="1702"/>
      <c r="S224" s="1226"/>
      <c r="T224" s="1226"/>
      <c r="U224" s="610"/>
      <c r="V224" s="1226"/>
      <c r="W224" s="1226"/>
      <c r="X224" s="1226"/>
      <c r="Y224" s="1226"/>
      <c r="Z224" s="1226"/>
      <c r="AA224" s="1698"/>
      <c r="AB224" s="632"/>
      <c r="AC224" s="632"/>
      <c r="AD224" s="632"/>
      <c r="AE224" s="632"/>
      <c r="AF224" s="1707">
        <v>11</v>
      </c>
    </row>
    <row s="4153" customFormat="1" customHeight="1" ht="11.549999999999999">
      <c r="A225" s="1053"/>
      <c r="B225" s="1702"/>
      <c r="C225" s="1702"/>
      <c r="D225" s="417"/>
      <c r="K225" s="1226"/>
      <c r="L225" s="1702"/>
      <c r="M225" s="1702"/>
      <c r="N225" s="1226"/>
      <c r="O225" s="1226"/>
      <c r="P225" s="1226"/>
      <c r="Q225" s="1226"/>
      <c r="R225" s="1702"/>
      <c r="S225" s="1226"/>
      <c r="T225" s="1226"/>
      <c r="U225" s="610"/>
      <c r="V225" s="1226"/>
      <c r="W225" s="1226"/>
      <c r="X225" s="1226"/>
      <c r="Y225" s="1226"/>
      <c r="Z225" s="1226"/>
      <c r="AA225" s="1698"/>
      <c r="AB225" s="632"/>
      <c r="AC225" s="632"/>
      <c r="AD225" s="632"/>
      <c r="AE225" s="632"/>
      <c r="AF225" s="1707">
        <v>11</v>
      </c>
    </row>
    <row s="4153" customFormat="1" customHeight="1" ht="11.549999999999999">
      <c r="A226" s="1053"/>
      <c r="B226" s="1702"/>
      <c r="C226" s="1702"/>
      <c r="D226" s="417"/>
      <c r="K226" s="1226"/>
      <c r="L226" s="1702"/>
      <c r="M226" s="1702"/>
      <c r="N226" s="1226"/>
      <c r="O226" s="1226"/>
      <c r="P226" s="1226"/>
      <c r="Q226" s="1226"/>
      <c r="R226" s="1702"/>
      <c r="S226" s="1226"/>
      <c r="T226" s="1226"/>
      <c r="U226" s="610"/>
      <c r="V226" s="1226"/>
      <c r="W226" s="1226"/>
      <c r="X226" s="1226"/>
      <c r="Y226" s="1226"/>
      <c r="Z226" s="1226"/>
      <c r="AA226" s="1698"/>
      <c r="AB226" s="632"/>
      <c r="AC226" s="632"/>
      <c r="AD226" s="632"/>
      <c r="AE226" s="632"/>
      <c r="AF226" s="1707">
        <v>11</v>
      </c>
    </row>
    <row s="4153" customFormat="1" customHeight="1" ht="11.549999999999999">
      <c r="A227" s="1053"/>
      <c r="B227" s="1702"/>
      <c r="C227" s="1702"/>
      <c r="D227" s="417"/>
      <c r="K227" s="1226"/>
      <c r="L227" s="1702"/>
      <c r="M227" s="1702"/>
      <c r="N227" s="1226"/>
      <c r="O227" s="1226"/>
      <c r="P227" s="1226"/>
      <c r="Q227" s="1226"/>
      <c r="R227" s="1702"/>
      <c r="S227" s="1226"/>
      <c r="T227" s="1226"/>
      <c r="U227" s="610"/>
      <c r="V227" s="1226"/>
      <c r="W227" s="1226"/>
      <c r="X227" s="1226"/>
      <c r="Y227" s="1226"/>
      <c r="Z227" s="1226"/>
      <c r="AA227" s="1698"/>
      <c r="AB227" s="632"/>
      <c r="AC227" s="632"/>
      <c r="AD227" s="632"/>
      <c r="AE227" s="632"/>
      <c r="AF227" s="1707">
        <v>11</v>
      </c>
    </row>
    <row s="4153" customFormat="1" customHeight="1" ht="11.549999999999999">
      <c r="A228" s="1053"/>
      <c r="B228" s="1702"/>
      <c r="C228" s="1702"/>
      <c r="D228" s="417"/>
      <c r="K228" s="1226"/>
      <c r="L228" s="1702"/>
      <c r="M228" s="1702"/>
      <c r="N228" s="1226"/>
      <c r="O228" s="1226"/>
      <c r="P228" s="1226"/>
      <c r="Q228" s="1226"/>
      <c r="R228" s="1702"/>
      <c r="S228" s="1226"/>
      <c r="T228" s="1226"/>
      <c r="U228" s="610"/>
      <c r="V228" s="1226"/>
      <c r="W228" s="1226"/>
      <c r="X228" s="1226"/>
      <c r="Y228" s="1226"/>
      <c r="Z228" s="1226"/>
      <c r="AA228" s="1698"/>
      <c r="AB228" s="632"/>
      <c r="AC228" s="632"/>
      <c r="AD228" s="632"/>
      <c r="AE228" s="632"/>
      <c r="AF228" s="1707">
        <v>11</v>
      </c>
    </row>
    <row s="4153" customFormat="1" customHeight="1" ht="11.549999999999999">
      <c r="A229" s="1053"/>
      <c r="B229" s="1702"/>
      <c r="C229" s="1702"/>
      <c r="D229" s="417"/>
      <c r="K229" s="1226"/>
      <c r="L229" s="1702"/>
      <c r="M229" s="1702"/>
      <c r="N229" s="1226"/>
      <c r="O229" s="1226"/>
      <c r="P229" s="1226"/>
      <c r="Q229" s="1226"/>
      <c r="R229" s="1702"/>
      <c r="S229" s="1226"/>
      <c r="T229" s="1226"/>
      <c r="U229" s="610"/>
      <c r="V229" s="1226"/>
      <c r="W229" s="1226"/>
      <c r="X229" s="1226"/>
      <c r="Y229" s="1226"/>
      <c r="Z229" s="1226"/>
      <c r="AA229" s="1698"/>
      <c r="AB229" s="632"/>
      <c r="AC229" s="632"/>
      <c r="AD229" s="632"/>
      <c r="AE229" s="632"/>
      <c r="AF229" s="1707">
        <v>11</v>
      </c>
    </row>
    <row s="4153" customFormat="1" customHeight="1" ht="11.549999999999999">
      <c r="A230" s="1053"/>
      <c r="B230" s="1702"/>
      <c r="C230" s="1702"/>
      <c r="D230" s="417"/>
      <c r="K230" s="1226"/>
      <c r="L230" s="1702"/>
      <c r="M230" s="1702"/>
      <c r="N230" s="1226"/>
      <c r="O230" s="1226"/>
      <c r="P230" s="1226"/>
      <c r="Q230" s="1226"/>
      <c r="R230" s="1702"/>
      <c r="S230" s="1226"/>
      <c r="T230" s="1226"/>
      <c r="U230" s="610"/>
      <c r="V230" s="1226"/>
      <c r="W230" s="1226"/>
      <c r="X230" s="1226"/>
      <c r="Y230" s="1226"/>
      <c r="Z230" s="1226"/>
      <c r="AA230" s="1698"/>
      <c r="AB230" s="632"/>
      <c r="AC230" s="632"/>
      <c r="AD230" s="632"/>
      <c r="AE230" s="632"/>
      <c r="AF230" s="1707">
        <v>11</v>
      </c>
    </row>
    <row s="4153" customFormat="1" customHeight="1" ht="11.549999999999999">
      <c r="A231" s="1053"/>
      <c r="B231" s="1702"/>
      <c r="C231" s="1702"/>
      <c r="D231" s="417"/>
      <c r="K231" s="1226"/>
      <c r="L231" s="1702"/>
      <c r="M231" s="1702"/>
      <c r="N231" s="1226"/>
      <c r="O231" s="1226"/>
      <c r="P231" s="1226"/>
      <c r="Q231" s="1226"/>
      <c r="R231" s="1702"/>
      <c r="S231" s="1226"/>
      <c r="T231" s="1226"/>
      <c r="U231" s="610"/>
      <c r="V231" s="1226"/>
      <c r="W231" s="1226"/>
      <c r="X231" s="1226"/>
      <c r="Y231" s="1226"/>
      <c r="Z231" s="1226"/>
      <c r="AA231" s="1698"/>
      <c r="AB231" s="632"/>
      <c r="AC231" s="632"/>
      <c r="AD231" s="632"/>
      <c r="AE231" s="632"/>
      <c r="AF231" s="1707">
        <v>11</v>
      </c>
    </row>
    <row s="4153" customFormat="1" customHeight="1" ht="11.549999999999999">
      <c r="A232" s="1053"/>
      <c r="B232" s="1702"/>
      <c r="C232" s="1702"/>
      <c r="D232" s="417"/>
      <c r="K232" s="1226"/>
      <c r="L232" s="1702"/>
      <c r="M232" s="1702"/>
      <c r="N232" s="1226"/>
      <c r="O232" s="1226"/>
      <c r="P232" s="1226"/>
      <c r="Q232" s="1226"/>
      <c r="R232" s="1702"/>
      <c r="S232" s="1226"/>
      <c r="T232" s="1226"/>
      <c r="U232" s="610"/>
      <c r="V232" s="1226"/>
      <c r="W232" s="1226"/>
      <c r="X232" s="1226"/>
      <c r="Y232" s="1226"/>
      <c r="Z232" s="1226"/>
      <c r="AA232" s="1698"/>
      <c r="AB232" s="632"/>
      <c r="AC232" s="632"/>
      <c r="AD232" s="632"/>
      <c r="AE232" s="632"/>
      <c r="AF232" s="1707">
        <v>11</v>
      </c>
    </row>
    <row s="4153" customFormat="1" customHeight="1" ht="11.549999999999999">
      <c r="A233" s="1053"/>
      <c r="B233" s="1702"/>
      <c r="C233" s="1702"/>
      <c r="D233" s="417"/>
      <c r="K233" s="1226"/>
      <c r="L233" s="1702"/>
      <c r="M233" s="1702"/>
      <c r="N233" s="1226"/>
      <c r="O233" s="1226"/>
      <c r="P233" s="1226"/>
      <c r="Q233" s="1226"/>
      <c r="R233" s="1702"/>
      <c r="S233" s="1226"/>
      <c r="T233" s="1226"/>
      <c r="U233" s="610"/>
      <c r="V233" s="1226"/>
      <c r="W233" s="1226"/>
      <c r="X233" s="1226"/>
      <c r="Y233" s="1226"/>
      <c r="Z233" s="1226"/>
      <c r="AA233" s="1698"/>
      <c r="AB233" s="632"/>
      <c r="AC233" s="632"/>
      <c r="AD233" s="632"/>
      <c r="AE233" s="632"/>
      <c r="AF233" s="1707">
        <v>11</v>
      </c>
    </row>
    <row s="4153" customFormat="1" customHeight="1" ht="11.549999999999999">
      <c r="A234" s="1053"/>
      <c r="B234" s="1702"/>
      <c r="C234" s="1702"/>
      <c r="D234" s="417"/>
      <c r="K234" s="1226"/>
      <c r="L234" s="1702"/>
      <c r="M234" s="1702"/>
      <c r="N234" s="1226"/>
      <c r="O234" s="1226"/>
      <c r="P234" s="1226"/>
      <c r="Q234" s="1226"/>
      <c r="R234" s="1702"/>
      <c r="S234" s="1226"/>
      <c r="T234" s="1226"/>
      <c r="U234" s="610"/>
      <c r="V234" s="1226"/>
      <c r="W234" s="1226"/>
      <c r="X234" s="1226"/>
      <c r="Y234" s="1226"/>
      <c r="Z234" s="1226"/>
      <c r="AA234" s="1698"/>
      <c r="AB234" s="632"/>
      <c r="AC234" s="632"/>
      <c r="AD234" s="632"/>
      <c r="AE234" s="632"/>
      <c r="AF234" s="1707">
        <v>11</v>
      </c>
    </row>
    <row s="4153" customFormat="1" customHeight="1" ht="11.549999999999999">
      <c r="A235" s="1053"/>
      <c r="B235" s="1702"/>
      <c r="C235" s="1702"/>
      <c r="D235" s="417"/>
      <c r="K235" s="1226"/>
      <c r="L235" s="1702"/>
      <c r="M235" s="1702"/>
      <c r="N235" s="1226"/>
      <c r="O235" s="1226"/>
      <c r="P235" s="1226"/>
      <c r="Q235" s="1226"/>
      <c r="R235" s="1702"/>
      <c r="S235" s="1226"/>
      <c r="T235" s="1226"/>
      <c r="U235" s="610"/>
      <c r="V235" s="1226"/>
      <c r="W235" s="1226"/>
      <c r="X235" s="1226"/>
      <c r="Y235" s="1226"/>
      <c r="Z235" s="1226"/>
      <c r="AA235" s="1698"/>
      <c r="AB235" s="632"/>
      <c r="AC235" s="632"/>
      <c r="AD235" s="632"/>
      <c r="AE235" s="632"/>
      <c r="AF235" s="1707">
        <v>11</v>
      </c>
    </row>
    <row s="4153" customFormat="1" customHeight="1" ht="11.549999999999999">
      <c r="A236" s="1053"/>
      <c r="B236" s="1702"/>
      <c r="C236" s="1702"/>
      <c r="D236" s="417"/>
      <c r="K236" s="1226"/>
      <c r="L236" s="1702"/>
      <c r="M236" s="1702"/>
      <c r="N236" s="1226"/>
      <c r="O236" s="1226"/>
      <c r="P236" s="1226"/>
      <c r="Q236" s="1226"/>
      <c r="R236" s="1702"/>
      <c r="S236" s="1226"/>
      <c r="T236" s="1226"/>
      <c r="U236" s="610"/>
      <c r="V236" s="1226"/>
      <c r="W236" s="1226"/>
      <c r="X236" s="1226"/>
      <c r="Y236" s="1226"/>
      <c r="Z236" s="1226"/>
      <c r="AA236" s="1698"/>
      <c r="AB236" s="632"/>
      <c r="AC236" s="632"/>
      <c r="AD236" s="632"/>
      <c r="AE236" s="632"/>
      <c r="AF236" s="1707">
        <v>11</v>
      </c>
    </row>
    <row s="4153" customFormat="1" customHeight="1" ht="11.549999999999999">
      <c r="A237" s="1053"/>
      <c r="B237" s="1702"/>
      <c r="C237" s="1702"/>
      <c r="D237" s="417"/>
      <c r="K237" s="1226"/>
      <c r="L237" s="1702"/>
      <c r="M237" s="1702"/>
      <c r="N237" s="1226"/>
      <c r="O237" s="1226"/>
      <c r="P237" s="1226"/>
      <c r="Q237" s="1226"/>
      <c r="R237" s="1702"/>
      <c r="S237" s="1226"/>
      <c r="T237" s="1226"/>
      <c r="U237" s="610"/>
      <c r="V237" s="1226"/>
      <c r="W237" s="1226"/>
      <c r="X237" s="1226"/>
      <c r="Y237" s="1226"/>
      <c r="Z237" s="1226"/>
      <c r="AA237" s="1698"/>
      <c r="AB237" s="632"/>
      <c r="AC237" s="632"/>
      <c r="AD237" s="632"/>
      <c r="AE237" s="632"/>
      <c r="AF237" s="1707">
        <v>11</v>
      </c>
    </row>
    <row s="4153" customFormat="1" customHeight="1" ht="11.549999999999999">
      <c r="A238" s="1053"/>
      <c r="B238" s="1702"/>
      <c r="C238" s="1702"/>
      <c r="D238" s="417"/>
      <c r="K238" s="1226"/>
      <c r="L238" s="1702"/>
      <c r="M238" s="1702"/>
      <c r="N238" s="1226"/>
      <c r="O238" s="1226"/>
      <c r="P238" s="1226"/>
      <c r="Q238" s="1226"/>
      <c r="R238" s="1702"/>
      <c r="S238" s="1226"/>
      <c r="T238" s="1226"/>
      <c r="U238" s="610"/>
      <c r="V238" s="1226"/>
      <c r="W238" s="1226"/>
      <c r="X238" s="1226"/>
      <c r="Y238" s="1226"/>
      <c r="Z238" s="1226"/>
      <c r="AA238" s="1698"/>
      <c r="AB238" s="632"/>
      <c r="AC238" s="632"/>
      <c r="AD238" s="632"/>
      <c r="AE238" s="632"/>
      <c r="AF238" s="1707">
        <v>11</v>
      </c>
    </row>
    <row s="4153" customFormat="1" customHeight="1" ht="11.549999999999999">
      <c r="A239" s="1053"/>
      <c r="B239" s="1702"/>
      <c r="C239" s="1702"/>
      <c r="D239" s="417"/>
      <c r="K239" s="1226"/>
      <c r="L239" s="1702"/>
      <c r="M239" s="1702"/>
      <c r="N239" s="1226"/>
      <c r="O239" s="1226"/>
      <c r="P239" s="1226"/>
      <c r="Q239" s="1226"/>
      <c r="R239" s="1702"/>
      <c r="S239" s="1226"/>
      <c r="T239" s="1226"/>
      <c r="U239" s="610"/>
      <c r="V239" s="1226"/>
      <c r="W239" s="1226"/>
      <c r="X239" s="1226"/>
      <c r="Y239" s="1226"/>
      <c r="Z239" s="1226"/>
      <c r="AA239" s="1698"/>
      <c r="AB239" s="632"/>
      <c r="AC239" s="632"/>
      <c r="AD239" s="632"/>
      <c r="AE239" s="632"/>
      <c r="AF239" s="1707">
        <v>11</v>
      </c>
    </row>
    <row s="4153" customFormat="1" customHeight="1" ht="11.549999999999999">
      <c r="A240" s="1053"/>
      <c r="B240" s="1702"/>
      <c r="C240" s="1702"/>
      <c r="D240" s="417"/>
      <c r="K240" s="1226"/>
      <c r="L240" s="1702"/>
      <c r="M240" s="1702"/>
      <c r="N240" s="1226"/>
      <c r="O240" s="1226"/>
      <c r="P240" s="1226"/>
      <c r="Q240" s="1226"/>
      <c r="R240" s="1702"/>
      <c r="S240" s="1226"/>
      <c r="T240" s="1226"/>
      <c r="U240" s="610"/>
      <c r="V240" s="1226"/>
      <c r="W240" s="1226"/>
      <c r="X240" s="1226"/>
      <c r="Y240" s="1226"/>
      <c r="Z240" s="1226"/>
      <c r="AA240" s="1698"/>
      <c r="AB240" s="632"/>
      <c r="AC240" s="632"/>
      <c r="AD240" s="632"/>
      <c r="AE240" s="632"/>
      <c r="AF240" s="1707">
        <v>11</v>
      </c>
    </row>
    <row s="4153" customFormat="1" customHeight="1" ht="11.549999999999999">
      <c r="A241" s="1053"/>
      <c r="B241" s="1702"/>
      <c r="C241" s="1702"/>
      <c r="D241" s="417"/>
      <c r="K241" s="1226"/>
      <c r="L241" s="1702"/>
      <c r="M241" s="1702"/>
      <c r="N241" s="1226"/>
      <c r="O241" s="1226"/>
      <c r="P241" s="1226"/>
      <c r="Q241" s="1226"/>
      <c r="R241" s="1702"/>
      <c r="S241" s="1226"/>
      <c r="T241" s="1226"/>
      <c r="U241" s="610"/>
      <c r="V241" s="1226"/>
      <c r="W241" s="1226"/>
      <c r="X241" s="1226"/>
      <c r="Y241" s="1226"/>
      <c r="Z241" s="1226"/>
      <c r="AA241" s="1698"/>
      <c r="AB241" s="632"/>
      <c r="AC241" s="632"/>
      <c r="AD241" s="632"/>
      <c r="AE241" s="632"/>
      <c r="AF241" s="1707">
        <v>11</v>
      </c>
    </row>
    <row s="4153" customFormat="1" customHeight="1" ht="11.549999999999999">
      <c r="A242" s="1053"/>
      <c r="B242" s="1702"/>
      <c r="C242" s="1702"/>
      <c r="D242" s="417"/>
      <c r="K242" s="1226"/>
      <c r="L242" s="1702"/>
      <c r="M242" s="1702"/>
      <c r="N242" s="1226"/>
      <c r="O242" s="1226"/>
      <c r="P242" s="1226"/>
      <c r="Q242" s="1226"/>
      <c r="R242" s="1702"/>
      <c r="S242" s="1226"/>
      <c r="T242" s="1226"/>
      <c r="U242" s="610"/>
      <c r="V242" s="1226"/>
      <c r="W242" s="1226"/>
      <c r="X242" s="1226"/>
      <c r="Y242" s="1226"/>
      <c r="Z242" s="1226"/>
      <c r="AA242" s="1698"/>
      <c r="AB242" s="632"/>
      <c r="AC242" s="632"/>
      <c r="AD242" s="632"/>
      <c r="AE242" s="632"/>
      <c r="AF242" s="1707">
        <v>11</v>
      </c>
    </row>
    <row s="4153" customFormat="1" customHeight="1" ht="11.549999999999999">
      <c r="A243" s="1053"/>
      <c r="B243" s="1702"/>
      <c r="C243" s="1702"/>
      <c r="D243" s="417"/>
      <c r="K243" s="1226"/>
      <c r="L243" s="1702"/>
      <c r="M243" s="1702"/>
      <c r="N243" s="1226"/>
      <c r="O243" s="1226"/>
      <c r="P243" s="1226"/>
      <c r="Q243" s="1226"/>
      <c r="R243" s="1702"/>
      <c r="S243" s="1226"/>
      <c r="T243" s="1226"/>
      <c r="U243" s="610"/>
      <c r="V243" s="1226"/>
      <c r="W243" s="1226"/>
      <c r="X243" s="1226"/>
      <c r="Y243" s="1226"/>
      <c r="Z243" s="1226"/>
      <c r="AA243" s="1698"/>
      <c r="AB243" s="632"/>
      <c r="AC243" s="632"/>
      <c r="AD243" s="632"/>
      <c r="AE243" s="632"/>
      <c r="AF243" s="1707">
        <v>11</v>
      </c>
    </row>
    <row s="4153" customFormat="1" customHeight="1" ht="11.549999999999999">
      <c r="A244" s="1053"/>
      <c r="B244" s="1702"/>
      <c r="C244" s="1702"/>
      <c r="D244" s="417"/>
      <c r="K244" s="1226"/>
      <c r="L244" s="1702"/>
      <c r="M244" s="1702"/>
      <c r="N244" s="1226"/>
      <c r="O244" s="1226"/>
      <c r="P244" s="1226"/>
      <c r="Q244" s="1226"/>
      <c r="R244" s="1702"/>
      <c r="S244" s="1226"/>
      <c r="T244" s="1226"/>
      <c r="U244" s="610"/>
      <c r="V244" s="1226"/>
      <c r="W244" s="1226"/>
      <c r="X244" s="1226"/>
      <c r="Y244" s="1226"/>
      <c r="Z244" s="1226"/>
      <c r="AA244" s="1698"/>
      <c r="AB244" s="632"/>
      <c r="AC244" s="632"/>
      <c r="AD244" s="632"/>
      <c r="AE244" s="632"/>
      <c r="AF244" s="1707">
        <v>11</v>
      </c>
    </row>
    <row s="4153" customFormat="1" customHeight="1" ht="11.549999999999999">
      <c r="A245" s="1053"/>
      <c r="B245" s="1702"/>
      <c r="C245" s="1702"/>
      <c r="D245" s="417"/>
      <c r="K245" s="1226"/>
      <c r="L245" s="1702"/>
      <c r="M245" s="1702"/>
      <c r="N245" s="1226"/>
      <c r="O245" s="1226"/>
      <c r="P245" s="1226"/>
      <c r="Q245" s="1226"/>
      <c r="R245" s="1702"/>
      <c r="S245" s="1226"/>
      <c r="T245" s="1226"/>
      <c r="U245" s="610"/>
      <c r="V245" s="1226"/>
      <c r="W245" s="1226"/>
      <c r="X245" s="1226"/>
      <c r="Y245" s="1226"/>
      <c r="Z245" s="1226"/>
      <c r="AA245" s="1698"/>
      <c r="AB245" s="632"/>
      <c r="AC245" s="632"/>
      <c r="AD245" s="632"/>
      <c r="AE245" s="632"/>
      <c r="AF245" s="1707">
        <v>11</v>
      </c>
    </row>
    <row s="4153" customFormat="1" customHeight="1" ht="11.549999999999999">
      <c r="A246" s="1053"/>
      <c r="B246" s="1702"/>
      <c r="C246" s="1702"/>
      <c r="D246" s="417"/>
      <c r="K246" s="1226"/>
      <c r="L246" s="1702"/>
      <c r="M246" s="1702"/>
      <c r="N246" s="1226"/>
      <c r="O246" s="1226"/>
      <c r="P246" s="1226"/>
      <c r="Q246" s="1226"/>
      <c r="R246" s="1702"/>
      <c r="S246" s="1226"/>
      <c r="T246" s="1226"/>
      <c r="U246" s="610"/>
      <c r="V246" s="1226"/>
      <c r="W246" s="1226"/>
      <c r="X246" s="1226"/>
      <c r="Y246" s="1226"/>
      <c r="Z246" s="1226"/>
      <c r="AA246" s="1698"/>
      <c r="AB246" s="632"/>
      <c r="AC246" s="632"/>
      <c r="AD246" s="632"/>
      <c r="AE246" s="632"/>
      <c r="AF246" s="1707">
        <v>11</v>
      </c>
    </row>
    <row s="4153" customFormat="1" customHeight="1" ht="11.549999999999999">
      <c r="A247" s="1053"/>
      <c r="B247" s="1702"/>
      <c r="C247" s="1702"/>
      <c r="D247" s="417"/>
      <c r="K247" s="1226"/>
      <c r="L247" s="1702"/>
      <c r="M247" s="1702"/>
      <c r="N247" s="1226"/>
      <c r="O247" s="1226"/>
      <c r="P247" s="1226"/>
      <c r="Q247" s="1226"/>
      <c r="R247" s="1702"/>
      <c r="S247" s="1226"/>
      <c r="T247" s="1226"/>
      <c r="U247" s="610"/>
      <c r="V247" s="1226"/>
      <c r="W247" s="1226"/>
      <c r="X247" s="1226"/>
      <c r="Y247" s="1226"/>
      <c r="Z247" s="1226"/>
      <c r="AA247" s="1698"/>
      <c r="AB247" s="632"/>
      <c r="AC247" s="632"/>
      <c r="AD247" s="632"/>
      <c r="AE247" s="632"/>
      <c r="AF247" s="1707">
        <v>11</v>
      </c>
    </row>
    <row s="4153" customFormat="1" customHeight="1" ht="11.549999999999999">
      <c r="A248" s="1053"/>
      <c r="B248" s="1702"/>
      <c r="C248" s="1702"/>
      <c r="D248" s="417"/>
      <c r="K248" s="1226"/>
      <c r="L248" s="1702"/>
      <c r="M248" s="1702"/>
      <c r="N248" s="1226"/>
      <c r="O248" s="1226"/>
      <c r="P248" s="1226"/>
      <c r="Q248" s="1226"/>
      <c r="R248" s="1702"/>
      <c r="S248" s="1226"/>
      <c r="T248" s="1226"/>
      <c r="U248" s="610"/>
      <c r="V248" s="1226"/>
      <c r="W248" s="1226"/>
      <c r="X248" s="1226"/>
      <c r="Y248" s="1226"/>
      <c r="Z248" s="1226"/>
      <c r="AA248" s="1698"/>
      <c r="AB248" s="632"/>
      <c r="AC248" s="632"/>
      <c r="AD248" s="632"/>
      <c r="AE248" s="632"/>
      <c r="AF248" s="1707">
        <v>11</v>
      </c>
    </row>
    <row s="4153" customFormat="1" customHeight="1" ht="11.549999999999999">
      <c r="A249" s="1053"/>
      <c r="B249" s="1702"/>
      <c r="C249" s="1702"/>
      <c r="D249" s="417"/>
      <c r="K249" s="1226"/>
      <c r="L249" s="1702"/>
      <c r="M249" s="1702"/>
      <c r="N249" s="1226"/>
      <c r="O249" s="1226"/>
      <c r="P249" s="1226"/>
      <c r="Q249" s="1226"/>
      <c r="R249" s="1702"/>
      <c r="S249" s="1226"/>
      <c r="T249" s="1226"/>
      <c r="U249" s="610"/>
      <c r="V249" s="1226"/>
      <c r="W249" s="1226"/>
      <c r="X249" s="1226"/>
      <c r="Y249" s="1226"/>
      <c r="Z249" s="1226"/>
      <c r="AA249" s="1698"/>
      <c r="AB249" s="632"/>
      <c r="AC249" s="632"/>
      <c r="AD249" s="632"/>
      <c r="AE249" s="632"/>
      <c r="AF249" s="1707">
        <v>11</v>
      </c>
    </row>
    <row s="4153" customFormat="1" customHeight="1" ht="11.549999999999999">
      <c r="A250" s="1053"/>
      <c r="B250" s="1702"/>
      <c r="C250" s="1702"/>
      <c r="D250" s="417"/>
      <c r="K250" s="1226"/>
      <c r="L250" s="1702"/>
      <c r="M250" s="1702"/>
      <c r="N250" s="1226"/>
      <c r="O250" s="1226"/>
      <c r="P250" s="1226"/>
      <c r="Q250" s="1226"/>
      <c r="R250" s="1702"/>
      <c r="S250" s="1226"/>
      <c r="T250" s="1226"/>
      <c r="U250" s="610"/>
      <c r="V250" s="1226"/>
      <c r="W250" s="1226"/>
      <c r="X250" s="1226"/>
      <c r="Y250" s="1226"/>
      <c r="Z250" s="1226"/>
      <c r="AA250" s="1698"/>
      <c r="AB250" s="632"/>
      <c r="AC250" s="632"/>
      <c r="AD250" s="632"/>
      <c r="AE250" s="632"/>
      <c r="AF250" s="1707">
        <v>11</v>
      </c>
    </row>
    <row s="4153" customFormat="1" customHeight="1" ht="11.549999999999999">
      <c r="A251" s="1053"/>
      <c r="B251" s="1702"/>
      <c r="C251" s="1702"/>
      <c r="D251" s="417"/>
      <c r="K251" s="1226"/>
      <c r="L251" s="1702"/>
      <c r="M251" s="1702"/>
      <c r="N251" s="1226"/>
      <c r="O251" s="1226"/>
      <c r="P251" s="1226"/>
      <c r="Q251" s="1226"/>
      <c r="R251" s="1702"/>
      <c r="S251" s="1226"/>
      <c r="T251" s="1226"/>
      <c r="U251" s="610"/>
      <c r="V251" s="1226"/>
      <c r="W251" s="1226"/>
      <c r="X251" s="1226"/>
      <c r="Y251" s="1226"/>
      <c r="Z251" s="1226"/>
      <c r="AA251" s="1698"/>
      <c r="AB251" s="632"/>
      <c r="AC251" s="632"/>
      <c r="AD251" s="632"/>
      <c r="AE251" s="632"/>
      <c r="AF251" s="1707">
        <v>11</v>
      </c>
    </row>
    <row s="4153" customFormat="1" customHeight="1" ht="11.549999999999999">
      <c r="A252" s="1053"/>
      <c r="B252" s="1702"/>
      <c r="C252" s="1702"/>
      <c r="D252" s="417"/>
      <c r="K252" s="1226"/>
      <c r="L252" s="1702"/>
      <c r="M252" s="1702"/>
      <c r="N252" s="1226"/>
      <c r="O252" s="1226"/>
      <c r="P252" s="1226"/>
      <c r="Q252" s="1226"/>
      <c r="R252" s="1702"/>
      <c r="S252" s="1226"/>
      <c r="T252" s="1226"/>
      <c r="U252" s="610"/>
      <c r="V252" s="1226"/>
      <c r="W252" s="1226"/>
      <c r="X252" s="1226"/>
      <c r="Y252" s="1226"/>
      <c r="Z252" s="1226"/>
      <c r="AA252" s="1698"/>
      <c r="AB252" s="632"/>
      <c r="AC252" s="632"/>
      <c r="AD252" s="632"/>
      <c r="AE252" s="632"/>
      <c r="AF252" s="1707">
        <v>11</v>
      </c>
    </row>
    <row s="4153" customFormat="1" customHeight="1" ht="11.549999999999999">
      <c r="A253" s="1053"/>
      <c r="B253" s="1702"/>
      <c r="C253" s="1702"/>
      <c r="D253" s="417"/>
      <c r="K253" s="1226"/>
      <c r="L253" s="1702"/>
      <c r="M253" s="1702"/>
      <c r="N253" s="1226"/>
      <c r="O253" s="1226"/>
      <c r="P253" s="1226"/>
      <c r="Q253" s="1226"/>
      <c r="R253" s="1702"/>
      <c r="S253" s="1226"/>
      <c r="T253" s="1226"/>
      <c r="U253" s="610"/>
      <c r="V253" s="1226"/>
      <c r="W253" s="1226"/>
      <c r="X253" s="1226"/>
      <c r="Y253" s="1226"/>
      <c r="Z253" s="1226"/>
      <c r="AA253" s="1698"/>
      <c r="AB253" s="632"/>
      <c r="AC253" s="632"/>
      <c r="AD253" s="632"/>
      <c r="AE253" s="632"/>
      <c r="AF253" s="1707">
        <v>11</v>
      </c>
    </row>
    <row s="4153" customFormat="1" customHeight="1" ht="11.549999999999999">
      <c r="A254" s="1053"/>
      <c r="B254" s="1702"/>
      <c r="C254" s="1702"/>
      <c r="D254" s="417"/>
      <c r="K254" s="1226"/>
      <c r="L254" s="1702"/>
      <c r="M254" s="1702"/>
      <c r="N254" s="1226"/>
      <c r="O254" s="1226"/>
      <c r="P254" s="1226"/>
      <c r="Q254" s="1226"/>
      <c r="R254" s="1702"/>
      <c r="S254" s="1226"/>
      <c r="T254" s="1226"/>
      <c r="U254" s="610"/>
      <c r="V254" s="1226"/>
      <c r="W254" s="1226"/>
      <c r="X254" s="1226"/>
      <c r="Y254" s="1226"/>
      <c r="Z254" s="1226"/>
      <c r="AA254" s="1698"/>
      <c r="AB254" s="632"/>
      <c r="AC254" s="632"/>
      <c r="AD254" s="632"/>
      <c r="AE254" s="632"/>
      <c r="AF254" s="1707">
        <v>11</v>
      </c>
    </row>
    <row s="4153" customFormat="1" customHeight="1" ht="11.549999999999999">
      <c r="A255" s="1053"/>
      <c r="B255" s="1702"/>
      <c r="C255" s="1702"/>
      <c r="D255" s="417"/>
      <c r="K255" s="1226"/>
      <c r="L255" s="1702"/>
      <c r="M255" s="1702"/>
      <c r="N255" s="1226"/>
      <c r="O255" s="1226"/>
      <c r="P255" s="1226"/>
      <c r="Q255" s="1226"/>
      <c r="R255" s="1702"/>
      <c r="S255" s="1226"/>
      <c r="T255" s="1226"/>
      <c r="U255" s="610"/>
      <c r="V255" s="1226"/>
      <c r="W255" s="1226"/>
      <c r="X255" s="1226"/>
      <c r="Y255" s="1226"/>
      <c r="Z255" s="1226"/>
      <c r="AA255" s="1698"/>
      <c r="AB255" s="632"/>
      <c r="AC255" s="632"/>
      <c r="AD255" s="632"/>
      <c r="AE255" s="632"/>
      <c r="AF255" s="1707">
        <v>11</v>
      </c>
    </row>
    <row s="4153" customFormat="1" customHeight="1" ht="11.549999999999999">
      <c r="A256" s="1053"/>
      <c r="B256" s="1702"/>
      <c r="C256" s="1702"/>
      <c r="D256" s="417"/>
      <c r="K256" s="1226"/>
      <c r="L256" s="1702"/>
      <c r="M256" s="1702"/>
      <c r="N256" s="1226"/>
      <c r="O256" s="1226"/>
      <c r="P256" s="1226"/>
      <c r="Q256" s="1226"/>
      <c r="R256" s="1702"/>
      <c r="S256" s="1226"/>
      <c r="T256" s="1226"/>
      <c r="U256" s="610"/>
      <c r="V256" s="1226"/>
      <c r="W256" s="1226"/>
      <c r="X256" s="1226"/>
      <c r="Y256" s="1226"/>
      <c r="Z256" s="1226"/>
      <c r="AA256" s="1698"/>
      <c r="AB256" s="632"/>
      <c r="AC256" s="632"/>
      <c r="AD256" s="632"/>
      <c r="AE256" s="632"/>
      <c r="AF256" s="1707">
        <v>11</v>
      </c>
    </row>
    <row s="4153" customFormat="1" customHeight="1" ht="11.549999999999999">
      <c r="A257" s="1053"/>
      <c r="B257" s="1702"/>
      <c r="C257" s="1702"/>
      <c r="D257" s="417"/>
      <c r="K257" s="1226"/>
      <c r="L257" s="1702"/>
      <c r="M257" s="1702"/>
      <c r="N257" s="1226"/>
      <c r="O257" s="1226"/>
      <c r="P257" s="1226"/>
      <c r="Q257" s="1226"/>
      <c r="R257" s="1702"/>
      <c r="S257" s="1226"/>
      <c r="T257" s="1226"/>
      <c r="U257" s="610"/>
      <c r="V257" s="1226"/>
      <c r="W257" s="1226"/>
      <c r="X257" s="1226"/>
      <c r="Y257" s="1226"/>
      <c r="Z257" s="1226"/>
      <c r="AA257" s="1698"/>
      <c r="AB257" s="632"/>
      <c r="AC257" s="632"/>
      <c r="AD257" s="632"/>
      <c r="AE257" s="632"/>
      <c r="AF257" s="1707">
        <v>11</v>
      </c>
    </row>
    <row s="4153" customFormat="1" customHeight="1" ht="11.549999999999999">
      <c r="A258" s="1053"/>
      <c r="B258" s="1702"/>
      <c r="C258" s="1702"/>
      <c r="D258" s="417"/>
      <c r="K258" s="1226"/>
      <c r="L258" s="1702"/>
      <c r="M258" s="1702"/>
      <c r="N258" s="1226"/>
      <c r="O258" s="1226"/>
      <c r="P258" s="1226"/>
      <c r="Q258" s="1226"/>
      <c r="R258" s="1702"/>
      <c r="S258" s="1226"/>
      <c r="T258" s="1226"/>
      <c r="U258" s="610"/>
      <c r="V258" s="1226"/>
      <c r="W258" s="1226"/>
      <c r="X258" s="1226"/>
      <c r="Y258" s="1226"/>
      <c r="Z258" s="1226"/>
      <c r="AA258" s="1698"/>
      <c r="AB258" s="632"/>
      <c r="AC258" s="632"/>
      <c r="AD258" s="632"/>
      <c r="AE258" s="632"/>
      <c r="AF258" s="1707">
        <v>11</v>
      </c>
    </row>
    <row s="4153" customFormat="1" customHeight="1" ht="11.549999999999999">
      <c r="A259" s="1053"/>
      <c r="B259" s="1702"/>
      <c r="C259" s="1702"/>
      <c r="D259" s="417"/>
      <c r="K259" s="1226"/>
      <c r="L259" s="1702"/>
      <c r="M259" s="1702"/>
      <c r="N259" s="1226"/>
      <c r="O259" s="1226"/>
      <c r="P259" s="1226"/>
      <c r="Q259" s="1226"/>
      <c r="R259" s="1702"/>
      <c r="S259" s="1226"/>
      <c r="T259" s="1226"/>
      <c r="U259" s="610"/>
      <c r="V259" s="1226"/>
      <c r="W259" s="1226"/>
      <c r="X259" s="1226"/>
      <c r="Y259" s="1226"/>
      <c r="Z259" s="1226"/>
      <c r="AA259" s="1698"/>
      <c r="AB259" s="632"/>
      <c r="AC259" s="632"/>
      <c r="AD259" s="632"/>
      <c r="AE259" s="632"/>
      <c r="AF259" s="1707">
        <v>11</v>
      </c>
    </row>
    <row s="4153" customFormat="1" customHeight="1" ht="11.549999999999999">
      <c r="A260" s="1053"/>
      <c r="B260" s="1702"/>
      <c r="C260" s="1702"/>
      <c r="D260" s="417"/>
      <c r="K260" s="1226"/>
      <c r="L260" s="1702"/>
      <c r="M260" s="1702"/>
      <c r="N260" s="1226"/>
      <c r="O260" s="1226"/>
      <c r="P260" s="1226"/>
      <c r="Q260" s="1226"/>
      <c r="R260" s="1702"/>
      <c r="S260" s="1226"/>
      <c r="T260" s="1226"/>
      <c r="U260" s="610"/>
      <c r="V260" s="1226"/>
      <c r="W260" s="1226"/>
      <c r="X260" s="1226"/>
      <c r="Y260" s="1226"/>
      <c r="Z260" s="1226"/>
      <c r="AA260" s="1698"/>
      <c r="AB260" s="632"/>
      <c r="AC260" s="632"/>
      <c r="AD260" s="632"/>
      <c r="AE260" s="632"/>
      <c r="AF260" s="1707">
        <v>11</v>
      </c>
    </row>
    <row s="4153" customFormat="1" customHeight="1" ht="11.549999999999999">
      <c r="A261" s="1053"/>
      <c r="B261" s="1702"/>
      <c r="C261" s="1702"/>
      <c r="D261" s="417"/>
      <c r="K261" s="1226"/>
      <c r="L261" s="1702"/>
      <c r="M261" s="1702"/>
      <c r="N261" s="1226"/>
      <c r="O261" s="1226"/>
      <c r="P261" s="1226"/>
      <c r="Q261" s="1226"/>
      <c r="R261" s="1702"/>
      <c r="S261" s="1226"/>
      <c r="T261" s="1226"/>
      <c r="U261" s="610"/>
      <c r="V261" s="1226"/>
      <c r="W261" s="1226"/>
      <c r="X261" s="1226"/>
      <c r="Y261" s="1226"/>
      <c r="Z261" s="1226"/>
      <c r="AA261" s="1698"/>
      <c r="AB261" s="632"/>
      <c r="AC261" s="632"/>
      <c r="AD261" s="632"/>
      <c r="AE261" s="632"/>
      <c r="AF261" s="1707">
        <v>11</v>
      </c>
    </row>
    <row s="4153" customFormat="1" customHeight="1" ht="11.549999999999999">
      <c r="A262" s="1053"/>
      <c r="B262" s="1702"/>
      <c r="C262" s="1702"/>
      <c r="D262" s="417"/>
      <c r="K262" s="1226"/>
      <c r="L262" s="1702"/>
      <c r="M262" s="1702"/>
      <c r="N262" s="1226"/>
      <c r="O262" s="1226"/>
      <c r="P262" s="1226"/>
      <c r="Q262" s="1226"/>
      <c r="R262" s="1702"/>
      <c r="S262" s="1226"/>
      <c r="T262" s="1226"/>
      <c r="U262" s="610"/>
      <c r="V262" s="1226"/>
      <c r="W262" s="1226"/>
      <c r="X262" s="1226"/>
      <c r="Y262" s="1226"/>
      <c r="Z262" s="1226"/>
      <c r="AA262" s="1698"/>
      <c r="AB262" s="632"/>
      <c r="AC262" s="632"/>
      <c r="AD262" s="632"/>
      <c r="AE262" s="632"/>
      <c r="AF262" s="1707">
        <v>11</v>
      </c>
    </row>
    <row s="4153" customFormat="1" customHeight="1" ht="11.549999999999999">
      <c r="A263" s="1053"/>
      <c r="B263" s="1702"/>
      <c r="C263" s="1702"/>
      <c r="D263" s="417"/>
      <c r="K263" s="1226"/>
      <c r="L263" s="1702"/>
      <c r="M263" s="1702"/>
      <c r="N263" s="1226"/>
      <c r="O263" s="1226"/>
      <c r="P263" s="1226"/>
      <c r="Q263" s="1226"/>
      <c r="R263" s="1702"/>
      <c r="S263" s="1226"/>
      <c r="T263" s="1226"/>
      <c r="U263" s="610"/>
      <c r="V263" s="1226"/>
      <c r="W263" s="1226"/>
      <c r="X263" s="1226"/>
      <c r="Y263" s="1226"/>
      <c r="Z263" s="1226"/>
      <c r="AA263" s="1698"/>
      <c r="AB263" s="632"/>
      <c r="AC263" s="632"/>
      <c r="AD263" s="632"/>
      <c r="AE263" s="632"/>
      <c r="AF263" s="1707">
        <v>11</v>
      </c>
    </row>
    <row s="4153" customFormat="1" customHeight="1" ht="11.549999999999999">
      <c r="A264" s="1053"/>
      <c r="B264" s="1702"/>
      <c r="C264" s="1702"/>
      <c r="D264" s="417"/>
      <c r="K264" s="1226"/>
      <c r="L264" s="1702"/>
      <c r="M264" s="1702"/>
      <c r="N264" s="1226"/>
      <c r="O264" s="1226"/>
      <c r="P264" s="1226"/>
      <c r="Q264" s="1226"/>
      <c r="R264" s="1702"/>
      <c r="S264" s="1226"/>
      <c r="T264" s="1226"/>
      <c r="U264" s="610"/>
      <c r="V264" s="1226"/>
      <c r="W264" s="1226"/>
      <c r="X264" s="1226"/>
      <c r="Y264" s="1226"/>
      <c r="Z264" s="1226"/>
      <c r="AA264" s="1698"/>
      <c r="AB264" s="632"/>
      <c r="AC264" s="632"/>
      <c r="AD264" s="632"/>
      <c r="AE264" s="632"/>
      <c r="AF264" s="1707">
        <v>11</v>
      </c>
    </row>
    <row s="4153" customFormat="1" customHeight="1" ht="11.549999999999999">
      <c r="A265" s="1053"/>
      <c r="B265" s="1702"/>
      <c r="C265" s="1702"/>
      <c r="D265" s="417"/>
      <c r="K265" s="1226"/>
      <c r="L265" s="1702"/>
      <c r="M265" s="1702"/>
      <c r="N265" s="1226"/>
      <c r="O265" s="1226"/>
      <c r="P265" s="1226"/>
      <c r="Q265" s="1226"/>
      <c r="R265" s="1702"/>
      <c r="S265" s="1226"/>
      <c r="T265" s="1226"/>
      <c r="U265" s="610"/>
      <c r="V265" s="1226"/>
      <c r="W265" s="1226"/>
      <c r="X265" s="1226"/>
      <c r="Y265" s="1226"/>
      <c r="Z265" s="1226"/>
      <c r="AA265" s="1698"/>
      <c r="AB265" s="632"/>
      <c r="AC265" s="632"/>
      <c r="AD265" s="632"/>
      <c r="AE265" s="632"/>
      <c r="AF265" s="1707">
        <v>11</v>
      </c>
    </row>
    <row s="4153" customFormat="1" customHeight="1" ht="11.549999999999999">
      <c r="A266" s="1053"/>
      <c r="B266" s="1702"/>
      <c r="C266" s="1702"/>
      <c r="D266" s="417"/>
      <c r="K266" s="1226"/>
      <c r="L266" s="1702"/>
      <c r="M266" s="1702"/>
      <c r="N266" s="1226"/>
      <c r="O266" s="1226"/>
      <c r="P266" s="1226"/>
      <c r="Q266" s="1226"/>
      <c r="R266" s="1702"/>
      <c r="S266" s="1226"/>
      <c r="T266" s="1226"/>
      <c r="U266" s="610"/>
      <c r="V266" s="1226"/>
      <c r="W266" s="1226"/>
      <c r="X266" s="1226"/>
      <c r="Y266" s="1226"/>
      <c r="Z266" s="1226"/>
      <c r="AA266" s="1698"/>
      <c r="AB266" s="632"/>
      <c r="AC266" s="632"/>
      <c r="AD266" s="632"/>
      <c r="AE266" s="632"/>
      <c r="AF266" s="1707">
        <v>11</v>
      </c>
    </row>
    <row s="4153" customFormat="1" customHeight="1" ht="11.549999999999999">
      <c r="A267" s="1053"/>
      <c r="B267" s="1702"/>
      <c r="C267" s="1702"/>
      <c r="D267" s="417"/>
      <c r="K267" s="1226"/>
      <c r="L267" s="1702"/>
      <c r="M267" s="1702"/>
      <c r="N267" s="1226"/>
      <c r="O267" s="1226"/>
      <c r="P267" s="1226"/>
      <c r="Q267" s="1226"/>
      <c r="R267" s="1702"/>
      <c r="S267" s="1226"/>
      <c r="T267" s="1226"/>
      <c r="U267" s="610"/>
      <c r="V267" s="1226"/>
      <c r="W267" s="1226"/>
      <c r="X267" s="1226"/>
      <c r="Y267" s="1226"/>
      <c r="Z267" s="1226"/>
      <c r="AA267" s="1698"/>
      <c r="AB267" s="632"/>
      <c r="AC267" s="632"/>
      <c r="AD267" s="632"/>
      <c r="AE267" s="632"/>
      <c r="AF267" s="1707">
        <v>11</v>
      </c>
    </row>
    <row s="4153" customFormat="1" customHeight="1" ht="11.549999999999999">
      <c r="A268" s="1053"/>
      <c r="B268" s="1702"/>
      <c r="C268" s="1702"/>
      <c r="D268" s="417"/>
      <c r="K268" s="1226"/>
      <c r="L268" s="1702"/>
      <c r="M268" s="1702"/>
      <c r="N268" s="1226"/>
      <c r="O268" s="1226"/>
      <c r="P268" s="1226"/>
      <c r="Q268" s="1226"/>
      <c r="R268" s="1702"/>
      <c r="S268" s="1226"/>
      <c r="T268" s="1226"/>
      <c r="U268" s="610"/>
      <c r="V268" s="1226"/>
      <c r="W268" s="1226"/>
      <c r="X268" s="1226"/>
      <c r="Y268" s="1226"/>
      <c r="Z268" s="1226"/>
      <c r="AA268" s="1698"/>
      <c r="AB268" s="632"/>
      <c r="AC268" s="632"/>
      <c r="AD268" s="632"/>
      <c r="AE268" s="632"/>
      <c r="AF268" s="1707">
        <v>11</v>
      </c>
    </row>
    <row s="4153" customFormat="1" customHeight="1" ht="11.549999999999999">
      <c r="A269" s="1053"/>
      <c r="B269" s="1702"/>
      <c r="C269" s="1702"/>
      <c r="D269" s="417"/>
      <c r="K269" s="1226"/>
      <c r="L269" s="1702"/>
      <c r="M269" s="1702"/>
      <c r="N269" s="1226"/>
      <c r="O269" s="1226"/>
      <c r="P269" s="1226"/>
      <c r="Q269" s="1226"/>
      <c r="R269" s="1702"/>
      <c r="S269" s="1226"/>
      <c r="T269" s="1226"/>
      <c r="U269" s="610"/>
      <c r="V269" s="1226"/>
      <c r="W269" s="1226"/>
      <c r="X269" s="1226"/>
      <c r="Y269" s="1226"/>
      <c r="Z269" s="1226"/>
      <c r="AA269" s="1698"/>
      <c r="AB269" s="632"/>
      <c r="AC269" s="632"/>
      <c r="AD269" s="632"/>
      <c r="AE269" s="632"/>
      <c r="AF269" s="1707">
        <v>11</v>
      </c>
    </row>
    <row s="4153" customFormat="1" customHeight="1" ht="11.549999999999999">
      <c r="A270" s="1053"/>
      <c r="B270" s="1702"/>
      <c r="C270" s="1702"/>
      <c r="D270" s="417"/>
      <c r="K270" s="1226"/>
      <c r="L270" s="1702"/>
      <c r="M270" s="1702"/>
      <c r="N270" s="1226"/>
      <c r="O270" s="1226"/>
      <c r="P270" s="1226"/>
      <c r="Q270" s="1226"/>
      <c r="R270" s="1702"/>
      <c r="S270" s="1226"/>
      <c r="T270" s="1226"/>
      <c r="U270" s="610"/>
      <c r="V270" s="1226"/>
      <c r="W270" s="1226"/>
      <c r="X270" s="1226"/>
      <c r="Y270" s="1226"/>
      <c r="Z270" s="1226"/>
      <c r="AA270" s="1698"/>
      <c r="AB270" s="632"/>
      <c r="AC270" s="632"/>
      <c r="AD270" s="632"/>
      <c r="AE270" s="632"/>
      <c r="AF270" s="1707">
        <v>11</v>
      </c>
    </row>
    <row s="4153" customFormat="1" customHeight="1" ht="11.549999999999999">
      <c r="A271" s="1053"/>
      <c r="B271" s="1702"/>
      <c r="C271" s="1702"/>
      <c r="D271" s="417"/>
      <c r="K271" s="1226"/>
      <c r="L271" s="1702"/>
      <c r="M271" s="1702"/>
      <c r="N271" s="1226"/>
      <c r="O271" s="1226"/>
      <c r="P271" s="1226"/>
      <c r="Q271" s="1226"/>
      <c r="R271" s="1702"/>
      <c r="S271" s="1226"/>
      <c r="T271" s="1226"/>
      <c r="U271" s="610"/>
      <c r="V271" s="1226"/>
      <c r="W271" s="1226"/>
      <c r="X271" s="1226"/>
      <c r="Y271" s="1226"/>
      <c r="Z271" s="1226"/>
      <c r="AA271" s="1698"/>
      <c r="AB271" s="632"/>
      <c r="AC271" s="632"/>
      <c r="AD271" s="632"/>
      <c r="AE271" s="632"/>
      <c r="AF271" s="1707">
        <v>11</v>
      </c>
    </row>
    <row s="4153" customFormat="1" customHeight="1" ht="11.549999999999999">
      <c r="A272" s="1053"/>
      <c r="B272" s="1702"/>
      <c r="C272" s="1702"/>
      <c r="D272" s="417"/>
      <c r="K272" s="1226"/>
      <c r="L272" s="1702"/>
      <c r="M272" s="1702"/>
      <c r="N272" s="1226"/>
      <c r="O272" s="1226"/>
      <c r="P272" s="1226"/>
      <c r="Q272" s="1226"/>
      <c r="R272" s="1702"/>
      <c r="S272" s="1226"/>
      <c r="T272" s="1226"/>
      <c r="U272" s="610"/>
      <c r="V272" s="1226"/>
      <c r="W272" s="1226"/>
      <c r="X272" s="1226"/>
      <c r="Y272" s="1226"/>
      <c r="Z272" s="1226"/>
      <c r="AA272" s="1698"/>
      <c r="AB272" s="632"/>
      <c r="AC272" s="632"/>
      <c r="AD272" s="632"/>
      <c r="AE272" s="632"/>
      <c r="AF272" s="1707">
        <v>11</v>
      </c>
    </row>
    <row s="4153" customFormat="1" customHeight="1" ht="11.549999999999999">
      <c r="A273" s="1053"/>
      <c r="B273" s="1702"/>
      <c r="C273" s="1702"/>
      <c r="D273" s="417"/>
      <c r="K273" s="1226"/>
      <c r="L273" s="1702"/>
      <c r="M273" s="1702"/>
      <c r="N273" s="1226"/>
      <c r="O273" s="1226"/>
      <c r="P273" s="1226"/>
      <c r="Q273" s="1226"/>
      <c r="R273" s="1702"/>
      <c r="S273" s="1226"/>
      <c r="T273" s="1226"/>
      <c r="U273" s="610"/>
      <c r="V273" s="1226"/>
      <c r="W273" s="1226"/>
      <c r="X273" s="1226"/>
      <c r="Y273" s="1226"/>
      <c r="Z273" s="1226"/>
      <c r="AA273" s="1698"/>
      <c r="AB273" s="632"/>
      <c r="AC273" s="632"/>
      <c r="AD273" s="632"/>
      <c r="AE273" s="632"/>
      <c r="AF273" s="1707">
        <v>11</v>
      </c>
    </row>
    <row s="4153" customFormat="1" customHeight="1" ht="11.549999999999999">
      <c r="A274" s="1053"/>
      <c r="B274" s="1702"/>
      <c r="C274" s="1702"/>
      <c r="D274" s="417"/>
      <c r="K274" s="1226"/>
      <c r="L274" s="1702"/>
      <c r="M274" s="1702"/>
      <c r="N274" s="1226"/>
      <c r="O274" s="1226"/>
      <c r="P274" s="1226"/>
      <c r="Q274" s="1226"/>
      <c r="R274" s="1702"/>
      <c r="S274" s="1226"/>
      <c r="T274" s="1226"/>
      <c r="U274" s="610"/>
      <c r="V274" s="1226"/>
      <c r="W274" s="1226"/>
      <c r="X274" s="1226"/>
      <c r="Y274" s="1226"/>
      <c r="Z274" s="1226"/>
      <c r="AA274" s="1698"/>
      <c r="AB274" s="632"/>
      <c r="AC274" s="632"/>
      <c r="AD274" s="632"/>
      <c r="AE274" s="632"/>
      <c r="AF274" s="1707">
        <v>11</v>
      </c>
    </row>
    <row s="4153" customFormat="1" customHeight="1" ht="11.549999999999999">
      <c r="A275" s="1053"/>
      <c r="B275" s="1702"/>
      <c r="C275" s="1702"/>
      <c r="D275" s="417"/>
      <c r="K275" s="1226"/>
      <c r="L275" s="1702"/>
      <c r="M275" s="1702"/>
      <c r="N275" s="1226"/>
      <c r="O275" s="1226"/>
      <c r="P275" s="1226"/>
      <c r="Q275" s="1226"/>
      <c r="R275" s="1702"/>
      <c r="S275" s="1226"/>
      <c r="T275" s="1226"/>
      <c r="U275" s="610"/>
      <c r="V275" s="1226"/>
      <c r="W275" s="1226"/>
      <c r="X275" s="1226"/>
      <c r="Y275" s="1226"/>
      <c r="Z275" s="1226"/>
      <c r="AA275" s="1698"/>
      <c r="AB275" s="632"/>
      <c r="AC275" s="632"/>
      <c r="AD275" s="632"/>
      <c r="AE275" s="632"/>
      <c r="AF275" s="1707">
        <v>11</v>
      </c>
    </row>
    <row s="4153" customFormat="1" customHeight="1" ht="11.549999999999999">
      <c r="A276" s="1053"/>
      <c r="B276" s="1702"/>
      <c r="C276" s="1702"/>
      <c r="D276" s="417"/>
      <c r="K276" s="1226"/>
      <c r="L276" s="1702"/>
      <c r="M276" s="1702"/>
      <c r="N276" s="1226"/>
      <c r="O276" s="1226"/>
      <c r="P276" s="1226"/>
      <c r="Q276" s="1226"/>
      <c r="R276" s="1702"/>
      <c r="S276" s="1226"/>
      <c r="T276" s="1226"/>
      <c r="U276" s="610"/>
      <c r="V276" s="1226"/>
      <c r="W276" s="1226"/>
      <c r="X276" s="1226"/>
      <c r="Y276" s="1226"/>
      <c r="Z276" s="1226"/>
      <c r="AA276" s="1698"/>
      <c r="AB276" s="632"/>
      <c r="AC276" s="632"/>
      <c r="AD276" s="632"/>
      <c r="AE276" s="632"/>
      <c r="AF276" s="1707">
        <v>11</v>
      </c>
    </row>
    <row s="4153" customFormat="1" customHeight="1" ht="11.549999999999999">
      <c r="A277" s="1053"/>
      <c r="B277" s="1702"/>
      <c r="C277" s="1702"/>
      <c r="D277" s="417"/>
      <c r="K277" s="1226"/>
      <c r="L277" s="1702"/>
      <c r="M277" s="1702"/>
      <c r="N277" s="1226"/>
      <c r="O277" s="1226"/>
      <c r="P277" s="1226"/>
      <c r="Q277" s="1226"/>
      <c r="R277" s="1702"/>
      <c r="S277" s="1226"/>
      <c r="T277" s="1226"/>
      <c r="U277" s="610"/>
      <c r="V277" s="1226"/>
      <c r="W277" s="1226"/>
      <c r="X277" s="1226"/>
      <c r="Y277" s="1226"/>
      <c r="Z277" s="1226"/>
      <c r="AA277" s="1698"/>
      <c r="AB277" s="632"/>
      <c r="AC277" s="632"/>
      <c r="AD277" s="632"/>
      <c r="AE277" s="632"/>
      <c r="AF277" s="1707">
        <v>11</v>
      </c>
    </row>
    <row s="4153" customFormat="1" customHeight="1" ht="11.549999999999999">
      <c r="A278" s="1053"/>
      <c r="B278" s="1702"/>
      <c r="C278" s="1702"/>
      <c r="D278" s="417"/>
      <c r="K278" s="1226"/>
      <c r="L278" s="1702"/>
      <c r="M278" s="1702"/>
      <c r="N278" s="1226"/>
      <c r="O278" s="1226"/>
      <c r="P278" s="1226"/>
      <c r="Q278" s="1226"/>
      <c r="R278" s="1702"/>
      <c r="S278" s="1226"/>
      <c r="T278" s="1226"/>
      <c r="U278" s="610"/>
      <c r="V278" s="1226"/>
      <c r="W278" s="1226"/>
      <c r="X278" s="1226"/>
      <c r="Y278" s="1226"/>
      <c r="Z278" s="1226"/>
      <c r="AA278" s="1698"/>
      <c r="AB278" s="632"/>
      <c r="AC278" s="632"/>
      <c r="AD278" s="632"/>
      <c r="AE278" s="632"/>
      <c r="AF278" s="1707">
        <v>11</v>
      </c>
    </row>
    <row s="4153" customFormat="1" customHeight="1" ht="11.549999999999999">
      <c r="A279" s="1053"/>
      <c r="B279" s="1702"/>
      <c r="C279" s="1702"/>
      <c r="D279" s="417"/>
      <c r="K279" s="1226"/>
      <c r="L279" s="1702"/>
      <c r="M279" s="1702"/>
      <c r="N279" s="1226"/>
      <c r="O279" s="1226"/>
      <c r="P279" s="1226"/>
      <c r="Q279" s="1226"/>
      <c r="R279" s="1702"/>
      <c r="S279" s="1226"/>
      <c r="T279" s="1226"/>
      <c r="U279" s="610"/>
      <c r="V279" s="1226"/>
      <c r="W279" s="1226"/>
      <c r="X279" s="1226"/>
      <c r="Y279" s="1226"/>
      <c r="Z279" s="1226"/>
      <c r="AA279" s="1698"/>
      <c r="AB279" s="632"/>
      <c r="AC279" s="632"/>
      <c r="AD279" s="632"/>
      <c r="AE279" s="632"/>
      <c r="AF279" s="1707">
        <v>11</v>
      </c>
    </row>
    <row s="4153" customFormat="1" customHeight="1" ht="11.549999999999999">
      <c r="A280" s="1053"/>
      <c r="B280" s="1702"/>
      <c r="C280" s="1702"/>
      <c r="D280" s="417"/>
      <c r="K280" s="1226"/>
      <c r="L280" s="1702"/>
      <c r="M280" s="1702"/>
      <c r="N280" s="1226"/>
      <c r="O280" s="1226"/>
      <c r="P280" s="1226"/>
      <c r="Q280" s="1226"/>
      <c r="R280" s="1702"/>
      <c r="S280" s="1226"/>
      <c r="T280" s="1226"/>
      <c r="U280" s="610"/>
      <c r="V280" s="1226"/>
      <c r="W280" s="1226"/>
      <c r="X280" s="1226"/>
      <c r="Y280" s="1226"/>
      <c r="Z280" s="1226"/>
      <c r="AA280" s="1698"/>
      <c r="AB280" s="632"/>
      <c r="AC280" s="632"/>
      <c r="AD280" s="632"/>
      <c r="AE280" s="632"/>
      <c r="AF280" s="1707">
        <v>11</v>
      </c>
    </row>
    <row s="4153" customFormat="1" customHeight="1" ht="11.549999999999999">
      <c r="A281" s="1053"/>
      <c r="B281" s="1702"/>
      <c r="C281" s="1702"/>
      <c r="D281" s="417"/>
      <c r="K281" s="1226"/>
      <c r="L281" s="1702"/>
      <c r="M281" s="1702"/>
      <c r="N281" s="1226"/>
      <c r="O281" s="1226"/>
      <c r="P281" s="1226"/>
      <c r="Q281" s="1226"/>
      <c r="R281" s="1702"/>
      <c r="S281" s="1226"/>
      <c r="T281" s="1226"/>
      <c r="U281" s="610"/>
      <c r="V281" s="1226"/>
      <c r="W281" s="1226"/>
      <c r="X281" s="1226"/>
      <c r="Y281" s="1226"/>
      <c r="Z281" s="1226"/>
      <c r="AA281" s="1698"/>
      <c r="AB281" s="632"/>
      <c r="AC281" s="632"/>
      <c r="AD281" s="632"/>
      <c r="AE281" s="632"/>
      <c r="AF281" s="1707">
        <v>11</v>
      </c>
    </row>
    <row s="4153" customFormat="1" customHeight="1" ht="11.549999999999999">
      <c r="A282" s="1053"/>
      <c r="B282" s="1702"/>
      <c r="C282" s="1702"/>
      <c r="D282" s="417"/>
      <c r="K282" s="1226"/>
      <c r="L282" s="1702"/>
      <c r="M282" s="1702"/>
      <c r="N282" s="1226"/>
      <c r="O282" s="1226"/>
      <c r="P282" s="1226"/>
      <c r="Q282" s="1226"/>
      <c r="R282" s="1702"/>
      <c r="S282" s="1226"/>
      <c r="T282" s="1226"/>
      <c r="U282" s="610"/>
      <c r="V282" s="1226"/>
      <c r="W282" s="1226"/>
      <c r="X282" s="1226"/>
      <c r="Y282" s="1226"/>
      <c r="Z282" s="1226"/>
      <c r="AA282" s="1698"/>
      <c r="AB282" s="632"/>
      <c r="AC282" s="632"/>
      <c r="AD282" s="632"/>
      <c r="AE282" s="632"/>
      <c r="AF282" s="1707">
        <v>11</v>
      </c>
    </row>
    <row s="4153" customFormat="1" customHeight="1" ht="11.549999999999999">
      <c r="A283" s="1053"/>
      <c r="B283" s="1702"/>
      <c r="C283" s="1702"/>
      <c r="D283" s="417"/>
      <c r="K283" s="1226"/>
      <c r="L283" s="1702"/>
      <c r="M283" s="1702"/>
      <c r="N283" s="1226"/>
      <c r="O283" s="1226"/>
      <c r="P283" s="1226"/>
      <c r="Q283" s="1226"/>
      <c r="R283" s="1702"/>
      <c r="S283" s="1226"/>
      <c r="T283" s="1226"/>
      <c r="U283" s="610"/>
      <c r="V283" s="1226"/>
      <c r="W283" s="1226"/>
      <c r="X283" s="1226"/>
      <c r="Y283" s="1226"/>
      <c r="Z283" s="1226"/>
      <c r="AA283" s="1698"/>
      <c r="AB283" s="632"/>
      <c r="AC283" s="632"/>
      <c r="AD283" s="632"/>
      <c r="AE283" s="632"/>
      <c r="AF283" s="1707">
        <v>11</v>
      </c>
    </row>
    <row s="4153" customFormat="1" customHeight="1" ht="11.549999999999999">
      <c r="A284" s="1053"/>
      <c r="B284" s="1702"/>
      <c r="C284" s="1702"/>
      <c r="D284" s="417"/>
      <c r="K284" s="1226"/>
      <c r="L284" s="1702"/>
      <c r="M284" s="1702"/>
      <c r="N284" s="1226"/>
      <c r="O284" s="1226"/>
      <c r="P284" s="1226"/>
      <c r="Q284" s="1226"/>
      <c r="R284" s="1702"/>
      <c r="S284" s="1226"/>
      <c r="T284" s="1226"/>
      <c r="U284" s="610"/>
      <c r="V284" s="1226"/>
      <c r="W284" s="1226"/>
      <c r="X284" s="1226"/>
      <c r="Y284" s="1226"/>
      <c r="Z284" s="1226"/>
      <c r="AA284" s="1698"/>
      <c r="AB284" s="632"/>
      <c r="AC284" s="632"/>
      <c r="AD284" s="632"/>
      <c r="AE284" s="632"/>
      <c r="AF284" s="1707">
        <v>11</v>
      </c>
    </row>
    <row s="4153" customFormat="1" customHeight="1" ht="11.549999999999999">
      <c r="A285" s="1053"/>
      <c r="B285" s="1702"/>
      <c r="C285" s="1702"/>
      <c r="D285" s="417"/>
      <c r="K285" s="1226"/>
      <c r="L285" s="1702"/>
      <c r="M285" s="1702"/>
      <c r="N285" s="1226"/>
      <c r="O285" s="1226"/>
      <c r="P285" s="1226"/>
      <c r="Q285" s="1226"/>
      <c r="R285" s="1702"/>
      <c r="S285" s="1226"/>
      <c r="T285" s="1226"/>
      <c r="U285" s="610"/>
      <c r="V285" s="1226"/>
      <c r="W285" s="1226"/>
      <c r="X285" s="1226"/>
      <c r="Y285" s="1226"/>
      <c r="Z285" s="1226"/>
      <c r="AA285" s="1698"/>
      <c r="AB285" s="632"/>
      <c r="AC285" s="632"/>
      <c r="AD285" s="632"/>
      <c r="AE285" s="632"/>
      <c r="AF285" s="1707">
        <v>11</v>
      </c>
    </row>
    <row s="4153" customFormat="1" customHeight="1" ht="11.549999999999999">
      <c r="A286" s="1053"/>
      <c r="B286" s="1702"/>
      <c r="C286" s="1702"/>
      <c r="D286" s="417"/>
      <c r="K286" s="1226"/>
      <c r="L286" s="1702"/>
      <c r="M286" s="1702"/>
      <c r="N286" s="1226"/>
      <c r="O286" s="1226"/>
      <c r="P286" s="1226"/>
      <c r="Q286" s="1226"/>
      <c r="R286" s="1702"/>
      <c r="S286" s="1226"/>
      <c r="T286" s="1226"/>
      <c r="U286" s="610"/>
      <c r="V286" s="1226"/>
      <c r="W286" s="1226"/>
      <c r="X286" s="1226"/>
      <c r="Y286" s="1226"/>
      <c r="Z286" s="1226"/>
      <c r="AA286" s="1698"/>
      <c r="AB286" s="632"/>
      <c r="AC286" s="632"/>
      <c r="AD286" s="632"/>
      <c r="AE286" s="632"/>
      <c r="AF286" s="1707">
        <v>11</v>
      </c>
    </row>
    <row s="4153" customFormat="1" customHeight="1" ht="11.549999999999999">
      <c r="A287" s="1053"/>
      <c r="B287" s="1702"/>
      <c r="C287" s="1702"/>
      <c r="D287" s="417"/>
      <c r="K287" s="1226"/>
      <c r="L287" s="1702"/>
      <c r="M287" s="1702"/>
      <c r="N287" s="1226"/>
      <c r="O287" s="1226"/>
      <c r="P287" s="1226"/>
      <c r="Q287" s="1226"/>
      <c r="R287" s="1702"/>
      <c r="S287" s="1226"/>
      <c r="T287" s="1226"/>
      <c r="U287" s="610"/>
      <c r="V287" s="1226"/>
      <c r="W287" s="1226"/>
      <c r="X287" s="1226"/>
      <c r="Y287" s="1226"/>
      <c r="Z287" s="1226"/>
      <c r="AA287" s="1698"/>
      <c r="AB287" s="632"/>
      <c r="AC287" s="632"/>
      <c r="AD287" s="632"/>
      <c r="AE287" s="632"/>
      <c r="AF287" s="1707">
        <v>11</v>
      </c>
    </row>
    <row s="4153" customFormat="1" customHeight="1" ht="11.549999999999999">
      <c r="A288" s="1053"/>
      <c r="B288" s="1702"/>
      <c r="C288" s="1702"/>
      <c r="D288" s="417"/>
      <c r="K288" s="1226"/>
      <c r="L288" s="1702"/>
      <c r="M288" s="1702"/>
      <c r="N288" s="1226"/>
      <c r="O288" s="1226"/>
      <c r="P288" s="1226"/>
      <c r="Q288" s="1226"/>
      <c r="R288" s="1702"/>
      <c r="S288" s="1226"/>
      <c r="T288" s="1226"/>
      <c r="U288" s="610"/>
      <c r="V288" s="1226"/>
      <c r="W288" s="1226"/>
      <c r="X288" s="1226"/>
      <c r="Y288" s="1226"/>
      <c r="Z288" s="1226"/>
      <c r="AA288" s="1698"/>
      <c r="AB288" s="632"/>
      <c r="AC288" s="632"/>
      <c r="AD288" s="632"/>
      <c r="AE288" s="632"/>
      <c r="AF288" s="1707">
        <v>11</v>
      </c>
    </row>
    <row customHeight="1" ht="11.549999999999999">
      <c r="AF289" s="1697">
        <v>11</v>
      </c>
    </row>
    <row customHeight="1" ht="11.549999999999999">
      <c r="AF290" s="1697">
        <v>11</v>
      </c>
    </row>
    <row customHeight="1" ht="11.549999999999999">
      <c r="AF291" s="1697">
        <v>11</v>
      </c>
    </row>
    <row customHeight="1" ht="11.549999999999999">
      <c r="A292" s="1056"/>
      <c r="B292" s="1697"/>
      <c r="D292" s="1697"/>
      <c r="K292" s="1697"/>
      <c r="N292" s="1697"/>
      <c r="O292" s="1697"/>
      <c r="P292" s="1697"/>
      <c r="Q292" s="1697"/>
      <c r="S292" s="1697"/>
      <c r="T292" s="1697"/>
      <c r="U292" s="1697"/>
      <c r="V292" s="1697"/>
      <c r="W292" s="1697"/>
      <c r="X292" s="1697"/>
      <c r="Y292" s="1697"/>
      <c r="Z292" s="1697"/>
      <c r="AA292" s="1697"/>
      <c r="AB292" s="1697"/>
      <c r="AC292" s="1697"/>
      <c r="AD292" s="1697"/>
      <c r="AE292" s="1697"/>
      <c r="AF292" s="1697">
        <v>11</v>
      </c>
    </row>
    <row customHeight="1" ht="11.549999999999999">
      <c r="A293" s="1056"/>
      <c r="B293" s="1697"/>
      <c r="D293" s="1697"/>
      <c r="K293" s="1697"/>
      <c r="N293" s="1697"/>
      <c r="O293" s="1697"/>
      <c r="P293" s="1697"/>
      <c r="Q293" s="1697"/>
      <c r="S293" s="1697"/>
      <c r="T293" s="1697"/>
      <c r="U293" s="1697"/>
      <c r="V293" s="1697"/>
      <c r="W293" s="1697"/>
      <c r="X293" s="1697"/>
      <c r="Y293" s="1697"/>
      <c r="Z293" s="1697"/>
      <c r="AA293" s="1697"/>
      <c r="AB293" s="1697"/>
      <c r="AC293" s="1697"/>
      <c r="AD293" s="1697"/>
      <c r="AE293" s="1697"/>
      <c r="AF293" s="1697">
        <v>11</v>
      </c>
    </row>
    <row customHeight="1" ht="11.549999999999999">
      <c r="A294" s="1056"/>
      <c r="B294" s="1697"/>
      <c r="D294" s="1697"/>
      <c r="K294" s="1697"/>
      <c r="N294" s="1697"/>
      <c r="O294" s="1697"/>
      <c r="P294" s="1697"/>
      <c r="Q294" s="1697"/>
      <c r="S294" s="1697"/>
      <c r="T294" s="1697"/>
      <c r="U294" s="1697"/>
      <c r="V294" s="1697"/>
      <c r="W294" s="1697"/>
      <c r="X294" s="1697"/>
      <c r="Y294" s="1697"/>
      <c r="Z294" s="1697"/>
      <c r="AA294" s="1697"/>
      <c r="AB294" s="1697"/>
      <c r="AC294" s="1697"/>
      <c r="AD294" s="1697"/>
      <c r="AE294" s="1697"/>
      <c r="AF294" s="1697">
        <v>11</v>
      </c>
    </row>
    <row customHeight="1" ht="11.549999999999999">
      <c r="A295" s="1056"/>
      <c r="B295" s="1697"/>
      <c r="D295" s="1697"/>
      <c r="K295" s="1697"/>
      <c r="N295" s="1697"/>
      <c r="O295" s="1697"/>
      <c r="P295" s="1697"/>
      <c r="Q295" s="1697"/>
      <c r="S295" s="1697"/>
      <c r="T295" s="1697"/>
      <c r="U295" s="1697"/>
      <c r="V295" s="1697"/>
      <c r="W295" s="1697"/>
      <c r="X295" s="1697"/>
      <c r="Y295" s="1697"/>
      <c r="Z295" s="1697"/>
      <c r="AA295" s="1697"/>
      <c r="AB295" s="1697"/>
      <c r="AC295" s="1697"/>
      <c r="AD295" s="1697"/>
      <c r="AE295" s="1697"/>
      <c r="AF295" s="1697">
        <v>11</v>
      </c>
    </row>
    <row customHeight="1" ht="11.549999999999999">
      <c r="A296" s="1056"/>
      <c r="B296" s="1697"/>
      <c r="D296" s="1697"/>
      <c r="K296" s="1697"/>
      <c r="N296" s="1697"/>
      <c r="O296" s="1697"/>
      <c r="P296" s="1697"/>
      <c r="Q296" s="1697"/>
      <c r="S296" s="1697"/>
      <c r="T296" s="1697"/>
      <c r="U296" s="1697"/>
      <c r="V296" s="1697"/>
      <c r="W296" s="1697"/>
      <c r="X296" s="1697"/>
      <c r="Y296" s="1697"/>
      <c r="Z296" s="1697"/>
      <c r="AA296" s="1697"/>
      <c r="AB296" s="1697"/>
      <c r="AC296" s="1697"/>
      <c r="AD296" s="1697"/>
      <c r="AE296" s="1697"/>
      <c r="AF296" s="1697">
        <v>11</v>
      </c>
    </row>
    <row customHeight="1" ht="11.549999999999999">
      <c r="A297" s="1056"/>
      <c r="B297" s="1697"/>
      <c r="D297" s="1697"/>
      <c r="K297" s="1697"/>
      <c r="N297" s="1697"/>
      <c r="O297" s="1697"/>
      <c r="P297" s="1697"/>
      <c r="Q297" s="1697"/>
      <c r="S297" s="1697"/>
      <c r="T297" s="1697"/>
      <c r="U297" s="1697"/>
      <c r="V297" s="1697"/>
      <c r="W297" s="1697"/>
      <c r="X297" s="1697"/>
      <c r="Y297" s="1697"/>
      <c r="Z297" s="1697"/>
      <c r="AA297" s="1697"/>
      <c r="AB297" s="1697"/>
      <c r="AC297" s="1697"/>
      <c r="AD297" s="1697"/>
      <c r="AE297" s="1697"/>
      <c r="AF297" s="1697">
        <v>11</v>
      </c>
    </row>
    <row customHeight="1" ht="11.549999999999999">
      <c r="A298" s="1056"/>
      <c r="B298" s="1697"/>
      <c r="D298" s="1697"/>
      <c r="K298" s="1697"/>
      <c r="N298" s="1697"/>
      <c r="O298" s="1697"/>
      <c r="P298" s="1697"/>
      <c r="Q298" s="1697"/>
      <c r="S298" s="1697"/>
      <c r="T298" s="1697"/>
      <c r="U298" s="1697"/>
      <c r="V298" s="1697"/>
      <c r="W298" s="1697"/>
      <c r="X298" s="1697"/>
      <c r="Y298" s="1697"/>
      <c r="Z298" s="1697"/>
      <c r="AA298" s="1697"/>
      <c r="AB298" s="1697"/>
      <c r="AC298" s="1697"/>
      <c r="AD298" s="1697"/>
      <c r="AE298" s="1697"/>
      <c r="AF298" s="1697">
        <v>11</v>
      </c>
    </row>
    <row customHeight="1" ht="11.549999999999999">
      <c r="A299" s="1056"/>
      <c r="B299" s="1697"/>
      <c r="D299" s="1697"/>
      <c r="K299" s="1697"/>
      <c r="N299" s="1697"/>
      <c r="O299" s="1697"/>
      <c r="P299" s="1697"/>
      <c r="Q299" s="1697"/>
      <c r="S299" s="1697"/>
      <c r="T299" s="1697"/>
      <c r="U299" s="1697"/>
      <c r="V299" s="1697"/>
      <c r="W299" s="1697"/>
      <c r="X299" s="1697"/>
      <c r="Y299" s="1697"/>
      <c r="Z299" s="1697"/>
      <c r="AA299" s="1697"/>
      <c r="AB299" s="1697"/>
      <c r="AC299" s="1697"/>
      <c r="AD299" s="1697"/>
      <c r="AE299" s="1697"/>
      <c r="AF299" s="1697">
        <v>11</v>
      </c>
    </row>
    <row customHeight="1" ht="11.549999999999999">
      <c r="A300" s="1056"/>
      <c r="B300" s="1697"/>
      <c r="D300" s="1697"/>
      <c r="K300" s="1697"/>
      <c r="N300" s="1697"/>
      <c r="O300" s="1697"/>
      <c r="P300" s="1697"/>
      <c r="Q300" s="1697"/>
      <c r="S300" s="1697"/>
      <c r="T300" s="1697"/>
      <c r="U300" s="1697"/>
      <c r="V300" s="1697"/>
      <c r="W300" s="1697"/>
      <c r="X300" s="1697"/>
      <c r="Y300" s="1697"/>
      <c r="Z300" s="1697"/>
      <c r="AA300" s="1697"/>
      <c r="AB300" s="1697"/>
      <c r="AC300" s="1697"/>
      <c r="AD300" s="1697"/>
      <c r="AE300" s="1697"/>
      <c r="AF300" s="1697">
        <v>11</v>
      </c>
    </row>
    <row customHeight="1" ht="11.549999999999999">
      <c r="A301" s="1056"/>
      <c r="B301" s="1697"/>
      <c r="D301" s="1697"/>
      <c r="K301" s="1697"/>
      <c r="N301" s="1697"/>
      <c r="O301" s="1697"/>
      <c r="P301" s="1697"/>
      <c r="Q301" s="1697"/>
      <c r="S301" s="1697"/>
      <c r="T301" s="1697"/>
      <c r="U301" s="1697"/>
      <c r="V301" s="1697"/>
      <c r="W301" s="1697"/>
      <c r="X301" s="1697"/>
      <c r="Y301" s="1697"/>
      <c r="Z301" s="1697"/>
      <c r="AA301" s="1697"/>
      <c r="AB301" s="1697"/>
      <c r="AC301" s="1697"/>
      <c r="AD301" s="1697"/>
      <c r="AE301" s="1697"/>
      <c r="AF301" s="1697">
        <v>11</v>
      </c>
    </row>
    <row customHeight="1" ht="11.549999999999999">
      <c r="A302" s="1056"/>
      <c r="B302" s="1697"/>
      <c r="D302" s="1697"/>
      <c r="K302" s="1697"/>
      <c r="N302" s="1697"/>
      <c r="O302" s="1697"/>
      <c r="P302" s="1697"/>
      <c r="Q302" s="1697"/>
      <c r="S302" s="1697"/>
      <c r="T302" s="1697"/>
      <c r="U302" s="1697"/>
      <c r="V302" s="1697"/>
      <c r="W302" s="1697"/>
      <c r="X302" s="1697"/>
      <c r="Y302" s="1697"/>
      <c r="Z302" s="1697"/>
      <c r="AA302" s="1697"/>
      <c r="AB302" s="1697"/>
      <c r="AC302" s="1697"/>
      <c r="AD302" s="1697"/>
      <c r="AE302" s="1697"/>
      <c r="AF302" s="1697">
        <v>11</v>
      </c>
    </row>
    <row customHeight="1" ht="11.25" hidden="1">
      <c r="A303" s="1053" t="s">
        <v>87</v>
      </c>
      <c r="B303" s="1226">
        <v>0</v>
      </c>
      <c r="C303" s="1702">
        <v>0</v>
      </c>
      <c r="D303" s="1701">
        <v>3</v>
      </c>
      <c r="E303" s="1697">
        <v>7</v>
      </c>
      <c r="F303" s="1697">
        <v>54</v>
      </c>
      <c r="G303" s="1697">
        <v>10</v>
      </c>
      <c r="H303" s="1697">
        <v>0</v>
      </c>
      <c r="I303" s="1697">
        <v>40</v>
      </c>
      <c r="J303" s="1697">
        <v>102</v>
      </c>
      <c r="K303" s="1226">
        <v>9</v>
      </c>
      <c r="L303" s="1702">
        <v>5</v>
      </c>
      <c r="M303" s="1702">
        <v>3</v>
      </c>
      <c r="N303" s="1226">
        <v>3</v>
      </c>
      <c r="O303" s="1226">
        <v>3</v>
      </c>
      <c r="P303" s="1226">
        <v>3</v>
      </c>
      <c r="Q303" s="1226">
        <v>3</v>
      </c>
      <c r="R303" s="1702">
        <v>10</v>
      </c>
      <c r="S303" s="1226">
        <v>34</v>
      </c>
      <c r="T303" s="1226">
        <v>9</v>
      </c>
      <c r="U303" s="610">
        <v>8</v>
      </c>
      <c r="V303" s="1226">
        <v>8</v>
      </c>
      <c r="W303" s="1226">
        <v>8</v>
      </c>
      <c r="X303" s="1226">
        <v>8</v>
      </c>
      <c r="Y303" s="1226">
        <v>8</v>
      </c>
      <c r="Z303" s="1226">
        <v>8</v>
      </c>
      <c r="AA303" s="1698">
        <v>8</v>
      </c>
      <c r="AB303" s="1698">
        <v>8</v>
      </c>
      <c r="AC303" s="1698">
        <v>8</v>
      </c>
      <c r="AD303" s="1698">
        <v>8</v>
      </c>
      <c r="AE303" s="1698">
        <v>8</v>
      </c>
      <c r="AF303" s="169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C91F9-64DA-50E9-C97A-9FA046DF9AA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607" width="14.7109375" hidden="1" customWidth="1"/>
    <col min="2" max="2" style="5297" width="17.00390625" hidden="1" customWidth="1"/>
    <col min="3" max="3" style="5053" width="3.00390625" customWidth="1"/>
    <col min="4" max="4" style="5053" width="1.8515625" hidden="1" customWidth="1"/>
    <col min="5" max="6" style="5053" width="7.00390625" customWidth="1"/>
    <col min="7" max="7" style="5053" width="29.00390625" customWidth="1"/>
    <col min="8" max="8" style="5053" width="3.7109375" customWidth="1"/>
    <col min="9" max="9" style="5053" width="5.00390625" customWidth="1"/>
    <col min="10" max="11" style="5053" width="24.00390625" customWidth="1"/>
    <col min="12" max="12" style="5053" width="3.00390625" customWidth="1"/>
    <col min="13" max="13" style="5053" width="6.00390625" customWidth="1"/>
    <col min="14" max="14" style="5053" width="25.00390625" customWidth="1"/>
    <col min="15" max="18" style="5053" width="18.00390625" customWidth="1"/>
    <col min="19" max="19" style="5053" width="93.00390625" customWidth="1"/>
    <col min="20" max="20" style="5053" width="10.00390625" customWidth="1"/>
    <col min="21" max="21" style="4562" width="10.00390625" customWidth="1"/>
    <col min="22" max="22" style="4562" width="11.00390625" customWidth="1"/>
    <col min="23" max="27" style="5297" width="10.00390625" customWidth="1"/>
    <col min="28" max="83" style="5053" width="8.00390625" customWidth="1"/>
    <col min="84" max="84" style="5053" width="9.140625" hidden="1"/>
  </cols>
  <sheetData>
    <row customHeight="1" ht="22.5" hidden="1">
      <c r="CF1" s="571" t="s">
        <v>14</v>
      </c>
    </row>
    <row customHeight="1" ht="11.25" hidden="1">
      <c r="CF2" s="571">
        <v>0</v>
      </c>
    </row>
    <row customHeight="1" ht="11.25" hidden="1">
      <c r="CF3" s="571">
        <v>0</v>
      </c>
    </row>
    <row customHeight="1" ht="3">
      <c r="C4" s="575"/>
      <c r="D4" s="575"/>
      <c r="E4" s="575"/>
      <c r="F4" s="575"/>
      <c r="G4" s="575"/>
      <c r="H4" s="575"/>
      <c r="I4" s="575"/>
      <c r="J4" s="575"/>
      <c r="K4" s="232"/>
      <c r="L4" s="232"/>
      <c r="M4" s="232"/>
      <c r="CF4" s="571">
        <v>3</v>
      </c>
    </row>
    <row customHeight="1" ht="29.25">
      <c r="C5" s="575"/>
      <c r="D5" s="1123"/>
      <c r="E5" s="2303" t="str">
        <f>FHD20_NAME_FORM</f>
        <v>Форма 11. Информация о расходах на капитальный и текущий ремонт основных средств</v>
      </c>
      <c r="F5" s="2303"/>
      <c r="G5" s="2303"/>
      <c r="H5" s="2303"/>
      <c r="I5" s="2303"/>
      <c r="J5" s="2303"/>
      <c r="K5" s="2303"/>
      <c r="L5" s="679"/>
      <c r="M5" s="679"/>
      <c r="CF5" s="571">
        <v>28</v>
      </c>
    </row>
    <row s="5053" customFormat="1" customHeight="1" ht="16.8">
      <c r="A6" s="676"/>
      <c r="B6" s="825"/>
      <c r="C6" s="575"/>
      <c r="D6" s="1124"/>
      <c r="E6" s="2242" t="str">
        <f>IF(org=0,"Не определено",org)</f>
        <v>Филиал "Уренгойская ГРЭС" АО "Интер РАО - Электрогенерация"</v>
      </c>
      <c r="F6" s="2242"/>
      <c r="G6" s="2242"/>
      <c r="H6" s="2242"/>
      <c r="I6" s="2242"/>
      <c r="J6" s="2242"/>
      <c r="K6" s="2242"/>
      <c r="L6" s="679"/>
      <c r="M6" s="679"/>
      <c r="U6" s="677"/>
      <c r="V6" s="677"/>
      <c r="W6" s="678"/>
      <c r="X6" s="825"/>
      <c r="Y6" s="825"/>
      <c r="Z6" s="825"/>
      <c r="AA6" s="825"/>
      <c r="CF6" s="824">
        <v>16</v>
      </c>
    </row>
    <row customHeight="1" ht="11.549999999999999">
      <c r="C7" s="575"/>
      <c r="D7" s="575"/>
      <c r="E7" s="575"/>
      <c r="F7" s="575"/>
      <c r="G7" s="588"/>
      <c r="H7" s="588"/>
      <c r="I7" s="588"/>
      <c r="J7" s="588"/>
      <c r="K7" s="680"/>
      <c r="L7" s="680"/>
      <c r="M7" s="680"/>
      <c r="R7" s="818"/>
      <c r="CF7" s="571">
        <v>11</v>
      </c>
    </row>
    <row s="4153" customFormat="1" customHeight="1" ht="4.2">
      <c r="A8" s="687"/>
      <c r="B8" s="632"/>
      <c r="C8" s="417"/>
      <c r="D8" s="417"/>
      <c r="E8" s="417"/>
      <c r="F8" s="417"/>
      <c r="G8" s="1041"/>
      <c r="H8" s="1041"/>
      <c r="I8" s="1041"/>
      <c r="J8" s="1041"/>
      <c r="K8" s="1084"/>
      <c r="L8" s="1084"/>
      <c r="M8" s="1084"/>
      <c r="R8" s="1085"/>
      <c r="U8" s="677"/>
      <c r="V8" s="677"/>
      <c r="W8" s="688"/>
      <c r="X8" s="632"/>
      <c r="Y8" s="632"/>
      <c r="Z8" s="632"/>
      <c r="AA8" s="632"/>
      <c r="CF8" s="562">
        <v>4</v>
      </c>
    </row>
    <row customHeight="1" ht="19.95">
      <c r="D9" s="355"/>
      <c r="E9" s="2167" t="s">
        <v>309</v>
      </c>
      <c r="F9" s="2168"/>
      <c r="G9" s="2168"/>
      <c r="H9" s="2168"/>
      <c r="I9" s="2168"/>
      <c r="J9" s="2168"/>
      <c r="K9" s="2168"/>
      <c r="L9" s="2168"/>
      <c r="M9" s="2168"/>
      <c r="N9" s="2168"/>
      <c r="O9" s="2168"/>
      <c r="P9" s="2168"/>
      <c r="Q9" s="2168"/>
      <c r="R9" s="2169"/>
      <c r="S9" s="2193" t="s">
        <v>310</v>
      </c>
      <c r="T9" s="400"/>
      <c r="CF9" s="571">
        <v>19</v>
      </c>
    </row>
    <row customHeight="1" ht="48.29999999999999">
      <c r="D10" s="617" t="s">
        <v>93</v>
      </c>
      <c r="E10" s="2193" t="s">
        <v>93</v>
      </c>
      <c r="F10" s="2193"/>
      <c r="G10" s="587" t="s">
        <v>311</v>
      </c>
      <c r="H10" s="2193" t="s">
        <v>93</v>
      </c>
      <c r="I10" s="2193"/>
      <c r="J10" s="587" t="s">
        <v>611</v>
      </c>
      <c r="K10" s="587" t="s">
        <v>612</v>
      </c>
      <c r="L10" s="2193" t="s">
        <v>93</v>
      </c>
      <c r="M10" s="2193"/>
      <c r="N10" s="587" t="s">
        <v>613</v>
      </c>
      <c r="O10" s="587" t="s">
        <v>614</v>
      </c>
      <c r="P10" s="587" t="s">
        <v>615</v>
      </c>
      <c r="Q10" s="587" t="s">
        <v>616</v>
      </c>
      <c r="R10" s="587" t="s">
        <v>617</v>
      </c>
      <c r="S10" s="2193"/>
      <c r="T10" s="400"/>
      <c r="CF10" s="571">
        <v>46</v>
      </c>
    </row>
    <row s="4562" customFormat="1" customHeight="1" ht="15" hidden="1">
      <c r="A11" s="1118"/>
      <c r="D11" s="1091" t="s">
        <v>114</v>
      </c>
      <c r="E11" s="1091"/>
      <c r="F11" s="1091" t="s">
        <v>115</v>
      </c>
      <c r="G11" s="1091" t="s">
        <v>95</v>
      </c>
      <c r="H11" s="1091"/>
      <c r="I11" s="1091" t="s">
        <v>96</v>
      </c>
      <c r="J11" s="1091" t="s">
        <v>116</v>
      </c>
      <c r="K11" s="1091" t="s">
        <v>97</v>
      </c>
      <c r="L11" s="1091"/>
      <c r="M11" s="1091" t="s">
        <v>98</v>
      </c>
      <c r="N11" s="1091" t="s">
        <v>117</v>
      </c>
      <c r="O11" s="1091" t="s">
        <v>153</v>
      </c>
      <c r="P11" s="1091" t="s">
        <v>154</v>
      </c>
      <c r="Q11" s="1091" t="s">
        <v>104</v>
      </c>
      <c r="R11" s="1091" t="s">
        <v>155</v>
      </c>
      <c r="S11" s="1091" t="s">
        <v>156</v>
      </c>
      <c r="U11" s="677"/>
      <c r="V11" s="677"/>
      <c r="W11" s="677"/>
      <c r="CF11" s="577">
        <v>0</v>
      </c>
    </row>
    <row s="5053" customFormat="1" customHeight="1" ht="1.05">
      <c r="A12" s="681"/>
      <c r="B12" s="428"/>
      <c r="D12" s="614"/>
      <c r="E12" s="412"/>
      <c r="F12" s="412"/>
      <c r="Q12" s="682"/>
      <c r="R12" s="683"/>
      <c r="T12" s="684"/>
      <c r="U12" s="685"/>
      <c r="V12" s="685"/>
      <c r="W12" s="686"/>
      <c r="X12" s="428"/>
      <c r="Y12" s="428"/>
      <c r="Z12" s="428"/>
      <c r="AA12" s="428"/>
      <c r="CF12" s="575">
        <v>1</v>
      </c>
    </row>
    <row s="4153" customFormat="1" customHeight="1" ht="1.05">
      <c r="A13" s="687"/>
      <c r="B13" s="632"/>
      <c r="D13" s="614" t="s">
        <v>385</v>
      </c>
      <c r="E13" s="626"/>
      <c r="F13" s="626"/>
      <c r="G13" s="626"/>
      <c r="H13" s="626"/>
      <c r="I13" s="626"/>
      <c r="J13" s="626"/>
      <c r="K13" s="626"/>
      <c r="L13" s="626"/>
      <c r="M13" s="626"/>
      <c r="N13" s="626"/>
      <c r="O13" s="626"/>
      <c r="P13" s="626"/>
      <c r="Q13" s="626"/>
      <c r="R13" s="626"/>
      <c r="T13" s="400"/>
      <c r="U13" s="677"/>
      <c r="V13" s="677"/>
      <c r="W13" s="688"/>
      <c r="X13" s="632"/>
      <c r="Y13" s="632"/>
      <c r="Z13" s="632"/>
      <c r="AA13" s="632"/>
      <c r="CF13" s="562">
        <v>1</v>
      </c>
    </row>
    <row s="5774" customFormat="1" customHeight="1" ht="15" hidden="1">
      <c r="A14" s="689" t="s">
        <v>122</v>
      </c>
      <c r="B14" s="690"/>
      <c r="C14" s="690"/>
      <c r="D14" s="2446" t="s">
        <v>114</v>
      </c>
      <c r="E14" s="2443" t="s">
        <v>110</v>
      </c>
      <c r="F14" s="2444"/>
      <c r="G14" s="2445"/>
      <c r="H14" s="2449">
        <f>IF(A14="","",INDEX(DIFFERENTIATION_UNMERGE_VD,MATCH(A14,DIFFERENTIATION_ID_DIFF,0)))</f>
        <v>0</v>
      </c>
      <c r="I14" s="2449"/>
      <c r="J14" s="2449"/>
      <c r="K14" s="2449"/>
      <c r="L14" s="2449"/>
      <c r="M14" s="2449"/>
      <c r="N14" s="2449"/>
      <c r="O14" s="2449"/>
      <c r="P14" s="2449"/>
      <c r="Q14" s="2449"/>
      <c r="R14" s="2449"/>
      <c r="S14" s="785"/>
      <c r="T14" s="782"/>
      <c r="U14" s="691"/>
      <c r="V14" s="691"/>
      <c r="W14" s="692"/>
      <c r="X14" s="692"/>
      <c r="Y14" s="692"/>
      <c r="Z14" s="692"/>
      <c r="AA14" s="693"/>
      <c r="AB14" s="694"/>
      <c r="AC14" s="2441"/>
      <c r="AD14" s="695"/>
      <c r="AE14" s="696" t="s">
        <v>28</v>
      </c>
      <c r="AF14" s="696"/>
      <c r="AG14" s="697" t="s">
        <v>618</v>
      </c>
      <c r="AH14" s="698">
        <v>3</v>
      </c>
      <c r="AI14" s="691"/>
      <c r="AJ14" s="691"/>
      <c r="AK14" s="691"/>
      <c r="AL14" s="691"/>
      <c r="AM14" s="691"/>
      <c r="AN14" s="691"/>
      <c r="AO14" s="691"/>
      <c r="AP14" s="691"/>
      <c r="AQ14" s="691"/>
      <c r="AR14" s="691"/>
      <c r="AS14" s="691"/>
      <c r="AT14" s="691"/>
      <c r="AU14" s="691"/>
      <c r="AV14" s="691"/>
      <c r="AW14" s="691"/>
      <c r="AX14" s="691"/>
      <c r="AY14" s="691"/>
      <c r="AZ14" s="691"/>
      <c r="BA14" s="691"/>
      <c r="BB14" s="691"/>
      <c r="BC14" s="691"/>
      <c r="BD14" s="691"/>
      <c r="BE14" s="691"/>
      <c r="BF14" s="691"/>
      <c r="BG14" s="691"/>
      <c r="BH14" s="691"/>
      <c r="BI14" s="691"/>
      <c r="BJ14" s="691"/>
      <c r="BK14" s="691"/>
      <c r="BL14" s="691"/>
      <c r="BM14" s="691"/>
      <c r="BN14" s="691"/>
      <c r="BO14" s="691"/>
      <c r="BP14" s="691"/>
      <c r="BQ14" s="691"/>
      <c r="BR14" s="691"/>
      <c r="BS14" s="691"/>
      <c r="BT14" s="691"/>
      <c r="BU14" s="691"/>
      <c r="BV14" s="692"/>
      <c r="BW14" s="692"/>
      <c r="BX14" s="692"/>
      <c r="BY14" s="692"/>
      <c r="BZ14" s="692"/>
      <c r="CA14" s="692"/>
      <c r="CB14" s="692"/>
      <c r="CC14" s="692"/>
      <c r="CD14" s="692"/>
      <c r="CE14" s="692"/>
      <c r="CF14" s="359">
        <v>0</v>
      </c>
    </row>
    <row s="5774" customFormat="1" customHeight="1" ht="15" hidden="1">
      <c r="A15" s="689"/>
      <c r="B15" s="690"/>
      <c r="C15" s="690"/>
      <c r="D15" s="2447"/>
      <c r="E15" s="2443" t="s">
        <v>573</v>
      </c>
      <c r="F15" s="2444"/>
      <c r="G15" s="2445"/>
      <c r="H15" s="2449" t="str">
        <f>IF(A14="","",INDEX(DIFFERENTIATION_UNMERGE_AREA,MATCH(A14,DIFFERENTIATION_ID_DIFF,0)))</f>
        <v/>
      </c>
      <c r="I15" s="2449"/>
      <c r="J15" s="2449"/>
      <c r="K15" s="2449"/>
      <c r="L15" s="2449"/>
      <c r="M15" s="2449"/>
      <c r="N15" s="2449"/>
      <c r="O15" s="2449"/>
      <c r="P15" s="2449"/>
      <c r="Q15" s="2449"/>
      <c r="R15" s="2449"/>
      <c r="S15" s="785"/>
      <c r="T15" s="782"/>
      <c r="U15" s="691"/>
      <c r="V15" s="691"/>
      <c r="W15" s="692"/>
      <c r="X15" s="692"/>
      <c r="Y15" s="692"/>
      <c r="Z15" s="692"/>
      <c r="AA15" s="693"/>
      <c r="AB15" s="694"/>
      <c r="AC15" s="2441"/>
      <c r="AD15" s="695"/>
      <c r="AE15" s="696"/>
      <c r="AF15" s="696"/>
      <c r="AG15" s="697"/>
      <c r="AH15" s="698"/>
      <c r="AI15" s="691"/>
      <c r="AJ15" s="691"/>
      <c r="AK15" s="691"/>
      <c r="AL15" s="691"/>
      <c r="AM15" s="691"/>
      <c r="AN15" s="691"/>
      <c r="AO15" s="691"/>
      <c r="AP15" s="691"/>
      <c r="AQ15" s="691"/>
      <c r="AR15" s="691"/>
      <c r="AS15" s="691"/>
      <c r="AT15" s="691"/>
      <c r="AU15" s="691"/>
      <c r="AV15" s="691"/>
      <c r="AW15" s="691"/>
      <c r="AX15" s="691"/>
      <c r="AY15" s="691"/>
      <c r="AZ15" s="691"/>
      <c r="BA15" s="691"/>
      <c r="BB15" s="691"/>
      <c r="BC15" s="691"/>
      <c r="BD15" s="691"/>
      <c r="BE15" s="691"/>
      <c r="BF15" s="691"/>
      <c r="BG15" s="691"/>
      <c r="BH15" s="691"/>
      <c r="BI15" s="691"/>
      <c r="BJ15" s="691"/>
      <c r="BK15" s="691"/>
      <c r="BL15" s="691"/>
      <c r="BM15" s="691"/>
      <c r="BN15" s="691"/>
      <c r="BO15" s="691"/>
      <c r="BP15" s="691"/>
      <c r="BQ15" s="691"/>
      <c r="BR15" s="691"/>
      <c r="BS15" s="691"/>
      <c r="BT15" s="691"/>
      <c r="BU15" s="691"/>
      <c r="BV15" s="692"/>
      <c r="BW15" s="692"/>
      <c r="BX15" s="692"/>
      <c r="BY15" s="692"/>
      <c r="BZ15" s="692"/>
      <c r="CA15" s="692"/>
      <c r="CB15" s="692"/>
      <c r="CC15" s="692"/>
      <c r="CD15" s="692"/>
      <c r="CE15" s="692"/>
      <c r="CF15" s="359">
        <v>0</v>
      </c>
    </row>
    <row s="5774" customFormat="1" customHeight="1" ht="15" hidden="1">
      <c r="A16" s="689"/>
      <c r="B16" s="690"/>
      <c r="C16" s="690"/>
      <c r="D16" s="2447"/>
      <c r="E16" s="2443" t="s">
        <v>574</v>
      </c>
      <c r="F16" s="2444"/>
      <c r="G16" s="2445"/>
      <c r="H16" s="2449" t="str">
        <f>IF(A14="","",INDEX(DIFFERENTIATION_UNMERGE_SYSTEM,MATCH(A14,DIFFERENTIATION_ID_DIFF,0)))</f>
        <v>без дифференциации</v>
      </c>
      <c r="I16" s="2449"/>
      <c r="J16" s="2449"/>
      <c r="K16" s="2449"/>
      <c r="L16" s="2449"/>
      <c r="M16" s="2449"/>
      <c r="N16" s="2449"/>
      <c r="O16" s="2449"/>
      <c r="P16" s="2449"/>
      <c r="Q16" s="2449"/>
      <c r="R16" s="2449"/>
      <c r="S16" s="785"/>
      <c r="T16" s="782"/>
      <c r="U16" s="691"/>
      <c r="V16" s="691"/>
      <c r="W16" s="692"/>
      <c r="X16" s="692"/>
      <c r="Y16" s="692"/>
      <c r="Z16" s="692"/>
      <c r="AA16" s="693"/>
      <c r="AB16" s="694"/>
      <c r="AC16" s="2441"/>
      <c r="AD16" s="695"/>
      <c r="AE16" s="696"/>
      <c r="AF16" s="696"/>
      <c r="AG16" s="697"/>
      <c r="AH16" s="698"/>
      <c r="AI16" s="691"/>
      <c r="AJ16" s="691"/>
      <c r="AK16" s="691"/>
      <c r="AL16" s="691"/>
      <c r="AM16" s="691"/>
      <c r="AN16" s="691"/>
      <c r="AO16" s="691"/>
      <c r="AP16" s="691"/>
      <c r="AQ16" s="691"/>
      <c r="AR16" s="691"/>
      <c r="AS16" s="691"/>
      <c r="AT16" s="691"/>
      <c r="AU16" s="691"/>
      <c r="AV16" s="691"/>
      <c r="AW16" s="691"/>
      <c r="AX16" s="691"/>
      <c r="AY16" s="691"/>
      <c r="AZ16" s="691"/>
      <c r="BA16" s="691"/>
      <c r="BB16" s="691"/>
      <c r="BC16" s="691"/>
      <c r="BD16" s="691"/>
      <c r="BE16" s="691"/>
      <c r="BF16" s="691"/>
      <c r="BG16" s="691"/>
      <c r="BH16" s="691"/>
      <c r="BI16" s="691"/>
      <c r="BJ16" s="691"/>
      <c r="BK16" s="691"/>
      <c r="BL16" s="691"/>
      <c r="BM16" s="691"/>
      <c r="BN16" s="691"/>
      <c r="BO16" s="691"/>
      <c r="BP16" s="691"/>
      <c r="BQ16" s="691"/>
      <c r="BR16" s="691"/>
      <c r="BS16" s="691"/>
      <c r="BT16" s="691"/>
      <c r="BU16" s="691"/>
      <c r="BV16" s="692"/>
      <c r="BW16" s="692"/>
      <c r="BX16" s="692"/>
      <c r="BY16" s="692"/>
      <c r="BZ16" s="692"/>
      <c r="CA16" s="692"/>
      <c r="CB16" s="692"/>
      <c r="CC16" s="692"/>
      <c r="CD16" s="692"/>
      <c r="CE16" s="692"/>
      <c r="CF16" s="359">
        <v>0</v>
      </c>
    </row>
    <row s="5774" customFormat="1" customHeight="1" ht="22.5" hidden="1">
      <c r="A17" s="699"/>
      <c r="B17" s="483"/>
      <c r="C17" s="478"/>
      <c r="D17" s="2447"/>
      <c r="E17" s="2442" t="s">
        <v>619</v>
      </c>
      <c r="F17" s="2442"/>
      <c r="G17" s="2442"/>
      <c r="H17" s="2442"/>
      <c r="I17" s="2442"/>
      <c r="J17" s="2442"/>
      <c r="K17" s="2442"/>
      <c r="L17" s="2442"/>
      <c r="M17" s="2442"/>
      <c r="N17" s="2442"/>
      <c r="O17" s="2442"/>
      <c r="P17" s="2442"/>
      <c r="Q17" s="624">
        <f>SUMIF(T18:T19,"i",Q18:Q19)</f>
        <v>0</v>
      </c>
      <c r="R17" s="1083"/>
      <c r="S17" s="963" t="s">
        <v>620</v>
      </c>
      <c r="T17" s="783" t="s">
        <v>621</v>
      </c>
      <c r="U17" s="2440">
        <v>1</v>
      </c>
      <c r="V17" s="2440" t="str">
        <f>INDEX(B_FHD_FLAG_INDEX_1,1,MATCH(A14,B_FHD_FLAG_DIFFERENTIATION,0))</f>
        <v>отсутствует</v>
      </c>
      <c r="W17" s="483"/>
      <c r="X17" s="483"/>
      <c r="Y17" s="483"/>
      <c r="Z17" s="483"/>
      <c r="AA17" s="577"/>
      <c r="AB17" s="483"/>
      <c r="AC17" s="2441"/>
      <c r="AD17" s="695"/>
      <c r="AE17" s="483"/>
      <c r="AF17" s="483"/>
      <c r="AG17" s="577"/>
      <c r="AH17" s="577"/>
      <c r="AI17" s="577"/>
      <c r="AJ17" s="577"/>
      <c r="AK17" s="577"/>
      <c r="AL17" s="577"/>
      <c r="AM17" s="577"/>
      <c r="AN17" s="577"/>
      <c r="AO17" s="577"/>
      <c r="AP17" s="577"/>
      <c r="AQ17" s="577"/>
      <c r="AR17" s="577"/>
      <c r="AS17" s="577"/>
      <c r="AT17" s="577"/>
      <c r="AU17" s="577"/>
      <c r="AV17" s="577"/>
      <c r="AW17" s="577"/>
      <c r="AX17" s="577"/>
      <c r="AY17" s="577"/>
      <c r="AZ17" s="577"/>
      <c r="BA17" s="577"/>
      <c r="BB17" s="577"/>
      <c r="BC17" s="577"/>
      <c r="BD17" s="577"/>
      <c r="BE17" s="577"/>
      <c r="BF17" s="577"/>
      <c r="BG17" s="577"/>
      <c r="BH17" s="577"/>
      <c r="BI17" s="577"/>
      <c r="BJ17" s="577"/>
      <c r="BK17" s="577"/>
      <c r="BL17" s="577"/>
      <c r="BM17" s="577"/>
      <c r="BN17" s="577"/>
      <c r="BO17" s="577"/>
      <c r="BP17" s="577"/>
      <c r="BQ17" s="577"/>
      <c r="BR17" s="577"/>
      <c r="BS17" s="577"/>
      <c r="BT17" s="577"/>
      <c r="BU17" s="577"/>
      <c r="BV17" s="483"/>
      <c r="BW17" s="483"/>
      <c r="BX17" s="483"/>
      <c r="BY17" s="483"/>
      <c r="BZ17" s="483"/>
      <c r="CA17" s="483"/>
      <c r="CB17" s="483"/>
      <c r="CC17" s="483"/>
      <c r="CD17" s="483"/>
      <c r="CE17" s="483"/>
      <c r="CF17" s="359">
        <v>0</v>
      </c>
    </row>
    <row s="5774" customFormat="1" customHeight="1" ht="11.25" hidden="1">
      <c r="A18" s="700"/>
      <c r="B18" s="577"/>
      <c r="C18" s="577"/>
      <c r="D18" s="2447"/>
      <c r="E18" s="701"/>
      <c r="F18" s="701">
        <v>0</v>
      </c>
      <c r="G18" s="701"/>
      <c r="H18" s="701"/>
      <c r="I18" s="701"/>
      <c r="J18" s="701"/>
      <c r="K18" s="701"/>
      <c r="L18" s="701"/>
      <c r="M18" s="701"/>
      <c r="N18" s="701"/>
      <c r="O18" s="701"/>
      <c r="P18" s="701"/>
      <c r="Q18" s="701"/>
      <c r="R18" s="701"/>
      <c r="S18" s="702"/>
      <c r="T18" s="784"/>
      <c r="U18" s="2440"/>
      <c r="V18" s="2440"/>
      <c r="W18" s="577"/>
      <c r="X18" s="577"/>
      <c r="Y18" s="577"/>
      <c r="Z18" s="577"/>
      <c r="AA18" s="577"/>
      <c r="AB18" s="483"/>
      <c r="AC18" s="2441"/>
      <c r="AD18" s="695"/>
      <c r="AE18" s="483"/>
      <c r="AF18" s="483"/>
      <c r="AG18" s="577"/>
      <c r="AH18" s="577"/>
      <c r="AI18" s="577"/>
      <c r="AJ18" s="577"/>
      <c r="AK18" s="577"/>
      <c r="AL18" s="577"/>
      <c r="AM18" s="577"/>
      <c r="AN18" s="577"/>
      <c r="AO18" s="577"/>
      <c r="AP18" s="577"/>
      <c r="AQ18" s="577"/>
      <c r="AR18" s="577"/>
      <c r="AS18" s="577"/>
      <c r="AT18" s="577"/>
      <c r="AU18" s="577"/>
      <c r="AV18" s="577"/>
      <c r="AW18" s="577"/>
      <c r="AX18" s="577"/>
      <c r="AY18" s="577"/>
      <c r="AZ18" s="577"/>
      <c r="BA18" s="577"/>
      <c r="BB18" s="577"/>
      <c r="BC18" s="577"/>
      <c r="BD18" s="577"/>
      <c r="BE18" s="577"/>
      <c r="BF18" s="577"/>
      <c r="BG18" s="577"/>
      <c r="BH18" s="577"/>
      <c r="BI18" s="577"/>
      <c r="BJ18" s="577"/>
      <c r="BK18" s="577"/>
      <c r="BL18" s="577"/>
      <c r="BM18" s="577"/>
      <c r="BN18" s="577"/>
      <c r="BO18" s="577"/>
      <c r="BP18" s="577"/>
      <c r="BQ18" s="577"/>
      <c r="BR18" s="577"/>
      <c r="BS18" s="577"/>
      <c r="BT18" s="577"/>
      <c r="BU18" s="577"/>
      <c r="BV18" s="577"/>
      <c r="BW18" s="577"/>
      <c r="BX18" s="577"/>
      <c r="BY18" s="577"/>
      <c r="BZ18" s="577"/>
      <c r="CA18" s="577"/>
      <c r="CB18" s="577"/>
      <c r="CC18" s="577"/>
      <c r="CD18" s="577"/>
      <c r="CE18" s="577"/>
      <c r="CF18" s="359">
        <v>0</v>
      </c>
    </row>
    <row s="5774" customFormat="1" customHeight="1" ht="11.25" hidden="1">
      <c r="A19" s="699"/>
      <c r="B19" s="483"/>
      <c r="C19" s="478"/>
      <c r="D19" s="2447"/>
      <c r="E19" s="715" t="s">
        <v>28</v>
      </c>
      <c r="F19" s="716" t="s">
        <v>28</v>
      </c>
      <c r="G19" s="716" t="s">
        <v>28</v>
      </c>
      <c r="H19" s="717" t="s">
        <v>28</v>
      </c>
      <c r="I19" s="717"/>
      <c r="J19" s="717"/>
      <c r="K19" s="717"/>
      <c r="L19" s="717"/>
      <c r="M19" s="717"/>
      <c r="N19" s="717"/>
      <c r="O19" s="717"/>
      <c r="P19" s="717"/>
      <c r="Q19" s="717"/>
      <c r="R19" s="718"/>
      <c r="S19" s="1086"/>
      <c r="T19" s="784"/>
      <c r="U19" s="2440"/>
      <c r="V19" s="2440"/>
      <c r="W19" s="483"/>
      <c r="X19" s="483"/>
      <c r="Y19" s="483"/>
      <c r="Z19" s="483"/>
      <c r="AA19" s="577"/>
      <c r="AB19" s="483"/>
      <c r="AC19" s="2441"/>
      <c r="AD19" s="695"/>
      <c r="AE19" s="483"/>
      <c r="AF19" s="483"/>
      <c r="AG19" s="577"/>
      <c r="AH19" s="577"/>
      <c r="AI19" s="577"/>
      <c r="AJ19" s="577"/>
      <c r="AK19" s="577"/>
      <c r="AL19" s="577"/>
      <c r="AM19" s="577"/>
      <c r="AN19" s="577"/>
      <c r="AO19" s="577"/>
      <c r="AP19" s="577"/>
      <c r="AQ19" s="577"/>
      <c r="AR19" s="577"/>
      <c r="AS19" s="577"/>
      <c r="AT19" s="577"/>
      <c r="AU19" s="577"/>
      <c r="AV19" s="577"/>
      <c r="AW19" s="577"/>
      <c r="AX19" s="577"/>
      <c r="AY19" s="577"/>
      <c r="AZ19" s="577"/>
      <c r="BA19" s="577"/>
      <c r="BB19" s="577"/>
      <c r="BC19" s="577"/>
      <c r="BD19" s="577"/>
      <c r="BE19" s="577"/>
      <c r="BF19" s="577"/>
      <c r="BG19" s="577"/>
      <c r="BH19" s="577"/>
      <c r="BI19" s="577"/>
      <c r="BJ19" s="577"/>
      <c r="BK19" s="577"/>
      <c r="BL19" s="577"/>
      <c r="BM19" s="577"/>
      <c r="BN19" s="577"/>
      <c r="BO19" s="577"/>
      <c r="BP19" s="577"/>
      <c r="BQ19" s="577"/>
      <c r="BR19" s="577"/>
      <c r="BS19" s="577"/>
      <c r="BT19" s="577"/>
      <c r="BU19" s="577"/>
      <c r="BV19" s="483"/>
      <c r="BW19" s="483"/>
      <c r="BX19" s="483"/>
      <c r="BY19" s="483"/>
      <c r="BZ19" s="483"/>
      <c r="CA19" s="483"/>
      <c r="CB19" s="483"/>
      <c r="CC19" s="483"/>
      <c r="CD19" s="483"/>
      <c r="CE19" s="483"/>
      <c r="CF19" s="359">
        <v>0</v>
      </c>
    </row>
    <row s="5774" customFormat="1" customHeight="1" ht="22.5" hidden="1">
      <c r="A20" s="699"/>
      <c r="B20" s="483"/>
      <c r="C20" s="478"/>
      <c r="D20" s="2447"/>
      <c r="E20" s="2442" t="s">
        <v>622</v>
      </c>
      <c r="F20" s="2442"/>
      <c r="G20" s="2442"/>
      <c r="H20" s="2442"/>
      <c r="I20" s="2442"/>
      <c r="J20" s="2442"/>
      <c r="K20" s="2442"/>
      <c r="L20" s="2442"/>
      <c r="M20" s="2442"/>
      <c r="N20" s="2442"/>
      <c r="O20" s="2442"/>
      <c r="P20" s="2442"/>
      <c r="Q20" s="624">
        <f>SUMIF(T21:T22,"i",Q21:Q22)</f>
        <v>0</v>
      </c>
      <c r="R20" s="1083"/>
      <c r="S20" s="775" t="s">
        <v>623</v>
      </c>
      <c r="T20" s="783" t="s">
        <v>621</v>
      </c>
      <c r="U20" s="2440">
        <v>2</v>
      </c>
      <c r="V20" s="2440" t="str">
        <f>INDEX(B_FHD_FLAG_INDEX_2,1,MATCH(A14,B_FHD_FLAG_DIFFERENTIATION,0))</f>
        <v>отсутствует</v>
      </c>
      <c r="W20" s="483"/>
      <c r="X20" s="483"/>
      <c r="Y20" s="483"/>
      <c r="Z20" s="483"/>
      <c r="AA20" s="577"/>
      <c r="AB20" s="483"/>
      <c r="AC20" s="772"/>
      <c r="AD20" s="695"/>
      <c r="AE20" s="483"/>
      <c r="AF20" s="483"/>
      <c r="AG20" s="577"/>
      <c r="AH20" s="577"/>
      <c r="AI20" s="577"/>
      <c r="AJ20" s="577"/>
      <c r="AK20" s="577"/>
      <c r="AL20" s="577"/>
      <c r="AM20" s="577"/>
      <c r="AN20" s="577"/>
      <c r="AO20" s="577"/>
      <c r="AP20" s="577"/>
      <c r="AQ20" s="577"/>
      <c r="AR20" s="577"/>
      <c r="AS20" s="577"/>
      <c r="AT20" s="577"/>
      <c r="AU20" s="577"/>
      <c r="AV20" s="577"/>
      <c r="AW20" s="577"/>
      <c r="AX20" s="577"/>
      <c r="AY20" s="577"/>
      <c r="AZ20" s="577"/>
      <c r="BA20" s="577"/>
      <c r="BB20" s="577"/>
      <c r="BC20" s="577"/>
      <c r="BD20" s="577"/>
      <c r="BE20" s="577"/>
      <c r="BF20" s="577"/>
      <c r="BG20" s="577"/>
      <c r="BH20" s="577"/>
      <c r="BI20" s="577"/>
      <c r="BJ20" s="577"/>
      <c r="BK20" s="577"/>
      <c r="BL20" s="577"/>
      <c r="BM20" s="577"/>
      <c r="BN20" s="577"/>
      <c r="BO20" s="577"/>
      <c r="BP20" s="577"/>
      <c r="BQ20" s="577"/>
      <c r="BR20" s="577"/>
      <c r="BS20" s="577"/>
      <c r="BT20" s="577"/>
      <c r="BU20" s="577"/>
      <c r="BV20" s="483"/>
      <c r="BW20" s="483"/>
      <c r="BX20" s="483"/>
      <c r="BY20" s="483"/>
      <c r="BZ20" s="483"/>
      <c r="CA20" s="483"/>
      <c r="CB20" s="483"/>
      <c r="CC20" s="483"/>
      <c r="CD20" s="483"/>
      <c r="CE20" s="483"/>
      <c r="CF20" s="359">
        <v>0</v>
      </c>
    </row>
    <row s="5774" customFormat="1" customHeight="1" ht="11.25" hidden="1">
      <c r="A21" s="774"/>
      <c r="B21" s="577"/>
      <c r="C21" s="577"/>
      <c r="D21" s="2447"/>
      <c r="E21" s="701"/>
      <c r="F21" s="701">
        <v>0</v>
      </c>
      <c r="G21" s="701"/>
      <c r="H21" s="701"/>
      <c r="I21" s="701"/>
      <c r="J21" s="701"/>
      <c r="K21" s="701"/>
      <c r="L21" s="701"/>
      <c r="M21" s="701"/>
      <c r="N21" s="701"/>
      <c r="O21" s="701"/>
      <c r="P21" s="701"/>
      <c r="Q21" s="701"/>
      <c r="R21" s="701"/>
      <c r="S21" s="702"/>
      <c r="T21" s="784"/>
      <c r="U21" s="2440"/>
      <c r="V21" s="2440"/>
      <c r="W21" s="577"/>
      <c r="X21" s="577"/>
      <c r="Y21" s="577"/>
      <c r="Z21" s="577"/>
      <c r="AA21" s="577"/>
      <c r="AB21" s="483"/>
      <c r="AC21" s="772"/>
      <c r="AD21" s="695"/>
      <c r="AE21" s="483"/>
      <c r="AF21" s="483"/>
      <c r="AG21" s="577"/>
      <c r="AH21" s="577"/>
      <c r="AI21" s="577"/>
      <c r="AJ21" s="577"/>
      <c r="AK21" s="577"/>
      <c r="AL21" s="577"/>
      <c r="AM21" s="577"/>
      <c r="AN21" s="577"/>
      <c r="AO21" s="577"/>
      <c r="AP21" s="577"/>
      <c r="AQ21" s="577"/>
      <c r="AR21" s="577"/>
      <c r="AS21" s="577"/>
      <c r="AT21" s="577"/>
      <c r="AU21" s="577"/>
      <c r="AV21" s="577"/>
      <c r="AW21" s="577"/>
      <c r="AX21" s="577"/>
      <c r="AY21" s="577"/>
      <c r="AZ21" s="577"/>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7"/>
      <c r="BZ21" s="577"/>
      <c r="CA21" s="577"/>
      <c r="CB21" s="577"/>
      <c r="CC21" s="577"/>
      <c r="CD21" s="577"/>
      <c r="CE21" s="577"/>
      <c r="CF21" s="359">
        <v>0</v>
      </c>
    </row>
    <row s="5774" customFormat="1" customHeight="1" ht="11.25" hidden="1">
      <c r="A22" s="699"/>
      <c r="B22" s="483"/>
      <c r="C22" s="478"/>
      <c r="D22" s="2448"/>
      <c r="E22" s="715" t="s">
        <v>28</v>
      </c>
      <c r="F22" s="716" t="s">
        <v>28</v>
      </c>
      <c r="G22" s="716" t="s">
        <v>28</v>
      </c>
      <c r="H22" s="717" t="s">
        <v>28</v>
      </c>
      <c r="I22" s="717"/>
      <c r="J22" s="717"/>
      <c r="K22" s="717"/>
      <c r="L22" s="717"/>
      <c r="M22" s="717"/>
      <c r="N22" s="717"/>
      <c r="O22" s="717"/>
      <c r="P22" s="717"/>
      <c r="Q22" s="717"/>
      <c r="R22" s="718"/>
      <c r="S22" s="1086"/>
      <c r="T22" s="784"/>
      <c r="U22" s="2440"/>
      <c r="V22" s="2440"/>
      <c r="W22" s="483"/>
      <c r="X22" s="483"/>
      <c r="Y22" s="483"/>
      <c r="Z22" s="483"/>
      <c r="AA22" s="577"/>
      <c r="AB22" s="483"/>
      <c r="AC22" s="772"/>
      <c r="AD22" s="695"/>
      <c r="AE22" s="483"/>
      <c r="AF22" s="483"/>
      <c r="AG22" s="577"/>
      <c r="AH22" s="577"/>
      <c r="AI22" s="577"/>
      <c r="AJ22" s="577"/>
      <c r="AK22" s="577"/>
      <c r="AL22" s="577"/>
      <c r="AM22" s="577"/>
      <c r="AN22" s="577"/>
      <c r="AO22" s="577"/>
      <c r="AP22" s="577"/>
      <c r="AQ22" s="577"/>
      <c r="AR22" s="577"/>
      <c r="AS22" s="577"/>
      <c r="AT22" s="577"/>
      <c r="AU22" s="577"/>
      <c r="AV22" s="577"/>
      <c r="AW22" s="577"/>
      <c r="AX22" s="577"/>
      <c r="AY22" s="577"/>
      <c r="AZ22" s="577"/>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483"/>
      <c r="BW22" s="483"/>
      <c r="BX22" s="483"/>
      <c r="BY22" s="483"/>
      <c r="BZ22" s="483"/>
      <c r="CA22" s="483"/>
      <c r="CB22" s="483"/>
      <c r="CC22" s="483"/>
      <c r="CD22" s="483"/>
      <c r="CE22" s="483"/>
      <c r="CF22" s="359">
        <v>0</v>
      </c>
    </row>
    <row customHeight="1" ht="19.95">
      <c r="D23" s="1113"/>
      <c r="E23" s="1113"/>
      <c r="F23" s="1113"/>
      <c r="G23" s="1113"/>
      <c r="H23" s="1113"/>
      <c r="I23" s="1113"/>
      <c r="J23" s="1113"/>
      <c r="K23" s="1113"/>
      <c r="L23" s="1113"/>
      <c r="M23" s="1113"/>
      <c r="N23" s="1113"/>
      <c r="O23" s="1113"/>
      <c r="P23" s="1113"/>
      <c r="Q23" s="1113"/>
      <c r="R23" s="1113"/>
      <c r="S23" s="1113"/>
      <c r="T23" s="400"/>
      <c r="CF23" s="571">
        <v>19</v>
      </c>
    </row>
    <row customHeight="1" ht="11.549999999999999">
      <c r="D24" s="575"/>
      <c r="CF24" s="571">
        <v>11</v>
      </c>
    </row>
    <row customHeight="1" ht="11.549999999999999">
      <c r="D25" s="720"/>
      <c r="E25" s="720"/>
      <c r="F25" s="720"/>
      <c r="G25" s="721"/>
      <c r="CF25" s="571">
        <v>11</v>
      </c>
    </row>
    <row customHeight="1" ht="11.549999999999999">
      <c r="CF26" s="571">
        <v>11</v>
      </c>
    </row>
    <row customHeight="1" ht="11.549999999999999">
      <c r="D27" s="722"/>
      <c r="E27" s="2450"/>
      <c r="F27" s="2450"/>
      <c r="G27" s="2450"/>
      <c r="H27" s="2450"/>
      <c r="I27" s="2450"/>
      <c r="J27" s="2450"/>
      <c r="K27" s="2450"/>
      <c r="L27" s="2450"/>
      <c r="M27" s="2450"/>
      <c r="N27" s="2450"/>
      <c r="O27" s="2450"/>
      <c r="P27" s="2450"/>
      <c r="Q27" s="2450"/>
      <c r="R27" s="2450"/>
      <c r="CF27" s="571">
        <v>11</v>
      </c>
    </row>
    <row customHeight="1" ht="11.549999999999999">
      <c r="F28" s="824"/>
      <c r="G28" s="824"/>
      <c r="CF28" s="571">
        <v>11</v>
      </c>
    </row>
    <row customHeight="1" ht="11.25" hidden="1">
      <c r="A29" s="676" t="s">
        <v>87</v>
      </c>
      <c r="B29" s="515">
        <v>0</v>
      </c>
      <c r="C29" s="571">
        <v>3</v>
      </c>
      <c r="D29" s="571">
        <v>0</v>
      </c>
      <c r="E29" s="571">
        <v>7</v>
      </c>
      <c r="F29" s="571">
        <v>7</v>
      </c>
      <c r="G29" s="571">
        <v>29</v>
      </c>
      <c r="H29" s="571">
        <v>3</v>
      </c>
      <c r="I29" s="571">
        <v>5</v>
      </c>
      <c r="J29" s="571">
        <v>24</v>
      </c>
      <c r="K29" s="571">
        <v>24</v>
      </c>
      <c r="L29" s="571">
        <v>3</v>
      </c>
      <c r="M29" s="571">
        <v>6</v>
      </c>
      <c r="N29" s="571">
        <v>25</v>
      </c>
      <c r="O29" s="571">
        <v>18</v>
      </c>
      <c r="P29" s="571">
        <v>18</v>
      </c>
      <c r="Q29" s="571">
        <v>18</v>
      </c>
      <c r="R29" s="571">
        <v>18</v>
      </c>
      <c r="S29" s="571">
        <v>93</v>
      </c>
      <c r="T29" s="571">
        <v>10</v>
      </c>
      <c r="U29" s="677">
        <v>10</v>
      </c>
      <c r="V29" s="677">
        <v>11</v>
      </c>
      <c r="W29" s="678">
        <v>10</v>
      </c>
      <c r="X29" s="515">
        <v>10</v>
      </c>
      <c r="Y29" s="515">
        <v>10</v>
      </c>
      <c r="Z29" s="515">
        <v>10</v>
      </c>
      <c r="AA29" s="515">
        <v>10</v>
      </c>
      <c r="AB29" s="571">
        <v>8</v>
      </c>
      <c r="AC29" s="571">
        <v>8</v>
      </c>
      <c r="AD29" s="571">
        <v>8</v>
      </c>
      <c r="AE29" s="571">
        <v>8</v>
      </c>
      <c r="AF29" s="571">
        <v>8</v>
      </c>
      <c r="AG29" s="571">
        <v>8</v>
      </c>
      <c r="AH29" s="571">
        <v>8</v>
      </c>
      <c r="AI29" s="571">
        <v>8</v>
      </c>
      <c r="AJ29" s="571">
        <v>8</v>
      </c>
      <c r="AK29" s="571">
        <v>8</v>
      </c>
      <c r="AL29" s="571">
        <v>8</v>
      </c>
      <c r="AM29" s="571">
        <v>8</v>
      </c>
      <c r="AN29" s="571">
        <v>8</v>
      </c>
      <c r="AO29" s="571">
        <v>8</v>
      </c>
      <c r="AP29" s="571">
        <v>8</v>
      </c>
      <c r="AQ29" s="571">
        <v>8</v>
      </c>
      <c r="AR29" s="571">
        <v>8</v>
      </c>
      <c r="AS29" s="571">
        <v>8</v>
      </c>
      <c r="AT29" s="571">
        <v>8</v>
      </c>
      <c r="AU29" s="571">
        <v>8</v>
      </c>
      <c r="AV29" s="571">
        <v>8</v>
      </c>
      <c r="AW29" s="571">
        <v>8</v>
      </c>
      <c r="AX29" s="571">
        <v>8</v>
      </c>
      <c r="AY29" s="571">
        <v>8</v>
      </c>
      <c r="AZ29" s="571">
        <v>8</v>
      </c>
      <c r="BA29" s="571">
        <v>8</v>
      </c>
      <c r="BB29" s="571">
        <v>8</v>
      </c>
      <c r="BC29" s="571">
        <v>8</v>
      </c>
      <c r="BD29" s="571">
        <v>8</v>
      </c>
      <c r="BE29" s="571">
        <v>8</v>
      </c>
      <c r="BF29" s="571">
        <v>8</v>
      </c>
      <c r="BG29" s="571">
        <v>8</v>
      </c>
      <c r="BH29" s="571">
        <v>8</v>
      </c>
      <c r="BI29" s="571">
        <v>8</v>
      </c>
      <c r="BJ29" s="571">
        <v>8</v>
      </c>
      <c r="BK29" s="571">
        <v>8</v>
      </c>
      <c r="BL29" s="571">
        <v>8</v>
      </c>
      <c r="BM29" s="571">
        <v>8</v>
      </c>
      <c r="BN29" s="571">
        <v>8</v>
      </c>
      <c r="BO29" s="571">
        <v>8</v>
      </c>
      <c r="BP29" s="571">
        <v>8</v>
      </c>
      <c r="BQ29" s="571">
        <v>8</v>
      </c>
      <c r="BR29" s="571">
        <v>8</v>
      </c>
      <c r="BS29" s="571">
        <v>8</v>
      </c>
      <c r="BT29" s="571">
        <v>8</v>
      </c>
      <c r="BU29" s="571">
        <v>8</v>
      </c>
      <c r="BV29" s="571">
        <v>8</v>
      </c>
      <c r="BW29" s="571">
        <v>8</v>
      </c>
      <c r="BX29" s="571">
        <v>8</v>
      </c>
      <c r="BY29" s="571">
        <v>8</v>
      </c>
      <c r="BZ29" s="571">
        <v>8</v>
      </c>
      <c r="CA29" s="571">
        <v>8</v>
      </c>
      <c r="CB29" s="571">
        <v>8</v>
      </c>
      <c r="CC29" s="571">
        <v>8</v>
      </c>
      <c r="CD29" s="571">
        <v>8</v>
      </c>
      <c r="CE29" s="571">
        <v>8</v>
      </c>
      <c r="CF29" s="57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59087-7FFC-CDD3-1EC1-AC6990E62C7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4437" width="10.7109375" hidden="1" customWidth="1"/>
    <col min="6" max="6" style="5002" width="16.8515625" hidden="1" customWidth="1"/>
    <col min="7" max="7" style="4562" width="5.57421875" hidden="1" customWidth="1"/>
    <col min="8" max="8" style="5053" width="3.00390625" customWidth="1"/>
    <col min="9" max="9" style="5053" width="7.00390625" customWidth="1"/>
    <col min="10" max="10" style="5053" width="56.00390625" customWidth="1"/>
    <col min="11" max="11" style="5053" width="10.00390625" customWidth="1"/>
    <col min="12" max="12" style="5053" width="40.57421875" hidden="1" customWidth="1"/>
    <col min="13" max="13" style="5053" width="40.7109375" customWidth="1"/>
    <col min="14" max="14" style="5002" width="9.7109375" hidden="1" customWidth="1"/>
    <col min="15" max="15" style="5053" width="102.00390625" customWidth="1"/>
    <col min="16" max="16" style="5002" width="9.00390625" customWidth="1"/>
    <col min="17" max="17" style="4562" width="5.00390625" customWidth="1"/>
    <col min="18" max="18" style="4562" width="3.00390625" customWidth="1"/>
    <col min="19" max="22" style="5002" width="3.00390625" customWidth="1"/>
    <col min="23" max="23" style="4562" width="10.00390625" customWidth="1"/>
    <col min="24" max="24" style="5002" width="34.00390625" customWidth="1"/>
    <col min="25" max="25" style="5002" width="9.00390625" customWidth="1"/>
    <col min="26" max="26" style="4507" width="8.00390625" customWidth="1"/>
    <col min="27" max="31" style="5002" width="8.00390625" customWidth="1"/>
    <col min="32" max="36" style="5297" width="8.00390625" customWidth="1"/>
    <col min="37" max="37" style="5053" width="5.421875" hidden="1" customWidth="1"/>
  </cols>
  <sheetData>
    <row s="5002" customFormat="1" customHeight="1" ht="33.75" hidden="1">
      <c r="A1" s="1053"/>
      <c r="B1" s="1053"/>
      <c r="C1" s="1053"/>
      <c r="D1" s="1053"/>
      <c r="E1" s="1053"/>
      <c r="G1" s="1702"/>
      <c r="H1" s="944"/>
      <c r="L1" s="1432">
        <v>4</v>
      </c>
      <c r="M1" s="1432">
        <v>4</v>
      </c>
      <c r="Q1" s="1702"/>
      <c r="R1" s="1702"/>
      <c r="W1" s="1702"/>
      <c r="AK1" s="1432" t="s">
        <v>14</v>
      </c>
    </row>
    <row s="5002" customFormat="1" customHeight="1" ht="78.75" hidden="1">
      <c r="A2" s="1053"/>
      <c r="B2" s="2119" t="s">
        <v>624</v>
      </c>
      <c r="C2" s="2119" t="s">
        <v>625</v>
      </c>
      <c r="D2" s="2118" t="s">
        <v>626</v>
      </c>
      <c r="E2" s="2122">
        <f>RIGHT(I2,LEN(I2)-SEARCH("#",SUBSTITUTE(I2,".","#",LEN(I2)-LEN(SUBSTITUTE(I2,".","")))))</f>
      </c>
      <c r="F2" s="2124">
        <f>J2</f>
        <v>0</v>
      </c>
      <c r="G2" s="1702"/>
      <c r="H2" s="2125"/>
      <c r="I2" s="2115"/>
      <c r="J2" s="606"/>
      <c r="K2" s="2085" t="s">
        <v>565</v>
      </c>
      <c r="L2" s="817"/>
      <c r="M2" s="817"/>
      <c r="N2" s="609"/>
      <c r="O2" s="1591" t="s">
        <v>566</v>
      </c>
      <c r="P2" s="609"/>
      <c r="Q2" s="1702"/>
      <c r="R2" s="1702"/>
      <c r="W2" s="1702"/>
      <c r="Z2" s="610"/>
      <c r="AF2" s="1698"/>
      <c r="AG2" s="1698"/>
      <c r="AH2" s="1698"/>
      <c r="AI2" s="1698"/>
      <c r="AJ2" s="1698"/>
      <c r="AK2" s="1432">
        <v>0</v>
      </c>
    </row>
    <row customHeight="1" ht="11.25" hidden="1">
      <c r="E3" s="2117" t="s">
        <v>627</v>
      </c>
      <c r="L3" s="1697">
        <f>0</f>
        <v>0</v>
      </c>
      <c r="M3" s="1697">
        <v>1</v>
      </c>
      <c r="AK3" s="1697">
        <v>0</v>
      </c>
    </row>
    <row s="5297" customFormat="1" customHeight="1" ht="11.25" hidden="1">
      <c r="A4" s="1053"/>
      <c r="B4" s="1053"/>
      <c r="C4" s="1053"/>
      <c r="E4" s="1053"/>
      <c r="F4" s="1432"/>
      <c r="G4" s="1702"/>
      <c r="H4" s="686"/>
      <c r="N4" s="1432"/>
      <c r="O4" s="1698">
        <v>4</v>
      </c>
      <c r="P4" s="1432"/>
      <c r="Q4" s="1702"/>
      <c r="R4" s="1702"/>
      <c r="S4" s="1432"/>
      <c r="T4" s="1432"/>
      <c r="U4" s="1432"/>
      <c r="V4" s="1432"/>
      <c r="W4" s="1702"/>
      <c r="X4" s="1432"/>
      <c r="Y4" s="1432"/>
      <c r="Z4" s="610"/>
      <c r="AA4" s="1432"/>
      <c r="AB4" s="1432"/>
      <c r="AC4" s="1432"/>
      <c r="AD4" s="1432"/>
      <c r="AE4" s="1432"/>
      <c r="AK4" s="1698">
        <v>0</v>
      </c>
    </row>
    <row customHeight="1" ht="11.549999999999999">
      <c r="AK5" s="1697">
        <v>11</v>
      </c>
    </row>
    <row customHeight="1" ht="57.75">
      <c r="I6" s="2373" t="s">
        <v>628</v>
      </c>
      <c r="J6" s="2373"/>
      <c r="K6" s="2373"/>
      <c r="L6" s="2373"/>
      <c r="M6" s="2373"/>
      <c r="O6" s="622"/>
      <c r="AK6" s="1697">
        <v>55</v>
      </c>
    </row>
    <row customHeight="1" ht="25.2">
      <c r="I7" s="2315" t="str">
        <f>IF(org=0,"Не определено",org)</f>
        <v>Филиал "Уренгойская ГРЭС" АО "Интер РАО - Электрогенерация"</v>
      </c>
      <c r="J7" s="2315"/>
      <c r="K7" s="2315"/>
      <c r="L7" s="2315"/>
      <c r="M7" s="2315"/>
      <c r="AK7" s="1697">
        <v>24</v>
      </c>
    </row>
    <row customHeight="1" ht="11.549999999999999">
      <c r="I8" s="1201"/>
      <c r="J8" s="1201"/>
      <c r="K8" s="1201"/>
      <c r="L8" s="1201"/>
      <c r="M8" s="1201"/>
      <c r="AK8" s="1697">
        <v>11</v>
      </c>
    </row>
    <row s="4562" customFormat="1" customHeight="1" ht="30" hidden="1">
      <c r="A9" s="1233"/>
      <c r="B9" s="1233"/>
      <c r="C9" s="1233"/>
      <c r="E9" s="1233"/>
      <c r="H9" s="1708"/>
      <c r="L9" s="955"/>
      <c r="M9" s="955" t="s">
        <v>122</v>
      </c>
      <c r="AK9" s="1702">
        <v>1</v>
      </c>
    </row>
    <row customHeight="1" ht="11.549999999999999">
      <c r="E10" s="2116" t="s">
        <v>629</v>
      </c>
      <c r="I10" s="777"/>
      <c r="J10" s="2433" t="s">
        <v>110</v>
      </c>
      <c r="K10" s="2434"/>
      <c r="L10" s="2095" t="str">
        <f>IF(L9="","",INDEX(DIFFERENTIATION_UNMERGE_VD,MATCH(L9,DIFFERENTIATION_ID_DIFF,0)))</f>
        <v/>
      </c>
      <c r="M10" s="2095">
        <f>IF(M9="","",INDEX(DIFFERENTIATION_UNMERGE_VD,MATCH(M9,DIFFERENTIATION_ID_DIFF,0)))</f>
        <v>0</v>
      </c>
      <c r="O10" s="2193" t="s">
        <v>310</v>
      </c>
      <c r="AK10" s="1697">
        <v>11</v>
      </c>
    </row>
    <row customHeight="1" ht="11.549999999999999">
      <c r="E11" s="2116" t="s">
        <v>630</v>
      </c>
      <c r="I11" s="777"/>
      <c r="J11" s="2433" t="s">
        <v>573</v>
      </c>
      <c r="K11" s="2434"/>
      <c r="L11" s="2095" t="str">
        <f>IF(L9="","",INDEX(DIFFERENTIATION_UNMERGE_AREA,MATCH(L9,DIFFERENTIATION_ID_DIFF,0)))</f>
        <v/>
      </c>
      <c r="M11" s="2095" t="str">
        <f>IF(M9="","",INDEX(DIFFERENTIATION_UNMERGE_AREA,MATCH(M9,DIFFERENTIATION_ID_DIFF,0)))</f>
        <v/>
      </c>
      <c r="O11" s="2193"/>
      <c r="AK11" s="1697">
        <v>11</v>
      </c>
    </row>
    <row customHeight="1" ht="11.549999999999999">
      <c r="E12" s="2116" t="s">
        <v>631</v>
      </c>
      <c r="I12" s="1728"/>
      <c r="J12" s="2433" t="s">
        <v>574</v>
      </c>
      <c r="K12" s="2434"/>
      <c r="L12" s="2095" t="str">
        <f>IF(L9="","",INDEX(DIFFERENTIATION_UNMERGE_SYSTEM,MATCH(L9,DIFFERENTIATION_ID_DIFF,0)))</f>
        <v/>
      </c>
      <c r="M12" s="2095" t="str">
        <f>IF(M9="","",INDEX(DIFFERENTIATION_UNMERGE_SYSTEM,MATCH(M9,DIFFERENTIATION_ID_DIFF,0)))</f>
        <v>без дифференциации</v>
      </c>
      <c r="O12" s="2193"/>
      <c r="AK12" s="1697">
        <v>11</v>
      </c>
    </row>
    <row customHeight="1" ht="11.549999999999999">
      <c r="E13" s="2116" t="s">
        <v>632</v>
      </c>
      <c r="F13" s="2116" t="s">
        <v>633</v>
      </c>
      <c r="I13" s="2435" t="s">
        <v>309</v>
      </c>
      <c r="J13" s="2436"/>
      <c r="K13" s="2436"/>
      <c r="L13" s="2093"/>
      <c r="M13" s="2133"/>
      <c r="O13" s="2193"/>
      <c r="AK13" s="1697">
        <v>11</v>
      </c>
    </row>
    <row customHeight="1" ht="24">
      <c r="I14" s="2086" t="s">
        <v>93</v>
      </c>
      <c r="J14" s="2086" t="s">
        <v>311</v>
      </c>
      <c r="K14" s="2086" t="s">
        <v>575</v>
      </c>
      <c r="L14" s="2126" t="s">
        <v>312</v>
      </c>
      <c r="M14" s="2127" t="s">
        <v>312</v>
      </c>
      <c r="O14" s="2193"/>
      <c r="AK14" s="1697">
        <v>23</v>
      </c>
    </row>
    <row customHeight="1" ht="24">
      <c r="A15" s="2120"/>
      <c r="B15" s="2119" t="s">
        <v>634</v>
      </c>
      <c r="C15" s="2119" t="s">
        <v>635</v>
      </c>
      <c r="D15" s="2118" t="s">
        <v>636</v>
      </c>
      <c r="E15" s="2122" t="s">
        <v>637</v>
      </c>
      <c r="F15" s="2122" t="s">
        <v>637</v>
      </c>
      <c r="G15" s="1702" t="s">
        <v>597</v>
      </c>
      <c r="H15" s="2087"/>
      <c r="I15" s="1696">
        <v>1</v>
      </c>
      <c r="J15" s="2088" t="s">
        <v>638</v>
      </c>
      <c r="K15" s="2086" t="s">
        <v>315</v>
      </c>
      <c r="L15" s="728"/>
      <c r="M15" s="884"/>
      <c r="N15" s="609" t="s">
        <v>639</v>
      </c>
      <c r="O15" s="1591" t="s">
        <v>640</v>
      </c>
      <c r="P15" s="609" t="s">
        <v>639</v>
      </c>
      <c r="AK15" s="1697">
        <v>23</v>
      </c>
    </row>
    <row customHeight="1" ht="35.699999999999996">
      <c r="A16" s="2120"/>
      <c r="B16" s="2119" t="s">
        <v>641</v>
      </c>
      <c r="C16" s="2119" t="s">
        <v>642</v>
      </c>
      <c r="D16" s="2118" t="s">
        <v>626</v>
      </c>
      <c r="E16" s="2122" t="s">
        <v>637</v>
      </c>
      <c r="F16" s="2122" t="s">
        <v>637</v>
      </c>
      <c r="H16" s="2087"/>
      <c r="I16" s="1695">
        <v>2</v>
      </c>
      <c r="J16" s="2129" t="s">
        <v>643</v>
      </c>
      <c r="K16" s="2128" t="s">
        <v>565</v>
      </c>
      <c r="L16" s="2134"/>
      <c r="M16" s="1742"/>
      <c r="N16" s="609" t="s">
        <v>639</v>
      </c>
      <c r="O16" s="1591" t="s">
        <v>644</v>
      </c>
      <c r="P16" s="609" t="s">
        <v>639</v>
      </c>
      <c r="AK16" s="1697">
        <v>34</v>
      </c>
    </row>
    <row s="4562" customFormat="1" customHeight="1" ht="17.25" hidden="1">
      <c r="A17" s="1233"/>
      <c r="B17" s="1233"/>
      <c r="C17" s="1233"/>
      <c r="D17" s="1233"/>
      <c r="E17" s="1233"/>
      <c r="H17" s="1390"/>
      <c r="I17" s="1079" t="s">
        <v>645</v>
      </c>
      <c r="J17" s="1057"/>
      <c r="K17" s="1079"/>
      <c r="L17" s="1058"/>
      <c r="M17" s="1058"/>
      <c r="O17" s="1451"/>
      <c r="AK17" s="1702">
        <v>1</v>
      </c>
    </row>
    <row s="5002" customFormat="1" customHeight="1" ht="24">
      <c r="A18" s="1053"/>
      <c r="B18" s="1053"/>
      <c r="C18" s="1053"/>
      <c r="D18" s="1053"/>
      <c r="E18" s="1053"/>
      <c r="G18" s="1702"/>
      <c r="H18" s="1699"/>
      <c r="I18" s="636"/>
      <c r="J18" s="637" t="s">
        <v>595</v>
      </c>
      <c r="K18" s="638"/>
      <c r="L18" s="2136"/>
      <c r="M18" s="639"/>
      <c r="N18" s="609"/>
      <c r="O18" s="1591" t="s">
        <v>596</v>
      </c>
      <c r="P18" s="609"/>
      <c r="Q18" s="1702"/>
      <c r="R18" s="1702"/>
      <c r="W18" s="1702"/>
      <c r="Z18" s="610"/>
      <c r="AF18" s="1698"/>
      <c r="AG18" s="1698"/>
      <c r="AH18" s="1698"/>
      <c r="AI18" s="1698"/>
      <c r="AJ18" s="1698"/>
      <c r="AK18" s="1432">
        <v>23</v>
      </c>
    </row>
    <row customHeight="1" ht="19.95">
      <c r="A19" s="2120"/>
      <c r="B19" s="2119" t="s">
        <v>646</v>
      </c>
      <c r="C19" s="2119" t="s">
        <v>647</v>
      </c>
      <c r="D19" s="2118" t="s">
        <v>626</v>
      </c>
      <c r="E19" s="2122" t="s">
        <v>637</v>
      </c>
      <c r="F19" s="2122" t="s">
        <v>637</v>
      </c>
      <c r="H19" s="2087"/>
      <c r="I19" s="1730">
        <v>3</v>
      </c>
      <c r="J19" s="2088" t="s">
        <v>647</v>
      </c>
      <c r="K19" s="2084" t="s">
        <v>565</v>
      </c>
      <c r="L19" s="793"/>
      <c r="M19" s="623"/>
      <c r="N19" s="609"/>
      <c r="O19" s="1591" t="s">
        <v>648</v>
      </c>
      <c r="P19" s="609"/>
      <c r="AK19" s="1697">
        <v>19</v>
      </c>
    </row>
    <row customHeight="1" ht="77.7">
      <c r="A20" s="2120"/>
      <c r="B20" s="2119" t="s">
        <v>649</v>
      </c>
      <c r="C20" s="2119" t="s">
        <v>650</v>
      </c>
      <c r="D20" s="2118" t="s">
        <v>626</v>
      </c>
      <c r="E20" s="2122" t="s">
        <v>637</v>
      </c>
      <c r="F20" s="2122" t="s">
        <v>637</v>
      </c>
      <c r="H20" s="2087"/>
      <c r="I20" s="1730">
        <v>4</v>
      </c>
      <c r="J20" s="2088" t="s">
        <v>651</v>
      </c>
      <c r="K20" s="2084" t="s">
        <v>592</v>
      </c>
      <c r="L20" s="793"/>
      <c r="M20" s="623"/>
      <c r="N20" s="609"/>
      <c r="O20" s="1591"/>
      <c r="P20" s="609"/>
      <c r="AK20" s="1697">
        <v>74</v>
      </c>
    </row>
    <row customHeight="1" ht="35.699999999999996">
      <c r="A21" s="2120"/>
      <c r="B21" s="2119" t="s">
        <v>652</v>
      </c>
      <c r="C21" s="2119" t="s">
        <v>653</v>
      </c>
      <c r="D21" s="2118" t="s">
        <v>626</v>
      </c>
      <c r="E21" s="2122" t="s">
        <v>637</v>
      </c>
      <c r="F21" s="2122" t="s">
        <v>637</v>
      </c>
      <c r="H21" s="2087"/>
      <c r="I21" s="1730">
        <v>5</v>
      </c>
      <c r="J21" s="2088" t="s">
        <v>654</v>
      </c>
      <c r="K21" s="2084" t="s">
        <v>592</v>
      </c>
      <c r="L21" s="793"/>
      <c r="M21" s="623"/>
      <c r="N21" s="609"/>
      <c r="O21" s="1591" t="s">
        <v>648</v>
      </c>
      <c r="P21" s="609"/>
      <c r="AK21" s="1697">
        <v>34</v>
      </c>
    </row>
    <row customHeight="1" ht="48.29999999999999">
      <c r="A22" s="2120"/>
      <c r="B22" s="2119" t="s">
        <v>655</v>
      </c>
      <c r="C22" s="2119" t="s">
        <v>656</v>
      </c>
      <c r="D22" s="2118" t="s">
        <v>626</v>
      </c>
      <c r="E22" s="2122" t="s">
        <v>637</v>
      </c>
      <c r="F22" s="2122" t="s">
        <v>637</v>
      </c>
      <c r="H22" s="2087"/>
      <c r="I22" s="1730">
        <v>6</v>
      </c>
      <c r="J22" s="2088" t="s">
        <v>657</v>
      </c>
      <c r="K22" s="2084" t="s">
        <v>592</v>
      </c>
      <c r="L22" s="793"/>
      <c r="M22" s="623"/>
      <c r="N22" s="609"/>
      <c r="O22" s="1591" t="s">
        <v>658</v>
      </c>
      <c r="P22" s="609"/>
      <c r="AK22" s="1697">
        <v>46</v>
      </c>
    </row>
    <row customHeight="1" ht="19.95">
      <c r="A23" s="2120"/>
      <c r="B23" s="2119" t="s">
        <v>659</v>
      </c>
      <c r="C23" s="2119" t="s">
        <v>660</v>
      </c>
      <c r="D23" s="2118" t="s">
        <v>626</v>
      </c>
      <c r="E23" s="2122" t="s">
        <v>637</v>
      </c>
      <c r="F23" s="2122" t="s">
        <v>637</v>
      </c>
      <c r="H23" s="2087"/>
      <c r="I23" s="1730" t="s">
        <v>661</v>
      </c>
      <c r="J23" s="1590" t="s">
        <v>662</v>
      </c>
      <c r="K23" s="2084" t="s">
        <v>592</v>
      </c>
      <c r="L23" s="793"/>
      <c r="M23" s="623"/>
      <c r="N23" s="609"/>
      <c r="O23" s="1591" t="s">
        <v>648</v>
      </c>
      <c r="P23" s="609"/>
      <c r="AK23" s="1697">
        <v>19</v>
      </c>
    </row>
    <row customHeight="1" ht="19.95">
      <c r="A24" s="2120"/>
      <c r="B24" s="2119" t="s">
        <v>663</v>
      </c>
      <c r="C24" s="2119" t="s">
        <v>664</v>
      </c>
      <c r="D24" s="2118" t="s">
        <v>626</v>
      </c>
      <c r="E24" s="2122" t="s">
        <v>637</v>
      </c>
      <c r="F24" s="2122" t="s">
        <v>637</v>
      </c>
      <c r="H24" s="2087"/>
      <c r="I24" s="1730" t="s">
        <v>665</v>
      </c>
      <c r="J24" s="1590" t="s">
        <v>666</v>
      </c>
      <c r="K24" s="2084" t="s">
        <v>592</v>
      </c>
      <c r="L24" s="793"/>
      <c r="M24" s="623"/>
      <c r="N24" s="609"/>
      <c r="O24" s="1591"/>
      <c r="P24" s="609"/>
      <c r="AK24" s="1697">
        <v>19</v>
      </c>
    </row>
    <row customHeight="1" ht="24">
      <c r="A25" s="2120"/>
      <c r="B25" s="2119" t="s">
        <v>667</v>
      </c>
      <c r="C25" s="2119" t="s">
        <v>668</v>
      </c>
      <c r="D25" s="2118" t="s">
        <v>626</v>
      </c>
      <c r="E25" s="2122" t="s">
        <v>637</v>
      </c>
      <c r="F25" s="2122" t="s">
        <v>637</v>
      </c>
      <c r="H25" s="2087"/>
      <c r="I25" s="1730" t="s">
        <v>669</v>
      </c>
      <c r="J25" s="1590" t="s">
        <v>670</v>
      </c>
      <c r="K25" s="2084" t="s">
        <v>592</v>
      </c>
      <c r="L25" s="793"/>
      <c r="M25" s="623"/>
      <c r="N25" s="609"/>
      <c r="O25" s="1591"/>
      <c r="P25" s="609"/>
      <c r="AK25" s="1697">
        <v>23</v>
      </c>
    </row>
    <row customHeight="1" ht="24">
      <c r="A26" s="2120"/>
      <c r="B26" s="2119" t="s">
        <v>671</v>
      </c>
      <c r="C26" s="2119" t="s">
        <v>672</v>
      </c>
      <c r="D26" s="2118" t="s">
        <v>626</v>
      </c>
      <c r="E26" s="2122" t="s">
        <v>637</v>
      </c>
      <c r="F26" s="2122" t="s">
        <v>637</v>
      </c>
      <c r="H26" s="2087"/>
      <c r="I26" s="1730">
        <v>7</v>
      </c>
      <c r="J26" s="2088" t="s">
        <v>672</v>
      </c>
      <c r="K26" s="2084" t="s">
        <v>673</v>
      </c>
      <c r="L26" s="793"/>
      <c r="M26" s="623"/>
      <c r="N26" s="609"/>
      <c r="O26" s="1591"/>
      <c r="P26" s="609"/>
      <c r="AK26" s="1697">
        <v>23</v>
      </c>
    </row>
    <row customHeight="1" ht="24">
      <c r="A27" s="2120"/>
      <c r="B27" s="2119" t="s">
        <v>674</v>
      </c>
      <c r="C27" s="2119" t="s">
        <v>675</v>
      </c>
      <c r="D27" s="2118" t="s">
        <v>626</v>
      </c>
      <c r="E27" s="2122" t="s">
        <v>637</v>
      </c>
      <c r="F27" s="2122" t="s">
        <v>637</v>
      </c>
      <c r="H27" s="2087"/>
      <c r="I27" s="1730">
        <v>8</v>
      </c>
      <c r="J27" s="2088" t="s">
        <v>675</v>
      </c>
      <c r="K27" s="2084" t="s">
        <v>598</v>
      </c>
      <c r="L27" s="793"/>
      <c r="M27" s="623"/>
      <c r="N27" s="609"/>
      <c r="O27" s="1591"/>
      <c r="P27" s="609"/>
      <c r="AK27" s="1697">
        <v>23</v>
      </c>
    </row>
    <row customHeight="1" ht="35.699999999999996">
      <c r="A28" s="2120"/>
      <c r="B28" s="2119" t="s">
        <v>676</v>
      </c>
      <c r="C28" s="2119" t="s">
        <v>677</v>
      </c>
      <c r="D28" s="2118" t="s">
        <v>626</v>
      </c>
      <c r="E28" s="2122" t="s">
        <v>637</v>
      </c>
      <c r="F28" s="2122" t="s">
        <v>637</v>
      </c>
      <c r="H28" s="2087"/>
      <c r="I28" s="1741">
        <v>9</v>
      </c>
      <c r="J28" s="2088" t="s">
        <v>678</v>
      </c>
      <c r="K28" s="2084" t="s">
        <v>569</v>
      </c>
      <c r="L28" s="793"/>
      <c r="M28" s="623"/>
      <c r="N28" s="609"/>
      <c r="O28" s="1591"/>
      <c r="P28" s="609"/>
      <c r="AK28" s="1697">
        <v>34</v>
      </c>
    </row>
    <row customHeight="1" ht="35.699999999999996">
      <c r="A29" s="2120"/>
      <c r="B29" s="2119" t="s">
        <v>679</v>
      </c>
      <c r="C29" s="2119" t="s">
        <v>680</v>
      </c>
      <c r="D29" s="2118" t="s">
        <v>626</v>
      </c>
      <c r="E29" s="2122" t="s">
        <v>637</v>
      </c>
      <c r="F29" s="2122" t="s">
        <v>637</v>
      </c>
      <c r="H29" s="2087"/>
      <c r="I29" s="1741">
        <v>10</v>
      </c>
      <c r="J29" s="2088" t="s">
        <v>681</v>
      </c>
      <c r="K29" s="2084" t="s">
        <v>569</v>
      </c>
      <c r="L29" s="793"/>
      <c r="M29" s="623"/>
      <c r="N29" s="609"/>
      <c r="O29" s="1591"/>
      <c r="P29" s="609"/>
      <c r="AK29" s="1697">
        <v>34</v>
      </c>
    </row>
    <row customHeight="1" ht="24">
      <c r="A30" s="2120"/>
      <c r="B30" s="2119" t="s">
        <v>682</v>
      </c>
      <c r="C30" s="2119" t="s">
        <v>683</v>
      </c>
      <c r="D30" s="2118" t="s">
        <v>626</v>
      </c>
      <c r="E30" s="2122" t="s">
        <v>637</v>
      </c>
      <c r="F30" s="2122" t="s">
        <v>637</v>
      </c>
      <c r="H30" s="2087"/>
      <c r="I30" s="1741">
        <v>11</v>
      </c>
      <c r="J30" s="2088" t="s">
        <v>683</v>
      </c>
      <c r="K30" s="2084" t="s">
        <v>599</v>
      </c>
      <c r="L30" s="2135"/>
      <c r="M30" s="1687"/>
      <c r="N30" s="609"/>
      <c r="O30" s="1591"/>
      <c r="P30" s="609"/>
      <c r="AK30" s="1697">
        <v>23</v>
      </c>
    </row>
    <row customHeight="1" ht="24">
      <c r="A31" s="2120"/>
      <c r="B31" s="2119" t="s">
        <v>684</v>
      </c>
      <c r="C31" s="2119" t="s">
        <v>685</v>
      </c>
      <c r="D31" s="2118" t="s">
        <v>626</v>
      </c>
      <c r="E31" s="2122" t="s">
        <v>637</v>
      </c>
      <c r="F31" s="2122" t="s">
        <v>637</v>
      </c>
      <c r="H31" s="2087"/>
      <c r="I31" s="1741">
        <v>12</v>
      </c>
      <c r="J31" s="2088" t="s">
        <v>685</v>
      </c>
      <c r="K31" s="2084" t="s">
        <v>599</v>
      </c>
      <c r="L31" s="2135"/>
      <c r="M31" s="1687"/>
      <c r="N31" s="609"/>
      <c r="O31" s="1591"/>
      <c r="P31" s="609"/>
      <c r="AK31" s="1697">
        <v>23</v>
      </c>
    </row>
    <row customHeight="1" ht="48.29999999999999">
      <c r="A32" s="2120"/>
      <c r="B32" s="2119" t="s">
        <v>686</v>
      </c>
      <c r="C32" s="2119" t="s">
        <v>687</v>
      </c>
      <c r="D32" s="2118" t="s">
        <v>626</v>
      </c>
      <c r="E32" s="2122" t="s">
        <v>637</v>
      </c>
      <c r="F32" s="2122" t="s">
        <v>637</v>
      </c>
      <c r="H32" s="2087"/>
      <c r="I32" s="1741">
        <v>13</v>
      </c>
      <c r="J32" s="2088" t="s">
        <v>688</v>
      </c>
      <c r="K32" s="2084" t="s">
        <v>609</v>
      </c>
      <c r="L32" s="793"/>
      <c r="M32" s="623"/>
      <c r="N32" s="609"/>
      <c r="O32" s="1591" t="s">
        <v>648</v>
      </c>
      <c r="P32" s="609"/>
      <c r="AK32" s="1697">
        <v>46</v>
      </c>
    </row>
    <row s="5002" customFormat="1" customHeight="1" ht="48.29999999999999">
      <c r="A33" s="2120"/>
      <c r="B33" s="2119" t="s">
        <v>689</v>
      </c>
      <c r="C33" s="2119" t="s">
        <v>690</v>
      </c>
      <c r="D33" s="2118" t="s">
        <v>626</v>
      </c>
      <c r="E33" s="2122" t="s">
        <v>637</v>
      </c>
      <c r="F33" s="2122" t="s">
        <v>637</v>
      </c>
      <c r="G33" s="1702"/>
      <c r="H33" s="2087"/>
      <c r="I33" s="1741">
        <v>14</v>
      </c>
      <c r="J33" s="2100" t="s">
        <v>691</v>
      </c>
      <c r="K33" s="2089" t="s">
        <v>692</v>
      </c>
      <c r="L33" s="793"/>
      <c r="M33" s="623"/>
      <c r="N33" s="609"/>
      <c r="O33" s="1591" t="s">
        <v>648</v>
      </c>
      <c r="P33" s="609"/>
      <c r="Q33" s="1702"/>
      <c r="R33" s="1702"/>
      <c r="W33" s="1702"/>
      <c r="Z33" s="610"/>
      <c r="AF33" s="1698"/>
      <c r="AG33" s="1698"/>
      <c r="AH33" s="1698"/>
      <c r="AI33" s="1698"/>
      <c r="AJ33" s="1698"/>
      <c r="AK33" s="1432">
        <v>46</v>
      </c>
    </row>
    <row customHeight="1" ht="108">
      <c r="A34" s="2120"/>
      <c r="B34" s="2119" t="s">
        <v>693</v>
      </c>
      <c r="C34" s="2119" t="s">
        <v>694</v>
      </c>
      <c r="D34" s="2118" t="s">
        <v>636</v>
      </c>
      <c r="E34" s="2122" t="s">
        <v>637</v>
      </c>
      <c r="F34" s="2122" t="s">
        <v>637</v>
      </c>
      <c r="G34" s="1702" t="s">
        <v>597</v>
      </c>
      <c r="H34" s="2087"/>
      <c r="I34" s="2098">
        <v>15</v>
      </c>
      <c r="J34" s="2099" t="s">
        <v>695</v>
      </c>
      <c r="K34" s="2084" t="s">
        <v>315</v>
      </c>
      <c r="L34" s="451"/>
      <c r="M34" s="1230"/>
      <c r="N34" s="609"/>
      <c r="O34" s="1591" t="s">
        <v>640</v>
      </c>
      <c r="P34" s="609"/>
      <c r="AK34" s="1697">
        <v>103</v>
      </c>
    </row>
    <row s="4153" customFormat="1" customHeight="1" ht="11.549999999999999">
      <c r="A35" s="1053"/>
      <c r="B35" s="1053"/>
      <c r="C35" s="1053"/>
      <c r="D35" s="1053"/>
      <c r="E35" s="1053"/>
      <c r="F35" s="1702"/>
      <c r="G35" s="1702"/>
      <c r="H35" s="417"/>
      <c r="N35" s="1432"/>
      <c r="P35" s="1432"/>
      <c r="Q35" s="1702"/>
      <c r="R35" s="1702"/>
      <c r="S35" s="1432"/>
      <c r="T35" s="1432"/>
      <c r="U35" s="1432"/>
      <c r="V35" s="1432"/>
      <c r="W35" s="1702"/>
      <c r="X35" s="1432"/>
      <c r="Y35" s="1432"/>
      <c r="Z35" s="610"/>
      <c r="AA35" s="1432"/>
      <c r="AB35" s="1432"/>
      <c r="AC35" s="1432"/>
      <c r="AD35" s="1432"/>
      <c r="AE35" s="1432"/>
      <c r="AF35" s="1698"/>
      <c r="AG35" s="688"/>
      <c r="AH35" s="688"/>
      <c r="AI35" s="688"/>
      <c r="AJ35" s="688"/>
      <c r="AK35" s="1707">
        <v>11</v>
      </c>
    </row>
    <row s="4153" customFormat="1" customHeight="1" ht="11.549999999999999">
      <c r="A36" s="1053"/>
      <c r="B36" s="1053"/>
      <c r="C36" s="1053"/>
      <c r="D36" s="1053"/>
      <c r="E36" s="1053"/>
      <c r="F36" s="1702"/>
      <c r="G36" s="1702"/>
      <c r="H36" s="417"/>
      <c r="N36" s="1432"/>
      <c r="P36" s="1432"/>
      <c r="Q36" s="1702"/>
      <c r="R36" s="1702"/>
      <c r="S36" s="1432"/>
      <c r="T36" s="1432"/>
      <c r="U36" s="1432"/>
      <c r="V36" s="1432"/>
      <c r="W36" s="1702"/>
      <c r="X36" s="1432"/>
      <c r="Y36" s="1432"/>
      <c r="Z36" s="610"/>
      <c r="AA36" s="1432"/>
      <c r="AB36" s="1432"/>
      <c r="AC36" s="1432"/>
      <c r="AD36" s="1432"/>
      <c r="AE36" s="1432"/>
      <c r="AF36" s="1698"/>
      <c r="AG36" s="688"/>
      <c r="AH36" s="688"/>
      <c r="AI36" s="688"/>
      <c r="AJ36" s="688"/>
      <c r="AK36" s="1707">
        <v>11</v>
      </c>
    </row>
    <row s="4153" customFormat="1" customHeight="1" ht="11.549999999999999">
      <c r="A37" s="1053"/>
      <c r="B37" s="1053"/>
      <c r="C37" s="1053"/>
      <c r="D37" s="1053"/>
      <c r="E37" s="1053"/>
      <c r="F37" s="1702"/>
      <c r="G37" s="1702"/>
      <c r="H37" s="417"/>
      <c r="L37" s="688"/>
      <c r="M37" s="688"/>
      <c r="N37" s="1432"/>
      <c r="P37" s="1432"/>
      <c r="Q37" s="1702"/>
      <c r="R37" s="1702"/>
      <c r="S37" s="1432"/>
      <c r="T37" s="1432"/>
      <c r="U37" s="1432"/>
      <c r="V37" s="1432"/>
      <c r="W37" s="1702"/>
      <c r="X37" s="1432"/>
      <c r="Y37" s="1432"/>
      <c r="Z37" s="610"/>
      <c r="AA37" s="1432"/>
      <c r="AB37" s="1432"/>
      <c r="AC37" s="1432"/>
      <c r="AD37" s="1432"/>
      <c r="AE37" s="1432"/>
      <c r="AF37" s="1698"/>
      <c r="AG37" s="688"/>
      <c r="AH37" s="688"/>
      <c r="AI37" s="688"/>
      <c r="AJ37" s="688"/>
      <c r="AK37" s="1707">
        <v>11</v>
      </c>
    </row>
    <row s="4153" customFormat="1" customHeight="1" ht="11.549999999999999">
      <c r="A38" s="1053"/>
      <c r="B38" s="1053"/>
      <c r="C38" s="1053"/>
      <c r="D38" s="1053"/>
      <c r="E38" s="1053"/>
      <c r="F38" s="1702"/>
      <c r="G38" s="1702"/>
      <c r="H38" s="417"/>
      <c r="N38" s="1432"/>
      <c r="P38" s="1432"/>
      <c r="Q38" s="1702"/>
      <c r="R38" s="1702"/>
      <c r="S38" s="1432"/>
      <c r="T38" s="1432"/>
      <c r="U38" s="1432"/>
      <c r="V38" s="1432"/>
      <c r="W38" s="1702"/>
      <c r="X38" s="1432"/>
      <c r="Y38" s="1432"/>
      <c r="Z38" s="610"/>
      <c r="AA38" s="1432"/>
      <c r="AB38" s="1432"/>
      <c r="AC38" s="1432"/>
      <c r="AD38" s="1432"/>
      <c r="AE38" s="1432"/>
      <c r="AF38" s="1698"/>
      <c r="AG38" s="688"/>
      <c r="AH38" s="688"/>
      <c r="AI38" s="688"/>
      <c r="AJ38" s="688"/>
      <c r="AK38" s="1707">
        <v>11</v>
      </c>
    </row>
    <row s="4153" customFormat="1" customHeight="1" ht="11.549999999999999">
      <c r="A39" s="1053"/>
      <c r="B39" s="1053"/>
      <c r="C39" s="1053"/>
      <c r="D39" s="1053"/>
      <c r="E39" s="1053"/>
      <c r="F39" s="1702"/>
      <c r="G39" s="1702"/>
      <c r="H39" s="417"/>
      <c r="N39" s="1432"/>
      <c r="P39" s="1432"/>
      <c r="Q39" s="1702"/>
      <c r="R39" s="1702"/>
      <c r="S39" s="1432"/>
      <c r="T39" s="1432"/>
      <c r="U39" s="1432"/>
      <c r="V39" s="1432"/>
      <c r="W39" s="1702"/>
      <c r="X39" s="1432"/>
      <c r="Y39" s="1432"/>
      <c r="Z39" s="610"/>
      <c r="AA39" s="1432"/>
      <c r="AB39" s="1432"/>
      <c r="AC39" s="1432"/>
      <c r="AD39" s="1432"/>
      <c r="AE39" s="1432"/>
      <c r="AF39" s="1698"/>
      <c r="AG39" s="688"/>
      <c r="AH39" s="688"/>
      <c r="AI39" s="688"/>
      <c r="AJ39" s="688"/>
      <c r="AK39" s="1707">
        <v>11</v>
      </c>
    </row>
    <row s="4153" customFormat="1" customHeight="1" ht="11.549999999999999">
      <c r="A40" s="1053"/>
      <c r="B40" s="1053"/>
      <c r="C40" s="1053"/>
      <c r="D40" s="1053"/>
      <c r="E40" s="1053"/>
      <c r="F40" s="1702"/>
      <c r="G40" s="1702"/>
      <c r="H40" s="417"/>
      <c r="N40" s="1432"/>
      <c r="P40" s="1432"/>
      <c r="Q40" s="1702"/>
      <c r="R40" s="1702"/>
      <c r="S40" s="1432"/>
      <c r="T40" s="1432"/>
      <c r="U40" s="1432"/>
      <c r="V40" s="1432"/>
      <c r="W40" s="1702"/>
      <c r="X40" s="1432"/>
      <c r="Y40" s="1432"/>
      <c r="Z40" s="610"/>
      <c r="AA40" s="1432"/>
      <c r="AB40" s="1432"/>
      <c r="AC40" s="1432"/>
      <c r="AD40" s="1432"/>
      <c r="AE40" s="1432"/>
      <c r="AF40" s="1698"/>
      <c r="AG40" s="688"/>
      <c r="AH40" s="688"/>
      <c r="AI40" s="688"/>
      <c r="AJ40" s="688"/>
      <c r="AK40" s="1707">
        <v>11</v>
      </c>
    </row>
    <row s="4153" customFormat="1" customHeight="1" ht="11.549999999999999">
      <c r="A41" s="1053"/>
      <c r="B41" s="1053"/>
      <c r="C41" s="1053"/>
      <c r="D41" s="1053"/>
      <c r="E41" s="1053"/>
      <c r="F41" s="1702"/>
      <c r="G41" s="1702"/>
      <c r="H41" s="417"/>
      <c r="N41" s="1432"/>
      <c r="P41" s="1432"/>
      <c r="Q41" s="1702"/>
      <c r="R41" s="1702"/>
      <c r="S41" s="1432"/>
      <c r="T41" s="1432"/>
      <c r="U41" s="1432"/>
      <c r="V41" s="1432"/>
      <c r="W41" s="1702"/>
      <c r="X41" s="1432"/>
      <c r="Y41" s="1432"/>
      <c r="Z41" s="610"/>
      <c r="AA41" s="1432"/>
      <c r="AB41" s="1432"/>
      <c r="AC41" s="1432"/>
      <c r="AD41" s="1432"/>
      <c r="AE41" s="1432"/>
      <c r="AF41" s="1698"/>
      <c r="AG41" s="688"/>
      <c r="AH41" s="688"/>
      <c r="AI41" s="688"/>
      <c r="AJ41" s="688"/>
      <c r="AK41" s="1707">
        <v>11</v>
      </c>
    </row>
    <row s="4153" customFormat="1" customHeight="1" ht="11.549999999999999">
      <c r="A42" s="1053"/>
      <c r="B42" s="1053"/>
      <c r="C42" s="1053"/>
      <c r="D42" s="1053"/>
      <c r="E42" s="1053"/>
      <c r="F42" s="1702"/>
      <c r="G42" s="1702"/>
      <c r="H42" s="417"/>
      <c r="N42" s="1432"/>
      <c r="P42" s="1432"/>
      <c r="Q42" s="1702"/>
      <c r="R42" s="1702"/>
      <c r="S42" s="1432"/>
      <c r="T42" s="1432"/>
      <c r="U42" s="1432"/>
      <c r="V42" s="1432"/>
      <c r="W42" s="1702"/>
      <c r="X42" s="1432"/>
      <c r="Y42" s="1432"/>
      <c r="Z42" s="610"/>
      <c r="AA42" s="1432"/>
      <c r="AB42" s="1432"/>
      <c r="AC42" s="1432"/>
      <c r="AD42" s="1432"/>
      <c r="AE42" s="1432"/>
      <c r="AF42" s="1698"/>
      <c r="AG42" s="688"/>
      <c r="AH42" s="688"/>
      <c r="AI42" s="688"/>
      <c r="AJ42" s="688"/>
      <c r="AK42" s="1707">
        <v>11</v>
      </c>
    </row>
    <row s="4153" customFormat="1" customHeight="1" ht="11.549999999999999">
      <c r="A43" s="1053"/>
      <c r="B43" s="1053"/>
      <c r="C43" s="1053"/>
      <c r="D43" s="1053"/>
      <c r="E43" s="1053"/>
      <c r="F43" s="1702"/>
      <c r="G43" s="1702"/>
      <c r="H43" s="417"/>
      <c r="N43" s="1432"/>
      <c r="P43" s="1432"/>
      <c r="Q43" s="1702"/>
      <c r="R43" s="1702"/>
      <c r="S43" s="1432"/>
      <c r="T43" s="1432"/>
      <c r="U43" s="1432"/>
      <c r="V43" s="1432"/>
      <c r="W43" s="1702"/>
      <c r="X43" s="1432"/>
      <c r="Y43" s="1432"/>
      <c r="Z43" s="610"/>
      <c r="AA43" s="1432"/>
      <c r="AB43" s="1432"/>
      <c r="AC43" s="1432"/>
      <c r="AD43" s="1432"/>
      <c r="AE43" s="1432"/>
      <c r="AF43" s="1698"/>
      <c r="AG43" s="688"/>
      <c r="AH43" s="688"/>
      <c r="AI43" s="688"/>
      <c r="AJ43" s="688"/>
      <c r="AK43" s="1707">
        <v>11</v>
      </c>
    </row>
    <row s="4153" customFormat="1" customHeight="1" ht="11.549999999999999">
      <c r="A44" s="1053"/>
      <c r="B44" s="1053"/>
      <c r="C44" s="1053"/>
      <c r="D44" s="1053"/>
      <c r="E44" s="1053"/>
      <c r="F44" s="1702"/>
      <c r="G44" s="1702"/>
      <c r="H44" s="417"/>
      <c r="N44" s="1432"/>
      <c r="P44" s="1432"/>
      <c r="Q44" s="1702"/>
      <c r="R44" s="1702"/>
      <c r="S44" s="1432"/>
      <c r="T44" s="1432"/>
      <c r="U44" s="1432"/>
      <c r="V44" s="1432"/>
      <c r="W44" s="1702"/>
      <c r="X44" s="1432"/>
      <c r="Y44" s="1432"/>
      <c r="Z44" s="610"/>
      <c r="AA44" s="1432"/>
      <c r="AB44" s="1432"/>
      <c r="AC44" s="1432"/>
      <c r="AD44" s="1432"/>
      <c r="AE44" s="1432"/>
      <c r="AF44" s="1698"/>
      <c r="AG44" s="688"/>
      <c r="AH44" s="688"/>
      <c r="AI44" s="688"/>
      <c r="AJ44" s="688"/>
      <c r="AK44" s="1707">
        <v>11</v>
      </c>
    </row>
    <row s="4153" customFormat="1" customHeight="1" ht="11.549999999999999">
      <c r="A45" s="1053"/>
      <c r="B45" s="1053"/>
      <c r="C45" s="1053"/>
      <c r="D45" s="1053"/>
      <c r="E45" s="1053"/>
      <c r="F45" s="1702"/>
      <c r="G45" s="1702"/>
      <c r="H45" s="417"/>
      <c r="N45" s="1432"/>
      <c r="P45" s="1432"/>
      <c r="Q45" s="1702"/>
      <c r="R45" s="1702"/>
      <c r="S45" s="1432"/>
      <c r="T45" s="1432"/>
      <c r="U45" s="1432"/>
      <c r="V45" s="1432"/>
      <c r="W45" s="1702"/>
      <c r="X45" s="1432"/>
      <c r="Y45" s="1432"/>
      <c r="Z45" s="610"/>
      <c r="AA45" s="1432"/>
      <c r="AB45" s="1432"/>
      <c r="AC45" s="1432"/>
      <c r="AD45" s="1432"/>
      <c r="AE45" s="1432"/>
      <c r="AF45" s="1698"/>
      <c r="AG45" s="688"/>
      <c r="AH45" s="688"/>
      <c r="AI45" s="688"/>
      <c r="AJ45" s="688"/>
      <c r="AK45" s="1707">
        <v>11</v>
      </c>
    </row>
    <row s="4153" customFormat="1" customHeight="1" ht="11.549999999999999">
      <c r="A46" s="1053"/>
      <c r="B46" s="1053"/>
      <c r="C46" s="1053"/>
      <c r="D46" s="1053"/>
      <c r="E46" s="1053"/>
      <c r="F46" s="1702"/>
      <c r="G46" s="1702"/>
      <c r="H46" s="417"/>
      <c r="N46" s="1432"/>
      <c r="P46" s="1432"/>
      <c r="Q46" s="1702"/>
      <c r="R46" s="1702"/>
      <c r="S46" s="1432"/>
      <c r="T46" s="1432"/>
      <c r="U46" s="1432"/>
      <c r="V46" s="1432"/>
      <c r="W46" s="1702"/>
      <c r="X46" s="1432"/>
      <c r="Y46" s="1432"/>
      <c r="Z46" s="610"/>
      <c r="AA46" s="1432"/>
      <c r="AB46" s="1432"/>
      <c r="AC46" s="1432"/>
      <c r="AD46" s="1432"/>
      <c r="AE46" s="1432"/>
      <c r="AF46" s="1698"/>
      <c r="AG46" s="688"/>
      <c r="AH46" s="688"/>
      <c r="AI46" s="688"/>
      <c r="AJ46" s="688"/>
      <c r="AK46" s="1707">
        <v>11</v>
      </c>
    </row>
    <row s="4153" customFormat="1" customHeight="1" ht="11.549999999999999">
      <c r="A47" s="1053"/>
      <c r="B47" s="1053"/>
      <c r="C47" s="1053"/>
      <c r="D47" s="1053"/>
      <c r="E47" s="1053"/>
      <c r="F47" s="1702"/>
      <c r="G47" s="1702"/>
      <c r="H47" s="417"/>
      <c r="N47" s="1432"/>
      <c r="P47" s="1432"/>
      <c r="Q47" s="1702"/>
      <c r="R47" s="1702"/>
      <c r="S47" s="1432"/>
      <c r="T47" s="1432"/>
      <c r="U47" s="1432"/>
      <c r="V47" s="1432"/>
      <c r="W47" s="1702"/>
      <c r="X47" s="1432"/>
      <c r="Y47" s="1432"/>
      <c r="Z47" s="610"/>
      <c r="AA47" s="1432"/>
      <c r="AB47" s="1432"/>
      <c r="AC47" s="1432"/>
      <c r="AD47" s="1432"/>
      <c r="AE47" s="1432"/>
      <c r="AF47" s="1698"/>
      <c r="AG47" s="688"/>
      <c r="AH47" s="688"/>
      <c r="AI47" s="688"/>
      <c r="AJ47" s="688"/>
      <c r="AK47" s="1707">
        <v>11</v>
      </c>
    </row>
    <row s="4153" customFormat="1" customHeight="1" ht="11.549999999999999">
      <c r="A48" s="1053"/>
      <c r="B48" s="1053"/>
      <c r="C48" s="1053"/>
      <c r="D48" s="1053"/>
      <c r="E48" s="1053"/>
      <c r="F48" s="1702"/>
      <c r="G48" s="1702"/>
      <c r="H48" s="417"/>
      <c r="N48" s="1432"/>
      <c r="P48" s="1432"/>
      <c r="Q48" s="1702"/>
      <c r="R48" s="1702"/>
      <c r="S48" s="1432"/>
      <c r="T48" s="1432"/>
      <c r="U48" s="1432"/>
      <c r="V48" s="1432"/>
      <c r="W48" s="1702"/>
      <c r="X48" s="1432"/>
      <c r="Y48" s="1432"/>
      <c r="Z48" s="610"/>
      <c r="AA48" s="1432"/>
      <c r="AB48" s="1432"/>
      <c r="AC48" s="1432"/>
      <c r="AD48" s="1432"/>
      <c r="AE48" s="1432"/>
      <c r="AF48" s="1698"/>
      <c r="AG48" s="688"/>
      <c r="AH48" s="688"/>
      <c r="AI48" s="688"/>
      <c r="AJ48" s="688"/>
      <c r="AK48" s="1707">
        <v>11</v>
      </c>
    </row>
    <row s="4153" customFormat="1" customHeight="1" ht="11.549999999999999">
      <c r="A49" s="1053"/>
      <c r="B49" s="1053"/>
      <c r="C49" s="1053"/>
      <c r="D49" s="1053"/>
      <c r="E49" s="1053"/>
      <c r="F49" s="1702"/>
      <c r="G49" s="1702"/>
      <c r="H49" s="417"/>
      <c r="N49" s="1432"/>
      <c r="P49" s="1432"/>
      <c r="Q49" s="1702"/>
      <c r="R49" s="1702"/>
      <c r="S49" s="1432"/>
      <c r="T49" s="1432"/>
      <c r="U49" s="1432"/>
      <c r="V49" s="1432"/>
      <c r="W49" s="1702"/>
      <c r="X49" s="1432"/>
      <c r="Y49" s="1432"/>
      <c r="Z49" s="610"/>
      <c r="AA49" s="1432"/>
      <c r="AB49" s="1432"/>
      <c r="AC49" s="1432"/>
      <c r="AD49" s="1432"/>
      <c r="AE49" s="1432"/>
      <c r="AF49" s="1698"/>
      <c r="AG49" s="688"/>
      <c r="AH49" s="688"/>
      <c r="AI49" s="688"/>
      <c r="AJ49" s="688"/>
      <c r="AK49" s="1707">
        <v>11</v>
      </c>
    </row>
    <row s="4153" customFormat="1" customHeight="1" ht="11.549999999999999">
      <c r="A50" s="1053"/>
      <c r="B50" s="1053"/>
      <c r="C50" s="1053"/>
      <c r="D50" s="1053"/>
      <c r="E50" s="1053"/>
      <c r="F50" s="1702"/>
      <c r="G50" s="1702"/>
      <c r="H50" s="417"/>
      <c r="N50" s="1432"/>
      <c r="P50" s="1432"/>
      <c r="Q50" s="1702"/>
      <c r="R50" s="1702"/>
      <c r="S50" s="1432"/>
      <c r="T50" s="1432"/>
      <c r="U50" s="1432"/>
      <c r="V50" s="1432"/>
      <c r="W50" s="1702"/>
      <c r="X50" s="1432"/>
      <c r="Y50" s="1432"/>
      <c r="Z50" s="610"/>
      <c r="AA50" s="1432"/>
      <c r="AB50" s="1432"/>
      <c r="AC50" s="1432"/>
      <c r="AD50" s="1432"/>
      <c r="AE50" s="1432"/>
      <c r="AF50" s="1698"/>
      <c r="AG50" s="688"/>
      <c r="AH50" s="688"/>
      <c r="AI50" s="688"/>
      <c r="AJ50" s="688"/>
      <c r="AK50" s="1707">
        <v>11</v>
      </c>
    </row>
    <row s="4153" customFormat="1" customHeight="1" ht="11.549999999999999">
      <c r="A51" s="1053"/>
      <c r="B51" s="1053"/>
      <c r="C51" s="1053"/>
      <c r="D51" s="1053"/>
      <c r="E51" s="1053"/>
      <c r="F51" s="1702"/>
      <c r="G51" s="1702"/>
      <c r="H51" s="417"/>
      <c r="N51" s="1432"/>
      <c r="P51" s="1432"/>
      <c r="Q51" s="1702"/>
      <c r="R51" s="1702"/>
      <c r="S51" s="1432"/>
      <c r="T51" s="1432"/>
      <c r="U51" s="1432"/>
      <c r="V51" s="1432"/>
      <c r="W51" s="1702"/>
      <c r="X51" s="1432"/>
      <c r="Y51" s="1432"/>
      <c r="Z51" s="610"/>
      <c r="AA51" s="1432"/>
      <c r="AB51" s="1432"/>
      <c r="AC51" s="1432"/>
      <c r="AD51" s="1432"/>
      <c r="AE51" s="1432"/>
      <c r="AF51" s="1698"/>
      <c r="AG51" s="688"/>
      <c r="AH51" s="688"/>
      <c r="AI51" s="688"/>
      <c r="AJ51" s="688"/>
      <c r="AK51" s="1707">
        <v>11</v>
      </c>
    </row>
    <row s="4153" customFormat="1" customHeight="1" ht="11.549999999999999">
      <c r="A52" s="1053"/>
      <c r="B52" s="1053"/>
      <c r="C52" s="1053"/>
      <c r="D52" s="1053"/>
      <c r="E52" s="1053"/>
      <c r="F52" s="1702"/>
      <c r="G52" s="1702"/>
      <c r="H52" s="417"/>
      <c r="N52" s="1432"/>
      <c r="P52" s="1432"/>
      <c r="Q52" s="1702"/>
      <c r="R52" s="1702"/>
      <c r="S52" s="1432"/>
      <c r="T52" s="1432"/>
      <c r="U52" s="1432"/>
      <c r="V52" s="1432"/>
      <c r="W52" s="1702"/>
      <c r="X52" s="1432"/>
      <c r="Y52" s="1432"/>
      <c r="Z52" s="610"/>
      <c r="AA52" s="1432"/>
      <c r="AB52" s="1432"/>
      <c r="AC52" s="1432"/>
      <c r="AD52" s="1432"/>
      <c r="AE52" s="1432"/>
      <c r="AF52" s="1698"/>
      <c r="AG52" s="688"/>
      <c r="AH52" s="688"/>
      <c r="AI52" s="688"/>
      <c r="AJ52" s="688"/>
      <c r="AK52" s="1707">
        <v>11</v>
      </c>
    </row>
    <row s="4153" customFormat="1" customHeight="1" ht="11.549999999999999">
      <c r="A53" s="1053"/>
      <c r="B53" s="1053"/>
      <c r="C53" s="1053"/>
      <c r="D53" s="1053"/>
      <c r="E53" s="1053"/>
      <c r="F53" s="1702"/>
      <c r="G53" s="1702"/>
      <c r="H53" s="417"/>
      <c r="N53" s="1432"/>
      <c r="P53" s="1432"/>
      <c r="Q53" s="1702"/>
      <c r="R53" s="1702"/>
      <c r="S53" s="1432"/>
      <c r="T53" s="1432"/>
      <c r="U53" s="1432"/>
      <c r="V53" s="1432"/>
      <c r="W53" s="1702"/>
      <c r="X53" s="1432"/>
      <c r="Y53" s="1432"/>
      <c r="Z53" s="610"/>
      <c r="AA53" s="1432"/>
      <c r="AB53" s="1432"/>
      <c r="AC53" s="1432"/>
      <c r="AD53" s="1432"/>
      <c r="AE53" s="1432"/>
      <c r="AF53" s="1698"/>
      <c r="AG53" s="688"/>
      <c r="AH53" s="688"/>
      <c r="AI53" s="688"/>
      <c r="AJ53" s="688"/>
      <c r="AK53" s="1707">
        <v>11</v>
      </c>
    </row>
    <row s="4153" customFormat="1" customHeight="1" ht="11.549999999999999">
      <c r="A54" s="1053"/>
      <c r="B54" s="1053"/>
      <c r="C54" s="1053"/>
      <c r="D54" s="1053"/>
      <c r="E54" s="1053"/>
      <c r="F54" s="1702"/>
      <c r="G54" s="1702"/>
      <c r="H54" s="417"/>
      <c r="N54" s="1432"/>
      <c r="P54" s="1432"/>
      <c r="Q54" s="1702"/>
      <c r="R54" s="1702"/>
      <c r="S54" s="1432"/>
      <c r="T54" s="1432"/>
      <c r="U54" s="1432"/>
      <c r="V54" s="1432"/>
      <c r="W54" s="1702"/>
      <c r="X54" s="1432"/>
      <c r="Y54" s="1432"/>
      <c r="Z54" s="610"/>
      <c r="AA54" s="1432"/>
      <c r="AB54" s="1432"/>
      <c r="AC54" s="1432"/>
      <c r="AD54" s="1432"/>
      <c r="AE54" s="1432"/>
      <c r="AF54" s="1698"/>
      <c r="AG54" s="688"/>
      <c r="AH54" s="688"/>
      <c r="AI54" s="688"/>
      <c r="AJ54" s="688"/>
      <c r="AK54" s="1707">
        <v>11</v>
      </c>
    </row>
    <row s="4153" customFormat="1" customHeight="1" ht="11.549999999999999">
      <c r="A55" s="1053"/>
      <c r="B55" s="1053"/>
      <c r="C55" s="1053"/>
      <c r="D55" s="1053"/>
      <c r="E55" s="1053"/>
      <c r="F55" s="1702"/>
      <c r="G55" s="1702"/>
      <c r="H55" s="417"/>
      <c r="N55" s="1432"/>
      <c r="P55" s="1432"/>
      <c r="Q55" s="1702"/>
      <c r="R55" s="1702"/>
      <c r="S55" s="1432"/>
      <c r="T55" s="1432"/>
      <c r="U55" s="1432"/>
      <c r="V55" s="1432"/>
      <c r="W55" s="1702"/>
      <c r="X55" s="1432"/>
      <c r="Y55" s="1432"/>
      <c r="Z55" s="610"/>
      <c r="AA55" s="1432"/>
      <c r="AB55" s="1432"/>
      <c r="AC55" s="1432"/>
      <c r="AD55" s="1432"/>
      <c r="AE55" s="1432"/>
      <c r="AF55" s="1698"/>
      <c r="AG55" s="688"/>
      <c r="AH55" s="688"/>
      <c r="AI55" s="688"/>
      <c r="AJ55" s="688"/>
      <c r="AK55" s="1707">
        <v>11</v>
      </c>
    </row>
    <row s="4153" customFormat="1" customHeight="1" ht="11.549999999999999">
      <c r="A56" s="1053"/>
      <c r="B56" s="1053"/>
      <c r="C56" s="1053"/>
      <c r="D56" s="1053"/>
      <c r="E56" s="1053"/>
      <c r="F56" s="1702"/>
      <c r="G56" s="1702"/>
      <c r="H56" s="417"/>
      <c r="N56" s="1432"/>
      <c r="P56" s="1432"/>
      <c r="Q56" s="1702"/>
      <c r="R56" s="1702"/>
      <c r="S56" s="1432"/>
      <c r="T56" s="1432"/>
      <c r="U56" s="1432"/>
      <c r="V56" s="1432"/>
      <c r="W56" s="1702"/>
      <c r="X56" s="1432"/>
      <c r="Y56" s="1432"/>
      <c r="Z56" s="610"/>
      <c r="AA56" s="1432"/>
      <c r="AB56" s="1432"/>
      <c r="AC56" s="1432"/>
      <c r="AD56" s="1432"/>
      <c r="AE56" s="1432"/>
      <c r="AF56" s="1698"/>
      <c r="AG56" s="688"/>
      <c r="AH56" s="688"/>
      <c r="AI56" s="688"/>
      <c r="AJ56" s="688"/>
      <c r="AK56" s="1707">
        <v>11</v>
      </c>
    </row>
    <row s="4153" customFormat="1" customHeight="1" ht="11.549999999999999">
      <c r="A57" s="1053"/>
      <c r="B57" s="1053"/>
      <c r="C57" s="1053"/>
      <c r="D57" s="1053"/>
      <c r="E57" s="1053"/>
      <c r="F57" s="1702"/>
      <c r="G57" s="1702"/>
      <c r="H57" s="417"/>
      <c r="N57" s="1432"/>
      <c r="P57" s="1432"/>
      <c r="Q57" s="1702"/>
      <c r="R57" s="1702"/>
      <c r="S57" s="1432"/>
      <c r="T57" s="1432"/>
      <c r="U57" s="1432"/>
      <c r="V57" s="1432"/>
      <c r="W57" s="1702"/>
      <c r="X57" s="1432"/>
      <c r="Y57" s="1432"/>
      <c r="Z57" s="610"/>
      <c r="AA57" s="1432"/>
      <c r="AB57" s="1432"/>
      <c r="AC57" s="1432"/>
      <c r="AD57" s="1432"/>
      <c r="AE57" s="1432"/>
      <c r="AF57" s="1698"/>
      <c r="AG57" s="688"/>
      <c r="AH57" s="688"/>
      <c r="AI57" s="688"/>
      <c r="AJ57" s="688"/>
      <c r="AK57" s="1707">
        <v>11</v>
      </c>
    </row>
    <row s="4153" customFormat="1" customHeight="1" ht="11.549999999999999">
      <c r="A58" s="1053"/>
      <c r="B58" s="1053"/>
      <c r="C58" s="1053"/>
      <c r="D58" s="1053"/>
      <c r="E58" s="1053"/>
      <c r="F58" s="1702"/>
      <c r="G58" s="1702"/>
      <c r="H58" s="417"/>
      <c r="N58" s="1432"/>
      <c r="P58" s="1432"/>
      <c r="Q58" s="1702"/>
      <c r="R58" s="1702"/>
      <c r="S58" s="1432"/>
      <c r="T58" s="1432"/>
      <c r="U58" s="1432"/>
      <c r="V58" s="1432"/>
      <c r="W58" s="1702"/>
      <c r="X58" s="1432"/>
      <c r="Y58" s="1432"/>
      <c r="Z58" s="610"/>
      <c r="AA58" s="1432"/>
      <c r="AB58" s="1432"/>
      <c r="AC58" s="1432"/>
      <c r="AD58" s="1432"/>
      <c r="AE58" s="1432"/>
      <c r="AF58" s="1698"/>
      <c r="AG58" s="688"/>
      <c r="AH58" s="688"/>
      <c r="AI58" s="688"/>
      <c r="AJ58" s="688"/>
      <c r="AK58" s="1707">
        <v>11</v>
      </c>
    </row>
    <row s="4153" customFormat="1" customHeight="1" ht="11.549999999999999">
      <c r="A59" s="1053"/>
      <c r="B59" s="1053"/>
      <c r="C59" s="1053"/>
      <c r="D59" s="1053"/>
      <c r="E59" s="1053"/>
      <c r="F59" s="1702"/>
      <c r="G59" s="1702"/>
      <c r="H59" s="417"/>
      <c r="N59" s="1432"/>
      <c r="P59" s="1432"/>
      <c r="Q59" s="1702"/>
      <c r="R59" s="1702"/>
      <c r="S59" s="1432"/>
      <c r="T59" s="1432"/>
      <c r="U59" s="1432"/>
      <c r="V59" s="1432"/>
      <c r="W59" s="1702"/>
      <c r="X59" s="1432"/>
      <c r="Y59" s="1432"/>
      <c r="Z59" s="610"/>
      <c r="AA59" s="1432"/>
      <c r="AB59" s="1432"/>
      <c r="AC59" s="1432"/>
      <c r="AD59" s="1432"/>
      <c r="AE59" s="1432"/>
      <c r="AF59" s="1698"/>
      <c r="AG59" s="688"/>
      <c r="AH59" s="688"/>
      <c r="AI59" s="688"/>
      <c r="AJ59" s="688"/>
      <c r="AK59" s="1707">
        <v>11</v>
      </c>
    </row>
    <row s="4153" customFormat="1" customHeight="1" ht="11.549999999999999">
      <c r="A60" s="1053"/>
      <c r="B60" s="1053"/>
      <c r="C60" s="1053"/>
      <c r="D60" s="1053"/>
      <c r="E60" s="1053"/>
      <c r="F60" s="1702"/>
      <c r="G60" s="1702"/>
      <c r="H60" s="417"/>
      <c r="N60" s="1432"/>
      <c r="P60" s="1432"/>
      <c r="Q60" s="1702"/>
      <c r="R60" s="1702"/>
      <c r="S60" s="1432"/>
      <c r="T60" s="1432"/>
      <c r="U60" s="1432"/>
      <c r="V60" s="1432"/>
      <c r="W60" s="1702"/>
      <c r="X60" s="1432"/>
      <c r="Y60" s="1432"/>
      <c r="Z60" s="610"/>
      <c r="AA60" s="1432"/>
      <c r="AB60" s="1432"/>
      <c r="AC60" s="1432"/>
      <c r="AD60" s="1432"/>
      <c r="AE60" s="1432"/>
      <c r="AF60" s="1698"/>
      <c r="AG60" s="688"/>
      <c r="AH60" s="688"/>
      <c r="AI60" s="688"/>
      <c r="AJ60" s="688"/>
      <c r="AK60" s="1707">
        <v>11</v>
      </c>
    </row>
    <row s="4153" customFormat="1" customHeight="1" ht="11.549999999999999">
      <c r="A61" s="1053"/>
      <c r="B61" s="1053"/>
      <c r="C61" s="1053"/>
      <c r="D61" s="1053"/>
      <c r="E61" s="1053"/>
      <c r="F61" s="1702"/>
      <c r="G61" s="1702"/>
      <c r="H61" s="417"/>
      <c r="N61" s="1432"/>
      <c r="P61" s="1432"/>
      <c r="Q61" s="1702"/>
      <c r="R61" s="1702"/>
      <c r="S61" s="1432"/>
      <c r="T61" s="1432"/>
      <c r="U61" s="1432"/>
      <c r="V61" s="1432"/>
      <c r="W61" s="1702"/>
      <c r="X61" s="1432"/>
      <c r="Y61" s="1432"/>
      <c r="Z61" s="610"/>
      <c r="AA61" s="1432"/>
      <c r="AB61" s="1432"/>
      <c r="AC61" s="1432"/>
      <c r="AD61" s="1432"/>
      <c r="AE61" s="1432"/>
      <c r="AF61" s="1698"/>
      <c r="AG61" s="688"/>
      <c r="AH61" s="688"/>
      <c r="AI61" s="688"/>
      <c r="AJ61" s="688"/>
      <c r="AK61" s="1707">
        <v>11</v>
      </c>
    </row>
    <row s="4153" customFormat="1" customHeight="1" ht="11.549999999999999">
      <c r="A62" s="1053"/>
      <c r="B62" s="1053"/>
      <c r="C62" s="1053"/>
      <c r="D62" s="1053"/>
      <c r="E62" s="1053"/>
      <c r="F62" s="1702"/>
      <c r="G62" s="1702"/>
      <c r="H62" s="417"/>
      <c r="N62" s="1432"/>
      <c r="P62" s="1432"/>
      <c r="Q62" s="1702"/>
      <c r="R62" s="1702"/>
      <c r="S62" s="1432"/>
      <c r="T62" s="1432"/>
      <c r="U62" s="1432"/>
      <c r="V62" s="1432"/>
      <c r="W62" s="1702"/>
      <c r="X62" s="1432"/>
      <c r="Y62" s="1432"/>
      <c r="Z62" s="610"/>
      <c r="AA62" s="1432"/>
      <c r="AB62" s="1432"/>
      <c r="AC62" s="1432"/>
      <c r="AD62" s="1432"/>
      <c r="AE62" s="1432"/>
      <c r="AF62" s="1698"/>
      <c r="AG62" s="688"/>
      <c r="AH62" s="688"/>
      <c r="AI62" s="688"/>
      <c r="AJ62" s="688"/>
      <c r="AK62" s="1707">
        <v>11</v>
      </c>
    </row>
    <row s="4153" customFormat="1" customHeight="1" ht="11.549999999999999">
      <c r="A63" s="1053"/>
      <c r="B63" s="1053"/>
      <c r="C63" s="1053"/>
      <c r="D63" s="1053"/>
      <c r="E63" s="1053"/>
      <c r="F63" s="1702"/>
      <c r="G63" s="1702"/>
      <c r="H63" s="417"/>
      <c r="N63" s="1432"/>
      <c r="P63" s="1432"/>
      <c r="Q63" s="1702"/>
      <c r="R63" s="1702"/>
      <c r="S63" s="1432"/>
      <c r="T63" s="1432"/>
      <c r="U63" s="1432"/>
      <c r="V63" s="1432"/>
      <c r="W63" s="1702"/>
      <c r="X63" s="1432"/>
      <c r="Y63" s="1432"/>
      <c r="Z63" s="610"/>
      <c r="AA63" s="1432"/>
      <c r="AB63" s="1432"/>
      <c r="AC63" s="1432"/>
      <c r="AD63" s="1432"/>
      <c r="AE63" s="1432"/>
      <c r="AF63" s="1698"/>
      <c r="AG63" s="688"/>
      <c r="AH63" s="688"/>
      <c r="AI63" s="688"/>
      <c r="AJ63" s="688"/>
      <c r="AK63" s="1707">
        <v>11</v>
      </c>
    </row>
    <row s="4153" customFormat="1" customHeight="1" ht="11.549999999999999">
      <c r="A64" s="1053"/>
      <c r="B64" s="1053"/>
      <c r="C64" s="1053"/>
      <c r="D64" s="1053"/>
      <c r="E64" s="1053"/>
      <c r="F64" s="1702"/>
      <c r="G64" s="1702"/>
      <c r="H64" s="417"/>
      <c r="N64" s="1432"/>
      <c r="P64" s="1432"/>
      <c r="Q64" s="1702"/>
      <c r="R64" s="1702"/>
      <c r="S64" s="1432"/>
      <c r="T64" s="1432"/>
      <c r="U64" s="1432"/>
      <c r="V64" s="1432"/>
      <c r="W64" s="1702"/>
      <c r="X64" s="1432"/>
      <c r="Y64" s="1432"/>
      <c r="Z64" s="610"/>
      <c r="AA64" s="1432"/>
      <c r="AB64" s="1432"/>
      <c r="AC64" s="1432"/>
      <c r="AD64" s="1432"/>
      <c r="AE64" s="1432"/>
      <c r="AF64" s="1698"/>
      <c r="AG64" s="688"/>
      <c r="AH64" s="688"/>
      <c r="AI64" s="688"/>
      <c r="AJ64" s="688"/>
      <c r="AK64" s="1707">
        <v>11</v>
      </c>
    </row>
    <row s="4153" customFormat="1" customHeight="1" ht="11.549999999999999">
      <c r="A65" s="1053"/>
      <c r="B65" s="1053"/>
      <c r="C65" s="1053"/>
      <c r="D65" s="1053"/>
      <c r="E65" s="1053"/>
      <c r="F65" s="1702"/>
      <c r="G65" s="1702"/>
      <c r="H65" s="417"/>
      <c r="N65" s="1432"/>
      <c r="P65" s="1432"/>
      <c r="Q65" s="1702"/>
      <c r="R65" s="1702"/>
      <c r="S65" s="1432"/>
      <c r="T65" s="1432"/>
      <c r="U65" s="1432"/>
      <c r="V65" s="1432"/>
      <c r="W65" s="1702"/>
      <c r="X65" s="1432"/>
      <c r="Y65" s="1432"/>
      <c r="Z65" s="610"/>
      <c r="AA65" s="1432"/>
      <c r="AB65" s="1432"/>
      <c r="AC65" s="1432"/>
      <c r="AD65" s="1432"/>
      <c r="AE65" s="1432"/>
      <c r="AF65" s="1698"/>
      <c r="AG65" s="688"/>
      <c r="AH65" s="688"/>
      <c r="AI65" s="688"/>
      <c r="AJ65" s="688"/>
      <c r="AK65" s="1707">
        <v>11</v>
      </c>
    </row>
    <row s="4153" customFormat="1" customHeight="1" ht="11.549999999999999">
      <c r="A66" s="1053"/>
      <c r="B66" s="1053"/>
      <c r="C66" s="1053"/>
      <c r="D66" s="1053"/>
      <c r="E66" s="1053"/>
      <c r="F66" s="1702"/>
      <c r="G66" s="1702"/>
      <c r="H66" s="417"/>
      <c r="N66" s="1432"/>
      <c r="P66" s="1432"/>
      <c r="Q66" s="1702"/>
      <c r="R66" s="1702"/>
      <c r="S66" s="1432"/>
      <c r="T66" s="1432"/>
      <c r="U66" s="1432"/>
      <c r="V66" s="1432"/>
      <c r="W66" s="1702"/>
      <c r="X66" s="1432"/>
      <c r="Y66" s="1432"/>
      <c r="Z66" s="610"/>
      <c r="AA66" s="1432"/>
      <c r="AB66" s="1432"/>
      <c r="AC66" s="1432"/>
      <c r="AD66" s="1432"/>
      <c r="AE66" s="1432"/>
      <c r="AF66" s="1698"/>
      <c r="AG66" s="688"/>
      <c r="AH66" s="688"/>
      <c r="AI66" s="688"/>
      <c r="AJ66" s="688"/>
      <c r="AK66" s="1707">
        <v>11</v>
      </c>
    </row>
    <row s="4153" customFormat="1" customHeight="1" ht="11.549999999999999">
      <c r="A67" s="1053"/>
      <c r="B67" s="1053"/>
      <c r="C67" s="1053"/>
      <c r="D67" s="1053"/>
      <c r="E67" s="1053"/>
      <c r="F67" s="1702"/>
      <c r="G67" s="1702"/>
      <c r="H67" s="417"/>
      <c r="N67" s="1432"/>
      <c r="P67" s="1432"/>
      <c r="Q67" s="1702"/>
      <c r="R67" s="1702"/>
      <c r="S67" s="1432"/>
      <c r="T67" s="1432"/>
      <c r="U67" s="1432"/>
      <c r="V67" s="1432"/>
      <c r="W67" s="1702"/>
      <c r="X67" s="1432"/>
      <c r="Y67" s="1432"/>
      <c r="Z67" s="610"/>
      <c r="AA67" s="1432"/>
      <c r="AB67" s="1432"/>
      <c r="AC67" s="1432"/>
      <c r="AD67" s="1432"/>
      <c r="AE67" s="1432"/>
      <c r="AF67" s="1698"/>
      <c r="AG67" s="688"/>
      <c r="AH67" s="688"/>
      <c r="AI67" s="688"/>
      <c r="AJ67" s="688"/>
      <c r="AK67" s="1707">
        <v>11</v>
      </c>
    </row>
    <row s="4153" customFormat="1" customHeight="1" ht="11.549999999999999">
      <c r="A68" s="1053"/>
      <c r="B68" s="1053"/>
      <c r="C68" s="1053"/>
      <c r="D68" s="1053"/>
      <c r="E68" s="1053"/>
      <c r="F68" s="1702"/>
      <c r="G68" s="1702"/>
      <c r="H68" s="417"/>
      <c r="N68" s="1432"/>
      <c r="P68" s="1432"/>
      <c r="Q68" s="1702"/>
      <c r="R68" s="1702"/>
      <c r="S68" s="1432"/>
      <c r="T68" s="1432"/>
      <c r="U68" s="1432"/>
      <c r="V68" s="1432"/>
      <c r="W68" s="1702"/>
      <c r="X68" s="1432"/>
      <c r="Y68" s="1432"/>
      <c r="Z68" s="610"/>
      <c r="AA68" s="1432"/>
      <c r="AB68" s="1432"/>
      <c r="AC68" s="1432"/>
      <c r="AD68" s="1432"/>
      <c r="AE68" s="1432"/>
      <c r="AF68" s="1698"/>
      <c r="AG68" s="688"/>
      <c r="AH68" s="688"/>
      <c r="AI68" s="688"/>
      <c r="AJ68" s="688"/>
      <c r="AK68" s="1707">
        <v>11</v>
      </c>
    </row>
    <row s="4153" customFormat="1" customHeight="1" ht="11.549999999999999">
      <c r="A69" s="1053"/>
      <c r="B69" s="1053"/>
      <c r="C69" s="1053"/>
      <c r="D69" s="1053"/>
      <c r="E69" s="1053"/>
      <c r="F69" s="1702"/>
      <c r="G69" s="1702"/>
      <c r="H69" s="417"/>
      <c r="N69" s="1432"/>
      <c r="P69" s="1432"/>
      <c r="Q69" s="1702"/>
      <c r="R69" s="1702"/>
      <c r="S69" s="1432"/>
      <c r="T69" s="1432"/>
      <c r="U69" s="1432"/>
      <c r="V69" s="1432"/>
      <c r="W69" s="1702"/>
      <c r="X69" s="1432"/>
      <c r="Y69" s="1432"/>
      <c r="Z69" s="610"/>
      <c r="AA69" s="1432"/>
      <c r="AB69" s="1432"/>
      <c r="AC69" s="1432"/>
      <c r="AD69" s="1432"/>
      <c r="AE69" s="1432"/>
      <c r="AF69" s="1698"/>
      <c r="AG69" s="688"/>
      <c r="AH69" s="688"/>
      <c r="AI69" s="688"/>
      <c r="AJ69" s="688"/>
      <c r="AK69" s="1707">
        <v>11</v>
      </c>
    </row>
    <row s="4153" customFormat="1" customHeight="1" ht="11.549999999999999">
      <c r="A70" s="1053"/>
      <c r="B70" s="1053"/>
      <c r="C70" s="1053"/>
      <c r="D70" s="1053"/>
      <c r="E70" s="1053"/>
      <c r="F70" s="1702"/>
      <c r="G70" s="1702"/>
      <c r="H70" s="417"/>
      <c r="N70" s="1432"/>
      <c r="P70" s="1432"/>
      <c r="Q70" s="1702"/>
      <c r="R70" s="1702"/>
      <c r="S70" s="1432"/>
      <c r="T70" s="1432"/>
      <c r="U70" s="1432"/>
      <c r="V70" s="1432"/>
      <c r="W70" s="1702"/>
      <c r="X70" s="1432"/>
      <c r="Y70" s="1432"/>
      <c r="Z70" s="610"/>
      <c r="AA70" s="1432"/>
      <c r="AB70" s="1432"/>
      <c r="AC70" s="1432"/>
      <c r="AD70" s="1432"/>
      <c r="AE70" s="1432"/>
      <c r="AF70" s="1698"/>
      <c r="AG70" s="688"/>
      <c r="AH70" s="688"/>
      <c r="AI70" s="688"/>
      <c r="AJ70" s="688"/>
      <c r="AK70" s="1707">
        <v>11</v>
      </c>
    </row>
    <row s="4153" customFormat="1" customHeight="1" ht="11.549999999999999">
      <c r="A71" s="1053"/>
      <c r="B71" s="1053"/>
      <c r="C71" s="1053"/>
      <c r="D71" s="1053"/>
      <c r="E71" s="1053"/>
      <c r="F71" s="1702"/>
      <c r="G71" s="1702"/>
      <c r="H71" s="417"/>
      <c r="N71" s="1432"/>
      <c r="P71" s="1432"/>
      <c r="Q71" s="1702"/>
      <c r="R71" s="1702"/>
      <c r="S71" s="1432"/>
      <c r="T71" s="1432"/>
      <c r="U71" s="1432"/>
      <c r="V71" s="1432"/>
      <c r="W71" s="1702"/>
      <c r="X71" s="1432"/>
      <c r="Y71" s="1432"/>
      <c r="Z71" s="610"/>
      <c r="AA71" s="1432"/>
      <c r="AB71" s="1432"/>
      <c r="AC71" s="1432"/>
      <c r="AD71" s="1432"/>
      <c r="AE71" s="1432"/>
      <c r="AF71" s="1698"/>
      <c r="AG71" s="688"/>
      <c r="AH71" s="688"/>
      <c r="AI71" s="688"/>
      <c r="AJ71" s="688"/>
      <c r="AK71" s="1707">
        <v>11</v>
      </c>
    </row>
    <row s="4153" customFormat="1" customHeight="1" ht="11.549999999999999">
      <c r="A72" s="1053"/>
      <c r="B72" s="1053"/>
      <c r="C72" s="1053"/>
      <c r="D72" s="1053"/>
      <c r="E72" s="1053"/>
      <c r="F72" s="1702"/>
      <c r="G72" s="1702"/>
      <c r="H72" s="417"/>
      <c r="N72" s="1432"/>
      <c r="P72" s="1432"/>
      <c r="Q72" s="1702"/>
      <c r="R72" s="1702"/>
      <c r="S72" s="1432"/>
      <c r="T72" s="1432"/>
      <c r="U72" s="1432"/>
      <c r="V72" s="1432"/>
      <c r="W72" s="1702"/>
      <c r="X72" s="1432"/>
      <c r="Y72" s="1432"/>
      <c r="Z72" s="610"/>
      <c r="AA72" s="1432"/>
      <c r="AB72" s="1432"/>
      <c r="AC72" s="1432"/>
      <c r="AD72" s="1432"/>
      <c r="AE72" s="1432"/>
      <c r="AF72" s="1698"/>
      <c r="AG72" s="688"/>
      <c r="AH72" s="688"/>
      <c r="AI72" s="688"/>
      <c r="AJ72" s="688"/>
      <c r="AK72" s="1707">
        <v>11</v>
      </c>
    </row>
    <row s="4153" customFormat="1" customHeight="1" ht="11.549999999999999">
      <c r="A73" s="1053"/>
      <c r="B73" s="1053"/>
      <c r="C73" s="1053"/>
      <c r="D73" s="1053"/>
      <c r="E73" s="1053"/>
      <c r="F73" s="1702"/>
      <c r="G73" s="1702"/>
      <c r="H73" s="417"/>
      <c r="N73" s="1432"/>
      <c r="P73" s="1432"/>
      <c r="Q73" s="1702"/>
      <c r="R73" s="1702"/>
      <c r="S73" s="1432"/>
      <c r="T73" s="1432"/>
      <c r="U73" s="1432"/>
      <c r="V73" s="1432"/>
      <c r="W73" s="1702"/>
      <c r="X73" s="1432"/>
      <c r="Y73" s="1432"/>
      <c r="Z73" s="610"/>
      <c r="AA73" s="1432"/>
      <c r="AB73" s="1432"/>
      <c r="AC73" s="1432"/>
      <c r="AD73" s="1432"/>
      <c r="AE73" s="1432"/>
      <c r="AF73" s="1698"/>
      <c r="AG73" s="688"/>
      <c r="AH73" s="688"/>
      <c r="AI73" s="688"/>
      <c r="AJ73" s="688"/>
      <c r="AK73" s="1707">
        <v>11</v>
      </c>
    </row>
    <row s="4153" customFormat="1" customHeight="1" ht="11.549999999999999">
      <c r="A74" s="1053"/>
      <c r="B74" s="1053"/>
      <c r="C74" s="1053"/>
      <c r="D74" s="1053"/>
      <c r="E74" s="1053"/>
      <c r="F74" s="1702"/>
      <c r="G74" s="1702"/>
      <c r="H74" s="417"/>
      <c r="N74" s="1432"/>
      <c r="P74" s="1432"/>
      <c r="Q74" s="1702"/>
      <c r="R74" s="1702"/>
      <c r="S74" s="1432"/>
      <c r="T74" s="1432"/>
      <c r="U74" s="1432"/>
      <c r="V74" s="1432"/>
      <c r="W74" s="1702"/>
      <c r="X74" s="1432"/>
      <c r="Y74" s="1432"/>
      <c r="Z74" s="610"/>
      <c r="AA74" s="1432"/>
      <c r="AB74" s="1432"/>
      <c r="AC74" s="1432"/>
      <c r="AD74" s="1432"/>
      <c r="AE74" s="1432"/>
      <c r="AF74" s="1698"/>
      <c r="AG74" s="688"/>
      <c r="AH74" s="688"/>
      <c r="AI74" s="688"/>
      <c r="AJ74" s="688"/>
      <c r="AK74" s="1707">
        <v>11</v>
      </c>
    </row>
    <row s="4153" customFormat="1" customHeight="1" ht="11.549999999999999">
      <c r="A75" s="1053"/>
      <c r="B75" s="1053"/>
      <c r="C75" s="1053"/>
      <c r="D75" s="1053"/>
      <c r="E75" s="1053"/>
      <c r="F75" s="1702"/>
      <c r="G75" s="1702"/>
      <c r="H75" s="417"/>
      <c r="N75" s="1432"/>
      <c r="P75" s="1432"/>
      <c r="Q75" s="1702"/>
      <c r="R75" s="1702"/>
      <c r="S75" s="1432"/>
      <c r="T75" s="1432"/>
      <c r="U75" s="1432"/>
      <c r="V75" s="1432"/>
      <c r="W75" s="1702"/>
      <c r="X75" s="1432"/>
      <c r="Y75" s="1432"/>
      <c r="Z75" s="610"/>
      <c r="AA75" s="1432"/>
      <c r="AB75" s="1432"/>
      <c r="AC75" s="1432"/>
      <c r="AD75" s="1432"/>
      <c r="AE75" s="1432"/>
      <c r="AF75" s="1698"/>
      <c r="AG75" s="688"/>
      <c r="AH75" s="688"/>
      <c r="AI75" s="688"/>
      <c r="AJ75" s="688"/>
      <c r="AK75" s="1707">
        <v>11</v>
      </c>
    </row>
    <row s="4153" customFormat="1" customHeight="1" ht="11.549999999999999">
      <c r="A76" s="1053"/>
      <c r="B76" s="1053"/>
      <c r="C76" s="1053"/>
      <c r="D76" s="1053"/>
      <c r="E76" s="1053"/>
      <c r="F76" s="1702"/>
      <c r="G76" s="1702"/>
      <c r="H76" s="417"/>
      <c r="N76" s="1432"/>
      <c r="P76" s="1432"/>
      <c r="Q76" s="1702"/>
      <c r="R76" s="1702"/>
      <c r="S76" s="1432"/>
      <c r="T76" s="1432"/>
      <c r="U76" s="1432"/>
      <c r="V76" s="1432"/>
      <c r="W76" s="1702"/>
      <c r="X76" s="1432"/>
      <c r="Y76" s="1432"/>
      <c r="Z76" s="610"/>
      <c r="AA76" s="1432"/>
      <c r="AB76" s="1432"/>
      <c r="AC76" s="1432"/>
      <c r="AD76" s="1432"/>
      <c r="AE76" s="1432"/>
      <c r="AF76" s="1698"/>
      <c r="AG76" s="688"/>
      <c r="AH76" s="688"/>
      <c r="AI76" s="688"/>
      <c r="AJ76" s="688"/>
      <c r="AK76" s="1707">
        <v>11</v>
      </c>
    </row>
    <row s="4153" customFormat="1" customHeight="1" ht="11.549999999999999">
      <c r="A77" s="1053"/>
      <c r="B77" s="1053"/>
      <c r="C77" s="1053"/>
      <c r="D77" s="1053"/>
      <c r="E77" s="1053"/>
      <c r="F77" s="1702"/>
      <c r="G77" s="1702"/>
      <c r="H77" s="417"/>
      <c r="N77" s="1432"/>
      <c r="P77" s="1432"/>
      <c r="Q77" s="1702"/>
      <c r="R77" s="1702"/>
      <c r="S77" s="1432"/>
      <c r="T77" s="1432"/>
      <c r="U77" s="1432"/>
      <c r="V77" s="1432"/>
      <c r="W77" s="1702"/>
      <c r="X77" s="1432"/>
      <c r="Y77" s="1432"/>
      <c r="Z77" s="610"/>
      <c r="AA77" s="1432"/>
      <c r="AB77" s="1432"/>
      <c r="AC77" s="1432"/>
      <c r="AD77" s="1432"/>
      <c r="AE77" s="1432"/>
      <c r="AF77" s="1698"/>
      <c r="AG77" s="688"/>
      <c r="AH77" s="688"/>
      <c r="AI77" s="688"/>
      <c r="AJ77" s="688"/>
      <c r="AK77" s="1707">
        <v>11</v>
      </c>
    </row>
    <row s="4153" customFormat="1" customHeight="1" ht="11.549999999999999">
      <c r="A78" s="1053"/>
      <c r="B78" s="1053"/>
      <c r="C78" s="1053"/>
      <c r="D78" s="1053"/>
      <c r="E78" s="1053"/>
      <c r="F78" s="1702"/>
      <c r="G78" s="1702"/>
      <c r="H78" s="417"/>
      <c r="N78" s="1432"/>
      <c r="P78" s="1432"/>
      <c r="Q78" s="1702"/>
      <c r="R78" s="1702"/>
      <c r="S78" s="1432"/>
      <c r="T78" s="1432"/>
      <c r="U78" s="1432"/>
      <c r="V78" s="1432"/>
      <c r="W78" s="1702"/>
      <c r="X78" s="1432"/>
      <c r="Y78" s="1432"/>
      <c r="Z78" s="610"/>
      <c r="AA78" s="1432"/>
      <c r="AB78" s="1432"/>
      <c r="AC78" s="1432"/>
      <c r="AD78" s="1432"/>
      <c r="AE78" s="1432"/>
      <c r="AF78" s="1698"/>
      <c r="AG78" s="688"/>
      <c r="AH78" s="688"/>
      <c r="AI78" s="688"/>
      <c r="AJ78" s="688"/>
      <c r="AK78" s="1707">
        <v>11</v>
      </c>
    </row>
    <row s="4153" customFormat="1" customHeight="1" ht="11.549999999999999">
      <c r="A79" s="1053"/>
      <c r="B79" s="1053"/>
      <c r="C79" s="1053"/>
      <c r="D79" s="1053"/>
      <c r="E79" s="1053"/>
      <c r="F79" s="1702"/>
      <c r="G79" s="1702"/>
      <c r="H79" s="417"/>
      <c r="N79" s="1432"/>
      <c r="P79" s="1432"/>
      <c r="Q79" s="1702"/>
      <c r="R79" s="1702"/>
      <c r="S79" s="1432"/>
      <c r="T79" s="1432"/>
      <c r="U79" s="1432"/>
      <c r="V79" s="1432"/>
      <c r="W79" s="1702"/>
      <c r="X79" s="1432"/>
      <c r="Y79" s="1432"/>
      <c r="Z79" s="610"/>
      <c r="AA79" s="1432"/>
      <c r="AB79" s="1432"/>
      <c r="AC79" s="1432"/>
      <c r="AD79" s="1432"/>
      <c r="AE79" s="1432"/>
      <c r="AF79" s="1698"/>
      <c r="AG79" s="688"/>
      <c r="AH79" s="688"/>
      <c r="AI79" s="688"/>
      <c r="AJ79" s="688"/>
      <c r="AK79" s="1707">
        <v>11</v>
      </c>
    </row>
    <row s="4153" customFormat="1" customHeight="1" ht="11.549999999999999">
      <c r="A80" s="1053"/>
      <c r="B80" s="1053"/>
      <c r="C80" s="1053"/>
      <c r="D80" s="1053"/>
      <c r="E80" s="1053"/>
      <c r="F80" s="1702"/>
      <c r="G80" s="1702"/>
      <c r="H80" s="417"/>
      <c r="N80" s="1432"/>
      <c r="P80" s="1432"/>
      <c r="Q80" s="1702"/>
      <c r="R80" s="1702"/>
      <c r="S80" s="1432"/>
      <c r="T80" s="1432"/>
      <c r="U80" s="1432"/>
      <c r="V80" s="1432"/>
      <c r="W80" s="1702"/>
      <c r="X80" s="1432"/>
      <c r="Y80" s="1432"/>
      <c r="Z80" s="610"/>
      <c r="AA80" s="1432"/>
      <c r="AB80" s="1432"/>
      <c r="AC80" s="1432"/>
      <c r="AD80" s="1432"/>
      <c r="AE80" s="1432"/>
      <c r="AF80" s="1698"/>
      <c r="AG80" s="688"/>
      <c r="AH80" s="688"/>
      <c r="AI80" s="688"/>
      <c r="AJ80" s="688"/>
      <c r="AK80" s="1707">
        <v>11</v>
      </c>
    </row>
    <row s="4153" customFormat="1" customHeight="1" ht="11.549999999999999">
      <c r="A81" s="1053"/>
      <c r="B81" s="1053"/>
      <c r="C81" s="1053"/>
      <c r="D81" s="1053"/>
      <c r="E81" s="1053"/>
      <c r="F81" s="1702"/>
      <c r="G81" s="1702"/>
      <c r="H81" s="417"/>
      <c r="N81" s="1432"/>
      <c r="P81" s="1432"/>
      <c r="Q81" s="1702"/>
      <c r="R81" s="1702"/>
      <c r="S81" s="1432"/>
      <c r="T81" s="1432"/>
      <c r="U81" s="1432"/>
      <c r="V81" s="1432"/>
      <c r="W81" s="1702"/>
      <c r="X81" s="1432"/>
      <c r="Y81" s="1432"/>
      <c r="Z81" s="610"/>
      <c r="AA81" s="1432"/>
      <c r="AB81" s="1432"/>
      <c r="AC81" s="1432"/>
      <c r="AD81" s="1432"/>
      <c r="AE81" s="1432"/>
      <c r="AF81" s="1698"/>
      <c r="AG81" s="688"/>
      <c r="AH81" s="688"/>
      <c r="AI81" s="688"/>
      <c r="AJ81" s="688"/>
      <c r="AK81" s="1707">
        <v>11</v>
      </c>
    </row>
    <row s="4153" customFormat="1" customHeight="1" ht="11.549999999999999">
      <c r="A82" s="1053"/>
      <c r="B82" s="1053"/>
      <c r="C82" s="1053"/>
      <c r="D82" s="1053"/>
      <c r="E82" s="1053"/>
      <c r="F82" s="1702"/>
      <c r="G82" s="1702"/>
      <c r="H82" s="417"/>
      <c r="N82" s="1432"/>
      <c r="P82" s="1432"/>
      <c r="Q82" s="1702"/>
      <c r="R82" s="1702"/>
      <c r="S82" s="1432"/>
      <c r="T82" s="1432"/>
      <c r="U82" s="1432"/>
      <c r="V82" s="1432"/>
      <c r="W82" s="1702"/>
      <c r="X82" s="1432"/>
      <c r="Y82" s="1432"/>
      <c r="Z82" s="610"/>
      <c r="AA82" s="1432"/>
      <c r="AB82" s="1432"/>
      <c r="AC82" s="1432"/>
      <c r="AD82" s="1432"/>
      <c r="AE82" s="1432"/>
      <c r="AF82" s="1698"/>
      <c r="AG82" s="688"/>
      <c r="AH82" s="688"/>
      <c r="AI82" s="688"/>
      <c r="AJ82" s="688"/>
      <c r="AK82" s="1707">
        <v>11</v>
      </c>
    </row>
    <row s="4153" customFormat="1" customHeight="1" ht="11.549999999999999">
      <c r="A83" s="1053"/>
      <c r="B83" s="1053"/>
      <c r="C83" s="1053"/>
      <c r="D83" s="1053"/>
      <c r="E83" s="1053"/>
      <c r="F83" s="1702"/>
      <c r="G83" s="1702"/>
      <c r="H83" s="417"/>
      <c r="N83" s="1432"/>
      <c r="P83" s="1432"/>
      <c r="Q83" s="1702"/>
      <c r="R83" s="1702"/>
      <c r="S83" s="1432"/>
      <c r="T83" s="1432"/>
      <c r="U83" s="1432"/>
      <c r="V83" s="1432"/>
      <c r="W83" s="1702"/>
      <c r="X83" s="1432"/>
      <c r="Y83" s="1432"/>
      <c r="Z83" s="610"/>
      <c r="AA83" s="1432"/>
      <c r="AB83" s="1432"/>
      <c r="AC83" s="1432"/>
      <c r="AD83" s="1432"/>
      <c r="AE83" s="1432"/>
      <c r="AF83" s="1698"/>
      <c r="AG83" s="688"/>
      <c r="AH83" s="688"/>
      <c r="AI83" s="688"/>
      <c r="AJ83" s="688"/>
      <c r="AK83" s="1707">
        <v>11</v>
      </c>
    </row>
    <row s="4153" customFormat="1" customHeight="1" ht="11.549999999999999">
      <c r="A84" s="1053"/>
      <c r="B84" s="1053"/>
      <c r="C84" s="1053"/>
      <c r="D84" s="1053"/>
      <c r="E84" s="1053"/>
      <c r="F84" s="1702"/>
      <c r="G84" s="1702"/>
      <c r="H84" s="417"/>
      <c r="N84" s="1432"/>
      <c r="P84" s="1432"/>
      <c r="Q84" s="1702"/>
      <c r="R84" s="1702"/>
      <c r="S84" s="1432"/>
      <c r="T84" s="1432"/>
      <c r="U84" s="1432"/>
      <c r="V84" s="1432"/>
      <c r="W84" s="1702"/>
      <c r="X84" s="1432"/>
      <c r="Y84" s="1432"/>
      <c r="Z84" s="610"/>
      <c r="AA84" s="1432"/>
      <c r="AB84" s="1432"/>
      <c r="AC84" s="1432"/>
      <c r="AD84" s="1432"/>
      <c r="AE84" s="1432"/>
      <c r="AF84" s="1698"/>
      <c r="AG84" s="688"/>
      <c r="AH84" s="688"/>
      <c r="AI84" s="688"/>
      <c r="AJ84" s="688"/>
      <c r="AK84" s="1707">
        <v>11</v>
      </c>
    </row>
    <row s="4153" customFormat="1" customHeight="1" ht="11.549999999999999">
      <c r="A85" s="1053"/>
      <c r="B85" s="1053"/>
      <c r="C85" s="1053"/>
      <c r="D85" s="1053"/>
      <c r="E85" s="1053"/>
      <c r="F85" s="1702"/>
      <c r="G85" s="1702"/>
      <c r="H85" s="417"/>
      <c r="N85" s="1432"/>
      <c r="P85" s="1432"/>
      <c r="Q85" s="1702"/>
      <c r="R85" s="1702"/>
      <c r="S85" s="1432"/>
      <c r="T85" s="1432"/>
      <c r="U85" s="1432"/>
      <c r="V85" s="1432"/>
      <c r="W85" s="1702"/>
      <c r="X85" s="1432"/>
      <c r="Y85" s="1432"/>
      <c r="Z85" s="610"/>
      <c r="AA85" s="1432"/>
      <c r="AB85" s="1432"/>
      <c r="AC85" s="1432"/>
      <c r="AD85" s="1432"/>
      <c r="AE85" s="1432"/>
      <c r="AF85" s="1698"/>
      <c r="AG85" s="688"/>
      <c r="AH85" s="688"/>
      <c r="AI85" s="688"/>
      <c r="AJ85" s="688"/>
      <c r="AK85" s="1707">
        <v>11</v>
      </c>
    </row>
    <row s="4153" customFormat="1" customHeight="1" ht="11.549999999999999">
      <c r="A86" s="1053"/>
      <c r="B86" s="1053"/>
      <c r="C86" s="1053"/>
      <c r="D86" s="1053"/>
      <c r="E86" s="1053"/>
      <c r="F86" s="1702"/>
      <c r="G86" s="1702"/>
      <c r="H86" s="417"/>
      <c r="N86" s="1432"/>
      <c r="P86" s="1432"/>
      <c r="Q86" s="1702"/>
      <c r="R86" s="1702"/>
      <c r="S86" s="1432"/>
      <c r="T86" s="1432"/>
      <c r="U86" s="1432"/>
      <c r="V86" s="1432"/>
      <c r="W86" s="1702"/>
      <c r="X86" s="1432"/>
      <c r="Y86" s="1432"/>
      <c r="Z86" s="610"/>
      <c r="AA86" s="1432"/>
      <c r="AB86" s="1432"/>
      <c r="AC86" s="1432"/>
      <c r="AD86" s="1432"/>
      <c r="AE86" s="1432"/>
      <c r="AF86" s="1698"/>
      <c r="AG86" s="688"/>
      <c r="AH86" s="688"/>
      <c r="AI86" s="688"/>
      <c r="AJ86" s="688"/>
      <c r="AK86" s="1707">
        <v>11</v>
      </c>
    </row>
    <row s="4153" customFormat="1" customHeight="1" ht="11.549999999999999">
      <c r="A87" s="1053"/>
      <c r="B87" s="1053"/>
      <c r="C87" s="1053"/>
      <c r="D87" s="1053"/>
      <c r="E87" s="1053"/>
      <c r="F87" s="1702"/>
      <c r="G87" s="1702"/>
      <c r="H87" s="417"/>
      <c r="N87" s="1432"/>
      <c r="P87" s="1432"/>
      <c r="Q87" s="1702"/>
      <c r="R87" s="1702"/>
      <c r="S87" s="1432"/>
      <c r="T87" s="1432"/>
      <c r="U87" s="1432"/>
      <c r="V87" s="1432"/>
      <c r="W87" s="1702"/>
      <c r="X87" s="1432"/>
      <c r="Y87" s="1432"/>
      <c r="Z87" s="610"/>
      <c r="AA87" s="1432"/>
      <c r="AB87" s="1432"/>
      <c r="AC87" s="1432"/>
      <c r="AD87" s="1432"/>
      <c r="AE87" s="1432"/>
      <c r="AF87" s="1698"/>
      <c r="AG87" s="688"/>
      <c r="AH87" s="688"/>
      <c r="AI87" s="688"/>
      <c r="AJ87" s="688"/>
      <c r="AK87" s="1707">
        <v>11</v>
      </c>
    </row>
    <row s="4153" customFormat="1" customHeight="1" ht="11.549999999999999">
      <c r="A88" s="1053"/>
      <c r="B88" s="1053"/>
      <c r="C88" s="1053"/>
      <c r="D88" s="1053"/>
      <c r="E88" s="1053"/>
      <c r="F88" s="1702"/>
      <c r="G88" s="1702"/>
      <c r="H88" s="417"/>
      <c r="N88" s="1432"/>
      <c r="P88" s="1432"/>
      <c r="Q88" s="1702"/>
      <c r="R88" s="1702"/>
      <c r="S88" s="1432"/>
      <c r="T88" s="1432"/>
      <c r="U88" s="1432"/>
      <c r="V88" s="1432"/>
      <c r="W88" s="1702"/>
      <c r="X88" s="1432"/>
      <c r="Y88" s="1432"/>
      <c r="Z88" s="610"/>
      <c r="AA88" s="1432"/>
      <c r="AB88" s="1432"/>
      <c r="AC88" s="1432"/>
      <c r="AD88" s="1432"/>
      <c r="AE88" s="1432"/>
      <c r="AF88" s="1698"/>
      <c r="AG88" s="688"/>
      <c r="AH88" s="688"/>
      <c r="AI88" s="688"/>
      <c r="AJ88" s="688"/>
      <c r="AK88" s="1707">
        <v>11</v>
      </c>
    </row>
    <row s="4153" customFormat="1" customHeight="1" ht="11.549999999999999">
      <c r="A89" s="1053"/>
      <c r="B89" s="1053"/>
      <c r="C89" s="1053"/>
      <c r="D89" s="1053"/>
      <c r="E89" s="1053"/>
      <c r="F89" s="1702"/>
      <c r="G89" s="1702"/>
      <c r="H89" s="417"/>
      <c r="N89" s="1432"/>
      <c r="P89" s="1432"/>
      <c r="Q89" s="1702"/>
      <c r="R89" s="1702"/>
      <c r="S89" s="1432"/>
      <c r="T89" s="1432"/>
      <c r="U89" s="1432"/>
      <c r="V89" s="1432"/>
      <c r="W89" s="1702"/>
      <c r="X89" s="1432"/>
      <c r="Y89" s="1432"/>
      <c r="Z89" s="610"/>
      <c r="AA89" s="1432"/>
      <c r="AB89" s="1432"/>
      <c r="AC89" s="1432"/>
      <c r="AD89" s="1432"/>
      <c r="AE89" s="1432"/>
      <c r="AF89" s="1698"/>
      <c r="AG89" s="688"/>
      <c r="AH89" s="688"/>
      <c r="AI89" s="688"/>
      <c r="AJ89" s="688"/>
      <c r="AK89" s="1707">
        <v>11</v>
      </c>
    </row>
    <row s="4153" customFormat="1" customHeight="1" ht="11.549999999999999">
      <c r="A90" s="1053"/>
      <c r="B90" s="1053"/>
      <c r="C90" s="1053"/>
      <c r="D90" s="1053"/>
      <c r="E90" s="1053"/>
      <c r="F90" s="1702"/>
      <c r="G90" s="1702"/>
      <c r="H90" s="417"/>
      <c r="N90" s="1432"/>
      <c r="P90" s="1432"/>
      <c r="Q90" s="1702"/>
      <c r="R90" s="1702"/>
      <c r="S90" s="1432"/>
      <c r="T90" s="1432"/>
      <c r="U90" s="1432"/>
      <c r="V90" s="1432"/>
      <c r="W90" s="1702"/>
      <c r="X90" s="1432"/>
      <c r="Y90" s="1432"/>
      <c r="Z90" s="610"/>
      <c r="AA90" s="1432"/>
      <c r="AB90" s="1432"/>
      <c r="AC90" s="1432"/>
      <c r="AD90" s="1432"/>
      <c r="AE90" s="1432"/>
      <c r="AF90" s="1698"/>
      <c r="AG90" s="688"/>
      <c r="AH90" s="688"/>
      <c r="AI90" s="688"/>
      <c r="AJ90" s="688"/>
      <c r="AK90" s="1707">
        <v>11</v>
      </c>
    </row>
    <row s="4153" customFormat="1" customHeight="1" ht="11.549999999999999">
      <c r="A91" s="1053"/>
      <c r="B91" s="1053"/>
      <c r="C91" s="1053"/>
      <c r="D91" s="1053"/>
      <c r="E91" s="1053"/>
      <c r="F91" s="1702"/>
      <c r="G91" s="1702"/>
      <c r="H91" s="417"/>
      <c r="N91" s="1432"/>
      <c r="P91" s="1432"/>
      <c r="Q91" s="1702"/>
      <c r="R91" s="1702"/>
      <c r="S91" s="1432"/>
      <c r="T91" s="1432"/>
      <c r="U91" s="1432"/>
      <c r="V91" s="1432"/>
      <c r="W91" s="1702"/>
      <c r="X91" s="1432"/>
      <c r="Y91" s="1432"/>
      <c r="Z91" s="610"/>
      <c r="AA91" s="1432"/>
      <c r="AB91" s="1432"/>
      <c r="AC91" s="1432"/>
      <c r="AD91" s="1432"/>
      <c r="AE91" s="1432"/>
      <c r="AF91" s="1698"/>
      <c r="AG91" s="688"/>
      <c r="AH91" s="688"/>
      <c r="AI91" s="688"/>
      <c r="AJ91" s="688"/>
      <c r="AK91" s="1707">
        <v>11</v>
      </c>
    </row>
    <row s="4153" customFormat="1" customHeight="1" ht="11.549999999999999">
      <c r="A92" s="1053"/>
      <c r="B92" s="1053"/>
      <c r="C92" s="1053"/>
      <c r="D92" s="1053"/>
      <c r="E92" s="1053"/>
      <c r="F92" s="1702"/>
      <c r="G92" s="1702"/>
      <c r="H92" s="417"/>
      <c r="N92" s="1432"/>
      <c r="P92" s="1432"/>
      <c r="Q92" s="1702"/>
      <c r="R92" s="1702"/>
      <c r="S92" s="1432"/>
      <c r="T92" s="1432"/>
      <c r="U92" s="1432"/>
      <c r="V92" s="1432"/>
      <c r="W92" s="1702"/>
      <c r="X92" s="1432"/>
      <c r="Y92" s="1432"/>
      <c r="Z92" s="610"/>
      <c r="AA92" s="1432"/>
      <c r="AB92" s="1432"/>
      <c r="AC92" s="1432"/>
      <c r="AD92" s="1432"/>
      <c r="AE92" s="1432"/>
      <c r="AF92" s="1698"/>
      <c r="AG92" s="688"/>
      <c r="AH92" s="688"/>
      <c r="AI92" s="688"/>
      <c r="AJ92" s="688"/>
      <c r="AK92" s="1707">
        <v>11</v>
      </c>
    </row>
    <row s="4153" customFormat="1" customHeight="1" ht="11.549999999999999">
      <c r="A93" s="1053"/>
      <c r="B93" s="1053"/>
      <c r="C93" s="1053"/>
      <c r="D93" s="1053"/>
      <c r="E93" s="1053"/>
      <c r="F93" s="1702"/>
      <c r="G93" s="1702"/>
      <c r="H93" s="417"/>
      <c r="N93" s="1432"/>
      <c r="P93" s="1432"/>
      <c r="Q93" s="1702"/>
      <c r="R93" s="1702"/>
      <c r="S93" s="1432"/>
      <c r="T93" s="1432"/>
      <c r="U93" s="1432"/>
      <c r="V93" s="1432"/>
      <c r="W93" s="1702"/>
      <c r="X93" s="1432"/>
      <c r="Y93" s="1432"/>
      <c r="Z93" s="610"/>
      <c r="AA93" s="1432"/>
      <c r="AB93" s="1432"/>
      <c r="AC93" s="1432"/>
      <c r="AD93" s="1432"/>
      <c r="AE93" s="1432"/>
      <c r="AF93" s="1698"/>
      <c r="AG93" s="688"/>
      <c r="AH93" s="688"/>
      <c r="AI93" s="688"/>
      <c r="AJ93" s="688"/>
      <c r="AK93" s="1707">
        <v>11</v>
      </c>
    </row>
    <row s="4153" customFormat="1" customHeight="1" ht="11.549999999999999">
      <c r="A94" s="1053"/>
      <c r="B94" s="1053"/>
      <c r="C94" s="1053"/>
      <c r="D94" s="1053"/>
      <c r="E94" s="1053"/>
      <c r="F94" s="1702"/>
      <c r="G94" s="1702"/>
      <c r="H94" s="417"/>
      <c r="N94" s="1432"/>
      <c r="P94" s="1432"/>
      <c r="Q94" s="1702"/>
      <c r="R94" s="1702"/>
      <c r="S94" s="1432"/>
      <c r="T94" s="1432"/>
      <c r="U94" s="1432"/>
      <c r="V94" s="1432"/>
      <c r="W94" s="1702"/>
      <c r="X94" s="1432"/>
      <c r="Y94" s="1432"/>
      <c r="Z94" s="610"/>
      <c r="AA94" s="1432"/>
      <c r="AB94" s="1432"/>
      <c r="AC94" s="1432"/>
      <c r="AD94" s="1432"/>
      <c r="AE94" s="1432"/>
      <c r="AF94" s="1698"/>
      <c r="AG94" s="688"/>
      <c r="AH94" s="688"/>
      <c r="AI94" s="688"/>
      <c r="AJ94" s="688"/>
      <c r="AK94" s="1707">
        <v>11</v>
      </c>
    </row>
    <row s="4153" customFormat="1" customHeight="1" ht="11.549999999999999">
      <c r="A95" s="1053"/>
      <c r="B95" s="1053"/>
      <c r="C95" s="1053"/>
      <c r="D95" s="1053"/>
      <c r="E95" s="1053"/>
      <c r="F95" s="1702"/>
      <c r="G95" s="1702"/>
      <c r="H95" s="417"/>
      <c r="N95" s="1432"/>
      <c r="P95" s="1432"/>
      <c r="Q95" s="1702"/>
      <c r="R95" s="1702"/>
      <c r="S95" s="1432"/>
      <c r="T95" s="1432"/>
      <c r="U95" s="1432"/>
      <c r="V95" s="1432"/>
      <c r="W95" s="1702"/>
      <c r="X95" s="1432"/>
      <c r="Y95" s="1432"/>
      <c r="Z95" s="610"/>
      <c r="AA95" s="1432"/>
      <c r="AB95" s="1432"/>
      <c r="AC95" s="1432"/>
      <c r="AD95" s="1432"/>
      <c r="AE95" s="1432"/>
      <c r="AF95" s="1698"/>
      <c r="AG95" s="688"/>
      <c r="AH95" s="688"/>
      <c r="AI95" s="688"/>
      <c r="AJ95" s="688"/>
      <c r="AK95" s="1707">
        <v>11</v>
      </c>
    </row>
    <row s="4153" customFormat="1" customHeight="1" ht="11.549999999999999">
      <c r="A96" s="1053"/>
      <c r="B96" s="1053"/>
      <c r="C96" s="1053"/>
      <c r="D96" s="1053"/>
      <c r="E96" s="1053"/>
      <c r="F96" s="1702"/>
      <c r="G96" s="1702"/>
      <c r="H96" s="417"/>
      <c r="N96" s="1432"/>
      <c r="P96" s="1432"/>
      <c r="Q96" s="1702"/>
      <c r="R96" s="1702"/>
      <c r="S96" s="1432"/>
      <c r="T96" s="1432"/>
      <c r="U96" s="1432"/>
      <c r="V96" s="1432"/>
      <c r="W96" s="1702"/>
      <c r="X96" s="1432"/>
      <c r="Y96" s="1432"/>
      <c r="Z96" s="610"/>
      <c r="AA96" s="1432"/>
      <c r="AB96" s="1432"/>
      <c r="AC96" s="1432"/>
      <c r="AD96" s="1432"/>
      <c r="AE96" s="1432"/>
      <c r="AF96" s="1698"/>
      <c r="AG96" s="688"/>
      <c r="AH96" s="688"/>
      <c r="AI96" s="688"/>
      <c r="AJ96" s="688"/>
      <c r="AK96" s="1707">
        <v>11</v>
      </c>
    </row>
    <row s="4153" customFormat="1" customHeight="1" ht="11.549999999999999">
      <c r="A97" s="1053"/>
      <c r="B97" s="1053"/>
      <c r="C97" s="1053"/>
      <c r="D97" s="1053"/>
      <c r="E97" s="1053"/>
      <c r="F97" s="1702"/>
      <c r="G97" s="1702"/>
      <c r="H97" s="417"/>
      <c r="N97" s="1432"/>
      <c r="P97" s="1432"/>
      <c r="Q97" s="1702"/>
      <c r="R97" s="1702"/>
      <c r="S97" s="1432"/>
      <c r="T97" s="1432"/>
      <c r="U97" s="1432"/>
      <c r="V97" s="1432"/>
      <c r="W97" s="1702"/>
      <c r="X97" s="1432"/>
      <c r="Y97" s="1432"/>
      <c r="Z97" s="610"/>
      <c r="AA97" s="1432"/>
      <c r="AB97" s="1432"/>
      <c r="AC97" s="1432"/>
      <c r="AD97" s="1432"/>
      <c r="AE97" s="1432"/>
      <c r="AF97" s="1698"/>
      <c r="AG97" s="688"/>
      <c r="AH97" s="688"/>
      <c r="AI97" s="688"/>
      <c r="AJ97" s="688"/>
      <c r="AK97" s="1707">
        <v>11</v>
      </c>
    </row>
    <row s="4153" customFormat="1" customHeight="1" ht="11.549999999999999">
      <c r="A98" s="1053"/>
      <c r="B98" s="1053"/>
      <c r="C98" s="1053"/>
      <c r="D98" s="1053"/>
      <c r="E98" s="1053"/>
      <c r="F98" s="1702"/>
      <c r="G98" s="1702"/>
      <c r="H98" s="417"/>
      <c r="N98" s="1432"/>
      <c r="P98" s="1432"/>
      <c r="Q98" s="1702"/>
      <c r="R98" s="1702"/>
      <c r="S98" s="1432"/>
      <c r="T98" s="1432"/>
      <c r="U98" s="1432"/>
      <c r="V98" s="1432"/>
      <c r="W98" s="1702"/>
      <c r="X98" s="1432"/>
      <c r="Y98" s="1432"/>
      <c r="Z98" s="610"/>
      <c r="AA98" s="1432"/>
      <c r="AB98" s="1432"/>
      <c r="AC98" s="1432"/>
      <c r="AD98" s="1432"/>
      <c r="AE98" s="1432"/>
      <c r="AF98" s="1698"/>
      <c r="AG98" s="688"/>
      <c r="AH98" s="688"/>
      <c r="AI98" s="688"/>
      <c r="AJ98" s="688"/>
      <c r="AK98" s="1707">
        <v>11</v>
      </c>
    </row>
    <row s="4153" customFormat="1" customHeight="1" ht="11.549999999999999">
      <c r="A99" s="1053"/>
      <c r="B99" s="1053"/>
      <c r="C99" s="1053"/>
      <c r="D99" s="1053"/>
      <c r="E99" s="1053"/>
      <c r="F99" s="1702"/>
      <c r="G99" s="1702"/>
      <c r="H99" s="417"/>
      <c r="N99" s="1432"/>
      <c r="P99" s="1432"/>
      <c r="Q99" s="1702"/>
      <c r="R99" s="1702"/>
      <c r="S99" s="1432"/>
      <c r="T99" s="1432"/>
      <c r="U99" s="1432"/>
      <c r="V99" s="1432"/>
      <c r="W99" s="1702"/>
      <c r="X99" s="1432"/>
      <c r="Y99" s="1432"/>
      <c r="Z99" s="610"/>
      <c r="AA99" s="1432"/>
      <c r="AB99" s="1432"/>
      <c r="AC99" s="1432"/>
      <c r="AD99" s="1432"/>
      <c r="AE99" s="1432"/>
      <c r="AF99" s="1698"/>
      <c r="AG99" s="688"/>
      <c r="AH99" s="688"/>
      <c r="AI99" s="688"/>
      <c r="AJ99" s="688"/>
      <c r="AK99" s="1707">
        <v>11</v>
      </c>
    </row>
    <row s="4153" customFormat="1" customHeight="1" ht="11.549999999999999">
      <c r="A100" s="1053"/>
      <c r="B100" s="1053"/>
      <c r="C100" s="1053"/>
      <c r="D100" s="1053"/>
      <c r="E100" s="1053"/>
      <c r="F100" s="1702"/>
      <c r="G100" s="1702"/>
      <c r="H100" s="417"/>
      <c r="N100" s="1432"/>
      <c r="P100" s="1432"/>
      <c r="Q100" s="1702"/>
      <c r="R100" s="1702"/>
      <c r="S100" s="1432"/>
      <c r="T100" s="1432"/>
      <c r="U100" s="1432"/>
      <c r="V100" s="1432"/>
      <c r="W100" s="1702"/>
      <c r="X100" s="1432"/>
      <c r="Y100" s="1432"/>
      <c r="Z100" s="610"/>
      <c r="AA100" s="1432"/>
      <c r="AB100" s="1432"/>
      <c r="AC100" s="1432"/>
      <c r="AD100" s="1432"/>
      <c r="AE100" s="1432"/>
      <c r="AF100" s="1698"/>
      <c r="AG100" s="688"/>
      <c r="AH100" s="688"/>
      <c r="AI100" s="688"/>
      <c r="AJ100" s="688"/>
      <c r="AK100" s="1707">
        <v>11</v>
      </c>
    </row>
    <row s="4153" customFormat="1" customHeight="1" ht="11.549999999999999">
      <c r="A101" s="1053"/>
      <c r="B101" s="1053"/>
      <c r="C101" s="1053"/>
      <c r="D101" s="1053"/>
      <c r="E101" s="1053"/>
      <c r="F101" s="1702"/>
      <c r="G101" s="1702"/>
      <c r="H101" s="417"/>
      <c r="N101" s="1432"/>
      <c r="P101" s="1432"/>
      <c r="Q101" s="1702"/>
      <c r="R101" s="1702"/>
      <c r="S101" s="1432"/>
      <c r="T101" s="1432"/>
      <c r="U101" s="1432"/>
      <c r="V101" s="1432"/>
      <c r="W101" s="1702"/>
      <c r="X101" s="1432"/>
      <c r="Y101" s="1432"/>
      <c r="Z101" s="610"/>
      <c r="AA101" s="1432"/>
      <c r="AB101" s="1432"/>
      <c r="AC101" s="1432"/>
      <c r="AD101" s="1432"/>
      <c r="AE101" s="1432"/>
      <c r="AF101" s="1698"/>
      <c r="AG101" s="688"/>
      <c r="AH101" s="688"/>
      <c r="AI101" s="688"/>
      <c r="AJ101" s="688"/>
      <c r="AK101" s="1707">
        <v>11</v>
      </c>
    </row>
    <row s="4153" customFormat="1" customHeight="1" ht="11.549999999999999">
      <c r="A102" s="1053"/>
      <c r="B102" s="1053"/>
      <c r="C102" s="1053"/>
      <c r="D102" s="1053"/>
      <c r="E102" s="1053"/>
      <c r="F102" s="1702"/>
      <c r="G102" s="1702"/>
      <c r="H102" s="417"/>
      <c r="N102" s="1432"/>
      <c r="P102" s="1432"/>
      <c r="Q102" s="1702"/>
      <c r="R102" s="1702"/>
      <c r="S102" s="1432"/>
      <c r="T102" s="1432"/>
      <c r="U102" s="1432"/>
      <c r="V102" s="1432"/>
      <c r="W102" s="1702"/>
      <c r="X102" s="1432"/>
      <c r="Y102" s="1432"/>
      <c r="Z102" s="610"/>
      <c r="AA102" s="1432"/>
      <c r="AB102" s="1432"/>
      <c r="AC102" s="1432"/>
      <c r="AD102" s="1432"/>
      <c r="AE102" s="1432"/>
      <c r="AF102" s="1698"/>
      <c r="AG102" s="688"/>
      <c r="AH102" s="688"/>
      <c r="AI102" s="688"/>
      <c r="AJ102" s="688"/>
      <c r="AK102" s="1707">
        <v>11</v>
      </c>
    </row>
    <row s="4153" customFormat="1" customHeight="1" ht="11.549999999999999">
      <c r="A103" s="1053"/>
      <c r="B103" s="1053"/>
      <c r="C103" s="1053"/>
      <c r="D103" s="1053"/>
      <c r="E103" s="1053"/>
      <c r="F103" s="1702"/>
      <c r="G103" s="1702"/>
      <c r="H103" s="417"/>
      <c r="N103" s="1432"/>
      <c r="P103" s="1432"/>
      <c r="Q103" s="1702"/>
      <c r="R103" s="1702"/>
      <c r="S103" s="1432"/>
      <c r="T103" s="1432"/>
      <c r="U103" s="1432"/>
      <c r="V103" s="1432"/>
      <c r="W103" s="1702"/>
      <c r="X103" s="1432"/>
      <c r="Y103" s="1432"/>
      <c r="Z103" s="610"/>
      <c r="AA103" s="1432"/>
      <c r="AB103" s="1432"/>
      <c r="AC103" s="1432"/>
      <c r="AD103" s="1432"/>
      <c r="AE103" s="1432"/>
      <c r="AF103" s="1698"/>
      <c r="AG103" s="688"/>
      <c r="AH103" s="688"/>
      <c r="AI103" s="688"/>
      <c r="AJ103" s="688"/>
      <c r="AK103" s="1707">
        <v>11</v>
      </c>
    </row>
    <row s="4153" customFormat="1" customHeight="1" ht="11.549999999999999">
      <c r="A104" s="1053"/>
      <c r="B104" s="1053"/>
      <c r="C104" s="1053"/>
      <c r="D104" s="1053"/>
      <c r="E104" s="1053"/>
      <c r="F104" s="1702"/>
      <c r="G104" s="1702"/>
      <c r="H104" s="417"/>
      <c r="N104" s="1432"/>
      <c r="P104" s="1432"/>
      <c r="Q104" s="1702"/>
      <c r="R104" s="1702"/>
      <c r="S104" s="1432"/>
      <c r="T104" s="1432"/>
      <c r="U104" s="1432"/>
      <c r="V104" s="1432"/>
      <c r="W104" s="1702"/>
      <c r="X104" s="1432"/>
      <c r="Y104" s="1432"/>
      <c r="Z104" s="610"/>
      <c r="AA104" s="1432"/>
      <c r="AB104" s="1432"/>
      <c r="AC104" s="1432"/>
      <c r="AD104" s="1432"/>
      <c r="AE104" s="1432"/>
      <c r="AF104" s="1698"/>
      <c r="AG104" s="688"/>
      <c r="AH104" s="688"/>
      <c r="AI104" s="688"/>
      <c r="AJ104" s="688"/>
      <c r="AK104" s="1707">
        <v>11</v>
      </c>
    </row>
    <row s="4153" customFormat="1" customHeight="1" ht="11.549999999999999">
      <c r="A105" s="1053"/>
      <c r="B105" s="1053"/>
      <c r="C105" s="1053"/>
      <c r="D105" s="1053"/>
      <c r="E105" s="1053"/>
      <c r="F105" s="1702"/>
      <c r="G105" s="1702"/>
      <c r="H105" s="417"/>
      <c r="N105" s="1432"/>
      <c r="P105" s="1432"/>
      <c r="Q105" s="1702"/>
      <c r="R105" s="1702"/>
      <c r="S105" s="1432"/>
      <c r="T105" s="1432"/>
      <c r="U105" s="1432"/>
      <c r="V105" s="1432"/>
      <c r="W105" s="1702"/>
      <c r="X105" s="1432"/>
      <c r="Y105" s="1432"/>
      <c r="Z105" s="610"/>
      <c r="AA105" s="1432"/>
      <c r="AB105" s="1432"/>
      <c r="AC105" s="1432"/>
      <c r="AD105" s="1432"/>
      <c r="AE105" s="1432"/>
      <c r="AF105" s="1698"/>
      <c r="AG105" s="688"/>
      <c r="AH105" s="688"/>
      <c r="AI105" s="688"/>
      <c r="AJ105" s="688"/>
      <c r="AK105" s="1707">
        <v>11</v>
      </c>
    </row>
    <row s="4153" customFormat="1" customHeight="1" ht="11.549999999999999">
      <c r="A106" s="1053"/>
      <c r="B106" s="1053"/>
      <c r="C106" s="1053"/>
      <c r="D106" s="1053"/>
      <c r="E106" s="1053"/>
      <c r="F106" s="1702"/>
      <c r="G106" s="1702"/>
      <c r="H106" s="417"/>
      <c r="N106" s="1432"/>
      <c r="P106" s="1432"/>
      <c r="Q106" s="1702"/>
      <c r="R106" s="1702"/>
      <c r="S106" s="1432"/>
      <c r="T106" s="1432"/>
      <c r="U106" s="1432"/>
      <c r="V106" s="1432"/>
      <c r="W106" s="1702"/>
      <c r="X106" s="1432"/>
      <c r="Y106" s="1432"/>
      <c r="Z106" s="610"/>
      <c r="AA106" s="1432"/>
      <c r="AB106" s="1432"/>
      <c r="AC106" s="1432"/>
      <c r="AD106" s="1432"/>
      <c r="AE106" s="1432"/>
      <c r="AF106" s="1698"/>
      <c r="AG106" s="688"/>
      <c r="AH106" s="688"/>
      <c r="AI106" s="688"/>
      <c r="AJ106" s="688"/>
      <c r="AK106" s="1707">
        <v>11</v>
      </c>
    </row>
    <row s="4153" customFormat="1" customHeight="1" ht="11.549999999999999">
      <c r="A107" s="1053"/>
      <c r="B107" s="1053"/>
      <c r="C107" s="1053"/>
      <c r="D107" s="1053"/>
      <c r="E107" s="1053"/>
      <c r="F107" s="1702"/>
      <c r="G107" s="1702"/>
      <c r="H107" s="417"/>
      <c r="N107" s="1432"/>
      <c r="P107" s="1432"/>
      <c r="Q107" s="1702"/>
      <c r="R107" s="1702"/>
      <c r="S107" s="1432"/>
      <c r="T107" s="1432"/>
      <c r="U107" s="1432"/>
      <c r="V107" s="1432"/>
      <c r="W107" s="1702"/>
      <c r="X107" s="1432"/>
      <c r="Y107" s="1432"/>
      <c r="Z107" s="610"/>
      <c r="AA107" s="1432"/>
      <c r="AB107" s="1432"/>
      <c r="AC107" s="1432"/>
      <c r="AD107" s="1432"/>
      <c r="AE107" s="1432"/>
      <c r="AF107" s="1698"/>
      <c r="AG107" s="688"/>
      <c r="AH107" s="688"/>
      <c r="AI107" s="688"/>
      <c r="AJ107" s="688"/>
      <c r="AK107" s="1707">
        <v>11</v>
      </c>
    </row>
    <row s="4153" customFormat="1" customHeight="1" ht="11.549999999999999">
      <c r="A108" s="1053"/>
      <c r="B108" s="1053"/>
      <c r="C108" s="1053"/>
      <c r="D108" s="1053"/>
      <c r="E108" s="1053"/>
      <c r="F108" s="1702"/>
      <c r="G108" s="1702"/>
      <c r="H108" s="417"/>
      <c r="N108" s="1432"/>
      <c r="P108" s="1432"/>
      <c r="Q108" s="1702"/>
      <c r="R108" s="1702"/>
      <c r="S108" s="1432"/>
      <c r="T108" s="1432"/>
      <c r="U108" s="1432"/>
      <c r="V108" s="1432"/>
      <c r="W108" s="1702"/>
      <c r="X108" s="1432"/>
      <c r="Y108" s="1432"/>
      <c r="Z108" s="610"/>
      <c r="AA108" s="1432"/>
      <c r="AB108" s="1432"/>
      <c r="AC108" s="1432"/>
      <c r="AD108" s="1432"/>
      <c r="AE108" s="1432"/>
      <c r="AF108" s="1698"/>
      <c r="AG108" s="688"/>
      <c r="AH108" s="688"/>
      <c r="AI108" s="688"/>
      <c r="AJ108" s="688"/>
      <c r="AK108" s="1707">
        <v>11</v>
      </c>
    </row>
    <row s="4153" customFormat="1" customHeight="1" ht="11.549999999999999">
      <c r="A109" s="1053"/>
      <c r="B109" s="1053"/>
      <c r="C109" s="1053"/>
      <c r="D109" s="1053"/>
      <c r="E109" s="1053"/>
      <c r="F109" s="1702"/>
      <c r="G109" s="1702"/>
      <c r="H109" s="417"/>
      <c r="N109" s="1432"/>
      <c r="P109" s="1432"/>
      <c r="Q109" s="1702"/>
      <c r="R109" s="1702"/>
      <c r="S109" s="1432"/>
      <c r="T109" s="1432"/>
      <c r="U109" s="1432"/>
      <c r="V109" s="1432"/>
      <c r="W109" s="1702"/>
      <c r="X109" s="1432"/>
      <c r="Y109" s="1432"/>
      <c r="Z109" s="610"/>
      <c r="AA109" s="1432"/>
      <c r="AB109" s="1432"/>
      <c r="AC109" s="1432"/>
      <c r="AD109" s="1432"/>
      <c r="AE109" s="1432"/>
      <c r="AF109" s="1698"/>
      <c r="AG109" s="688"/>
      <c r="AH109" s="688"/>
      <c r="AI109" s="688"/>
      <c r="AJ109" s="688"/>
      <c r="AK109" s="1707">
        <v>11</v>
      </c>
    </row>
    <row s="4153" customFormat="1" customHeight="1" ht="11.549999999999999">
      <c r="A110" s="1053"/>
      <c r="B110" s="1053"/>
      <c r="C110" s="1053"/>
      <c r="D110" s="1053"/>
      <c r="E110" s="1053"/>
      <c r="F110" s="1702"/>
      <c r="G110" s="1702"/>
      <c r="H110" s="417"/>
      <c r="N110" s="1432"/>
      <c r="P110" s="1432"/>
      <c r="Q110" s="1702"/>
      <c r="R110" s="1702"/>
      <c r="S110" s="1432"/>
      <c r="T110" s="1432"/>
      <c r="U110" s="1432"/>
      <c r="V110" s="1432"/>
      <c r="W110" s="1702"/>
      <c r="X110" s="1432"/>
      <c r="Y110" s="1432"/>
      <c r="Z110" s="610"/>
      <c r="AA110" s="1432"/>
      <c r="AB110" s="1432"/>
      <c r="AC110" s="1432"/>
      <c r="AD110" s="1432"/>
      <c r="AE110" s="1432"/>
      <c r="AF110" s="1698"/>
      <c r="AG110" s="688"/>
      <c r="AH110" s="688"/>
      <c r="AI110" s="688"/>
      <c r="AJ110" s="688"/>
      <c r="AK110" s="1707">
        <v>11</v>
      </c>
    </row>
    <row s="4153" customFormat="1" customHeight="1" ht="11.549999999999999">
      <c r="A111" s="1053"/>
      <c r="B111" s="1053"/>
      <c r="C111" s="1053"/>
      <c r="D111" s="1053"/>
      <c r="E111" s="1053"/>
      <c r="F111" s="1702"/>
      <c r="G111" s="1702"/>
      <c r="H111" s="417"/>
      <c r="N111" s="1432"/>
      <c r="P111" s="1432"/>
      <c r="Q111" s="1702"/>
      <c r="R111" s="1702"/>
      <c r="S111" s="1432"/>
      <c r="T111" s="1432"/>
      <c r="U111" s="1432"/>
      <c r="V111" s="1432"/>
      <c r="W111" s="1702"/>
      <c r="X111" s="1432"/>
      <c r="Y111" s="1432"/>
      <c r="Z111" s="610"/>
      <c r="AA111" s="1432"/>
      <c r="AB111" s="1432"/>
      <c r="AC111" s="1432"/>
      <c r="AD111" s="1432"/>
      <c r="AE111" s="1432"/>
      <c r="AF111" s="1698"/>
      <c r="AG111" s="688"/>
      <c r="AH111" s="688"/>
      <c r="AI111" s="688"/>
      <c r="AJ111" s="688"/>
      <c r="AK111" s="1707">
        <v>11</v>
      </c>
    </row>
    <row s="4153" customFormat="1" customHeight="1" ht="11.549999999999999">
      <c r="A112" s="1053"/>
      <c r="B112" s="1053"/>
      <c r="C112" s="1053"/>
      <c r="D112" s="1053"/>
      <c r="E112" s="1053"/>
      <c r="F112" s="1702"/>
      <c r="G112" s="1702"/>
      <c r="H112" s="417"/>
      <c r="N112" s="1432"/>
      <c r="P112" s="1432"/>
      <c r="Q112" s="1702"/>
      <c r="R112" s="1702"/>
      <c r="S112" s="1432"/>
      <c r="T112" s="1432"/>
      <c r="U112" s="1432"/>
      <c r="V112" s="1432"/>
      <c r="W112" s="1702"/>
      <c r="X112" s="1432"/>
      <c r="Y112" s="1432"/>
      <c r="Z112" s="610"/>
      <c r="AA112" s="1432"/>
      <c r="AB112" s="1432"/>
      <c r="AC112" s="1432"/>
      <c r="AD112" s="1432"/>
      <c r="AE112" s="1432"/>
      <c r="AF112" s="1698"/>
      <c r="AG112" s="688"/>
      <c r="AH112" s="688"/>
      <c r="AI112" s="688"/>
      <c r="AJ112" s="688"/>
      <c r="AK112" s="1707">
        <v>11</v>
      </c>
    </row>
    <row s="4153" customFormat="1" customHeight="1" ht="11.549999999999999">
      <c r="A113" s="1053"/>
      <c r="B113" s="1053"/>
      <c r="C113" s="1053"/>
      <c r="D113" s="1053"/>
      <c r="E113" s="1053"/>
      <c r="F113" s="1702"/>
      <c r="G113" s="1702"/>
      <c r="H113" s="417"/>
      <c r="N113" s="1432"/>
      <c r="P113" s="1432"/>
      <c r="Q113" s="1702"/>
      <c r="R113" s="1702"/>
      <c r="S113" s="1432"/>
      <c r="T113" s="1432"/>
      <c r="U113" s="1432"/>
      <c r="V113" s="1432"/>
      <c r="W113" s="1702"/>
      <c r="X113" s="1432"/>
      <c r="Y113" s="1432"/>
      <c r="Z113" s="610"/>
      <c r="AA113" s="1432"/>
      <c r="AB113" s="1432"/>
      <c r="AC113" s="1432"/>
      <c r="AD113" s="1432"/>
      <c r="AE113" s="1432"/>
      <c r="AF113" s="1698"/>
      <c r="AG113" s="688"/>
      <c r="AH113" s="688"/>
      <c r="AI113" s="688"/>
      <c r="AJ113" s="688"/>
      <c r="AK113" s="1707">
        <v>11</v>
      </c>
    </row>
    <row s="4153" customFormat="1" customHeight="1" ht="11.549999999999999">
      <c r="A114" s="1053"/>
      <c r="B114" s="1053"/>
      <c r="C114" s="1053"/>
      <c r="D114" s="1053"/>
      <c r="E114" s="1053"/>
      <c r="F114" s="1702"/>
      <c r="G114" s="1702"/>
      <c r="H114" s="417"/>
      <c r="N114" s="1432"/>
      <c r="P114" s="1432"/>
      <c r="Q114" s="1702"/>
      <c r="R114" s="1702"/>
      <c r="S114" s="1432"/>
      <c r="T114" s="1432"/>
      <c r="U114" s="1432"/>
      <c r="V114" s="1432"/>
      <c r="W114" s="1702"/>
      <c r="X114" s="1432"/>
      <c r="Y114" s="1432"/>
      <c r="Z114" s="610"/>
      <c r="AA114" s="1432"/>
      <c r="AB114" s="1432"/>
      <c r="AC114" s="1432"/>
      <c r="AD114" s="1432"/>
      <c r="AE114" s="1432"/>
      <c r="AF114" s="1698"/>
      <c r="AG114" s="688"/>
      <c r="AH114" s="688"/>
      <c r="AI114" s="688"/>
      <c r="AJ114" s="688"/>
      <c r="AK114" s="1707">
        <v>11</v>
      </c>
    </row>
    <row s="4153" customFormat="1" customHeight="1" ht="11.549999999999999">
      <c r="A115" s="1053"/>
      <c r="B115" s="1053"/>
      <c r="C115" s="1053"/>
      <c r="D115" s="1053"/>
      <c r="E115" s="1053"/>
      <c r="F115" s="1702"/>
      <c r="G115" s="1702"/>
      <c r="H115" s="417"/>
      <c r="N115" s="1432"/>
      <c r="P115" s="1432"/>
      <c r="Q115" s="1702"/>
      <c r="R115" s="1702"/>
      <c r="S115" s="1432"/>
      <c r="T115" s="1432"/>
      <c r="U115" s="1432"/>
      <c r="V115" s="1432"/>
      <c r="W115" s="1702"/>
      <c r="X115" s="1432"/>
      <c r="Y115" s="1432"/>
      <c r="Z115" s="610"/>
      <c r="AA115" s="1432"/>
      <c r="AB115" s="1432"/>
      <c r="AC115" s="1432"/>
      <c r="AD115" s="1432"/>
      <c r="AE115" s="1432"/>
      <c r="AF115" s="1698"/>
      <c r="AG115" s="688"/>
      <c r="AH115" s="688"/>
      <c r="AI115" s="688"/>
      <c r="AJ115" s="688"/>
      <c r="AK115" s="1707">
        <v>11</v>
      </c>
    </row>
    <row s="4153" customFormat="1" customHeight="1" ht="11.549999999999999">
      <c r="A116" s="1053"/>
      <c r="B116" s="1053"/>
      <c r="C116" s="1053"/>
      <c r="D116" s="1053"/>
      <c r="E116" s="1053"/>
      <c r="F116" s="1702"/>
      <c r="G116" s="1702"/>
      <c r="H116" s="417"/>
      <c r="N116" s="1432"/>
      <c r="P116" s="1432"/>
      <c r="Q116" s="1702"/>
      <c r="R116" s="1702"/>
      <c r="S116" s="1432"/>
      <c r="T116" s="1432"/>
      <c r="U116" s="1432"/>
      <c r="V116" s="1432"/>
      <c r="W116" s="1702"/>
      <c r="X116" s="1432"/>
      <c r="Y116" s="1432"/>
      <c r="Z116" s="610"/>
      <c r="AA116" s="1432"/>
      <c r="AB116" s="1432"/>
      <c r="AC116" s="1432"/>
      <c r="AD116" s="1432"/>
      <c r="AE116" s="1432"/>
      <c r="AF116" s="1698"/>
      <c r="AG116" s="688"/>
      <c r="AH116" s="688"/>
      <c r="AI116" s="688"/>
      <c r="AJ116" s="688"/>
      <c r="AK116" s="1707">
        <v>11</v>
      </c>
    </row>
    <row s="4153" customFormat="1" customHeight="1" ht="11.549999999999999">
      <c r="A117" s="1053"/>
      <c r="B117" s="1053"/>
      <c r="C117" s="1053"/>
      <c r="D117" s="1053"/>
      <c r="E117" s="1053"/>
      <c r="F117" s="1702"/>
      <c r="G117" s="1702"/>
      <c r="H117" s="417"/>
      <c r="N117" s="1432"/>
      <c r="P117" s="1432"/>
      <c r="Q117" s="1702"/>
      <c r="R117" s="1702"/>
      <c r="S117" s="1432"/>
      <c r="T117" s="1432"/>
      <c r="U117" s="1432"/>
      <c r="V117" s="1432"/>
      <c r="W117" s="1702"/>
      <c r="X117" s="1432"/>
      <c r="Y117" s="1432"/>
      <c r="Z117" s="610"/>
      <c r="AA117" s="1432"/>
      <c r="AB117" s="1432"/>
      <c r="AC117" s="1432"/>
      <c r="AD117" s="1432"/>
      <c r="AE117" s="1432"/>
      <c r="AF117" s="1698"/>
      <c r="AG117" s="688"/>
      <c r="AH117" s="688"/>
      <c r="AI117" s="688"/>
      <c r="AJ117" s="688"/>
      <c r="AK117" s="1707">
        <v>11</v>
      </c>
    </row>
    <row s="4153" customFormat="1" customHeight="1" ht="11.549999999999999">
      <c r="A118" s="1053"/>
      <c r="B118" s="1053"/>
      <c r="C118" s="1053"/>
      <c r="D118" s="1053"/>
      <c r="E118" s="1053"/>
      <c r="F118" s="1702"/>
      <c r="G118" s="1702"/>
      <c r="H118" s="417"/>
      <c r="N118" s="1432"/>
      <c r="P118" s="1432"/>
      <c r="Q118" s="1702"/>
      <c r="R118" s="1702"/>
      <c r="S118" s="1432"/>
      <c r="T118" s="1432"/>
      <c r="U118" s="1432"/>
      <c r="V118" s="1432"/>
      <c r="W118" s="1702"/>
      <c r="X118" s="1432"/>
      <c r="Y118" s="1432"/>
      <c r="Z118" s="610"/>
      <c r="AA118" s="1432"/>
      <c r="AB118" s="1432"/>
      <c r="AC118" s="1432"/>
      <c r="AD118" s="1432"/>
      <c r="AE118" s="1432"/>
      <c r="AF118" s="1698"/>
      <c r="AG118" s="688"/>
      <c r="AH118" s="688"/>
      <c r="AI118" s="688"/>
      <c r="AJ118" s="688"/>
      <c r="AK118" s="1707">
        <v>11</v>
      </c>
    </row>
    <row s="4153" customFormat="1" customHeight="1" ht="11.549999999999999">
      <c r="A119" s="1053"/>
      <c r="B119" s="1053"/>
      <c r="C119" s="1053"/>
      <c r="D119" s="1053"/>
      <c r="E119" s="1053"/>
      <c r="F119" s="1702"/>
      <c r="G119" s="1702"/>
      <c r="H119" s="417"/>
      <c r="N119" s="1432"/>
      <c r="P119" s="1432"/>
      <c r="Q119" s="1702"/>
      <c r="R119" s="1702"/>
      <c r="S119" s="1432"/>
      <c r="T119" s="1432"/>
      <c r="U119" s="1432"/>
      <c r="V119" s="1432"/>
      <c r="W119" s="1702"/>
      <c r="X119" s="1432"/>
      <c r="Y119" s="1432"/>
      <c r="Z119" s="610"/>
      <c r="AA119" s="1432"/>
      <c r="AB119" s="1432"/>
      <c r="AC119" s="1432"/>
      <c r="AD119" s="1432"/>
      <c r="AE119" s="1432"/>
      <c r="AF119" s="1698"/>
      <c r="AG119" s="688"/>
      <c r="AH119" s="688"/>
      <c r="AI119" s="688"/>
      <c r="AJ119" s="688"/>
      <c r="AK119" s="1707">
        <v>11</v>
      </c>
    </row>
    <row s="4153" customFormat="1" customHeight="1" ht="11.549999999999999">
      <c r="A120" s="1053"/>
      <c r="B120" s="1053"/>
      <c r="C120" s="1053"/>
      <c r="D120" s="1053"/>
      <c r="E120" s="1053"/>
      <c r="F120" s="1702"/>
      <c r="G120" s="1702"/>
      <c r="H120" s="417"/>
      <c r="N120" s="1432"/>
      <c r="P120" s="1432"/>
      <c r="Q120" s="1702"/>
      <c r="R120" s="1702"/>
      <c r="S120" s="1432"/>
      <c r="T120" s="1432"/>
      <c r="U120" s="1432"/>
      <c r="V120" s="1432"/>
      <c r="W120" s="1702"/>
      <c r="X120" s="1432"/>
      <c r="Y120" s="1432"/>
      <c r="Z120" s="610"/>
      <c r="AA120" s="1432"/>
      <c r="AB120" s="1432"/>
      <c r="AC120" s="1432"/>
      <c r="AD120" s="1432"/>
      <c r="AE120" s="1432"/>
      <c r="AF120" s="1698"/>
      <c r="AG120" s="688"/>
      <c r="AH120" s="688"/>
      <c r="AI120" s="688"/>
      <c r="AJ120" s="688"/>
      <c r="AK120" s="1707">
        <v>11</v>
      </c>
    </row>
    <row s="4153" customFormat="1" customHeight="1" ht="11.549999999999999">
      <c r="A121" s="1053"/>
      <c r="B121" s="1053"/>
      <c r="C121" s="1053"/>
      <c r="D121" s="1053"/>
      <c r="E121" s="1053"/>
      <c r="F121" s="1702"/>
      <c r="G121" s="1702"/>
      <c r="H121" s="417"/>
      <c r="N121" s="1432"/>
      <c r="P121" s="1432"/>
      <c r="Q121" s="1702"/>
      <c r="R121" s="1702"/>
      <c r="S121" s="1432"/>
      <c r="T121" s="1432"/>
      <c r="U121" s="1432"/>
      <c r="V121" s="1432"/>
      <c r="W121" s="1702"/>
      <c r="X121" s="1432"/>
      <c r="Y121" s="1432"/>
      <c r="Z121" s="610"/>
      <c r="AA121" s="1432"/>
      <c r="AB121" s="1432"/>
      <c r="AC121" s="1432"/>
      <c r="AD121" s="1432"/>
      <c r="AE121" s="1432"/>
      <c r="AF121" s="1698"/>
      <c r="AG121" s="688"/>
      <c r="AH121" s="688"/>
      <c r="AI121" s="688"/>
      <c r="AJ121" s="688"/>
      <c r="AK121" s="1707">
        <v>11</v>
      </c>
    </row>
    <row s="4153" customFormat="1" customHeight="1" ht="11.549999999999999">
      <c r="A122" s="1053"/>
      <c r="B122" s="1053"/>
      <c r="C122" s="1053"/>
      <c r="D122" s="1053"/>
      <c r="E122" s="1053"/>
      <c r="F122" s="1702"/>
      <c r="G122" s="1702"/>
      <c r="H122" s="417"/>
      <c r="N122" s="1432"/>
      <c r="P122" s="1432"/>
      <c r="Q122" s="1702"/>
      <c r="R122" s="1702"/>
      <c r="S122" s="1432"/>
      <c r="T122" s="1432"/>
      <c r="U122" s="1432"/>
      <c r="V122" s="1432"/>
      <c r="W122" s="1702"/>
      <c r="X122" s="1432"/>
      <c r="Y122" s="1432"/>
      <c r="Z122" s="610"/>
      <c r="AA122" s="1432"/>
      <c r="AB122" s="1432"/>
      <c r="AC122" s="1432"/>
      <c r="AD122" s="1432"/>
      <c r="AE122" s="1432"/>
      <c r="AF122" s="1698"/>
      <c r="AG122" s="688"/>
      <c r="AH122" s="688"/>
      <c r="AI122" s="688"/>
      <c r="AJ122" s="688"/>
      <c r="AK122" s="1707">
        <v>11</v>
      </c>
    </row>
    <row s="4153" customFormat="1" customHeight="1" ht="11.549999999999999">
      <c r="A123" s="1053"/>
      <c r="B123" s="1053"/>
      <c r="C123" s="1053"/>
      <c r="D123" s="1053"/>
      <c r="E123" s="1053"/>
      <c r="F123" s="1702"/>
      <c r="G123" s="1702"/>
      <c r="H123" s="417"/>
      <c r="N123" s="1432"/>
      <c r="P123" s="1432"/>
      <c r="Q123" s="1702"/>
      <c r="R123" s="1702"/>
      <c r="S123" s="1432"/>
      <c r="T123" s="1432"/>
      <c r="U123" s="1432"/>
      <c r="V123" s="1432"/>
      <c r="W123" s="1702"/>
      <c r="X123" s="1432"/>
      <c r="Y123" s="1432"/>
      <c r="Z123" s="610"/>
      <c r="AA123" s="1432"/>
      <c r="AB123" s="1432"/>
      <c r="AC123" s="1432"/>
      <c r="AD123" s="1432"/>
      <c r="AE123" s="1432"/>
      <c r="AF123" s="1698"/>
      <c r="AG123" s="688"/>
      <c r="AH123" s="688"/>
      <c r="AI123" s="688"/>
      <c r="AJ123" s="688"/>
      <c r="AK123" s="1707">
        <v>11</v>
      </c>
    </row>
    <row s="4153" customFormat="1" customHeight="1" ht="11.549999999999999">
      <c r="A124" s="1053"/>
      <c r="B124" s="1053"/>
      <c r="C124" s="1053"/>
      <c r="D124" s="1053"/>
      <c r="E124" s="1053"/>
      <c r="F124" s="1702"/>
      <c r="G124" s="1702"/>
      <c r="H124" s="417"/>
      <c r="N124" s="1432"/>
      <c r="P124" s="1432"/>
      <c r="Q124" s="1702"/>
      <c r="R124" s="1702"/>
      <c r="S124" s="1432"/>
      <c r="T124" s="1432"/>
      <c r="U124" s="1432"/>
      <c r="V124" s="1432"/>
      <c r="W124" s="1702"/>
      <c r="X124" s="1432"/>
      <c r="Y124" s="1432"/>
      <c r="Z124" s="610"/>
      <c r="AA124" s="1432"/>
      <c r="AB124" s="1432"/>
      <c r="AC124" s="1432"/>
      <c r="AD124" s="1432"/>
      <c r="AE124" s="1432"/>
      <c r="AF124" s="1698"/>
      <c r="AG124" s="688"/>
      <c r="AH124" s="688"/>
      <c r="AI124" s="688"/>
      <c r="AJ124" s="688"/>
      <c r="AK124" s="1707">
        <v>11</v>
      </c>
    </row>
    <row s="4153" customFormat="1" customHeight="1" ht="11.549999999999999">
      <c r="A125" s="1053"/>
      <c r="B125" s="1053"/>
      <c r="C125" s="1053"/>
      <c r="D125" s="1053"/>
      <c r="E125" s="1053"/>
      <c r="F125" s="1702"/>
      <c r="G125" s="1702"/>
      <c r="H125" s="417"/>
      <c r="N125" s="1432"/>
      <c r="P125" s="1432"/>
      <c r="Q125" s="1702"/>
      <c r="R125" s="1702"/>
      <c r="S125" s="1432"/>
      <c r="T125" s="1432"/>
      <c r="U125" s="1432"/>
      <c r="V125" s="1432"/>
      <c r="W125" s="1702"/>
      <c r="X125" s="1432"/>
      <c r="Y125" s="1432"/>
      <c r="Z125" s="610"/>
      <c r="AA125" s="1432"/>
      <c r="AB125" s="1432"/>
      <c r="AC125" s="1432"/>
      <c r="AD125" s="1432"/>
      <c r="AE125" s="1432"/>
      <c r="AF125" s="1698"/>
      <c r="AG125" s="688"/>
      <c r="AH125" s="688"/>
      <c r="AI125" s="688"/>
      <c r="AJ125" s="688"/>
      <c r="AK125" s="1707">
        <v>11</v>
      </c>
    </row>
    <row s="4153" customFormat="1" customHeight="1" ht="11.549999999999999">
      <c r="A126" s="1053"/>
      <c r="B126" s="1053"/>
      <c r="C126" s="1053"/>
      <c r="D126" s="1053"/>
      <c r="E126" s="1053"/>
      <c r="F126" s="1702"/>
      <c r="G126" s="1702"/>
      <c r="H126" s="417"/>
      <c r="N126" s="1432"/>
      <c r="P126" s="1432"/>
      <c r="Q126" s="1702"/>
      <c r="R126" s="1702"/>
      <c r="S126" s="1432"/>
      <c r="T126" s="1432"/>
      <c r="U126" s="1432"/>
      <c r="V126" s="1432"/>
      <c r="W126" s="1702"/>
      <c r="X126" s="1432"/>
      <c r="Y126" s="1432"/>
      <c r="Z126" s="610"/>
      <c r="AA126" s="1432"/>
      <c r="AB126" s="1432"/>
      <c r="AC126" s="1432"/>
      <c r="AD126" s="1432"/>
      <c r="AE126" s="1432"/>
      <c r="AF126" s="1698"/>
      <c r="AG126" s="688"/>
      <c r="AH126" s="688"/>
      <c r="AI126" s="688"/>
      <c r="AJ126" s="688"/>
      <c r="AK126" s="1707">
        <v>11</v>
      </c>
    </row>
    <row s="4153" customFormat="1" customHeight="1" ht="11.549999999999999">
      <c r="A127" s="1053"/>
      <c r="B127" s="1053"/>
      <c r="C127" s="1053"/>
      <c r="D127" s="1053"/>
      <c r="E127" s="1053"/>
      <c r="F127" s="1702"/>
      <c r="G127" s="1702"/>
      <c r="H127" s="417"/>
      <c r="N127" s="1432"/>
      <c r="P127" s="1432"/>
      <c r="Q127" s="1702"/>
      <c r="R127" s="1702"/>
      <c r="S127" s="1432"/>
      <c r="T127" s="1432"/>
      <c r="U127" s="1432"/>
      <c r="V127" s="1432"/>
      <c r="W127" s="1702"/>
      <c r="X127" s="1432"/>
      <c r="Y127" s="1432"/>
      <c r="Z127" s="610"/>
      <c r="AA127" s="1432"/>
      <c r="AB127" s="1432"/>
      <c r="AC127" s="1432"/>
      <c r="AD127" s="1432"/>
      <c r="AE127" s="1432"/>
      <c r="AF127" s="1698"/>
      <c r="AG127" s="688"/>
      <c r="AH127" s="688"/>
      <c r="AI127" s="688"/>
      <c r="AJ127" s="688"/>
      <c r="AK127" s="1707">
        <v>11</v>
      </c>
    </row>
    <row s="4153" customFormat="1" customHeight="1" ht="11.549999999999999">
      <c r="A128" s="1053"/>
      <c r="B128" s="1053"/>
      <c r="C128" s="1053"/>
      <c r="D128" s="1053"/>
      <c r="E128" s="1053"/>
      <c r="F128" s="1702"/>
      <c r="G128" s="1702"/>
      <c r="H128" s="417"/>
      <c r="N128" s="1432"/>
      <c r="P128" s="1432"/>
      <c r="Q128" s="1702"/>
      <c r="R128" s="1702"/>
      <c r="S128" s="1432"/>
      <c r="T128" s="1432"/>
      <c r="U128" s="1432"/>
      <c r="V128" s="1432"/>
      <c r="W128" s="1702"/>
      <c r="X128" s="1432"/>
      <c r="Y128" s="1432"/>
      <c r="Z128" s="610"/>
      <c r="AA128" s="1432"/>
      <c r="AB128" s="1432"/>
      <c r="AC128" s="1432"/>
      <c r="AD128" s="1432"/>
      <c r="AE128" s="1432"/>
      <c r="AF128" s="1698"/>
      <c r="AG128" s="688"/>
      <c r="AH128" s="688"/>
      <c r="AI128" s="688"/>
      <c r="AJ128" s="688"/>
      <c r="AK128" s="1707">
        <v>11</v>
      </c>
    </row>
    <row s="4153" customFormat="1" customHeight="1" ht="11.549999999999999">
      <c r="A129" s="1053"/>
      <c r="B129" s="1053"/>
      <c r="C129" s="1053"/>
      <c r="D129" s="1053"/>
      <c r="E129" s="1053"/>
      <c r="F129" s="1702"/>
      <c r="G129" s="1702"/>
      <c r="H129" s="417"/>
      <c r="N129" s="1432"/>
      <c r="P129" s="1432"/>
      <c r="Q129" s="1702"/>
      <c r="R129" s="1702"/>
      <c r="S129" s="1432"/>
      <c r="T129" s="1432"/>
      <c r="U129" s="1432"/>
      <c r="V129" s="1432"/>
      <c r="W129" s="1702"/>
      <c r="X129" s="1432"/>
      <c r="Y129" s="1432"/>
      <c r="Z129" s="610"/>
      <c r="AA129" s="1432"/>
      <c r="AB129" s="1432"/>
      <c r="AC129" s="1432"/>
      <c r="AD129" s="1432"/>
      <c r="AE129" s="1432"/>
      <c r="AF129" s="1698"/>
      <c r="AG129" s="688"/>
      <c r="AH129" s="688"/>
      <c r="AI129" s="688"/>
      <c r="AJ129" s="688"/>
      <c r="AK129" s="1707">
        <v>11</v>
      </c>
    </row>
    <row s="4153" customFormat="1" customHeight="1" ht="11.549999999999999">
      <c r="A130" s="1053"/>
      <c r="B130" s="1053"/>
      <c r="C130" s="1053"/>
      <c r="D130" s="1053"/>
      <c r="E130" s="1053"/>
      <c r="F130" s="1702"/>
      <c r="G130" s="1702"/>
      <c r="H130" s="417"/>
      <c r="N130" s="1432"/>
      <c r="P130" s="1432"/>
      <c r="Q130" s="1702"/>
      <c r="R130" s="1702"/>
      <c r="S130" s="1432"/>
      <c r="T130" s="1432"/>
      <c r="U130" s="1432"/>
      <c r="V130" s="1432"/>
      <c r="W130" s="1702"/>
      <c r="X130" s="1432"/>
      <c r="Y130" s="1432"/>
      <c r="Z130" s="610"/>
      <c r="AA130" s="1432"/>
      <c r="AB130" s="1432"/>
      <c r="AC130" s="1432"/>
      <c r="AD130" s="1432"/>
      <c r="AE130" s="1432"/>
      <c r="AF130" s="1698"/>
      <c r="AG130" s="688"/>
      <c r="AH130" s="688"/>
      <c r="AI130" s="688"/>
      <c r="AJ130" s="688"/>
      <c r="AK130" s="1707">
        <v>11</v>
      </c>
    </row>
    <row s="4153" customFormat="1" customHeight="1" ht="11.549999999999999">
      <c r="A131" s="1053"/>
      <c r="B131" s="1053"/>
      <c r="C131" s="1053"/>
      <c r="D131" s="1053"/>
      <c r="E131" s="1053"/>
      <c r="F131" s="1702"/>
      <c r="G131" s="1702"/>
      <c r="H131" s="417"/>
      <c r="N131" s="1432"/>
      <c r="P131" s="1432"/>
      <c r="Q131" s="1702"/>
      <c r="R131" s="1702"/>
      <c r="S131" s="1432"/>
      <c r="T131" s="1432"/>
      <c r="U131" s="1432"/>
      <c r="V131" s="1432"/>
      <c r="W131" s="1702"/>
      <c r="X131" s="1432"/>
      <c r="Y131" s="1432"/>
      <c r="Z131" s="610"/>
      <c r="AA131" s="1432"/>
      <c r="AB131" s="1432"/>
      <c r="AC131" s="1432"/>
      <c r="AD131" s="1432"/>
      <c r="AE131" s="1432"/>
      <c r="AF131" s="1698"/>
      <c r="AG131" s="688"/>
      <c r="AH131" s="688"/>
      <c r="AI131" s="688"/>
      <c r="AJ131" s="688"/>
      <c r="AK131" s="1707">
        <v>11</v>
      </c>
    </row>
    <row s="4153" customFormat="1" customHeight="1" ht="11.549999999999999">
      <c r="A132" s="1053"/>
      <c r="B132" s="1053"/>
      <c r="C132" s="1053"/>
      <c r="D132" s="1053"/>
      <c r="E132" s="1053"/>
      <c r="F132" s="1702"/>
      <c r="G132" s="1702"/>
      <c r="H132" s="417"/>
      <c r="N132" s="1432"/>
      <c r="P132" s="1432"/>
      <c r="Q132" s="1702"/>
      <c r="R132" s="1702"/>
      <c r="S132" s="1432"/>
      <c r="T132" s="1432"/>
      <c r="U132" s="1432"/>
      <c r="V132" s="1432"/>
      <c r="W132" s="1702"/>
      <c r="X132" s="1432"/>
      <c r="Y132" s="1432"/>
      <c r="Z132" s="610"/>
      <c r="AA132" s="1432"/>
      <c r="AB132" s="1432"/>
      <c r="AC132" s="1432"/>
      <c r="AD132" s="1432"/>
      <c r="AE132" s="1432"/>
      <c r="AF132" s="1698"/>
      <c r="AG132" s="688"/>
      <c r="AH132" s="688"/>
      <c r="AI132" s="688"/>
      <c r="AJ132" s="688"/>
      <c r="AK132" s="1707">
        <v>11</v>
      </c>
    </row>
    <row s="4153" customFormat="1" customHeight="1" ht="11.549999999999999">
      <c r="A133" s="1053"/>
      <c r="B133" s="1053"/>
      <c r="C133" s="1053"/>
      <c r="D133" s="1053"/>
      <c r="E133" s="1053"/>
      <c r="F133" s="1702"/>
      <c r="G133" s="1702"/>
      <c r="H133" s="417"/>
      <c r="N133" s="1432"/>
      <c r="P133" s="1432"/>
      <c r="Q133" s="1702"/>
      <c r="R133" s="1702"/>
      <c r="S133" s="1432"/>
      <c r="T133" s="1432"/>
      <c r="U133" s="1432"/>
      <c r="V133" s="1432"/>
      <c r="W133" s="1702"/>
      <c r="X133" s="1432"/>
      <c r="Y133" s="1432"/>
      <c r="Z133" s="610"/>
      <c r="AA133" s="1432"/>
      <c r="AB133" s="1432"/>
      <c r="AC133" s="1432"/>
      <c r="AD133" s="1432"/>
      <c r="AE133" s="1432"/>
      <c r="AF133" s="1698"/>
      <c r="AG133" s="688"/>
      <c r="AH133" s="688"/>
      <c r="AI133" s="688"/>
      <c r="AJ133" s="688"/>
      <c r="AK133" s="1707">
        <v>11</v>
      </c>
    </row>
    <row s="4153" customFormat="1" customHeight="1" ht="11.549999999999999">
      <c r="A134" s="1053"/>
      <c r="B134" s="1053"/>
      <c r="C134" s="1053"/>
      <c r="D134" s="1053"/>
      <c r="E134" s="1053"/>
      <c r="F134" s="1702"/>
      <c r="G134" s="1702"/>
      <c r="H134" s="417"/>
      <c r="N134" s="1432"/>
      <c r="P134" s="1432"/>
      <c r="Q134" s="1702"/>
      <c r="R134" s="1702"/>
      <c r="S134" s="1432"/>
      <c r="T134" s="1432"/>
      <c r="U134" s="1432"/>
      <c r="V134" s="1432"/>
      <c r="W134" s="1702"/>
      <c r="X134" s="1432"/>
      <c r="Y134" s="1432"/>
      <c r="Z134" s="610"/>
      <c r="AA134" s="1432"/>
      <c r="AB134" s="1432"/>
      <c r="AC134" s="1432"/>
      <c r="AD134" s="1432"/>
      <c r="AE134" s="1432"/>
      <c r="AF134" s="1698"/>
      <c r="AG134" s="688"/>
      <c r="AH134" s="688"/>
      <c r="AI134" s="688"/>
      <c r="AJ134" s="688"/>
      <c r="AK134" s="1707">
        <v>11</v>
      </c>
    </row>
    <row s="4153" customFormat="1" customHeight="1" ht="11.549999999999999">
      <c r="A135" s="1053"/>
      <c r="B135" s="1053"/>
      <c r="C135" s="1053"/>
      <c r="D135" s="1053"/>
      <c r="E135" s="1053"/>
      <c r="F135" s="1702"/>
      <c r="G135" s="1702"/>
      <c r="H135" s="417"/>
      <c r="N135" s="1432"/>
      <c r="P135" s="1432"/>
      <c r="Q135" s="1702"/>
      <c r="R135" s="1702"/>
      <c r="S135" s="1432"/>
      <c r="T135" s="1432"/>
      <c r="U135" s="1432"/>
      <c r="V135" s="1432"/>
      <c r="W135" s="1702"/>
      <c r="X135" s="1432"/>
      <c r="Y135" s="1432"/>
      <c r="Z135" s="610"/>
      <c r="AA135" s="1432"/>
      <c r="AB135" s="1432"/>
      <c r="AC135" s="1432"/>
      <c r="AD135" s="1432"/>
      <c r="AE135" s="1432"/>
      <c r="AF135" s="1698"/>
      <c r="AG135" s="688"/>
      <c r="AH135" s="688"/>
      <c r="AI135" s="688"/>
      <c r="AJ135" s="688"/>
      <c r="AK135" s="1707">
        <v>11</v>
      </c>
    </row>
    <row s="4153" customFormat="1" customHeight="1" ht="11.549999999999999">
      <c r="A136" s="1053"/>
      <c r="B136" s="1053"/>
      <c r="C136" s="1053"/>
      <c r="D136" s="1053"/>
      <c r="E136" s="1053"/>
      <c r="F136" s="1702"/>
      <c r="G136" s="1702"/>
      <c r="H136" s="417"/>
      <c r="N136" s="1432"/>
      <c r="P136" s="1432"/>
      <c r="Q136" s="1702"/>
      <c r="R136" s="1702"/>
      <c r="S136" s="1432"/>
      <c r="T136" s="1432"/>
      <c r="U136" s="1432"/>
      <c r="V136" s="1432"/>
      <c r="W136" s="1702"/>
      <c r="X136" s="1432"/>
      <c r="Y136" s="1432"/>
      <c r="Z136" s="610"/>
      <c r="AA136" s="1432"/>
      <c r="AB136" s="1432"/>
      <c r="AC136" s="1432"/>
      <c r="AD136" s="1432"/>
      <c r="AE136" s="1432"/>
      <c r="AF136" s="1698"/>
      <c r="AG136" s="688"/>
      <c r="AH136" s="688"/>
      <c r="AI136" s="688"/>
      <c r="AJ136" s="688"/>
      <c r="AK136" s="1707">
        <v>11</v>
      </c>
    </row>
    <row s="4153" customFormat="1" customHeight="1" ht="11.549999999999999">
      <c r="A137" s="1053"/>
      <c r="B137" s="1053"/>
      <c r="C137" s="1053"/>
      <c r="D137" s="1053"/>
      <c r="E137" s="1053"/>
      <c r="F137" s="1702"/>
      <c r="G137" s="1702"/>
      <c r="H137" s="417"/>
      <c r="N137" s="1432"/>
      <c r="P137" s="1432"/>
      <c r="Q137" s="1702"/>
      <c r="R137" s="1702"/>
      <c r="S137" s="1432"/>
      <c r="T137" s="1432"/>
      <c r="U137" s="1432"/>
      <c r="V137" s="1432"/>
      <c r="W137" s="1702"/>
      <c r="X137" s="1432"/>
      <c r="Y137" s="1432"/>
      <c r="Z137" s="610"/>
      <c r="AA137" s="1432"/>
      <c r="AB137" s="1432"/>
      <c r="AC137" s="1432"/>
      <c r="AD137" s="1432"/>
      <c r="AE137" s="1432"/>
      <c r="AF137" s="1698"/>
      <c r="AG137" s="688"/>
      <c r="AH137" s="688"/>
      <c r="AI137" s="688"/>
      <c r="AJ137" s="688"/>
      <c r="AK137" s="1707">
        <v>11</v>
      </c>
    </row>
    <row s="4153" customFormat="1" customHeight="1" ht="11.549999999999999">
      <c r="A138" s="1053"/>
      <c r="B138" s="1053"/>
      <c r="C138" s="1053"/>
      <c r="D138" s="1053"/>
      <c r="E138" s="1053"/>
      <c r="F138" s="1702"/>
      <c r="G138" s="1702"/>
      <c r="H138" s="417"/>
      <c r="N138" s="1432"/>
      <c r="P138" s="1432"/>
      <c r="Q138" s="1702"/>
      <c r="R138" s="1702"/>
      <c r="S138" s="1432"/>
      <c r="T138" s="1432"/>
      <c r="U138" s="1432"/>
      <c r="V138" s="1432"/>
      <c r="W138" s="1702"/>
      <c r="X138" s="1432"/>
      <c r="Y138" s="1432"/>
      <c r="Z138" s="610"/>
      <c r="AA138" s="1432"/>
      <c r="AB138" s="1432"/>
      <c r="AC138" s="1432"/>
      <c r="AD138" s="1432"/>
      <c r="AE138" s="1432"/>
      <c r="AF138" s="1698"/>
      <c r="AG138" s="688"/>
      <c r="AH138" s="688"/>
      <c r="AI138" s="688"/>
      <c r="AJ138" s="688"/>
      <c r="AK138" s="1707">
        <v>11</v>
      </c>
    </row>
    <row s="4153" customFormat="1" customHeight="1" ht="11.549999999999999">
      <c r="A139" s="1053"/>
      <c r="B139" s="1053"/>
      <c r="C139" s="1053"/>
      <c r="D139" s="1053"/>
      <c r="E139" s="1053"/>
      <c r="F139" s="1702"/>
      <c r="G139" s="1702"/>
      <c r="H139" s="417"/>
      <c r="N139" s="1432"/>
      <c r="P139" s="1432"/>
      <c r="Q139" s="1702"/>
      <c r="R139" s="1702"/>
      <c r="S139" s="1432"/>
      <c r="T139" s="1432"/>
      <c r="U139" s="1432"/>
      <c r="V139" s="1432"/>
      <c r="W139" s="1702"/>
      <c r="X139" s="1432"/>
      <c r="Y139" s="1432"/>
      <c r="Z139" s="610"/>
      <c r="AA139" s="1432"/>
      <c r="AB139" s="1432"/>
      <c r="AC139" s="1432"/>
      <c r="AD139" s="1432"/>
      <c r="AE139" s="1432"/>
      <c r="AF139" s="1698"/>
      <c r="AG139" s="688"/>
      <c r="AH139" s="688"/>
      <c r="AI139" s="688"/>
      <c r="AJ139" s="688"/>
      <c r="AK139" s="1707">
        <v>11</v>
      </c>
    </row>
    <row s="4153" customFormat="1" customHeight="1" ht="11.549999999999999">
      <c r="A140" s="1053"/>
      <c r="B140" s="1053"/>
      <c r="C140" s="1053"/>
      <c r="D140" s="1053"/>
      <c r="E140" s="1053"/>
      <c r="F140" s="1702"/>
      <c r="G140" s="1702"/>
      <c r="H140" s="417"/>
      <c r="N140" s="1432"/>
      <c r="P140" s="1432"/>
      <c r="Q140" s="1702"/>
      <c r="R140" s="1702"/>
      <c r="S140" s="1432"/>
      <c r="T140" s="1432"/>
      <c r="U140" s="1432"/>
      <c r="V140" s="1432"/>
      <c r="W140" s="1702"/>
      <c r="X140" s="1432"/>
      <c r="Y140" s="1432"/>
      <c r="Z140" s="610"/>
      <c r="AA140" s="1432"/>
      <c r="AB140" s="1432"/>
      <c r="AC140" s="1432"/>
      <c r="AD140" s="1432"/>
      <c r="AE140" s="1432"/>
      <c r="AF140" s="1698"/>
      <c r="AG140" s="688"/>
      <c r="AH140" s="688"/>
      <c r="AI140" s="688"/>
      <c r="AJ140" s="688"/>
      <c r="AK140" s="1707">
        <v>11</v>
      </c>
    </row>
    <row s="4153" customFormat="1" customHeight="1" ht="11.549999999999999">
      <c r="A141" s="1053"/>
      <c r="B141" s="1053"/>
      <c r="C141" s="1053"/>
      <c r="D141" s="1053"/>
      <c r="E141" s="1053"/>
      <c r="F141" s="1702"/>
      <c r="G141" s="1702"/>
      <c r="H141" s="417"/>
      <c r="N141" s="1432"/>
      <c r="P141" s="1432"/>
      <c r="Q141" s="1702"/>
      <c r="R141" s="1702"/>
      <c r="S141" s="1432"/>
      <c r="T141" s="1432"/>
      <c r="U141" s="1432"/>
      <c r="V141" s="1432"/>
      <c r="W141" s="1702"/>
      <c r="X141" s="1432"/>
      <c r="Y141" s="1432"/>
      <c r="Z141" s="610"/>
      <c r="AA141" s="1432"/>
      <c r="AB141" s="1432"/>
      <c r="AC141" s="1432"/>
      <c r="AD141" s="1432"/>
      <c r="AE141" s="1432"/>
      <c r="AF141" s="1698"/>
      <c r="AG141" s="688"/>
      <c r="AH141" s="688"/>
      <c r="AI141" s="688"/>
      <c r="AJ141" s="688"/>
      <c r="AK141" s="1707">
        <v>11</v>
      </c>
    </row>
    <row s="4153" customFormat="1" customHeight="1" ht="11.549999999999999">
      <c r="A142" s="1053"/>
      <c r="B142" s="1053"/>
      <c r="C142" s="1053"/>
      <c r="D142" s="1053"/>
      <c r="E142" s="1053"/>
      <c r="F142" s="1702"/>
      <c r="G142" s="1702"/>
      <c r="H142" s="417"/>
      <c r="N142" s="1432"/>
      <c r="P142" s="1432"/>
      <c r="Q142" s="1702"/>
      <c r="R142" s="1702"/>
      <c r="S142" s="1432"/>
      <c r="T142" s="1432"/>
      <c r="U142" s="1432"/>
      <c r="V142" s="1432"/>
      <c r="W142" s="1702"/>
      <c r="X142" s="1432"/>
      <c r="Y142" s="1432"/>
      <c r="Z142" s="610"/>
      <c r="AA142" s="1432"/>
      <c r="AB142" s="1432"/>
      <c r="AC142" s="1432"/>
      <c r="AD142" s="1432"/>
      <c r="AE142" s="1432"/>
      <c r="AF142" s="1698"/>
      <c r="AG142" s="688"/>
      <c r="AH142" s="688"/>
      <c r="AI142" s="688"/>
      <c r="AJ142" s="688"/>
      <c r="AK142" s="1707">
        <v>11</v>
      </c>
    </row>
    <row s="4153" customFormat="1" customHeight="1" ht="11.549999999999999">
      <c r="A143" s="1053"/>
      <c r="B143" s="1053"/>
      <c r="C143" s="1053"/>
      <c r="D143" s="1053"/>
      <c r="E143" s="1053"/>
      <c r="F143" s="1702"/>
      <c r="G143" s="1702"/>
      <c r="H143" s="417"/>
      <c r="N143" s="1432"/>
      <c r="P143" s="1432"/>
      <c r="Q143" s="1702"/>
      <c r="R143" s="1702"/>
      <c r="S143" s="1432"/>
      <c r="T143" s="1432"/>
      <c r="U143" s="1432"/>
      <c r="V143" s="1432"/>
      <c r="W143" s="1702"/>
      <c r="X143" s="1432"/>
      <c r="Y143" s="1432"/>
      <c r="Z143" s="610"/>
      <c r="AA143" s="1432"/>
      <c r="AB143" s="1432"/>
      <c r="AC143" s="1432"/>
      <c r="AD143" s="1432"/>
      <c r="AE143" s="1432"/>
      <c r="AF143" s="1698"/>
      <c r="AG143" s="688"/>
      <c r="AH143" s="688"/>
      <c r="AI143" s="688"/>
      <c r="AJ143" s="688"/>
      <c r="AK143" s="1707">
        <v>11</v>
      </c>
    </row>
    <row s="4153" customFormat="1" customHeight="1" ht="11.549999999999999">
      <c r="A144" s="1053"/>
      <c r="B144" s="1053"/>
      <c r="C144" s="1053"/>
      <c r="D144" s="1053"/>
      <c r="E144" s="1053"/>
      <c r="F144" s="1702"/>
      <c r="G144" s="1702"/>
      <c r="H144" s="417"/>
      <c r="N144" s="1432"/>
      <c r="P144" s="1432"/>
      <c r="Q144" s="1702"/>
      <c r="R144" s="1702"/>
      <c r="S144" s="1432"/>
      <c r="T144" s="1432"/>
      <c r="U144" s="1432"/>
      <c r="V144" s="1432"/>
      <c r="W144" s="1702"/>
      <c r="X144" s="1432"/>
      <c r="Y144" s="1432"/>
      <c r="Z144" s="610"/>
      <c r="AA144" s="1432"/>
      <c r="AB144" s="1432"/>
      <c r="AC144" s="1432"/>
      <c r="AD144" s="1432"/>
      <c r="AE144" s="1432"/>
      <c r="AF144" s="1698"/>
      <c r="AG144" s="688"/>
      <c r="AH144" s="688"/>
      <c r="AI144" s="688"/>
      <c r="AJ144" s="688"/>
      <c r="AK144" s="1707">
        <v>11</v>
      </c>
    </row>
    <row s="4153" customFormat="1" customHeight="1" ht="11.549999999999999">
      <c r="A145" s="1053"/>
      <c r="B145" s="1053"/>
      <c r="C145" s="1053"/>
      <c r="D145" s="1053"/>
      <c r="E145" s="1053"/>
      <c r="F145" s="1702"/>
      <c r="G145" s="1702"/>
      <c r="H145" s="417"/>
      <c r="N145" s="1432"/>
      <c r="P145" s="1432"/>
      <c r="Q145" s="1702"/>
      <c r="R145" s="1702"/>
      <c r="S145" s="1432"/>
      <c r="T145" s="1432"/>
      <c r="U145" s="1432"/>
      <c r="V145" s="1432"/>
      <c r="W145" s="1702"/>
      <c r="X145" s="1432"/>
      <c r="Y145" s="1432"/>
      <c r="Z145" s="610"/>
      <c r="AA145" s="1432"/>
      <c r="AB145" s="1432"/>
      <c r="AC145" s="1432"/>
      <c r="AD145" s="1432"/>
      <c r="AE145" s="1432"/>
      <c r="AF145" s="1698"/>
      <c r="AG145" s="688"/>
      <c r="AH145" s="688"/>
      <c r="AI145" s="688"/>
      <c r="AJ145" s="688"/>
      <c r="AK145" s="1707">
        <v>11</v>
      </c>
    </row>
    <row s="4153" customFormat="1" customHeight="1" ht="11.549999999999999">
      <c r="A146" s="1053"/>
      <c r="B146" s="1053"/>
      <c r="C146" s="1053"/>
      <c r="D146" s="1053"/>
      <c r="E146" s="1053"/>
      <c r="F146" s="1702"/>
      <c r="G146" s="1702"/>
      <c r="H146" s="417"/>
      <c r="N146" s="1432"/>
      <c r="P146" s="1432"/>
      <c r="Q146" s="1702"/>
      <c r="R146" s="1702"/>
      <c r="S146" s="1432"/>
      <c r="T146" s="1432"/>
      <c r="U146" s="1432"/>
      <c r="V146" s="1432"/>
      <c r="W146" s="1702"/>
      <c r="X146" s="1432"/>
      <c r="Y146" s="1432"/>
      <c r="Z146" s="610"/>
      <c r="AA146" s="1432"/>
      <c r="AB146" s="1432"/>
      <c r="AC146" s="1432"/>
      <c r="AD146" s="1432"/>
      <c r="AE146" s="1432"/>
      <c r="AF146" s="1698"/>
      <c r="AG146" s="688"/>
      <c r="AH146" s="688"/>
      <c r="AI146" s="688"/>
      <c r="AJ146" s="688"/>
      <c r="AK146" s="1707">
        <v>11</v>
      </c>
    </row>
    <row s="4153" customFormat="1" customHeight="1" ht="11.549999999999999">
      <c r="A147" s="1053"/>
      <c r="B147" s="1053"/>
      <c r="C147" s="1053"/>
      <c r="D147" s="1053"/>
      <c r="E147" s="1053"/>
      <c r="F147" s="1702"/>
      <c r="G147" s="1702"/>
      <c r="H147" s="417"/>
      <c r="N147" s="1432"/>
      <c r="P147" s="1432"/>
      <c r="Q147" s="1702"/>
      <c r="R147" s="1702"/>
      <c r="S147" s="1432"/>
      <c r="T147" s="1432"/>
      <c r="U147" s="1432"/>
      <c r="V147" s="1432"/>
      <c r="W147" s="1702"/>
      <c r="X147" s="1432"/>
      <c r="Y147" s="1432"/>
      <c r="Z147" s="610"/>
      <c r="AA147" s="1432"/>
      <c r="AB147" s="1432"/>
      <c r="AC147" s="1432"/>
      <c r="AD147" s="1432"/>
      <c r="AE147" s="1432"/>
      <c r="AF147" s="1698"/>
      <c r="AG147" s="688"/>
      <c r="AH147" s="688"/>
      <c r="AI147" s="688"/>
      <c r="AJ147" s="688"/>
      <c r="AK147" s="1707">
        <v>11</v>
      </c>
    </row>
    <row s="4153" customFormat="1" customHeight="1" ht="11.549999999999999">
      <c r="A148" s="1053"/>
      <c r="B148" s="1053"/>
      <c r="C148" s="1053"/>
      <c r="D148" s="1053"/>
      <c r="E148" s="1053"/>
      <c r="F148" s="1702"/>
      <c r="G148" s="1702"/>
      <c r="H148" s="417"/>
      <c r="N148" s="1432"/>
      <c r="P148" s="1432"/>
      <c r="Q148" s="1702"/>
      <c r="R148" s="1702"/>
      <c r="S148" s="1432"/>
      <c r="T148" s="1432"/>
      <c r="U148" s="1432"/>
      <c r="V148" s="1432"/>
      <c r="W148" s="1702"/>
      <c r="X148" s="1432"/>
      <c r="Y148" s="1432"/>
      <c r="Z148" s="610"/>
      <c r="AA148" s="1432"/>
      <c r="AB148" s="1432"/>
      <c r="AC148" s="1432"/>
      <c r="AD148" s="1432"/>
      <c r="AE148" s="1432"/>
      <c r="AF148" s="1698"/>
      <c r="AG148" s="688"/>
      <c r="AH148" s="688"/>
      <c r="AI148" s="688"/>
      <c r="AJ148" s="688"/>
      <c r="AK148" s="1707">
        <v>11</v>
      </c>
    </row>
    <row s="4153" customFormat="1" customHeight="1" ht="11.549999999999999">
      <c r="A149" s="1053"/>
      <c r="B149" s="1053"/>
      <c r="C149" s="1053"/>
      <c r="D149" s="1053"/>
      <c r="E149" s="1053"/>
      <c r="F149" s="1702"/>
      <c r="G149" s="1702"/>
      <c r="H149" s="417"/>
      <c r="N149" s="1432"/>
      <c r="P149" s="1432"/>
      <c r="Q149" s="1702"/>
      <c r="R149" s="1702"/>
      <c r="S149" s="1432"/>
      <c r="T149" s="1432"/>
      <c r="U149" s="1432"/>
      <c r="V149" s="1432"/>
      <c r="W149" s="1702"/>
      <c r="X149" s="1432"/>
      <c r="Y149" s="1432"/>
      <c r="Z149" s="610"/>
      <c r="AA149" s="1432"/>
      <c r="AB149" s="1432"/>
      <c r="AC149" s="1432"/>
      <c r="AD149" s="1432"/>
      <c r="AE149" s="1432"/>
      <c r="AF149" s="1698"/>
      <c r="AG149" s="688"/>
      <c r="AH149" s="688"/>
      <c r="AI149" s="688"/>
      <c r="AJ149" s="688"/>
      <c r="AK149" s="1707">
        <v>11</v>
      </c>
    </row>
    <row s="4153" customFormat="1" customHeight="1" ht="11.549999999999999">
      <c r="A150" s="1053"/>
      <c r="B150" s="1053"/>
      <c r="C150" s="1053"/>
      <c r="D150" s="1053"/>
      <c r="E150" s="1053"/>
      <c r="F150" s="1702"/>
      <c r="G150" s="1702"/>
      <c r="H150" s="417"/>
      <c r="N150" s="1432"/>
      <c r="P150" s="1432"/>
      <c r="Q150" s="1702"/>
      <c r="R150" s="1702"/>
      <c r="S150" s="1432"/>
      <c r="T150" s="1432"/>
      <c r="U150" s="1432"/>
      <c r="V150" s="1432"/>
      <c r="W150" s="1702"/>
      <c r="X150" s="1432"/>
      <c r="Y150" s="1432"/>
      <c r="Z150" s="610"/>
      <c r="AA150" s="1432"/>
      <c r="AB150" s="1432"/>
      <c r="AC150" s="1432"/>
      <c r="AD150" s="1432"/>
      <c r="AE150" s="1432"/>
      <c r="AF150" s="1698"/>
      <c r="AG150" s="688"/>
      <c r="AH150" s="688"/>
      <c r="AI150" s="688"/>
      <c r="AJ150" s="688"/>
      <c r="AK150" s="1707">
        <v>11</v>
      </c>
    </row>
    <row s="4153" customFormat="1" customHeight="1" ht="11.549999999999999">
      <c r="A151" s="1053"/>
      <c r="B151" s="1053"/>
      <c r="C151" s="1053"/>
      <c r="D151" s="1053"/>
      <c r="E151" s="1053"/>
      <c r="F151" s="1702"/>
      <c r="G151" s="1702"/>
      <c r="H151" s="417"/>
      <c r="N151" s="1432"/>
      <c r="P151" s="1432"/>
      <c r="Q151" s="1702"/>
      <c r="R151" s="1702"/>
      <c r="S151" s="1432"/>
      <c r="T151" s="1432"/>
      <c r="U151" s="1432"/>
      <c r="V151" s="1432"/>
      <c r="W151" s="1702"/>
      <c r="X151" s="1432"/>
      <c r="Y151" s="1432"/>
      <c r="Z151" s="610"/>
      <c r="AA151" s="1432"/>
      <c r="AB151" s="1432"/>
      <c r="AC151" s="1432"/>
      <c r="AD151" s="1432"/>
      <c r="AE151" s="1432"/>
      <c r="AF151" s="1698"/>
      <c r="AG151" s="688"/>
      <c r="AH151" s="688"/>
      <c r="AI151" s="688"/>
      <c r="AJ151" s="688"/>
      <c r="AK151" s="1707">
        <v>11</v>
      </c>
    </row>
    <row s="4153" customFormat="1" customHeight="1" ht="11.549999999999999">
      <c r="A152" s="1053"/>
      <c r="B152" s="1053"/>
      <c r="C152" s="1053"/>
      <c r="D152" s="1053"/>
      <c r="E152" s="1053"/>
      <c r="F152" s="1702"/>
      <c r="G152" s="1702"/>
      <c r="H152" s="417"/>
      <c r="N152" s="1432"/>
      <c r="P152" s="1432"/>
      <c r="Q152" s="1702"/>
      <c r="R152" s="1702"/>
      <c r="S152" s="1432"/>
      <c r="T152" s="1432"/>
      <c r="U152" s="1432"/>
      <c r="V152" s="1432"/>
      <c r="W152" s="1702"/>
      <c r="X152" s="1432"/>
      <c r="Y152" s="1432"/>
      <c r="Z152" s="610"/>
      <c r="AA152" s="1432"/>
      <c r="AB152" s="1432"/>
      <c r="AC152" s="1432"/>
      <c r="AD152" s="1432"/>
      <c r="AE152" s="1432"/>
      <c r="AF152" s="1698"/>
      <c r="AG152" s="688"/>
      <c r="AH152" s="688"/>
      <c r="AI152" s="688"/>
      <c r="AJ152" s="688"/>
      <c r="AK152" s="1707">
        <v>11</v>
      </c>
    </row>
    <row s="4153" customFormat="1" customHeight="1" ht="11.549999999999999">
      <c r="A153" s="1053"/>
      <c r="B153" s="1053"/>
      <c r="C153" s="1053"/>
      <c r="D153" s="1053"/>
      <c r="E153" s="1053"/>
      <c r="F153" s="1702"/>
      <c r="G153" s="1702"/>
      <c r="H153" s="417"/>
      <c r="N153" s="1432"/>
      <c r="P153" s="1432"/>
      <c r="Q153" s="1702"/>
      <c r="R153" s="1702"/>
      <c r="S153" s="1432"/>
      <c r="T153" s="1432"/>
      <c r="U153" s="1432"/>
      <c r="V153" s="1432"/>
      <c r="W153" s="1702"/>
      <c r="X153" s="1432"/>
      <c r="Y153" s="1432"/>
      <c r="Z153" s="610"/>
      <c r="AA153" s="1432"/>
      <c r="AB153" s="1432"/>
      <c r="AC153" s="1432"/>
      <c r="AD153" s="1432"/>
      <c r="AE153" s="1432"/>
      <c r="AF153" s="1698"/>
      <c r="AG153" s="688"/>
      <c r="AH153" s="688"/>
      <c r="AI153" s="688"/>
      <c r="AJ153" s="688"/>
      <c r="AK153" s="1707">
        <v>11</v>
      </c>
    </row>
    <row s="4153" customFormat="1" customHeight="1" ht="11.549999999999999">
      <c r="A154" s="1053"/>
      <c r="B154" s="1053"/>
      <c r="C154" s="1053"/>
      <c r="D154" s="1053"/>
      <c r="E154" s="1053"/>
      <c r="F154" s="1702"/>
      <c r="G154" s="1702"/>
      <c r="H154" s="417"/>
      <c r="N154" s="1432"/>
      <c r="P154" s="1432"/>
      <c r="Q154" s="1702"/>
      <c r="R154" s="1702"/>
      <c r="S154" s="1432"/>
      <c r="T154" s="1432"/>
      <c r="U154" s="1432"/>
      <c r="V154" s="1432"/>
      <c r="W154" s="1702"/>
      <c r="X154" s="1432"/>
      <c r="Y154" s="1432"/>
      <c r="Z154" s="610"/>
      <c r="AA154" s="1432"/>
      <c r="AB154" s="1432"/>
      <c r="AC154" s="1432"/>
      <c r="AD154" s="1432"/>
      <c r="AE154" s="1432"/>
      <c r="AF154" s="1698"/>
      <c r="AG154" s="688"/>
      <c r="AH154" s="688"/>
      <c r="AI154" s="688"/>
      <c r="AJ154" s="688"/>
      <c r="AK154" s="1707">
        <v>11</v>
      </c>
    </row>
    <row s="4153" customFormat="1" customHeight="1" ht="11.549999999999999">
      <c r="A155" s="1053"/>
      <c r="B155" s="1053"/>
      <c r="C155" s="1053"/>
      <c r="D155" s="1053"/>
      <c r="E155" s="1053"/>
      <c r="F155" s="1702"/>
      <c r="G155" s="1702"/>
      <c r="H155" s="417"/>
      <c r="N155" s="1432"/>
      <c r="P155" s="1432"/>
      <c r="Q155" s="1702"/>
      <c r="R155" s="1702"/>
      <c r="S155" s="1432"/>
      <c r="T155" s="1432"/>
      <c r="U155" s="1432"/>
      <c r="V155" s="1432"/>
      <c r="W155" s="1702"/>
      <c r="X155" s="1432"/>
      <c r="Y155" s="1432"/>
      <c r="Z155" s="610"/>
      <c r="AA155" s="1432"/>
      <c r="AB155" s="1432"/>
      <c r="AC155" s="1432"/>
      <c r="AD155" s="1432"/>
      <c r="AE155" s="1432"/>
      <c r="AF155" s="1698"/>
      <c r="AG155" s="688"/>
      <c r="AH155" s="688"/>
      <c r="AI155" s="688"/>
      <c r="AJ155" s="688"/>
      <c r="AK155" s="1707">
        <v>11</v>
      </c>
    </row>
    <row s="4153" customFormat="1" customHeight="1" ht="11.549999999999999">
      <c r="A156" s="1053"/>
      <c r="B156" s="1053"/>
      <c r="C156" s="1053"/>
      <c r="D156" s="1053"/>
      <c r="E156" s="1053"/>
      <c r="F156" s="1702"/>
      <c r="G156" s="1702"/>
      <c r="H156" s="417"/>
      <c r="N156" s="1432"/>
      <c r="P156" s="1432"/>
      <c r="Q156" s="1702"/>
      <c r="R156" s="1702"/>
      <c r="S156" s="1432"/>
      <c r="T156" s="1432"/>
      <c r="U156" s="1432"/>
      <c r="V156" s="1432"/>
      <c r="W156" s="1702"/>
      <c r="X156" s="1432"/>
      <c r="Y156" s="1432"/>
      <c r="Z156" s="610"/>
      <c r="AA156" s="1432"/>
      <c r="AB156" s="1432"/>
      <c r="AC156" s="1432"/>
      <c r="AD156" s="1432"/>
      <c r="AE156" s="1432"/>
      <c r="AF156" s="1698"/>
      <c r="AG156" s="688"/>
      <c r="AH156" s="688"/>
      <c r="AI156" s="688"/>
      <c r="AJ156" s="688"/>
      <c r="AK156" s="1707">
        <v>11</v>
      </c>
    </row>
    <row s="4153" customFormat="1" customHeight="1" ht="11.549999999999999">
      <c r="A157" s="1053"/>
      <c r="B157" s="1053"/>
      <c r="C157" s="1053"/>
      <c r="D157" s="1053"/>
      <c r="E157" s="1053"/>
      <c r="F157" s="1702"/>
      <c r="G157" s="1702"/>
      <c r="H157" s="417"/>
      <c r="N157" s="1432"/>
      <c r="P157" s="1432"/>
      <c r="Q157" s="1702"/>
      <c r="R157" s="1702"/>
      <c r="S157" s="1432"/>
      <c r="T157" s="1432"/>
      <c r="U157" s="1432"/>
      <c r="V157" s="1432"/>
      <c r="W157" s="1702"/>
      <c r="X157" s="1432"/>
      <c r="Y157" s="1432"/>
      <c r="Z157" s="610"/>
      <c r="AA157" s="1432"/>
      <c r="AB157" s="1432"/>
      <c r="AC157" s="1432"/>
      <c r="AD157" s="1432"/>
      <c r="AE157" s="1432"/>
      <c r="AF157" s="1698"/>
      <c r="AG157" s="688"/>
      <c r="AH157" s="688"/>
      <c r="AI157" s="688"/>
      <c r="AJ157" s="688"/>
      <c r="AK157" s="1707">
        <v>11</v>
      </c>
    </row>
    <row s="4153" customFormat="1" customHeight="1" ht="11.549999999999999">
      <c r="A158" s="1053"/>
      <c r="B158" s="1053"/>
      <c r="C158" s="1053"/>
      <c r="D158" s="1053"/>
      <c r="E158" s="1053"/>
      <c r="F158" s="1702"/>
      <c r="G158" s="1702"/>
      <c r="H158" s="417"/>
      <c r="N158" s="1432"/>
      <c r="P158" s="1432"/>
      <c r="Q158" s="1702"/>
      <c r="R158" s="1702"/>
      <c r="S158" s="1432"/>
      <c r="T158" s="1432"/>
      <c r="U158" s="1432"/>
      <c r="V158" s="1432"/>
      <c r="W158" s="1702"/>
      <c r="X158" s="1432"/>
      <c r="Y158" s="1432"/>
      <c r="Z158" s="610"/>
      <c r="AA158" s="1432"/>
      <c r="AB158" s="1432"/>
      <c r="AC158" s="1432"/>
      <c r="AD158" s="1432"/>
      <c r="AE158" s="1432"/>
      <c r="AF158" s="1698"/>
      <c r="AG158" s="688"/>
      <c r="AH158" s="688"/>
      <c r="AI158" s="688"/>
      <c r="AJ158" s="688"/>
      <c r="AK158" s="1707">
        <v>11</v>
      </c>
    </row>
    <row s="4153" customFormat="1" customHeight="1" ht="11.549999999999999">
      <c r="A159" s="1053"/>
      <c r="B159" s="1053"/>
      <c r="C159" s="1053"/>
      <c r="D159" s="1053"/>
      <c r="E159" s="1053"/>
      <c r="F159" s="1702"/>
      <c r="G159" s="1702"/>
      <c r="H159" s="417"/>
      <c r="N159" s="1432"/>
      <c r="P159" s="1432"/>
      <c r="Q159" s="1702"/>
      <c r="R159" s="1702"/>
      <c r="S159" s="1432"/>
      <c r="T159" s="1432"/>
      <c r="U159" s="1432"/>
      <c r="V159" s="1432"/>
      <c r="W159" s="1702"/>
      <c r="X159" s="1432"/>
      <c r="Y159" s="1432"/>
      <c r="Z159" s="610"/>
      <c r="AA159" s="1432"/>
      <c r="AB159" s="1432"/>
      <c r="AC159" s="1432"/>
      <c r="AD159" s="1432"/>
      <c r="AE159" s="1432"/>
      <c r="AF159" s="1698"/>
      <c r="AG159" s="688"/>
      <c r="AH159" s="688"/>
      <c r="AI159" s="688"/>
      <c r="AJ159" s="688"/>
      <c r="AK159" s="1707">
        <v>11</v>
      </c>
    </row>
    <row s="4153" customFormat="1" customHeight="1" ht="11.549999999999999">
      <c r="A160" s="1053"/>
      <c r="B160" s="1053"/>
      <c r="C160" s="1053"/>
      <c r="D160" s="1053"/>
      <c r="E160" s="1053"/>
      <c r="F160" s="1702"/>
      <c r="G160" s="1702"/>
      <c r="H160" s="417"/>
      <c r="N160" s="1432"/>
      <c r="P160" s="1432"/>
      <c r="Q160" s="1702"/>
      <c r="R160" s="1702"/>
      <c r="S160" s="1432"/>
      <c r="T160" s="1432"/>
      <c r="U160" s="1432"/>
      <c r="V160" s="1432"/>
      <c r="W160" s="1702"/>
      <c r="X160" s="1432"/>
      <c r="Y160" s="1432"/>
      <c r="Z160" s="610"/>
      <c r="AA160" s="1432"/>
      <c r="AB160" s="1432"/>
      <c r="AC160" s="1432"/>
      <c r="AD160" s="1432"/>
      <c r="AE160" s="1432"/>
      <c r="AF160" s="1698"/>
      <c r="AG160" s="688"/>
      <c r="AH160" s="688"/>
      <c r="AI160" s="688"/>
      <c r="AJ160" s="688"/>
      <c r="AK160" s="1707">
        <v>11</v>
      </c>
    </row>
    <row s="4153" customFormat="1" customHeight="1" ht="11.549999999999999">
      <c r="A161" s="1053"/>
      <c r="B161" s="1053"/>
      <c r="C161" s="1053"/>
      <c r="D161" s="1053"/>
      <c r="E161" s="1053"/>
      <c r="F161" s="1702"/>
      <c r="G161" s="1702"/>
      <c r="H161" s="417"/>
      <c r="N161" s="1432"/>
      <c r="P161" s="1432"/>
      <c r="Q161" s="1702"/>
      <c r="R161" s="1702"/>
      <c r="S161" s="1432"/>
      <c r="T161" s="1432"/>
      <c r="U161" s="1432"/>
      <c r="V161" s="1432"/>
      <c r="W161" s="1702"/>
      <c r="X161" s="1432"/>
      <c r="Y161" s="1432"/>
      <c r="Z161" s="610"/>
      <c r="AA161" s="1432"/>
      <c r="AB161" s="1432"/>
      <c r="AC161" s="1432"/>
      <c r="AD161" s="1432"/>
      <c r="AE161" s="1432"/>
      <c r="AF161" s="1698"/>
      <c r="AG161" s="688"/>
      <c r="AH161" s="688"/>
      <c r="AI161" s="688"/>
      <c r="AJ161" s="688"/>
      <c r="AK161" s="1707">
        <v>11</v>
      </c>
    </row>
    <row s="4153" customFormat="1" customHeight="1" ht="11.549999999999999">
      <c r="A162" s="1053"/>
      <c r="B162" s="1053"/>
      <c r="C162" s="1053"/>
      <c r="D162" s="1053"/>
      <c r="E162" s="1053"/>
      <c r="F162" s="1702"/>
      <c r="G162" s="1702"/>
      <c r="H162" s="417"/>
      <c r="N162" s="1432"/>
      <c r="P162" s="1432"/>
      <c r="Q162" s="1702"/>
      <c r="R162" s="1702"/>
      <c r="S162" s="1432"/>
      <c r="T162" s="1432"/>
      <c r="U162" s="1432"/>
      <c r="V162" s="1432"/>
      <c r="W162" s="1702"/>
      <c r="X162" s="1432"/>
      <c r="Y162" s="1432"/>
      <c r="Z162" s="610"/>
      <c r="AA162" s="1432"/>
      <c r="AB162" s="1432"/>
      <c r="AC162" s="1432"/>
      <c r="AD162" s="1432"/>
      <c r="AE162" s="1432"/>
      <c r="AF162" s="1698"/>
      <c r="AG162" s="688"/>
      <c r="AH162" s="688"/>
      <c r="AI162" s="688"/>
      <c r="AJ162" s="688"/>
      <c r="AK162" s="1707">
        <v>11</v>
      </c>
    </row>
    <row s="4153" customFormat="1" customHeight="1" ht="11.549999999999999">
      <c r="A163" s="1053"/>
      <c r="B163" s="1053"/>
      <c r="C163" s="1053"/>
      <c r="D163" s="1053"/>
      <c r="E163" s="1053"/>
      <c r="F163" s="1702"/>
      <c r="G163" s="1702"/>
      <c r="H163" s="417"/>
      <c r="N163" s="1432"/>
      <c r="P163" s="1432"/>
      <c r="Q163" s="1702"/>
      <c r="R163" s="1702"/>
      <c r="S163" s="1432"/>
      <c r="T163" s="1432"/>
      <c r="U163" s="1432"/>
      <c r="V163" s="1432"/>
      <c r="W163" s="1702"/>
      <c r="X163" s="1432"/>
      <c r="Y163" s="1432"/>
      <c r="Z163" s="610"/>
      <c r="AA163" s="1432"/>
      <c r="AB163" s="1432"/>
      <c r="AC163" s="1432"/>
      <c r="AD163" s="1432"/>
      <c r="AE163" s="1432"/>
      <c r="AF163" s="1698"/>
      <c r="AG163" s="688"/>
      <c r="AH163" s="688"/>
      <c r="AI163" s="688"/>
      <c r="AJ163" s="688"/>
      <c r="AK163" s="1707">
        <v>11</v>
      </c>
    </row>
    <row s="4153" customFormat="1" customHeight="1" ht="11.549999999999999">
      <c r="A164" s="1053"/>
      <c r="B164" s="1053"/>
      <c r="C164" s="1053"/>
      <c r="D164" s="1053"/>
      <c r="E164" s="1053"/>
      <c r="F164" s="1702"/>
      <c r="G164" s="1702"/>
      <c r="H164" s="417"/>
      <c r="N164" s="1432"/>
      <c r="P164" s="1432"/>
      <c r="Q164" s="1702"/>
      <c r="R164" s="1702"/>
      <c r="S164" s="1432"/>
      <c r="T164" s="1432"/>
      <c r="U164" s="1432"/>
      <c r="V164" s="1432"/>
      <c r="W164" s="1702"/>
      <c r="X164" s="1432"/>
      <c r="Y164" s="1432"/>
      <c r="Z164" s="610"/>
      <c r="AA164" s="1432"/>
      <c r="AB164" s="1432"/>
      <c r="AC164" s="1432"/>
      <c r="AD164" s="1432"/>
      <c r="AE164" s="1432"/>
      <c r="AF164" s="1698"/>
      <c r="AG164" s="688"/>
      <c r="AH164" s="688"/>
      <c r="AI164" s="688"/>
      <c r="AJ164" s="688"/>
      <c r="AK164" s="1707">
        <v>11</v>
      </c>
    </row>
    <row s="4153" customFormat="1" customHeight="1" ht="11.549999999999999">
      <c r="A165" s="1053"/>
      <c r="B165" s="1053"/>
      <c r="C165" s="1053"/>
      <c r="D165" s="1053"/>
      <c r="E165" s="1053"/>
      <c r="F165" s="1702"/>
      <c r="G165" s="1702"/>
      <c r="H165" s="417"/>
      <c r="N165" s="1432"/>
      <c r="P165" s="1432"/>
      <c r="Q165" s="1702"/>
      <c r="R165" s="1702"/>
      <c r="S165" s="1432"/>
      <c r="T165" s="1432"/>
      <c r="U165" s="1432"/>
      <c r="V165" s="1432"/>
      <c r="W165" s="1702"/>
      <c r="X165" s="1432"/>
      <c r="Y165" s="1432"/>
      <c r="Z165" s="610"/>
      <c r="AA165" s="1432"/>
      <c r="AB165" s="1432"/>
      <c r="AC165" s="1432"/>
      <c r="AD165" s="1432"/>
      <c r="AE165" s="1432"/>
      <c r="AF165" s="1698"/>
      <c r="AG165" s="688"/>
      <c r="AH165" s="688"/>
      <c r="AI165" s="688"/>
      <c r="AJ165" s="688"/>
      <c r="AK165" s="1707">
        <v>11</v>
      </c>
    </row>
    <row s="4153" customFormat="1" customHeight="1" ht="11.549999999999999">
      <c r="A166" s="1053"/>
      <c r="B166" s="1053"/>
      <c r="C166" s="1053"/>
      <c r="D166" s="1053"/>
      <c r="E166" s="1053"/>
      <c r="F166" s="1702"/>
      <c r="G166" s="1702"/>
      <c r="H166" s="417"/>
      <c r="N166" s="1432"/>
      <c r="P166" s="1432"/>
      <c r="Q166" s="1702"/>
      <c r="R166" s="1702"/>
      <c r="S166" s="1432"/>
      <c r="T166" s="1432"/>
      <c r="U166" s="1432"/>
      <c r="V166" s="1432"/>
      <c r="W166" s="1702"/>
      <c r="X166" s="1432"/>
      <c r="Y166" s="1432"/>
      <c r="Z166" s="610"/>
      <c r="AA166" s="1432"/>
      <c r="AB166" s="1432"/>
      <c r="AC166" s="1432"/>
      <c r="AD166" s="1432"/>
      <c r="AE166" s="1432"/>
      <c r="AF166" s="1698"/>
      <c r="AG166" s="688"/>
      <c r="AH166" s="688"/>
      <c r="AI166" s="688"/>
      <c r="AJ166" s="688"/>
      <c r="AK166" s="1707">
        <v>11</v>
      </c>
    </row>
    <row s="4153" customFormat="1" customHeight="1" ht="11.549999999999999">
      <c r="A167" s="1053"/>
      <c r="B167" s="1053"/>
      <c r="C167" s="1053"/>
      <c r="D167" s="1053"/>
      <c r="E167" s="1053"/>
      <c r="F167" s="1702"/>
      <c r="G167" s="1702"/>
      <c r="H167" s="417"/>
      <c r="N167" s="1432"/>
      <c r="P167" s="1432"/>
      <c r="Q167" s="1702"/>
      <c r="R167" s="1702"/>
      <c r="S167" s="1432"/>
      <c r="T167" s="1432"/>
      <c r="U167" s="1432"/>
      <c r="V167" s="1432"/>
      <c r="W167" s="1702"/>
      <c r="X167" s="1432"/>
      <c r="Y167" s="1432"/>
      <c r="Z167" s="610"/>
      <c r="AA167" s="1432"/>
      <c r="AB167" s="1432"/>
      <c r="AC167" s="1432"/>
      <c r="AD167" s="1432"/>
      <c r="AE167" s="1432"/>
      <c r="AF167" s="1698"/>
      <c r="AG167" s="688"/>
      <c r="AH167" s="688"/>
      <c r="AI167" s="688"/>
      <c r="AJ167" s="688"/>
      <c r="AK167" s="1707">
        <v>11</v>
      </c>
    </row>
    <row s="4153" customFormat="1" customHeight="1" ht="11.549999999999999">
      <c r="A168" s="1053"/>
      <c r="B168" s="1053"/>
      <c r="C168" s="1053"/>
      <c r="D168" s="1053"/>
      <c r="E168" s="1053"/>
      <c r="F168" s="1702"/>
      <c r="G168" s="1702"/>
      <c r="H168" s="417"/>
      <c r="N168" s="1432"/>
      <c r="P168" s="1432"/>
      <c r="Q168" s="1702"/>
      <c r="R168" s="1702"/>
      <c r="S168" s="1432"/>
      <c r="T168" s="1432"/>
      <c r="U168" s="1432"/>
      <c r="V168" s="1432"/>
      <c r="W168" s="1702"/>
      <c r="X168" s="1432"/>
      <c r="Y168" s="1432"/>
      <c r="Z168" s="610"/>
      <c r="AA168" s="1432"/>
      <c r="AB168" s="1432"/>
      <c r="AC168" s="1432"/>
      <c r="AD168" s="1432"/>
      <c r="AE168" s="1432"/>
      <c r="AF168" s="1698"/>
      <c r="AG168" s="688"/>
      <c r="AH168" s="688"/>
      <c r="AI168" s="688"/>
      <c r="AJ168" s="688"/>
      <c r="AK168" s="1707">
        <v>11</v>
      </c>
    </row>
    <row s="4153" customFormat="1" customHeight="1" ht="11.549999999999999">
      <c r="A169" s="1053"/>
      <c r="B169" s="1053"/>
      <c r="C169" s="1053"/>
      <c r="D169" s="1053"/>
      <c r="E169" s="1053"/>
      <c r="F169" s="1702"/>
      <c r="G169" s="1702"/>
      <c r="H169" s="417"/>
      <c r="N169" s="1432"/>
      <c r="P169" s="1432"/>
      <c r="Q169" s="1702"/>
      <c r="R169" s="1702"/>
      <c r="S169" s="1432"/>
      <c r="T169" s="1432"/>
      <c r="U169" s="1432"/>
      <c r="V169" s="1432"/>
      <c r="W169" s="1702"/>
      <c r="X169" s="1432"/>
      <c r="Y169" s="1432"/>
      <c r="Z169" s="610"/>
      <c r="AA169" s="1432"/>
      <c r="AB169" s="1432"/>
      <c r="AC169" s="1432"/>
      <c r="AD169" s="1432"/>
      <c r="AE169" s="1432"/>
      <c r="AF169" s="1698"/>
      <c r="AG169" s="688"/>
      <c r="AH169" s="688"/>
      <c r="AI169" s="688"/>
      <c r="AJ169" s="688"/>
      <c r="AK169" s="1707">
        <v>11</v>
      </c>
    </row>
    <row s="4153" customFormat="1" customHeight="1" ht="11.549999999999999">
      <c r="A170" s="1053"/>
      <c r="B170" s="1053"/>
      <c r="C170" s="1053"/>
      <c r="D170" s="1053"/>
      <c r="E170" s="1053"/>
      <c r="F170" s="1702"/>
      <c r="G170" s="1702"/>
      <c r="H170" s="417"/>
      <c r="N170" s="1432"/>
      <c r="P170" s="1432"/>
      <c r="Q170" s="1702"/>
      <c r="R170" s="1702"/>
      <c r="S170" s="1432"/>
      <c r="T170" s="1432"/>
      <c r="U170" s="1432"/>
      <c r="V170" s="1432"/>
      <c r="W170" s="1702"/>
      <c r="X170" s="1432"/>
      <c r="Y170" s="1432"/>
      <c r="Z170" s="610"/>
      <c r="AA170" s="1432"/>
      <c r="AB170" s="1432"/>
      <c r="AC170" s="1432"/>
      <c r="AD170" s="1432"/>
      <c r="AE170" s="1432"/>
      <c r="AF170" s="1698"/>
      <c r="AG170" s="688"/>
      <c r="AH170" s="688"/>
      <c r="AI170" s="688"/>
      <c r="AJ170" s="688"/>
      <c r="AK170" s="1707">
        <v>11</v>
      </c>
    </row>
    <row s="4153" customFormat="1" customHeight="1" ht="11.549999999999999">
      <c r="A171" s="1053"/>
      <c r="B171" s="1053"/>
      <c r="C171" s="1053"/>
      <c r="D171" s="1053"/>
      <c r="E171" s="1053"/>
      <c r="F171" s="1702"/>
      <c r="G171" s="1702"/>
      <c r="H171" s="417"/>
      <c r="N171" s="1432"/>
      <c r="P171" s="1432"/>
      <c r="Q171" s="1702"/>
      <c r="R171" s="1702"/>
      <c r="S171" s="1432"/>
      <c r="T171" s="1432"/>
      <c r="U171" s="1432"/>
      <c r="V171" s="1432"/>
      <c r="W171" s="1702"/>
      <c r="X171" s="1432"/>
      <c r="Y171" s="1432"/>
      <c r="Z171" s="610"/>
      <c r="AA171" s="1432"/>
      <c r="AB171" s="1432"/>
      <c r="AC171" s="1432"/>
      <c r="AD171" s="1432"/>
      <c r="AE171" s="1432"/>
      <c r="AF171" s="1698"/>
      <c r="AG171" s="688"/>
      <c r="AH171" s="688"/>
      <c r="AI171" s="688"/>
      <c r="AJ171" s="688"/>
      <c r="AK171" s="1707">
        <v>11</v>
      </c>
    </row>
    <row s="4153" customFormat="1" customHeight="1" ht="11.549999999999999">
      <c r="A172" s="1053"/>
      <c r="B172" s="1053"/>
      <c r="C172" s="1053"/>
      <c r="D172" s="1053"/>
      <c r="E172" s="1053"/>
      <c r="F172" s="1702"/>
      <c r="G172" s="1702"/>
      <c r="H172" s="417"/>
      <c r="N172" s="1432"/>
      <c r="P172" s="1432"/>
      <c r="Q172" s="1702"/>
      <c r="R172" s="1702"/>
      <c r="S172" s="1432"/>
      <c r="T172" s="1432"/>
      <c r="U172" s="1432"/>
      <c r="V172" s="1432"/>
      <c r="W172" s="1702"/>
      <c r="X172" s="1432"/>
      <c r="Y172" s="1432"/>
      <c r="Z172" s="610"/>
      <c r="AA172" s="1432"/>
      <c r="AB172" s="1432"/>
      <c r="AC172" s="1432"/>
      <c r="AD172" s="1432"/>
      <c r="AE172" s="1432"/>
      <c r="AF172" s="1698"/>
      <c r="AG172" s="688"/>
      <c r="AH172" s="688"/>
      <c r="AI172" s="688"/>
      <c r="AJ172" s="688"/>
      <c r="AK172" s="1707">
        <v>11</v>
      </c>
    </row>
    <row s="4153" customFormat="1" customHeight="1" ht="11.549999999999999">
      <c r="A173" s="1053"/>
      <c r="B173" s="1053"/>
      <c r="C173" s="1053"/>
      <c r="D173" s="1053"/>
      <c r="E173" s="1053"/>
      <c r="F173" s="1702"/>
      <c r="G173" s="1702"/>
      <c r="H173" s="417"/>
      <c r="N173" s="1432"/>
      <c r="P173" s="1432"/>
      <c r="Q173" s="1702"/>
      <c r="R173" s="1702"/>
      <c r="S173" s="1432"/>
      <c r="T173" s="1432"/>
      <c r="U173" s="1432"/>
      <c r="V173" s="1432"/>
      <c r="W173" s="1702"/>
      <c r="X173" s="1432"/>
      <c r="Y173" s="1432"/>
      <c r="Z173" s="610"/>
      <c r="AA173" s="1432"/>
      <c r="AB173" s="1432"/>
      <c r="AC173" s="1432"/>
      <c r="AD173" s="1432"/>
      <c r="AE173" s="1432"/>
      <c r="AF173" s="1698"/>
      <c r="AG173" s="688"/>
      <c r="AH173" s="688"/>
      <c r="AI173" s="688"/>
      <c r="AJ173" s="688"/>
      <c r="AK173" s="1707">
        <v>11</v>
      </c>
    </row>
    <row s="4153" customFormat="1" customHeight="1" ht="11.549999999999999">
      <c r="A174" s="1053"/>
      <c r="B174" s="1053"/>
      <c r="C174" s="1053"/>
      <c r="D174" s="1053"/>
      <c r="E174" s="1053"/>
      <c r="F174" s="1702"/>
      <c r="G174" s="1702"/>
      <c r="H174" s="417"/>
      <c r="N174" s="1432"/>
      <c r="P174" s="1432"/>
      <c r="Q174" s="1702"/>
      <c r="R174" s="1702"/>
      <c r="S174" s="1432"/>
      <c r="T174" s="1432"/>
      <c r="U174" s="1432"/>
      <c r="V174" s="1432"/>
      <c r="W174" s="1702"/>
      <c r="X174" s="1432"/>
      <c r="Y174" s="1432"/>
      <c r="Z174" s="610"/>
      <c r="AA174" s="1432"/>
      <c r="AB174" s="1432"/>
      <c r="AC174" s="1432"/>
      <c r="AD174" s="1432"/>
      <c r="AE174" s="1432"/>
      <c r="AF174" s="1698"/>
      <c r="AG174" s="688"/>
      <c r="AH174" s="688"/>
      <c r="AI174" s="688"/>
      <c r="AJ174" s="688"/>
      <c r="AK174" s="1707">
        <v>11</v>
      </c>
    </row>
    <row s="4153" customFormat="1" customHeight="1" ht="11.549999999999999">
      <c r="A175" s="1053"/>
      <c r="B175" s="1053"/>
      <c r="C175" s="1053"/>
      <c r="D175" s="1053"/>
      <c r="E175" s="1053"/>
      <c r="F175" s="1702"/>
      <c r="G175" s="1702"/>
      <c r="H175" s="417"/>
      <c r="N175" s="1432"/>
      <c r="P175" s="1432"/>
      <c r="Q175" s="1702"/>
      <c r="R175" s="1702"/>
      <c r="S175" s="1432"/>
      <c r="T175" s="1432"/>
      <c r="U175" s="1432"/>
      <c r="V175" s="1432"/>
      <c r="W175" s="1702"/>
      <c r="X175" s="1432"/>
      <c r="Y175" s="1432"/>
      <c r="Z175" s="610"/>
      <c r="AA175" s="1432"/>
      <c r="AB175" s="1432"/>
      <c r="AC175" s="1432"/>
      <c r="AD175" s="1432"/>
      <c r="AE175" s="1432"/>
      <c r="AF175" s="1698"/>
      <c r="AG175" s="688"/>
      <c r="AH175" s="688"/>
      <c r="AI175" s="688"/>
      <c r="AJ175" s="688"/>
      <c r="AK175" s="1707">
        <v>11</v>
      </c>
    </row>
    <row s="4153" customFormat="1" customHeight="1" ht="11.549999999999999">
      <c r="A176" s="1053"/>
      <c r="B176" s="1053"/>
      <c r="C176" s="1053"/>
      <c r="D176" s="1053"/>
      <c r="E176" s="1053"/>
      <c r="F176" s="1702"/>
      <c r="G176" s="1702"/>
      <c r="H176" s="417"/>
      <c r="N176" s="1432"/>
      <c r="P176" s="1432"/>
      <c r="Q176" s="1702"/>
      <c r="R176" s="1702"/>
      <c r="S176" s="1432"/>
      <c r="T176" s="1432"/>
      <c r="U176" s="1432"/>
      <c r="V176" s="1432"/>
      <c r="W176" s="1702"/>
      <c r="X176" s="1432"/>
      <c r="Y176" s="1432"/>
      <c r="Z176" s="610"/>
      <c r="AA176" s="1432"/>
      <c r="AB176" s="1432"/>
      <c r="AC176" s="1432"/>
      <c r="AD176" s="1432"/>
      <c r="AE176" s="1432"/>
      <c r="AF176" s="1698"/>
      <c r="AG176" s="688"/>
      <c r="AH176" s="688"/>
      <c r="AI176" s="688"/>
      <c r="AJ176" s="688"/>
      <c r="AK176" s="1707">
        <v>11</v>
      </c>
    </row>
    <row s="4153" customFormat="1" customHeight="1" ht="11.549999999999999">
      <c r="A177" s="1053"/>
      <c r="B177" s="1053"/>
      <c r="C177" s="1053"/>
      <c r="D177" s="1053"/>
      <c r="E177" s="1053"/>
      <c r="F177" s="1702"/>
      <c r="G177" s="1702"/>
      <c r="H177" s="417"/>
      <c r="N177" s="1432"/>
      <c r="P177" s="1432"/>
      <c r="Q177" s="1702"/>
      <c r="R177" s="1702"/>
      <c r="S177" s="1432"/>
      <c r="T177" s="1432"/>
      <c r="U177" s="1432"/>
      <c r="V177" s="1432"/>
      <c r="W177" s="1702"/>
      <c r="X177" s="1432"/>
      <c r="Y177" s="1432"/>
      <c r="Z177" s="610"/>
      <c r="AA177" s="1432"/>
      <c r="AB177" s="1432"/>
      <c r="AC177" s="1432"/>
      <c r="AD177" s="1432"/>
      <c r="AE177" s="1432"/>
      <c r="AF177" s="1698"/>
      <c r="AG177" s="688"/>
      <c r="AH177" s="688"/>
      <c r="AI177" s="688"/>
      <c r="AJ177" s="688"/>
      <c r="AK177" s="1707">
        <v>11</v>
      </c>
    </row>
    <row s="4153" customFormat="1" customHeight="1" ht="11.549999999999999">
      <c r="A178" s="1053"/>
      <c r="B178" s="1053"/>
      <c r="C178" s="1053"/>
      <c r="D178" s="1053"/>
      <c r="E178" s="1053"/>
      <c r="F178" s="1702"/>
      <c r="G178" s="1702"/>
      <c r="H178" s="417"/>
      <c r="N178" s="1432"/>
      <c r="P178" s="1432"/>
      <c r="Q178" s="1702"/>
      <c r="R178" s="1702"/>
      <c r="S178" s="1432"/>
      <c r="T178" s="1432"/>
      <c r="U178" s="1432"/>
      <c r="V178" s="1432"/>
      <c r="W178" s="1702"/>
      <c r="X178" s="1432"/>
      <c r="Y178" s="1432"/>
      <c r="Z178" s="610"/>
      <c r="AA178" s="1432"/>
      <c r="AB178" s="1432"/>
      <c r="AC178" s="1432"/>
      <c r="AD178" s="1432"/>
      <c r="AE178" s="1432"/>
      <c r="AF178" s="1698"/>
      <c r="AG178" s="688"/>
      <c r="AH178" s="688"/>
      <c r="AI178" s="688"/>
      <c r="AJ178" s="688"/>
      <c r="AK178" s="1707">
        <v>11</v>
      </c>
    </row>
    <row s="4153" customFormat="1" customHeight="1" ht="11.549999999999999">
      <c r="A179" s="1053"/>
      <c r="B179" s="1053"/>
      <c r="C179" s="1053"/>
      <c r="D179" s="1053"/>
      <c r="E179" s="1053"/>
      <c r="F179" s="1702"/>
      <c r="G179" s="1702"/>
      <c r="H179" s="417"/>
      <c r="N179" s="1432"/>
      <c r="P179" s="1432"/>
      <c r="Q179" s="1702"/>
      <c r="R179" s="1702"/>
      <c r="S179" s="1432"/>
      <c r="T179" s="1432"/>
      <c r="U179" s="1432"/>
      <c r="V179" s="1432"/>
      <c r="W179" s="1702"/>
      <c r="X179" s="1432"/>
      <c r="Y179" s="1432"/>
      <c r="Z179" s="610"/>
      <c r="AA179" s="1432"/>
      <c r="AB179" s="1432"/>
      <c r="AC179" s="1432"/>
      <c r="AD179" s="1432"/>
      <c r="AE179" s="1432"/>
      <c r="AF179" s="1698"/>
      <c r="AG179" s="688"/>
      <c r="AH179" s="688"/>
      <c r="AI179" s="688"/>
      <c r="AJ179" s="688"/>
      <c r="AK179" s="1707">
        <v>11</v>
      </c>
    </row>
    <row s="4153" customFormat="1" customHeight="1" ht="11.549999999999999">
      <c r="A180" s="1053"/>
      <c r="B180" s="1053"/>
      <c r="C180" s="1053"/>
      <c r="D180" s="1053"/>
      <c r="E180" s="1053"/>
      <c r="F180" s="1702"/>
      <c r="G180" s="1702"/>
      <c r="H180" s="417"/>
      <c r="N180" s="1432"/>
      <c r="P180" s="1432"/>
      <c r="Q180" s="1702"/>
      <c r="R180" s="1702"/>
      <c r="S180" s="1432"/>
      <c r="T180" s="1432"/>
      <c r="U180" s="1432"/>
      <c r="V180" s="1432"/>
      <c r="W180" s="1702"/>
      <c r="X180" s="1432"/>
      <c r="Y180" s="1432"/>
      <c r="Z180" s="610"/>
      <c r="AA180" s="1432"/>
      <c r="AB180" s="1432"/>
      <c r="AC180" s="1432"/>
      <c r="AD180" s="1432"/>
      <c r="AE180" s="1432"/>
      <c r="AF180" s="1698"/>
      <c r="AG180" s="688"/>
      <c r="AH180" s="688"/>
      <c r="AI180" s="688"/>
      <c r="AJ180" s="688"/>
      <c r="AK180" s="1707">
        <v>11</v>
      </c>
    </row>
    <row s="4153" customFormat="1" customHeight="1" ht="11.549999999999999">
      <c r="A181" s="1053"/>
      <c r="B181" s="1053"/>
      <c r="C181" s="1053"/>
      <c r="D181" s="1053"/>
      <c r="E181" s="1053"/>
      <c r="F181" s="1702"/>
      <c r="G181" s="1702"/>
      <c r="H181" s="417"/>
      <c r="N181" s="1432"/>
      <c r="P181" s="1432"/>
      <c r="Q181" s="1702"/>
      <c r="R181" s="1702"/>
      <c r="S181" s="1432"/>
      <c r="T181" s="1432"/>
      <c r="U181" s="1432"/>
      <c r="V181" s="1432"/>
      <c r="W181" s="1702"/>
      <c r="X181" s="1432"/>
      <c r="Y181" s="1432"/>
      <c r="Z181" s="610"/>
      <c r="AA181" s="1432"/>
      <c r="AB181" s="1432"/>
      <c r="AC181" s="1432"/>
      <c r="AD181" s="1432"/>
      <c r="AE181" s="1432"/>
      <c r="AF181" s="1698"/>
      <c r="AG181" s="688"/>
      <c r="AH181" s="688"/>
      <c r="AI181" s="688"/>
      <c r="AJ181" s="688"/>
      <c r="AK181" s="1707">
        <v>11</v>
      </c>
    </row>
    <row s="4153" customFormat="1" customHeight="1" ht="11.549999999999999">
      <c r="A182" s="1053"/>
      <c r="B182" s="1053"/>
      <c r="C182" s="1053"/>
      <c r="D182" s="1053"/>
      <c r="E182" s="1053"/>
      <c r="F182" s="1702"/>
      <c r="G182" s="1702"/>
      <c r="H182" s="417"/>
      <c r="N182" s="1432"/>
      <c r="P182" s="1432"/>
      <c r="Q182" s="1702"/>
      <c r="R182" s="1702"/>
      <c r="S182" s="1432"/>
      <c r="T182" s="1432"/>
      <c r="U182" s="1432"/>
      <c r="V182" s="1432"/>
      <c r="W182" s="1702"/>
      <c r="X182" s="1432"/>
      <c r="Y182" s="1432"/>
      <c r="Z182" s="610"/>
      <c r="AA182" s="1432"/>
      <c r="AB182" s="1432"/>
      <c r="AC182" s="1432"/>
      <c r="AD182" s="1432"/>
      <c r="AE182" s="1432"/>
      <c r="AF182" s="1698"/>
      <c r="AG182" s="688"/>
      <c r="AH182" s="688"/>
      <c r="AI182" s="688"/>
      <c r="AJ182" s="688"/>
      <c r="AK182" s="1707">
        <v>11</v>
      </c>
    </row>
    <row s="4153" customFormat="1" customHeight="1" ht="11.549999999999999">
      <c r="A183" s="1053"/>
      <c r="B183" s="1053"/>
      <c r="C183" s="1053"/>
      <c r="D183" s="1053"/>
      <c r="E183" s="1053"/>
      <c r="F183" s="1702"/>
      <c r="G183" s="1702"/>
      <c r="H183" s="417"/>
      <c r="N183" s="1432"/>
      <c r="P183" s="1432"/>
      <c r="Q183" s="1702"/>
      <c r="R183" s="1702"/>
      <c r="S183" s="1432"/>
      <c r="T183" s="1432"/>
      <c r="U183" s="1432"/>
      <c r="V183" s="1432"/>
      <c r="W183" s="1702"/>
      <c r="X183" s="1432"/>
      <c r="Y183" s="1432"/>
      <c r="Z183" s="610"/>
      <c r="AA183" s="1432"/>
      <c r="AB183" s="1432"/>
      <c r="AC183" s="1432"/>
      <c r="AD183" s="1432"/>
      <c r="AE183" s="1432"/>
      <c r="AF183" s="1698"/>
      <c r="AG183" s="688"/>
      <c r="AH183" s="688"/>
      <c r="AI183" s="688"/>
      <c r="AJ183" s="688"/>
      <c r="AK183" s="1707">
        <v>11</v>
      </c>
    </row>
    <row s="4153" customFormat="1" customHeight="1" ht="11.549999999999999">
      <c r="A184" s="1053"/>
      <c r="B184" s="1053"/>
      <c r="C184" s="1053"/>
      <c r="D184" s="1053"/>
      <c r="E184" s="1053"/>
      <c r="F184" s="1702"/>
      <c r="G184" s="1702"/>
      <c r="H184" s="417"/>
      <c r="N184" s="1432"/>
      <c r="P184" s="1432"/>
      <c r="Q184" s="1702"/>
      <c r="R184" s="1702"/>
      <c r="S184" s="1432"/>
      <c r="T184" s="1432"/>
      <c r="U184" s="1432"/>
      <c r="V184" s="1432"/>
      <c r="W184" s="1702"/>
      <c r="X184" s="1432"/>
      <c r="Y184" s="1432"/>
      <c r="Z184" s="610"/>
      <c r="AA184" s="1432"/>
      <c r="AB184" s="1432"/>
      <c r="AC184" s="1432"/>
      <c r="AD184" s="1432"/>
      <c r="AE184" s="1432"/>
      <c r="AF184" s="1698"/>
      <c r="AG184" s="688"/>
      <c r="AH184" s="688"/>
      <c r="AI184" s="688"/>
      <c r="AJ184" s="688"/>
      <c r="AK184" s="1707">
        <v>11</v>
      </c>
    </row>
    <row s="4153" customFormat="1" customHeight="1" ht="11.549999999999999">
      <c r="A185" s="1053"/>
      <c r="B185" s="1053"/>
      <c r="C185" s="1053"/>
      <c r="D185" s="1053"/>
      <c r="E185" s="1053"/>
      <c r="F185" s="1702"/>
      <c r="G185" s="1702"/>
      <c r="H185" s="417"/>
      <c r="N185" s="1432"/>
      <c r="P185" s="1432"/>
      <c r="Q185" s="1702"/>
      <c r="R185" s="1702"/>
      <c r="S185" s="1432"/>
      <c r="T185" s="1432"/>
      <c r="U185" s="1432"/>
      <c r="V185" s="1432"/>
      <c r="W185" s="1702"/>
      <c r="X185" s="1432"/>
      <c r="Y185" s="1432"/>
      <c r="Z185" s="610"/>
      <c r="AA185" s="1432"/>
      <c r="AB185" s="1432"/>
      <c r="AC185" s="1432"/>
      <c r="AD185" s="1432"/>
      <c r="AE185" s="1432"/>
      <c r="AF185" s="1698"/>
      <c r="AG185" s="688"/>
      <c r="AH185" s="688"/>
      <c r="AI185" s="688"/>
      <c r="AJ185" s="688"/>
      <c r="AK185" s="1707">
        <v>11</v>
      </c>
    </row>
    <row s="4153" customFormat="1" customHeight="1" ht="11.549999999999999">
      <c r="A186" s="1053"/>
      <c r="B186" s="1053"/>
      <c r="C186" s="1053"/>
      <c r="D186" s="1053"/>
      <c r="E186" s="1053"/>
      <c r="F186" s="1702"/>
      <c r="G186" s="1702"/>
      <c r="H186" s="417"/>
      <c r="N186" s="1432"/>
      <c r="P186" s="1432"/>
      <c r="Q186" s="1702"/>
      <c r="R186" s="1702"/>
      <c r="S186" s="1432"/>
      <c r="T186" s="1432"/>
      <c r="U186" s="1432"/>
      <c r="V186" s="1432"/>
      <c r="W186" s="1702"/>
      <c r="X186" s="1432"/>
      <c r="Y186" s="1432"/>
      <c r="Z186" s="610"/>
      <c r="AA186" s="1432"/>
      <c r="AB186" s="1432"/>
      <c r="AC186" s="1432"/>
      <c r="AD186" s="1432"/>
      <c r="AE186" s="1432"/>
      <c r="AF186" s="1698"/>
      <c r="AG186" s="688"/>
      <c r="AH186" s="688"/>
      <c r="AI186" s="688"/>
      <c r="AJ186" s="688"/>
      <c r="AK186" s="1707">
        <v>11</v>
      </c>
    </row>
    <row s="4153" customFormat="1" customHeight="1" ht="11.549999999999999">
      <c r="A187" s="1053"/>
      <c r="B187" s="1053"/>
      <c r="C187" s="1053"/>
      <c r="D187" s="1053"/>
      <c r="E187" s="1053"/>
      <c r="F187" s="1702"/>
      <c r="G187" s="1702"/>
      <c r="H187" s="417"/>
      <c r="N187" s="1432"/>
      <c r="P187" s="1432"/>
      <c r="Q187" s="1702"/>
      <c r="R187" s="1702"/>
      <c r="S187" s="1432"/>
      <c r="T187" s="1432"/>
      <c r="U187" s="1432"/>
      <c r="V187" s="1432"/>
      <c r="W187" s="1702"/>
      <c r="X187" s="1432"/>
      <c r="Y187" s="1432"/>
      <c r="Z187" s="610"/>
      <c r="AA187" s="1432"/>
      <c r="AB187" s="1432"/>
      <c r="AC187" s="1432"/>
      <c r="AD187" s="1432"/>
      <c r="AE187" s="1432"/>
      <c r="AF187" s="1698"/>
      <c r="AG187" s="688"/>
      <c r="AH187" s="688"/>
      <c r="AI187" s="688"/>
      <c r="AJ187" s="688"/>
      <c r="AK187" s="1707">
        <v>11</v>
      </c>
    </row>
    <row s="4153" customFormat="1" customHeight="1" ht="11.549999999999999">
      <c r="A188" s="1053"/>
      <c r="B188" s="1053"/>
      <c r="C188" s="1053"/>
      <c r="D188" s="1053"/>
      <c r="E188" s="1053"/>
      <c r="F188" s="1702"/>
      <c r="G188" s="1702"/>
      <c r="H188" s="417"/>
      <c r="N188" s="1432"/>
      <c r="P188" s="1432"/>
      <c r="Q188" s="1702"/>
      <c r="R188" s="1702"/>
      <c r="S188" s="1432"/>
      <c r="T188" s="1432"/>
      <c r="U188" s="1432"/>
      <c r="V188" s="1432"/>
      <c r="W188" s="1702"/>
      <c r="X188" s="1432"/>
      <c r="Y188" s="1432"/>
      <c r="Z188" s="610"/>
      <c r="AA188" s="1432"/>
      <c r="AB188" s="1432"/>
      <c r="AC188" s="1432"/>
      <c r="AD188" s="1432"/>
      <c r="AE188" s="1432"/>
      <c r="AF188" s="1698"/>
      <c r="AG188" s="688"/>
      <c r="AH188" s="688"/>
      <c r="AI188" s="688"/>
      <c r="AJ188" s="688"/>
      <c r="AK188" s="1707">
        <v>11</v>
      </c>
    </row>
    <row s="4153" customFormat="1" customHeight="1" ht="11.549999999999999">
      <c r="A189" s="1053"/>
      <c r="B189" s="1053"/>
      <c r="C189" s="1053"/>
      <c r="D189" s="1053"/>
      <c r="E189" s="1053"/>
      <c r="F189" s="1702"/>
      <c r="G189" s="1702"/>
      <c r="H189" s="417"/>
      <c r="N189" s="1432"/>
      <c r="P189" s="1432"/>
      <c r="Q189" s="1702"/>
      <c r="R189" s="1702"/>
      <c r="S189" s="1432"/>
      <c r="T189" s="1432"/>
      <c r="U189" s="1432"/>
      <c r="V189" s="1432"/>
      <c r="W189" s="1702"/>
      <c r="X189" s="1432"/>
      <c r="Y189" s="1432"/>
      <c r="Z189" s="610"/>
      <c r="AA189" s="1432"/>
      <c r="AB189" s="1432"/>
      <c r="AC189" s="1432"/>
      <c r="AD189" s="1432"/>
      <c r="AE189" s="1432"/>
      <c r="AF189" s="1698"/>
      <c r="AG189" s="688"/>
      <c r="AH189" s="688"/>
      <c r="AI189" s="688"/>
      <c r="AJ189" s="688"/>
      <c r="AK189" s="1707">
        <v>11</v>
      </c>
    </row>
    <row customHeight="1" ht="11.549999999999999">
      <c r="AK190" s="1697">
        <v>11</v>
      </c>
    </row>
    <row customHeight="1" ht="11.549999999999999">
      <c r="AK191" s="1697">
        <v>11</v>
      </c>
    </row>
    <row customHeight="1" ht="11.549999999999999">
      <c r="AK192" s="1697">
        <v>11</v>
      </c>
    </row>
    <row customHeight="1" ht="11.549999999999999">
      <c r="A193" s="1056"/>
      <c r="B193" s="1056"/>
      <c r="C193" s="1056"/>
      <c r="D193" s="1056"/>
      <c r="E193" s="1056"/>
      <c r="F193" s="1697"/>
      <c r="H193" s="1697"/>
      <c r="N193" s="1697"/>
      <c r="P193" s="1697"/>
      <c r="S193" s="1697"/>
      <c r="T193" s="1697"/>
      <c r="U193" s="1697"/>
      <c r="V193" s="1697"/>
      <c r="X193" s="1697"/>
      <c r="Y193" s="1697"/>
      <c r="Z193" s="1697"/>
      <c r="AA193" s="1697"/>
      <c r="AB193" s="1697"/>
      <c r="AC193" s="1697"/>
      <c r="AD193" s="1697"/>
      <c r="AE193" s="1697"/>
      <c r="AF193" s="1697"/>
      <c r="AG193" s="1697"/>
      <c r="AH193" s="1697"/>
      <c r="AI193" s="1697"/>
      <c r="AJ193" s="1697"/>
      <c r="AK193" s="1697">
        <v>11</v>
      </c>
    </row>
    <row customHeight="1" ht="11.549999999999999">
      <c r="A194" s="1056"/>
      <c r="B194" s="1056"/>
      <c r="C194" s="1056"/>
      <c r="D194" s="1056"/>
      <c r="E194" s="1056"/>
      <c r="F194" s="1697"/>
      <c r="H194" s="1697"/>
      <c r="N194" s="1697"/>
      <c r="P194" s="1697"/>
      <c r="S194" s="1697"/>
      <c r="T194" s="1697"/>
      <c r="U194" s="1697"/>
      <c r="V194" s="1697"/>
      <c r="X194" s="1697"/>
      <c r="Y194" s="1697"/>
      <c r="Z194" s="1697"/>
      <c r="AA194" s="1697"/>
      <c r="AB194" s="1697"/>
      <c r="AC194" s="1697"/>
      <c r="AD194" s="1697"/>
      <c r="AE194" s="1697"/>
      <c r="AF194" s="1697"/>
      <c r="AG194" s="1697"/>
      <c r="AH194" s="1697"/>
      <c r="AI194" s="1697"/>
      <c r="AJ194" s="1697"/>
      <c r="AK194" s="1697">
        <v>11</v>
      </c>
    </row>
    <row customHeight="1" ht="11.549999999999999">
      <c r="A195" s="1056"/>
      <c r="B195" s="1056"/>
      <c r="C195" s="1056"/>
      <c r="D195" s="1056"/>
      <c r="E195" s="1056"/>
      <c r="F195" s="1697"/>
      <c r="H195" s="1697"/>
      <c r="N195" s="1697"/>
      <c r="P195" s="1697"/>
      <c r="S195" s="1697"/>
      <c r="T195" s="1697"/>
      <c r="U195" s="1697"/>
      <c r="V195" s="1697"/>
      <c r="X195" s="1697"/>
      <c r="Y195" s="1697"/>
      <c r="Z195" s="1697"/>
      <c r="AA195" s="1697"/>
      <c r="AB195" s="1697"/>
      <c r="AC195" s="1697"/>
      <c r="AD195" s="1697"/>
      <c r="AE195" s="1697"/>
      <c r="AF195" s="1697"/>
      <c r="AG195" s="1697"/>
      <c r="AH195" s="1697"/>
      <c r="AI195" s="1697"/>
      <c r="AJ195" s="1697"/>
      <c r="AK195" s="1697">
        <v>11</v>
      </c>
    </row>
    <row customHeight="1" ht="11.549999999999999">
      <c r="A196" s="1056"/>
      <c r="B196" s="1056"/>
      <c r="C196" s="1056"/>
      <c r="D196" s="1056"/>
      <c r="E196" s="1056"/>
      <c r="F196" s="1697"/>
      <c r="H196" s="1697"/>
      <c r="N196" s="1697"/>
      <c r="P196" s="1697"/>
      <c r="S196" s="1697"/>
      <c r="T196" s="1697"/>
      <c r="U196" s="1697"/>
      <c r="V196" s="1697"/>
      <c r="X196" s="1697"/>
      <c r="Y196" s="1697"/>
      <c r="Z196" s="1697"/>
      <c r="AA196" s="1697"/>
      <c r="AB196" s="1697"/>
      <c r="AC196" s="1697"/>
      <c r="AD196" s="1697"/>
      <c r="AE196" s="1697"/>
      <c r="AF196" s="1697"/>
      <c r="AG196" s="1697"/>
      <c r="AH196" s="1697"/>
      <c r="AI196" s="1697"/>
      <c r="AJ196" s="1697"/>
      <c r="AK196" s="1697">
        <v>11</v>
      </c>
    </row>
    <row customHeight="1" ht="11.549999999999999">
      <c r="A197" s="1056"/>
      <c r="B197" s="1056"/>
      <c r="C197" s="1056"/>
      <c r="D197" s="1056"/>
      <c r="E197" s="1056"/>
      <c r="F197" s="1697"/>
      <c r="H197" s="1697"/>
      <c r="N197" s="1697"/>
      <c r="P197" s="1697"/>
      <c r="S197" s="1697"/>
      <c r="T197" s="1697"/>
      <c r="U197" s="1697"/>
      <c r="V197" s="1697"/>
      <c r="X197" s="1697"/>
      <c r="Y197" s="1697"/>
      <c r="Z197" s="1697"/>
      <c r="AA197" s="1697"/>
      <c r="AB197" s="1697"/>
      <c r="AC197" s="1697"/>
      <c r="AD197" s="1697"/>
      <c r="AE197" s="1697"/>
      <c r="AF197" s="1697"/>
      <c r="AG197" s="1697"/>
      <c r="AH197" s="1697"/>
      <c r="AI197" s="1697"/>
      <c r="AJ197" s="1697"/>
      <c r="AK197" s="1697">
        <v>11</v>
      </c>
    </row>
    <row customHeight="1" ht="11.549999999999999">
      <c r="A198" s="1056"/>
      <c r="B198" s="1056"/>
      <c r="C198" s="1056"/>
      <c r="D198" s="1056"/>
      <c r="E198" s="1056"/>
      <c r="F198" s="1697"/>
      <c r="H198" s="1697"/>
      <c r="N198" s="1697"/>
      <c r="P198" s="1697"/>
      <c r="S198" s="1697"/>
      <c r="T198" s="1697"/>
      <c r="U198" s="1697"/>
      <c r="V198" s="1697"/>
      <c r="X198" s="1697"/>
      <c r="Y198" s="1697"/>
      <c r="Z198" s="1697"/>
      <c r="AA198" s="1697"/>
      <c r="AB198" s="1697"/>
      <c r="AC198" s="1697"/>
      <c r="AD198" s="1697"/>
      <c r="AE198" s="1697"/>
      <c r="AF198" s="1697"/>
      <c r="AG198" s="1697"/>
      <c r="AH198" s="1697"/>
      <c r="AI198" s="1697"/>
      <c r="AJ198" s="1697"/>
      <c r="AK198" s="1697">
        <v>11</v>
      </c>
    </row>
    <row customHeight="1" ht="11.549999999999999">
      <c r="A199" s="1056"/>
      <c r="B199" s="1056"/>
      <c r="C199" s="1056"/>
      <c r="D199" s="1056"/>
      <c r="E199" s="1056"/>
      <c r="F199" s="1697"/>
      <c r="H199" s="1697"/>
      <c r="N199" s="1697"/>
      <c r="P199" s="1697"/>
      <c r="S199" s="1697"/>
      <c r="T199" s="1697"/>
      <c r="U199" s="1697"/>
      <c r="V199" s="1697"/>
      <c r="X199" s="1697"/>
      <c r="Y199" s="1697"/>
      <c r="Z199" s="1697"/>
      <c r="AA199" s="1697"/>
      <c r="AB199" s="1697"/>
      <c r="AC199" s="1697"/>
      <c r="AD199" s="1697"/>
      <c r="AE199" s="1697"/>
      <c r="AF199" s="1697"/>
      <c r="AG199" s="1697"/>
      <c r="AH199" s="1697"/>
      <c r="AI199" s="1697"/>
      <c r="AJ199" s="1697"/>
      <c r="AK199" s="1697">
        <v>11</v>
      </c>
    </row>
    <row customHeight="1" ht="11.549999999999999">
      <c r="A200" s="1056"/>
      <c r="B200" s="1056"/>
      <c r="C200" s="1056"/>
      <c r="D200" s="1056"/>
      <c r="E200" s="1056"/>
      <c r="F200" s="1697"/>
      <c r="H200" s="1697"/>
      <c r="N200" s="1697"/>
      <c r="P200" s="1697"/>
      <c r="S200" s="1697"/>
      <c r="T200" s="1697"/>
      <c r="U200" s="1697"/>
      <c r="V200" s="1697"/>
      <c r="X200" s="1697"/>
      <c r="Y200" s="1697"/>
      <c r="Z200" s="1697"/>
      <c r="AA200" s="1697"/>
      <c r="AB200" s="1697"/>
      <c r="AC200" s="1697"/>
      <c r="AD200" s="1697"/>
      <c r="AE200" s="1697"/>
      <c r="AF200" s="1697"/>
      <c r="AG200" s="1697"/>
      <c r="AH200" s="1697"/>
      <c r="AI200" s="1697"/>
      <c r="AJ200" s="1697"/>
      <c r="AK200" s="1697">
        <v>11</v>
      </c>
    </row>
    <row customHeight="1" ht="11.549999999999999">
      <c r="A201" s="1056"/>
      <c r="B201" s="1056"/>
      <c r="C201" s="1056"/>
      <c r="D201" s="1056"/>
      <c r="E201" s="1056"/>
      <c r="F201" s="1697"/>
      <c r="H201" s="1697"/>
      <c r="N201" s="1697"/>
      <c r="P201" s="1697"/>
      <c r="S201" s="1697"/>
      <c r="T201" s="1697"/>
      <c r="U201" s="1697"/>
      <c r="V201" s="1697"/>
      <c r="X201" s="1697"/>
      <c r="Y201" s="1697"/>
      <c r="Z201" s="1697"/>
      <c r="AA201" s="1697"/>
      <c r="AB201" s="1697"/>
      <c r="AC201" s="1697"/>
      <c r="AD201" s="1697"/>
      <c r="AE201" s="1697"/>
      <c r="AF201" s="1697"/>
      <c r="AG201" s="1697"/>
      <c r="AH201" s="1697"/>
      <c r="AI201" s="1697"/>
      <c r="AJ201" s="1697"/>
      <c r="AK201" s="1697">
        <v>11</v>
      </c>
    </row>
    <row customHeight="1" ht="11.549999999999999">
      <c r="A202" s="1056"/>
      <c r="B202" s="1056"/>
      <c r="C202" s="1056"/>
      <c r="D202" s="1056"/>
      <c r="E202" s="1056"/>
      <c r="F202" s="1697"/>
      <c r="H202" s="1697"/>
      <c r="N202" s="1697"/>
      <c r="P202" s="1697"/>
      <c r="S202" s="1697"/>
      <c r="T202" s="1697"/>
      <c r="U202" s="1697"/>
      <c r="V202" s="1697"/>
      <c r="X202" s="1697"/>
      <c r="Y202" s="1697"/>
      <c r="Z202" s="1697"/>
      <c r="AA202" s="1697"/>
      <c r="AB202" s="1697"/>
      <c r="AC202" s="1697"/>
      <c r="AD202" s="1697"/>
      <c r="AE202" s="1697"/>
      <c r="AF202" s="1697"/>
      <c r="AG202" s="1697"/>
      <c r="AH202" s="1697"/>
      <c r="AI202" s="1697"/>
      <c r="AJ202" s="1697"/>
      <c r="AK202" s="1697">
        <v>11</v>
      </c>
    </row>
    <row customHeight="1" ht="11.549999999999999">
      <c r="A203" s="1056"/>
      <c r="B203" s="1056"/>
      <c r="C203" s="1056"/>
      <c r="D203" s="1056"/>
      <c r="E203" s="1056"/>
      <c r="F203" s="1697"/>
      <c r="H203" s="1697"/>
      <c r="N203" s="1697"/>
      <c r="P203" s="1697"/>
      <c r="S203" s="1697"/>
      <c r="T203" s="1697"/>
      <c r="U203" s="1697"/>
      <c r="V203" s="1697"/>
      <c r="X203" s="1697"/>
      <c r="Y203" s="1697"/>
      <c r="Z203" s="1697"/>
      <c r="AA203" s="1697"/>
      <c r="AB203" s="1697"/>
      <c r="AC203" s="1697"/>
      <c r="AD203" s="1697"/>
      <c r="AE203" s="1697"/>
      <c r="AF203" s="1697"/>
      <c r="AG203" s="1697"/>
      <c r="AH203" s="1697"/>
      <c r="AI203" s="1697"/>
      <c r="AJ203" s="1697"/>
      <c r="AK203" s="1697">
        <v>11</v>
      </c>
    </row>
    <row customHeight="1" ht="12.75" hidden="1">
      <c r="A204" s="1053" t="s">
        <v>87</v>
      </c>
      <c r="B204" s="1053" t="s">
        <v>154</v>
      </c>
      <c r="C204" s="1053" t="s">
        <v>154</v>
      </c>
      <c r="D204" s="1053" t="s">
        <v>154</v>
      </c>
      <c r="E204" s="1053" t="s">
        <v>154</v>
      </c>
      <c r="F204" s="1701">
        <v>16</v>
      </c>
      <c r="G204" s="1702">
        <v>0</v>
      </c>
      <c r="H204" s="1701">
        <v>3</v>
      </c>
      <c r="I204" s="1697">
        <v>7</v>
      </c>
      <c r="J204" s="1697">
        <v>56</v>
      </c>
      <c r="K204" s="1697">
        <v>10</v>
      </c>
      <c r="L204" s="1697">
        <v>40</v>
      </c>
      <c r="M204" s="1697">
        <v>40</v>
      </c>
      <c r="N204" s="1432">
        <v>9</v>
      </c>
      <c r="O204" s="1697">
        <v>102</v>
      </c>
      <c r="P204" s="1432">
        <v>9</v>
      </c>
      <c r="Q204" s="1702">
        <v>5</v>
      </c>
      <c r="R204" s="1702">
        <v>3</v>
      </c>
      <c r="S204" s="1432">
        <v>3</v>
      </c>
      <c r="T204" s="1432">
        <v>3</v>
      </c>
      <c r="U204" s="1432">
        <v>3</v>
      </c>
      <c r="V204" s="1432">
        <v>3</v>
      </c>
      <c r="W204" s="1702">
        <v>10</v>
      </c>
      <c r="X204" s="1432">
        <v>34</v>
      </c>
      <c r="Y204" s="1432">
        <v>9</v>
      </c>
      <c r="Z204" s="610">
        <v>8</v>
      </c>
      <c r="AA204" s="1432">
        <v>8</v>
      </c>
      <c r="AB204" s="1432">
        <v>8</v>
      </c>
      <c r="AC204" s="1432">
        <v>8</v>
      </c>
      <c r="AD204" s="1432">
        <v>8</v>
      </c>
      <c r="AE204" s="1432">
        <v>8</v>
      </c>
      <c r="AF204" s="1698">
        <v>8</v>
      </c>
      <c r="AG204" s="1698">
        <v>8</v>
      </c>
      <c r="AH204" s="1698">
        <v>8</v>
      </c>
      <c r="AI204" s="1698">
        <v>8</v>
      </c>
      <c r="AJ204" s="1698">
        <v>8</v>
      </c>
      <c r="AK204" s="169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70B6D-14E8-7012-7884-47FA34AF90D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5053" width="10.57421875" hidden="1"/>
    <col min="5" max="5" style="5737" width="9.140625" hidden="1" customWidth="1"/>
    <col min="6" max="7" style="5002" width="9.140625" hidden="1" customWidth="1"/>
    <col min="8" max="8" style="5023" width="3.00390625" customWidth="1"/>
    <col min="9" max="9" style="5053" width="6.00390625" customWidth="1"/>
    <col min="10" max="10" style="5053" width="63.00390625" customWidth="1"/>
    <col min="11" max="11" style="5053" width="9.00390625" customWidth="1"/>
    <col min="12" max="12" style="5053" width="39.00390625" customWidth="1"/>
    <col min="13" max="13" style="5053" width="89.00390625" customWidth="1"/>
    <col min="14" max="14" style="5053" width="10.00390625" customWidth="1"/>
    <col min="15" max="16" style="5005" width="10.00390625" customWidth="1"/>
    <col min="17" max="22" style="5053" width="10.00390625" customWidth="1"/>
    <col min="23" max="23" style="5053" width="10.57421875" hidden="1"/>
  </cols>
  <sheetData>
    <row customHeight="1" ht="22.5" hidden="1">
      <c r="S1" s="321"/>
      <c r="T1" s="321"/>
      <c r="V1" s="321"/>
      <c r="W1" s="1697" t="s">
        <v>14</v>
      </c>
    </row>
    <row customHeight="1" ht="22.5" hidden="1">
      <c r="B2" s="2119" t="s">
        <v>696</v>
      </c>
      <c r="C2" s="2119" t="s">
        <v>697</v>
      </c>
      <c r="D2" s="2118" t="s">
        <v>636</v>
      </c>
      <c r="E2" s="2124">
        <f>I2-3</f>
        <v>-3</v>
      </c>
      <c r="F2" s="2124">
        <f>J2</f>
        <v>0</v>
      </c>
      <c r="H2" s="1796" t="s">
        <v>454</v>
      </c>
      <c r="I2" s="2090"/>
      <c r="J2" s="1748"/>
      <c r="K2" s="2084" t="s">
        <v>315</v>
      </c>
      <c r="L2" s="1230"/>
      <c r="M2" s="363"/>
      <c r="N2" s="1690"/>
      <c r="P2" s="1697"/>
      <c r="W2" s="1697">
        <v>0</v>
      </c>
    </row>
    <row customHeight="1" ht="14.25" hidden="1">
      <c r="W3" s="1697">
        <v>0</v>
      </c>
    </row>
    <row customHeight="1" ht="6.3">
      <c r="H4" s="442"/>
      <c r="I4" s="523"/>
      <c r="J4" s="523"/>
      <c r="K4" s="523"/>
      <c r="L4" s="151"/>
      <c r="M4" s="151"/>
      <c r="W4" s="1697">
        <v>6</v>
      </c>
    </row>
    <row customHeight="1" ht="50.25">
      <c r="H5" s="442"/>
      <c r="I5" s="2314" t="s">
        <v>698</v>
      </c>
      <c r="J5" s="2314"/>
      <c r="K5" s="2314"/>
      <c r="L5" s="2314"/>
      <c r="M5" s="332"/>
      <c r="W5" s="1697">
        <v>48</v>
      </c>
    </row>
    <row customHeight="1" ht="18">
      <c r="H6" s="442"/>
      <c r="I6" s="2315" t="str">
        <f>IF(org=0,"Не определено",org)</f>
        <v>Филиал "Уренгойская ГРЭС" АО "Интер РАО - Электрогенерация"</v>
      </c>
      <c r="J6" s="2315"/>
      <c r="K6" s="2315"/>
      <c r="L6" s="2315"/>
      <c r="M6" s="332"/>
      <c r="W6" s="1697">
        <v>17</v>
      </c>
    </row>
    <row customHeight="1" ht="14.699999999999998">
      <c r="H7" s="442"/>
      <c r="I7" s="523"/>
      <c r="J7" s="529"/>
      <c r="K7" s="529"/>
      <c r="L7" s="818"/>
      <c r="M7" s="259"/>
      <c r="W7" s="1697">
        <v>14</v>
      </c>
    </row>
    <row customHeight="1" ht="14.699999999999998">
      <c r="H8" s="442"/>
      <c r="I8" s="2452" t="s">
        <v>309</v>
      </c>
      <c r="J8" s="2453"/>
      <c r="K8" s="2453"/>
      <c r="L8" s="2454"/>
      <c r="M8" s="2455" t="s">
        <v>310</v>
      </c>
      <c r="W8" s="1697">
        <v>14</v>
      </c>
    </row>
    <row customHeight="1" ht="35.699999999999996">
      <c r="E9" s="2117" t="s">
        <v>627</v>
      </c>
      <c r="F9" s="2117" t="s">
        <v>633</v>
      </c>
      <c r="H9" s="442"/>
      <c r="I9" s="2091" t="s">
        <v>93</v>
      </c>
      <c r="J9" s="2092" t="s">
        <v>311</v>
      </c>
      <c r="K9" s="2130" t="s">
        <v>575</v>
      </c>
      <c r="L9" s="2131" t="s">
        <v>312</v>
      </c>
      <c r="M9" s="2455"/>
      <c r="W9" s="1697">
        <v>34</v>
      </c>
    </row>
    <row customHeight="1" ht="35.699999999999996">
      <c r="B10" s="2119" t="s">
        <v>699</v>
      </c>
      <c r="C10" s="2119" t="s">
        <v>700</v>
      </c>
      <c r="D10" s="2118" t="s">
        <v>636</v>
      </c>
      <c r="E10" s="2122" t="s">
        <v>637</v>
      </c>
      <c r="F10" s="2122" t="s">
        <v>637</v>
      </c>
      <c r="H10" s="442"/>
      <c r="I10" s="2090" t="s">
        <v>114</v>
      </c>
      <c r="J10" s="1952" t="s">
        <v>701</v>
      </c>
      <c r="K10" s="2084" t="s">
        <v>315</v>
      </c>
      <c r="L10" s="884"/>
      <c r="M10" s="363" t="s">
        <v>702</v>
      </c>
      <c r="W10" s="1697">
        <v>34</v>
      </c>
    </row>
    <row customHeight="1" ht="50.25">
      <c r="B11" s="2119" t="s">
        <v>703</v>
      </c>
      <c r="C11" s="2119" t="s">
        <v>704</v>
      </c>
      <c r="D11" s="2118" t="s">
        <v>636</v>
      </c>
      <c r="E11" s="2122" t="s">
        <v>637</v>
      </c>
      <c r="F11" s="2122" t="s">
        <v>637</v>
      </c>
      <c r="H11" s="442"/>
      <c r="I11" s="2090" t="s">
        <v>115</v>
      </c>
      <c r="J11" s="1952" t="s">
        <v>705</v>
      </c>
      <c r="K11" s="2084" t="s">
        <v>315</v>
      </c>
      <c r="L11" s="884"/>
      <c r="M11" s="363" t="s">
        <v>702</v>
      </c>
      <c r="W11" s="1697">
        <v>48</v>
      </c>
    </row>
    <row customHeight="1" ht="48.29999999999999">
      <c r="B12" s="2119" t="s">
        <v>706</v>
      </c>
      <c r="C12" s="2119" t="s">
        <v>707</v>
      </c>
      <c r="D12" s="2118" t="s">
        <v>636</v>
      </c>
      <c r="E12" s="2122" t="s">
        <v>637</v>
      </c>
      <c r="F12" s="2122" t="s">
        <v>637</v>
      </c>
      <c r="H12" s="1754"/>
      <c r="I12" s="2090" t="s">
        <v>95</v>
      </c>
      <c r="J12" s="2097" t="s">
        <v>708</v>
      </c>
      <c r="K12" s="2084" t="s">
        <v>315</v>
      </c>
      <c r="L12" s="884"/>
      <c r="M12" s="363" t="s">
        <v>709</v>
      </c>
      <c r="N12" s="1690"/>
      <c r="P12" s="1697"/>
      <c r="W12" s="1697">
        <v>46</v>
      </c>
    </row>
    <row customHeight="1" ht="14.699999999999998">
      <c r="E13" s="409"/>
      <c r="H13" s="442"/>
      <c r="I13" s="413"/>
      <c r="J13" s="717" t="s">
        <v>710</v>
      </c>
      <c r="K13" s="637"/>
      <c r="L13" s="280"/>
      <c r="M13" s="363"/>
      <c r="W13" s="1697">
        <v>14</v>
      </c>
    </row>
    <row customHeight="1" ht="14.699999999999998">
      <c r="E14" s="409"/>
      <c r="H14" s="442"/>
      <c r="I14" s="1123"/>
      <c r="J14" s="1743"/>
      <c r="K14" s="1744"/>
      <c r="L14" s="1745"/>
      <c r="M14" s="2094"/>
      <c r="W14" s="1697">
        <v>14</v>
      </c>
    </row>
    <row customHeight="1" ht="14.699999999999998">
      <c r="I15" s="1747"/>
      <c r="J15" s="2451"/>
      <c r="K15" s="2451"/>
      <c r="L15" s="2451"/>
      <c r="M15" s="2451"/>
      <c r="W15" s="1697">
        <v>14</v>
      </c>
    </row>
    <row customHeight="1" ht="21" hidden="1">
      <c r="A16" s="2096" t="s">
        <v>87</v>
      </c>
      <c r="B16" s="1697">
        <v>9</v>
      </c>
      <c r="C16" s="1697">
        <v>9</v>
      </c>
      <c r="D16" s="1697">
        <v>9</v>
      </c>
      <c r="E16" s="2096" t="s">
        <v>153</v>
      </c>
      <c r="F16" s="2121" t="s">
        <v>153</v>
      </c>
      <c r="G16" s="2123"/>
      <c r="H16" s="410">
        <v>3</v>
      </c>
      <c r="I16" s="1697">
        <v>6</v>
      </c>
      <c r="J16" s="1697">
        <v>63</v>
      </c>
      <c r="K16" s="1697">
        <v>9</v>
      </c>
      <c r="L16" s="1697">
        <v>39</v>
      </c>
      <c r="M16" s="1697">
        <v>89</v>
      </c>
      <c r="N16" s="1697">
        <v>10</v>
      </c>
      <c r="O16" s="1690">
        <v>10</v>
      </c>
      <c r="P16" s="1690">
        <v>10</v>
      </c>
      <c r="Q16" s="1697">
        <v>10</v>
      </c>
      <c r="R16" s="1697">
        <v>10</v>
      </c>
      <c r="S16" s="1697">
        <v>10</v>
      </c>
      <c r="T16" s="1697">
        <v>10</v>
      </c>
      <c r="U16" s="1697">
        <v>10</v>
      </c>
      <c r="V16" s="1697">
        <v>10</v>
      </c>
      <c r="W16" s="169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5BB61-9F52-94CD-349B-885275261B8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4437" width="10.7109375" hidden="1" customWidth="1"/>
    <col min="2" max="2" style="5002" width="16.8515625" hidden="1" customWidth="1"/>
    <col min="3" max="3" style="4562" width="5.57421875" hidden="1" customWidth="1"/>
    <col min="4" max="4" style="5053" width="3.00390625" customWidth="1"/>
    <col min="5" max="5" style="5053" width="7.00390625" customWidth="1"/>
    <col min="6" max="6" style="5053" width="56.00390625" customWidth="1"/>
    <col min="7" max="7" style="5053" width="10.00390625" customWidth="1"/>
    <col min="8" max="8" style="5053" width="40.7109375" hidden="1" customWidth="1"/>
    <col min="9" max="9" style="5053" width="40.00390625" customWidth="1"/>
    <col min="10" max="10" style="5053" width="102.00390625" customWidth="1"/>
    <col min="11" max="11" style="5002" width="9.00390625" customWidth="1"/>
    <col min="12" max="12" style="4562" width="5.00390625" customWidth="1"/>
    <col min="13" max="13" style="4562" width="3.00390625" customWidth="1"/>
    <col min="14" max="17" style="5002" width="3.00390625" customWidth="1"/>
    <col min="18" max="18" style="4562" width="10.00390625" customWidth="1"/>
    <col min="19" max="19" style="5002" width="34.00390625" customWidth="1"/>
    <col min="20" max="20" style="5002" width="9.00390625" customWidth="1"/>
    <col min="21" max="21" style="4507" width="8.00390625" customWidth="1"/>
    <col min="22" max="26" style="5002" width="8.00390625" customWidth="1"/>
    <col min="27" max="31" style="5297" width="8.00390625" customWidth="1"/>
    <col min="32" max="32" style="5053" width="10.421875" hidden="1" customWidth="1"/>
  </cols>
  <sheetData>
    <row s="5002" customFormat="1" customHeight="1" ht="22.5" hidden="1">
      <c r="A1" s="1053"/>
      <c r="C1" s="1702"/>
      <c r="D1" s="603"/>
      <c r="H1" s="1226">
        <v>4</v>
      </c>
      <c r="I1" s="1226">
        <v>4</v>
      </c>
      <c r="L1" s="1702"/>
      <c r="M1" s="1702"/>
      <c r="R1" s="1702"/>
      <c r="AF1" s="1226" t="s">
        <v>14</v>
      </c>
    </row>
    <row s="5002" customFormat="1" customHeight="1" ht="22.5" hidden="1">
      <c r="A2" s="1053"/>
      <c r="C2" s="1702"/>
      <c r="D2" s="604"/>
      <c r="E2" s="1703"/>
      <c r="F2" s="606"/>
      <c r="G2" s="1705" t="s">
        <v>561</v>
      </c>
      <c r="H2" s="607"/>
      <c r="I2" s="607"/>
      <c r="J2" s="608" t="s">
        <v>711</v>
      </c>
      <c r="K2" s="609"/>
      <c r="L2" s="1702"/>
      <c r="M2" s="1702"/>
      <c r="R2" s="1702"/>
      <c r="U2" s="610"/>
      <c r="AA2" s="1698"/>
      <c r="AB2" s="1698"/>
      <c r="AC2" s="1698"/>
      <c r="AD2" s="1698"/>
      <c r="AE2" s="1698"/>
      <c r="AF2" s="1226">
        <v>0</v>
      </c>
    </row>
    <row customHeight="1" ht="11.25" hidden="1">
      <c r="AF3" s="1697">
        <v>0</v>
      </c>
    </row>
    <row s="5297"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1.5">
      <c r="E6" s="2373" t="s">
        <v>712</v>
      </c>
      <c r="F6" s="2373"/>
      <c r="G6" s="2373"/>
      <c r="H6" s="2373"/>
      <c r="I6" s="2373"/>
      <c r="J6" s="622"/>
      <c r="AF6" s="1697">
        <v>30</v>
      </c>
    </row>
    <row customHeight="1" ht="11.549999999999999">
      <c r="E7" s="2315" t="str">
        <f>IF(org=0,"Не определено",org)</f>
        <v>Филиал "Уренгойская ГРЭС" АО "Интер РАО - Электрогенерация"</v>
      </c>
      <c r="F7" s="2315"/>
      <c r="G7" s="2315"/>
      <c r="H7" s="2315"/>
      <c r="I7" s="2315"/>
      <c r="AF7" s="1697">
        <v>11</v>
      </c>
    </row>
    <row customHeight="1" ht="11.549999999999999">
      <c r="E8" s="1201"/>
      <c r="F8" s="1201"/>
      <c r="G8" s="1201"/>
      <c r="H8" s="1201"/>
      <c r="I8" s="1201"/>
      <c r="AF8" s="1697">
        <v>11</v>
      </c>
    </row>
    <row s="4562" customFormat="1" customHeight="1" ht="4.2">
      <c r="A9" s="1233"/>
      <c r="D9" s="1708"/>
      <c r="H9" s="955"/>
      <c r="I9" s="955" t="s">
        <v>122</v>
      </c>
      <c r="AF9" s="1702">
        <v>4</v>
      </c>
    </row>
    <row customHeight="1" ht="11.549999999999999">
      <c r="E10" s="777"/>
      <c r="F10" s="2433" t="s">
        <v>110</v>
      </c>
      <c r="G10" s="2434"/>
      <c r="H10" s="1618" t="str">
        <f>IF(H9="","",INDEX(DIFFERENTIATION_UNMERGE_VD,MATCH(H9,DIFFERENTIATION_ID_DIFF,0)))</f>
        <v/>
      </c>
      <c r="I10" s="1618">
        <f>IF(I9="","",INDEX(DIFFERENTIATION_UNMERGE_VD,MATCH(I9,DIFFERENTIATION_ID_DIFF,0)))</f>
        <v>0</v>
      </c>
      <c r="J10" s="2193"/>
      <c r="AF10" s="1697">
        <v>11</v>
      </c>
    </row>
    <row customHeight="1" ht="11.549999999999999">
      <c r="E11" s="777"/>
      <c r="F11" s="2433" t="s">
        <v>573</v>
      </c>
      <c r="G11" s="2434"/>
      <c r="H11" s="1618" t="str">
        <f>IF(H9="","",INDEX(DIFFERENTIATION_UNMERGE_AREA,MATCH(H9,DIFFERENTIATION_ID_DIFF,0)))</f>
        <v/>
      </c>
      <c r="I11" s="1618" t="str">
        <f>IF(I9="","",INDEX(DIFFERENTIATION_UNMERGE_AREA,MATCH(I9,DIFFERENTIATION_ID_DIFF,0)))</f>
        <v/>
      </c>
      <c r="J11" s="2193"/>
      <c r="AF11" s="1697">
        <v>11</v>
      </c>
    </row>
    <row customHeight="1" ht="1.05">
      <c r="E12" s="1728"/>
      <c r="F12" s="2456" t="s">
        <v>574</v>
      </c>
      <c r="G12" s="2457"/>
      <c r="H12" s="1729" t="str">
        <f>IF(H9="","",INDEX(DIFFERENTIATION_UNMERGE_SYSTEM,MATCH(H9,DIFFERENTIATION_ID_DIFF,0)))</f>
        <v/>
      </c>
      <c r="I12" s="1729" t="str">
        <f>IF(I9="","",INDEX(DIFFERENTIATION_UNMERGE_SYSTEM,MATCH(I9,DIFFERENTIATION_ID_DIFF,0)))</f>
        <v>без дифференциации</v>
      </c>
      <c r="J12" s="2193"/>
      <c r="AF12" s="1697">
        <v>1</v>
      </c>
    </row>
    <row customHeight="1" ht="11.549999999999999">
      <c r="E13" s="2435" t="s">
        <v>309</v>
      </c>
      <c r="F13" s="2436"/>
      <c r="G13" s="2436"/>
      <c r="H13" s="1617"/>
      <c r="I13" s="1617"/>
      <c r="J13" s="2193"/>
      <c r="AF13" s="1697">
        <v>11</v>
      </c>
    </row>
    <row customHeight="1" ht="24">
      <c r="E14" s="1705" t="s">
        <v>93</v>
      </c>
      <c r="F14" s="1700" t="s">
        <v>311</v>
      </c>
      <c r="G14" s="1700" t="s">
        <v>575</v>
      </c>
      <c r="H14" s="1700" t="s">
        <v>312</v>
      </c>
      <c r="I14" s="1700" t="s">
        <v>312</v>
      </c>
      <c r="J14" s="2193"/>
      <c r="AF14" s="1697">
        <v>23</v>
      </c>
    </row>
    <row customHeight="1" ht="19.95">
      <c r="D15" s="1704"/>
      <c r="E15" s="1696" t="s">
        <v>114</v>
      </c>
      <c r="F15" s="773" t="s">
        <v>713</v>
      </c>
      <c r="G15" s="1712" t="s">
        <v>561</v>
      </c>
      <c r="H15" s="623"/>
      <c r="I15" s="623"/>
      <c r="J15" s="355" t="s">
        <v>714</v>
      </c>
      <c r="K15" s="609" t="s">
        <v>639</v>
      </c>
      <c r="AF15" s="1697">
        <v>19</v>
      </c>
    </row>
    <row customHeight="1" ht="35.699999999999996">
      <c r="D16" s="1704"/>
      <c r="E16" s="1696" t="s">
        <v>115</v>
      </c>
      <c r="F16" s="773" t="s">
        <v>715</v>
      </c>
      <c r="G16" s="1712" t="s">
        <v>561</v>
      </c>
      <c r="H16" s="624">
        <f>SUM(H17,H20:H32)</f>
        <v>0</v>
      </c>
      <c r="I16" s="624">
        <f>SUM(I17,I20,I23,I26,I29:I32)</f>
        <v>0</v>
      </c>
      <c r="J16" s="355" t="s">
        <v>716</v>
      </c>
      <c r="K16" s="609" t="s">
        <v>639</v>
      </c>
      <c r="AF16" s="1697">
        <v>34</v>
      </c>
    </row>
    <row customHeight="1" ht="19.95">
      <c r="D17" s="1704"/>
      <c r="E17" s="1730" t="s">
        <v>717</v>
      </c>
      <c r="F17" s="1020" t="s">
        <v>718</v>
      </c>
      <c r="G17" s="1709" t="s">
        <v>561</v>
      </c>
      <c r="H17" s="623"/>
      <c r="I17" s="623"/>
      <c r="J17" s="355" t="s">
        <v>719</v>
      </c>
      <c r="K17" s="609"/>
      <c r="AF17" s="1697">
        <v>19</v>
      </c>
    </row>
    <row customHeight="1" ht="24">
      <c r="D18" s="1704"/>
      <c r="E18" s="1730" t="s">
        <v>720</v>
      </c>
      <c r="F18" s="1716" t="s">
        <v>721</v>
      </c>
      <c r="G18" s="1709" t="s">
        <v>561</v>
      </c>
      <c r="H18" s="623"/>
      <c r="I18" s="623"/>
      <c r="J18" s="355" t="s">
        <v>722</v>
      </c>
      <c r="K18" s="609"/>
      <c r="AF18" s="1697">
        <v>23</v>
      </c>
    </row>
    <row customHeight="1" ht="35.699999999999996">
      <c r="D19" s="1704"/>
      <c r="E19" s="1730" t="s">
        <v>723</v>
      </c>
      <c r="F19" s="1716" t="s">
        <v>724</v>
      </c>
      <c r="G19" s="1709" t="s">
        <v>561</v>
      </c>
      <c r="H19" s="623"/>
      <c r="I19" s="623"/>
      <c r="J19" s="355"/>
      <c r="K19" s="609"/>
      <c r="AF19" s="1697">
        <v>34</v>
      </c>
    </row>
    <row customHeight="1" ht="19.95">
      <c r="D20" s="1704"/>
      <c r="E20" s="1730" t="s">
        <v>316</v>
      </c>
      <c r="F20" s="1020" t="s">
        <v>725</v>
      </c>
      <c r="G20" s="1709" t="s">
        <v>561</v>
      </c>
      <c r="H20" s="623"/>
      <c r="I20" s="623"/>
      <c r="J20" s="355" t="s">
        <v>726</v>
      </c>
      <c r="K20" s="609"/>
      <c r="AF20" s="1697">
        <v>19</v>
      </c>
    </row>
    <row customHeight="1" ht="19.95">
      <c r="D21" s="1704"/>
      <c r="E21" s="1730" t="s">
        <v>727</v>
      </c>
      <c r="F21" s="1716" t="s">
        <v>728</v>
      </c>
      <c r="G21" s="1709" t="s">
        <v>561</v>
      </c>
      <c r="H21" s="623"/>
      <c r="I21" s="623"/>
      <c r="J21" s="355"/>
      <c r="K21" s="609"/>
      <c r="AF21" s="1697">
        <v>19</v>
      </c>
    </row>
    <row customHeight="1" ht="19.95">
      <c r="D22" s="1704"/>
      <c r="E22" s="1730" t="s">
        <v>729</v>
      </c>
      <c r="F22" s="1716" t="s">
        <v>730</v>
      </c>
      <c r="G22" s="1709" t="s">
        <v>561</v>
      </c>
      <c r="H22" s="623"/>
      <c r="I22" s="623"/>
      <c r="J22" s="355"/>
      <c r="K22" s="609"/>
      <c r="AF22" s="1697">
        <v>19</v>
      </c>
    </row>
    <row customHeight="1" ht="24">
      <c r="D23" s="1704"/>
      <c r="E23" s="1730" t="s">
        <v>319</v>
      </c>
      <c r="F23" s="1020" t="s">
        <v>731</v>
      </c>
      <c r="G23" s="1709" t="s">
        <v>561</v>
      </c>
      <c r="H23" s="623"/>
      <c r="I23" s="623"/>
      <c r="J23" s="355" t="s">
        <v>732</v>
      </c>
      <c r="K23" s="609"/>
      <c r="AF23" s="1697">
        <v>23</v>
      </c>
    </row>
    <row customHeight="1" ht="19.95">
      <c r="D24" s="1704"/>
      <c r="E24" s="1730" t="s">
        <v>733</v>
      </c>
      <c r="F24" s="1716" t="s">
        <v>734</v>
      </c>
      <c r="G24" s="1709" t="s">
        <v>561</v>
      </c>
      <c r="H24" s="623"/>
      <c r="I24" s="623"/>
      <c r="J24" s="355"/>
      <c r="K24" s="609"/>
      <c r="AF24" s="1697">
        <v>19</v>
      </c>
    </row>
    <row customHeight="1" ht="35.699999999999996">
      <c r="D25" s="1704"/>
      <c r="E25" s="1730" t="s">
        <v>735</v>
      </c>
      <c r="F25" s="1716" t="s">
        <v>736</v>
      </c>
      <c r="G25" s="1709" t="s">
        <v>561</v>
      </c>
      <c r="H25" s="623"/>
      <c r="I25" s="623"/>
      <c r="J25" s="355"/>
      <c r="K25" s="609"/>
      <c r="AF25" s="1697">
        <v>34</v>
      </c>
    </row>
    <row customHeight="1" ht="24">
      <c r="D26" s="1704"/>
      <c r="E26" s="1730" t="s">
        <v>737</v>
      </c>
      <c r="F26" s="1020" t="s">
        <v>738</v>
      </c>
      <c r="G26" s="1709" t="s">
        <v>561</v>
      </c>
      <c r="H26" s="623"/>
      <c r="I26" s="623"/>
      <c r="J26" s="355" t="s">
        <v>739</v>
      </c>
      <c r="K26" s="609"/>
      <c r="AF26" s="1697">
        <v>23</v>
      </c>
    </row>
    <row customHeight="1" ht="19.95">
      <c r="D27" s="1704"/>
      <c r="E27" s="1741" t="s">
        <v>740</v>
      </c>
      <c r="F27" s="1716" t="s">
        <v>741</v>
      </c>
      <c r="G27" s="1720" t="s">
        <v>561</v>
      </c>
      <c r="H27" s="1742"/>
      <c r="I27" s="1742"/>
      <c r="J27" s="355"/>
      <c r="K27" s="609"/>
      <c r="AF27" s="1697">
        <v>19</v>
      </c>
    </row>
    <row customHeight="1" ht="19.95">
      <c r="D28" s="1704"/>
      <c r="E28" s="1741" t="s">
        <v>742</v>
      </c>
      <c r="F28" s="1716" t="s">
        <v>743</v>
      </c>
      <c r="G28" s="1720" t="s">
        <v>561</v>
      </c>
      <c r="H28" s="1742"/>
      <c r="I28" s="1742"/>
      <c r="J28" s="355"/>
      <c r="K28" s="609"/>
      <c r="AF28" s="1697">
        <v>19</v>
      </c>
    </row>
    <row customHeight="1" ht="19.95">
      <c r="D29" s="1704"/>
      <c r="E29" s="1741" t="s">
        <v>744</v>
      </c>
      <c r="F29" s="1020" t="s">
        <v>745</v>
      </c>
      <c r="G29" s="1720" t="s">
        <v>561</v>
      </c>
      <c r="H29" s="1742"/>
      <c r="I29" s="1742"/>
      <c r="J29" s="355"/>
      <c r="K29" s="609"/>
      <c r="AF29" s="1697">
        <v>19</v>
      </c>
    </row>
    <row customHeight="1" ht="19.95">
      <c r="D30" s="1704"/>
      <c r="E30" s="1741" t="s">
        <v>746</v>
      </c>
      <c r="F30" s="1020" t="s">
        <v>747</v>
      </c>
      <c r="G30" s="1720" t="s">
        <v>561</v>
      </c>
      <c r="H30" s="1742"/>
      <c r="I30" s="1742"/>
      <c r="J30" s="355"/>
      <c r="K30" s="609"/>
      <c r="AF30" s="1697">
        <v>19</v>
      </c>
    </row>
    <row customHeight="1" ht="19.95">
      <c r="D31" s="1704"/>
      <c r="E31" s="1741" t="s">
        <v>748</v>
      </c>
      <c r="F31" s="1020" t="s">
        <v>749</v>
      </c>
      <c r="G31" s="1720" t="s">
        <v>561</v>
      </c>
      <c r="H31" s="1742"/>
      <c r="I31" s="1742"/>
      <c r="J31" s="355"/>
      <c r="K31" s="609"/>
      <c r="AF31" s="1697">
        <v>19</v>
      </c>
    </row>
    <row s="5002" customFormat="1" customHeight="1" ht="35.699999999999996">
      <c r="A32" s="1053"/>
      <c r="C32" s="1702"/>
      <c r="D32" s="1704"/>
      <c r="E32" s="1741" t="s">
        <v>750</v>
      </c>
      <c r="F32" s="1020" t="s">
        <v>751</v>
      </c>
      <c r="G32" s="1710" t="s">
        <v>561</v>
      </c>
      <c r="H32" s="645">
        <f>SUM(H33:H34)</f>
        <v>0</v>
      </c>
      <c r="I32" s="645">
        <f>SUM(I33:I34)</f>
        <v>0</v>
      </c>
      <c r="J32" s="355" t="s">
        <v>752</v>
      </c>
      <c r="K32" s="609"/>
      <c r="L32" s="1702"/>
      <c r="M32" s="1702"/>
      <c r="R32" s="1702"/>
      <c r="U32" s="610"/>
      <c r="AA32" s="1698"/>
      <c r="AB32" s="1698"/>
      <c r="AC32" s="1698"/>
      <c r="AD32" s="1698"/>
      <c r="AE32" s="1698"/>
      <c r="AF32" s="1226">
        <v>34</v>
      </c>
    </row>
    <row s="4562" customFormat="1" customHeight="1" ht="1.05">
      <c r="A33" s="1233"/>
      <c r="D33" s="614"/>
      <c r="E33" s="868" t="str">
        <f>E32&amp;".0"</f>
        <v>2.8.0</v>
      </c>
      <c r="F33" s="1057"/>
      <c r="G33" s="617"/>
      <c r="H33" s="1058"/>
      <c r="I33" s="1058"/>
      <c r="J33" s="1059"/>
      <c r="AF33" s="1702">
        <v>1</v>
      </c>
    </row>
    <row s="5002" customFormat="1" customHeight="1" ht="19.95">
      <c r="A34" s="1053"/>
      <c r="C34" s="1702"/>
      <c r="D34" s="1699"/>
      <c r="E34" s="636"/>
      <c r="F34" s="1732" t="s">
        <v>586</v>
      </c>
      <c r="G34" s="638"/>
      <c r="H34" s="639"/>
      <c r="I34" s="639"/>
      <c r="J34" s="367" t="s">
        <v>753</v>
      </c>
      <c r="K34" s="609"/>
      <c r="L34" s="1702"/>
      <c r="M34" s="1702"/>
      <c r="R34" s="1702"/>
      <c r="U34" s="610"/>
      <c r="AA34" s="1698"/>
      <c r="AB34" s="1698"/>
      <c r="AC34" s="1698"/>
      <c r="AD34" s="1698"/>
      <c r="AE34" s="1698"/>
      <c r="AF34" s="1226">
        <v>19</v>
      </c>
    </row>
    <row customHeight="1" ht="60">
      <c r="D35" s="1704"/>
      <c r="E35" s="1741" t="s">
        <v>754</v>
      </c>
      <c r="F35" s="1020" t="s">
        <v>755</v>
      </c>
      <c r="G35" s="1720" t="s">
        <v>561</v>
      </c>
      <c r="H35" s="1742"/>
      <c r="I35" s="1742"/>
      <c r="J35" s="355" t="s">
        <v>756</v>
      </c>
      <c r="K35" s="609"/>
      <c r="AF35" s="1697">
        <v>57</v>
      </c>
    </row>
    <row s="5002" customFormat="1" customHeight="1" ht="24">
      <c r="A36" s="1055" t="s">
        <v>587</v>
      </c>
      <c r="C36" s="1702"/>
      <c r="D36" s="1704"/>
      <c r="E36" s="1730" t="s">
        <v>95</v>
      </c>
      <c r="F36" s="773" t="s">
        <v>757</v>
      </c>
      <c r="G36" s="1709" t="s">
        <v>561</v>
      </c>
      <c r="H36" s="623"/>
      <c r="I36" s="623"/>
      <c r="J36" s="355" t="s">
        <v>758</v>
      </c>
      <c r="K36" s="609"/>
      <c r="L36" s="1702"/>
      <c r="M36" s="1702"/>
      <c r="R36" s="1702"/>
      <c r="U36" s="610"/>
      <c r="AA36" s="1698"/>
      <c r="AB36" s="1698"/>
      <c r="AC36" s="1698"/>
      <c r="AD36" s="1698"/>
      <c r="AE36" s="1698"/>
      <c r="AF36" s="1226">
        <v>23</v>
      </c>
    </row>
    <row s="5002" customFormat="1" customHeight="1" ht="35.699999999999996">
      <c r="A37" s="1055"/>
      <c r="C37" s="1702"/>
      <c r="D37" s="1704"/>
      <c r="E37" s="1730" t="s">
        <v>333</v>
      </c>
      <c r="F37" s="1020" t="s">
        <v>759</v>
      </c>
      <c r="G37" s="1720"/>
      <c r="H37" s="623"/>
      <c r="I37" s="623"/>
      <c r="J37" s="355"/>
      <c r="K37" s="609"/>
      <c r="L37" s="1702"/>
      <c r="M37" s="1702"/>
      <c r="R37" s="1702"/>
      <c r="U37" s="610"/>
      <c r="AA37" s="1698"/>
      <c r="AB37" s="1698"/>
      <c r="AC37" s="1698"/>
      <c r="AD37" s="1698"/>
      <c r="AE37" s="1698"/>
      <c r="AF37" s="1226">
        <v>34</v>
      </c>
    </row>
    <row s="5002" customFormat="1" customHeight="1" ht="19.95">
      <c r="A38" s="1053"/>
      <c r="C38" s="1702"/>
      <c r="D38" s="641"/>
      <c r="E38" s="1730" t="s">
        <v>96</v>
      </c>
      <c r="F38" s="773" t="s">
        <v>760</v>
      </c>
      <c r="G38" s="1709" t="s">
        <v>561</v>
      </c>
      <c r="H38" s="623"/>
      <c r="I38" s="623"/>
      <c r="J38" s="355" t="s">
        <v>761</v>
      </c>
      <c r="K38" s="609"/>
      <c r="L38" s="1702"/>
      <c r="M38" s="1702"/>
      <c r="R38" s="1702"/>
      <c r="U38" s="610"/>
      <c r="AA38" s="1698"/>
      <c r="AB38" s="1698"/>
      <c r="AC38" s="1698"/>
      <c r="AD38" s="1698"/>
      <c r="AE38" s="1698"/>
      <c r="AF38" s="1226">
        <v>19</v>
      </c>
    </row>
    <row s="5002" customFormat="1" customHeight="1" ht="24">
      <c r="A39" s="1053"/>
      <c r="C39" s="1702"/>
      <c r="D39" s="641"/>
      <c r="E39" s="1730" t="s">
        <v>762</v>
      </c>
      <c r="F39" s="1020" t="s">
        <v>763</v>
      </c>
      <c r="G39" s="1720" t="s">
        <v>561</v>
      </c>
      <c r="H39" s="623"/>
      <c r="I39" s="623"/>
      <c r="J39" s="355" t="s">
        <v>764</v>
      </c>
      <c r="K39" s="609"/>
      <c r="L39" s="1702"/>
      <c r="M39" s="1702"/>
      <c r="R39" s="1702"/>
      <c r="U39" s="610"/>
      <c r="AA39" s="1698"/>
      <c r="AB39" s="1698"/>
      <c r="AC39" s="1698"/>
      <c r="AD39" s="1698"/>
      <c r="AE39" s="1698"/>
      <c r="AF39" s="1226">
        <v>23</v>
      </c>
    </row>
    <row s="5002" customFormat="1" customHeight="1" ht="24">
      <c r="A40" s="1053"/>
      <c r="C40" s="1702"/>
      <c r="D40" s="1704"/>
      <c r="E40" s="1730" t="s">
        <v>765</v>
      </c>
      <c r="F40" s="1716" t="s">
        <v>766</v>
      </c>
      <c r="G40" s="1709" t="s">
        <v>561</v>
      </c>
      <c r="H40" s="623"/>
      <c r="I40" s="623"/>
      <c r="J40" s="355" t="s">
        <v>767</v>
      </c>
      <c r="K40" s="609"/>
      <c r="L40" s="1702"/>
      <c r="M40" s="1702"/>
      <c r="R40" s="1702"/>
      <c r="U40" s="610"/>
      <c r="AA40" s="1698"/>
      <c r="AB40" s="1698"/>
      <c r="AC40" s="1698"/>
      <c r="AD40" s="1698"/>
      <c r="AE40" s="1698"/>
      <c r="AF40" s="1226">
        <v>23</v>
      </c>
    </row>
    <row s="5002" customFormat="1" customHeight="1" ht="24">
      <c r="A41" s="1053"/>
      <c r="C41" s="1702"/>
      <c r="D41" s="1704"/>
      <c r="E41" s="1730" t="s">
        <v>768</v>
      </c>
      <c r="F41" s="1716" t="s">
        <v>769</v>
      </c>
      <c r="G41" s="1709" t="s">
        <v>561</v>
      </c>
      <c r="H41" s="623"/>
      <c r="I41" s="623"/>
      <c r="J41" s="355" t="s">
        <v>770</v>
      </c>
      <c r="K41" s="609"/>
      <c r="L41" s="1702"/>
      <c r="M41" s="1702"/>
      <c r="R41" s="1702"/>
      <c r="U41" s="610"/>
      <c r="AA41" s="1698"/>
      <c r="AB41" s="1698"/>
      <c r="AC41" s="1698"/>
      <c r="AD41" s="1698"/>
      <c r="AE41" s="1698"/>
      <c r="AF41" s="1226">
        <v>23</v>
      </c>
    </row>
    <row s="5002" customFormat="1" customHeight="1" ht="24">
      <c r="A42" s="1053"/>
      <c r="C42" s="1702"/>
      <c r="D42" s="1704"/>
      <c r="E42" s="1730" t="s">
        <v>771</v>
      </c>
      <c r="F42" s="1716" t="s">
        <v>772</v>
      </c>
      <c r="G42" s="1709" t="s">
        <v>561</v>
      </c>
      <c r="H42" s="623"/>
      <c r="I42" s="623"/>
      <c r="J42" s="355" t="s">
        <v>773</v>
      </c>
      <c r="K42" s="609"/>
      <c r="L42" s="1702"/>
      <c r="M42" s="1702"/>
      <c r="R42" s="1702"/>
      <c r="U42" s="610"/>
      <c r="AA42" s="1698"/>
      <c r="AB42" s="1698"/>
      <c r="AC42" s="1698"/>
      <c r="AD42" s="1698"/>
      <c r="AE42" s="1698"/>
      <c r="AF42" s="1226">
        <v>23</v>
      </c>
    </row>
    <row s="5002" customFormat="1" customHeight="1" ht="35.699999999999996">
      <c r="A43" s="1053"/>
      <c r="C43" s="1702" t="s">
        <v>597</v>
      </c>
      <c r="D43" s="1704"/>
      <c r="E43" s="1730" t="s">
        <v>116</v>
      </c>
      <c r="F43" s="773" t="s">
        <v>638</v>
      </c>
      <c r="G43" s="1712" t="s">
        <v>774</v>
      </c>
      <c r="H43" s="467"/>
      <c r="I43" s="467"/>
      <c r="J43" s="355" t="s">
        <v>775</v>
      </c>
      <c r="K43" s="609"/>
      <c r="L43" s="1702"/>
      <c r="M43" s="1702"/>
      <c r="R43" s="1702"/>
      <c r="U43" s="610"/>
      <c r="AA43" s="1698"/>
      <c r="AB43" s="1698"/>
      <c r="AC43" s="1698"/>
      <c r="AD43" s="1698"/>
      <c r="AE43" s="1698"/>
      <c r="AF43" s="1226">
        <v>34</v>
      </c>
    </row>
    <row s="5002" customFormat="1" customHeight="1" ht="35.699999999999996">
      <c r="A44" s="1053"/>
      <c r="C44" s="1702"/>
      <c r="D44" s="1704"/>
      <c r="E44" s="1730" t="s">
        <v>97</v>
      </c>
      <c r="F44" s="773" t="s">
        <v>776</v>
      </c>
      <c r="G44" s="1709" t="s">
        <v>777</v>
      </c>
      <c r="H44" s="611"/>
      <c r="I44" s="611"/>
      <c r="J44" s="355" t="s">
        <v>778</v>
      </c>
      <c r="K44" s="609"/>
      <c r="L44" s="1702"/>
      <c r="M44" s="1702"/>
      <c r="R44" s="1702"/>
      <c r="U44" s="610"/>
      <c r="AA44" s="1698"/>
      <c r="AB44" s="1698"/>
      <c r="AC44" s="1698"/>
      <c r="AD44" s="1698"/>
      <c r="AE44" s="1698"/>
      <c r="AF44" s="1226">
        <v>34</v>
      </c>
    </row>
    <row s="5002" customFormat="1" customHeight="1" ht="24">
      <c r="A45" s="1053"/>
      <c r="C45" s="1702"/>
      <c r="D45" s="1704"/>
      <c r="E45" s="1730" t="s">
        <v>98</v>
      </c>
      <c r="F45" s="773" t="s">
        <v>779</v>
      </c>
      <c r="G45" s="1720" t="s">
        <v>780</v>
      </c>
      <c r="H45" s="611"/>
      <c r="I45" s="611"/>
      <c r="J45" s="355" t="s">
        <v>781</v>
      </c>
      <c r="K45" s="609"/>
      <c r="L45" s="1702"/>
      <c r="M45" s="1702"/>
      <c r="R45" s="1702"/>
      <c r="U45" s="610"/>
      <c r="AA45" s="1698"/>
      <c r="AB45" s="1698"/>
      <c r="AC45" s="1698"/>
      <c r="AD45" s="1698"/>
      <c r="AE45" s="1698"/>
      <c r="AF45" s="1226">
        <v>23</v>
      </c>
    </row>
    <row s="5002" customFormat="1" customHeight="1" ht="19.95">
      <c r="A46" s="1053"/>
      <c r="C46" s="1702"/>
      <c r="D46" s="1704"/>
      <c r="E46" s="1730" t="s">
        <v>117</v>
      </c>
      <c r="F46" s="773" t="s">
        <v>782</v>
      </c>
      <c r="G46" s="1709" t="s">
        <v>599</v>
      </c>
      <c r="H46" s="643"/>
      <c r="I46" s="643"/>
      <c r="J46" s="355"/>
      <c r="K46" s="609"/>
      <c r="L46" s="1702"/>
      <c r="M46" s="1702"/>
      <c r="R46" s="1702"/>
      <c r="U46" s="610"/>
      <c r="AA46" s="1698"/>
      <c r="AB46" s="1698"/>
      <c r="AC46" s="1698"/>
      <c r="AD46" s="1698"/>
      <c r="AE46" s="1698"/>
      <c r="AF46" s="1226">
        <v>19</v>
      </c>
    </row>
    <row customHeight="1" ht="11.549999999999999">
      <c r="D47" s="1704"/>
      <c r="AF47" s="1697">
        <v>11</v>
      </c>
    </row>
    <row s="4153"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4153"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4153" customFormat="1" customHeight="1" ht="11.549999999999999">
      <c r="A50" s="1053"/>
      <c r="B50" s="1702"/>
      <c r="C50" s="1702"/>
      <c r="D50" s="417"/>
      <c r="H50" s="632"/>
      <c r="I50" s="632"/>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4153"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4153"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4153"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4153"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4153"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4153"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4153"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4153"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4153"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4153"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4153"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4153"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4153"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4153"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4153"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4153"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4153"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4153"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4153"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4153"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4153"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4153"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4153"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4153"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4153"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4153"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4153"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4153"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4153"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4153"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4153"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4153"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4153"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4153"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4153"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4153"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4153"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4153"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4153"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4153"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4153"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4153"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4153"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4153"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4153"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4153"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4153"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4153"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4153"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4153"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4153"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4153"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4153"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4153"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4153"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4153"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4153"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4153"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4153"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4153"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4153"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4153"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4153"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4153"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4153"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4153"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4153"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4153"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4153"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4153"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4153"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4153"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4153"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4153"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4153"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4153"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4153"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4153"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4153"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4153"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4153"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4153"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4153"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4153"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4153"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4153"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4153"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4153"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4153"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4153"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4153"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4153"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4153"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4153"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4153"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4153"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4153"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4153"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4153"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4153"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4153"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4153"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4153"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4153"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4153"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4153"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4153"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4153"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4153"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4153"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4153"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4153"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4153"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4153"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4153"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4153"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4153"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4153"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4153"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4153"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4153"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4153"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4153"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4153"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4153"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4153"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4153"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4153"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4153"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4153"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4153"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4153"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4153"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4153"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4153"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4153"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4153"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4153"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4153"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4153"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4153"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4153"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4153"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4153"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4153"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4153"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4153"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4153"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4153"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4153"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4153"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4153"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customHeight="1" ht="11.549999999999999">
      <c r="AF203" s="1697">
        <v>11</v>
      </c>
    </row>
    <row customHeight="1" ht="11.549999999999999">
      <c r="AF204" s="1697">
        <v>11</v>
      </c>
    </row>
    <row customHeight="1" ht="11.549999999999999">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549999999999999">
      <c r="A210" s="1056"/>
      <c r="B210" s="1697"/>
      <c r="D210" s="1697"/>
      <c r="K210" s="1697"/>
      <c r="N210" s="1697"/>
      <c r="O210" s="1697"/>
      <c r="P210" s="1697"/>
      <c r="Q210" s="1697"/>
      <c r="S210" s="1697"/>
      <c r="T210" s="1697"/>
      <c r="U210" s="1697"/>
      <c r="V210" s="1697"/>
      <c r="W210" s="1697"/>
      <c r="X210" s="1697"/>
      <c r="Y210" s="1697"/>
      <c r="Z210" s="1697"/>
      <c r="AA210" s="1697"/>
      <c r="AB210" s="1697"/>
      <c r="AC210" s="1697"/>
      <c r="AD210" s="1697"/>
      <c r="AE210" s="1697"/>
      <c r="AF210" s="1697">
        <v>11</v>
      </c>
    </row>
    <row customHeight="1" ht="11.549999999999999">
      <c r="A211" s="1056"/>
      <c r="B211" s="1697"/>
      <c r="D211" s="1697"/>
      <c r="K211" s="1697"/>
      <c r="N211" s="1697"/>
      <c r="O211" s="1697"/>
      <c r="P211" s="1697"/>
      <c r="Q211" s="1697"/>
      <c r="S211" s="1697"/>
      <c r="T211" s="1697"/>
      <c r="U211" s="1697"/>
      <c r="V211" s="1697"/>
      <c r="W211" s="1697"/>
      <c r="X211" s="1697"/>
      <c r="Y211" s="1697"/>
      <c r="Z211" s="1697"/>
      <c r="AA211" s="1697"/>
      <c r="AB211" s="1697"/>
      <c r="AC211" s="1697"/>
      <c r="AD211" s="1697"/>
      <c r="AE211" s="1697"/>
      <c r="AF211" s="1697">
        <v>11</v>
      </c>
    </row>
    <row customHeight="1" ht="11.549999999999999">
      <c r="A212" s="1056"/>
      <c r="B212" s="1697"/>
      <c r="D212" s="1697"/>
      <c r="K212" s="1697"/>
      <c r="N212" s="1697"/>
      <c r="O212" s="1697"/>
      <c r="P212" s="1697"/>
      <c r="Q212" s="1697"/>
      <c r="S212" s="1697"/>
      <c r="T212" s="1697"/>
      <c r="U212" s="1697"/>
      <c r="V212" s="1697"/>
      <c r="W212" s="1697"/>
      <c r="X212" s="1697"/>
      <c r="Y212" s="1697"/>
      <c r="Z212" s="1697"/>
      <c r="AA212" s="1697"/>
      <c r="AB212" s="1697"/>
      <c r="AC212" s="1697"/>
      <c r="AD212" s="1697"/>
      <c r="AE212" s="1697"/>
      <c r="AF212" s="1697">
        <v>11</v>
      </c>
    </row>
    <row customHeight="1" ht="11.549999999999999">
      <c r="A213" s="1056"/>
      <c r="B213" s="1697"/>
      <c r="D213" s="1697"/>
      <c r="K213" s="1697"/>
      <c r="N213" s="1697"/>
      <c r="O213" s="1697"/>
      <c r="P213" s="1697"/>
      <c r="Q213" s="1697"/>
      <c r="S213" s="1697"/>
      <c r="T213" s="1697"/>
      <c r="U213" s="1697"/>
      <c r="V213" s="1697"/>
      <c r="W213" s="1697"/>
      <c r="X213" s="1697"/>
      <c r="Y213" s="1697"/>
      <c r="Z213" s="1697"/>
      <c r="AA213" s="1697"/>
      <c r="AB213" s="1697"/>
      <c r="AC213" s="1697"/>
      <c r="AD213" s="1697"/>
      <c r="AE213" s="1697"/>
      <c r="AF213" s="1697">
        <v>11</v>
      </c>
    </row>
    <row customHeight="1" ht="11.549999999999999">
      <c r="A214" s="1056"/>
      <c r="B214" s="1697"/>
      <c r="D214" s="1697"/>
      <c r="K214" s="1697"/>
      <c r="N214" s="1697"/>
      <c r="O214" s="1697"/>
      <c r="P214" s="1697"/>
      <c r="Q214" s="1697"/>
      <c r="S214" s="1697"/>
      <c r="T214" s="1697"/>
      <c r="U214" s="1697"/>
      <c r="V214" s="1697"/>
      <c r="W214" s="1697"/>
      <c r="X214" s="1697"/>
      <c r="Y214" s="1697"/>
      <c r="Z214" s="1697"/>
      <c r="AA214" s="1697"/>
      <c r="AB214" s="1697"/>
      <c r="AC214" s="1697"/>
      <c r="AD214" s="1697"/>
      <c r="AE214" s="1697"/>
      <c r="AF214" s="1697">
        <v>11</v>
      </c>
    </row>
    <row customHeight="1" ht="11.549999999999999">
      <c r="A215" s="1056"/>
      <c r="B215" s="1697"/>
      <c r="D215" s="1697"/>
      <c r="K215" s="1697"/>
      <c r="N215" s="1697"/>
      <c r="O215" s="1697"/>
      <c r="P215" s="1697"/>
      <c r="Q215" s="1697"/>
      <c r="S215" s="1697"/>
      <c r="T215" s="1697"/>
      <c r="U215" s="1697"/>
      <c r="V215" s="1697"/>
      <c r="W215" s="1697"/>
      <c r="X215" s="1697"/>
      <c r="Y215" s="1697"/>
      <c r="Z215" s="1697"/>
      <c r="AA215" s="1697"/>
      <c r="AB215" s="1697"/>
      <c r="AC215" s="1697"/>
      <c r="AD215" s="1697"/>
      <c r="AE215" s="1697"/>
      <c r="AF215" s="1697">
        <v>11</v>
      </c>
    </row>
    <row customHeight="1" ht="11.549999999999999">
      <c r="A216" s="1056"/>
      <c r="B216" s="1697"/>
      <c r="D216" s="1697"/>
      <c r="K216" s="1697"/>
      <c r="N216" s="1697"/>
      <c r="O216" s="1697"/>
      <c r="P216" s="1697"/>
      <c r="Q216" s="1697"/>
      <c r="S216" s="1697"/>
      <c r="T216" s="1697"/>
      <c r="U216" s="1697"/>
      <c r="V216" s="1697"/>
      <c r="W216" s="1697"/>
      <c r="X216" s="1697"/>
      <c r="Y216" s="1697"/>
      <c r="Z216" s="1697"/>
      <c r="AA216" s="1697"/>
      <c r="AB216" s="1697"/>
      <c r="AC216" s="1697"/>
      <c r="AD216" s="1697"/>
      <c r="AE216" s="1697"/>
      <c r="AF216" s="1697">
        <v>11</v>
      </c>
    </row>
    <row customHeight="1" ht="11.25" hidden="1">
      <c r="A217" s="1053" t="s">
        <v>87</v>
      </c>
      <c r="B217" s="1226">
        <v>0</v>
      </c>
      <c r="C217" s="1702">
        <v>0</v>
      </c>
      <c r="D217" s="1701">
        <v>3</v>
      </c>
      <c r="E217" s="1697">
        <v>7</v>
      </c>
      <c r="F217" s="1697">
        <v>56</v>
      </c>
      <c r="G217" s="1697">
        <v>10</v>
      </c>
      <c r="H217" s="1697">
        <v>0</v>
      </c>
      <c r="I217" s="1697">
        <v>40</v>
      </c>
      <c r="J217" s="1697">
        <v>102</v>
      </c>
      <c r="K217" s="1226">
        <v>9</v>
      </c>
      <c r="L217" s="1702">
        <v>5</v>
      </c>
      <c r="M217" s="1702">
        <v>3</v>
      </c>
      <c r="N217" s="1226">
        <v>3</v>
      </c>
      <c r="O217" s="1226">
        <v>3</v>
      </c>
      <c r="P217" s="1226">
        <v>3</v>
      </c>
      <c r="Q217" s="1226">
        <v>3</v>
      </c>
      <c r="R217" s="1702">
        <v>10</v>
      </c>
      <c r="S217" s="1226">
        <v>34</v>
      </c>
      <c r="T217" s="1226">
        <v>9</v>
      </c>
      <c r="U217" s="610">
        <v>8</v>
      </c>
      <c r="V217" s="1226">
        <v>8</v>
      </c>
      <c r="W217" s="1226">
        <v>8</v>
      </c>
      <c r="X217" s="1226">
        <v>8</v>
      </c>
      <c r="Y217" s="1226">
        <v>8</v>
      </c>
      <c r="Z217" s="1226">
        <v>8</v>
      </c>
      <c r="AA217" s="1698">
        <v>8</v>
      </c>
      <c r="AB217" s="1698">
        <v>8</v>
      </c>
      <c r="AC217" s="1698">
        <v>8</v>
      </c>
      <c r="AD217" s="1698">
        <v>8</v>
      </c>
      <c r="AE217" s="1698">
        <v>8</v>
      </c>
      <c r="AF217" s="169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4C3FB-184D-904C-6472-FF82AE0CF65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4437" width="10.7109375" hidden="1" customWidth="1"/>
    <col min="2" max="2" style="5002" width="16.8515625" hidden="1" customWidth="1"/>
    <col min="3" max="3" style="4562" width="5.57421875" hidden="1" customWidth="1"/>
    <col min="4" max="4" style="5053" width="3.00390625" customWidth="1"/>
    <col min="5" max="5" style="5053" width="7.00390625" customWidth="1"/>
    <col min="6" max="6" style="5053" width="54.00390625" customWidth="1"/>
    <col min="7" max="7" style="5053" width="10.00390625" customWidth="1"/>
    <col min="8" max="8" style="5053" width="40.7109375" hidden="1" customWidth="1"/>
    <col min="9" max="9" style="5053" width="40.00390625" customWidth="1"/>
    <col min="10" max="10" style="5053" width="102.00390625" customWidth="1"/>
    <col min="11" max="11" style="5002" width="9.00390625" customWidth="1"/>
    <col min="12" max="12" style="4562" width="5.00390625" customWidth="1"/>
    <col min="13" max="13" style="4562" width="3.00390625" customWidth="1"/>
    <col min="14" max="17" style="5002" width="3.00390625" customWidth="1"/>
    <col min="18" max="18" style="4562" width="10.00390625" customWidth="1"/>
    <col min="19" max="19" style="5002" width="34.00390625" customWidth="1"/>
    <col min="20" max="20" style="5002" width="9.00390625" customWidth="1"/>
    <col min="21" max="21" style="4507" width="8.00390625" customWidth="1"/>
    <col min="22" max="26" style="5002" width="8.00390625" customWidth="1"/>
    <col min="27" max="31" style="5297" width="8.00390625" customWidth="1"/>
    <col min="32" max="32" style="5053" width="9.140625" hidden="1"/>
  </cols>
  <sheetData>
    <row s="5002" customFormat="1" customHeight="1" ht="22.5" hidden="1">
      <c r="A1" s="1053"/>
      <c r="C1" s="1702"/>
      <c r="D1" s="603"/>
      <c r="H1" s="1226">
        <v>4</v>
      </c>
      <c r="I1" s="1226">
        <v>4</v>
      </c>
      <c r="L1" s="1702"/>
      <c r="M1" s="1702"/>
      <c r="R1" s="1702"/>
      <c r="AF1" s="1226" t="s">
        <v>14</v>
      </c>
    </row>
    <row s="5002" customFormat="1" customHeight="1" ht="22.5" hidden="1">
      <c r="A2" s="1053"/>
      <c r="C2" s="1702"/>
      <c r="D2" s="604"/>
      <c r="E2" s="1724"/>
      <c r="F2" s="606"/>
      <c r="G2" s="1723" t="s">
        <v>561</v>
      </c>
      <c r="H2" s="607"/>
      <c r="I2" s="607"/>
      <c r="J2" s="608" t="s">
        <v>564</v>
      </c>
      <c r="K2" s="609"/>
      <c r="L2" s="1702"/>
      <c r="M2" s="1702"/>
      <c r="R2" s="1702"/>
      <c r="U2" s="610"/>
      <c r="AA2" s="1698"/>
      <c r="AB2" s="1698"/>
      <c r="AC2" s="1698"/>
      <c r="AD2" s="1698"/>
      <c r="AE2" s="1698"/>
      <c r="AF2" s="1226">
        <v>0</v>
      </c>
    </row>
    <row customHeight="1" ht="11.25" hidden="1">
      <c r="AF3" s="1697">
        <v>0</v>
      </c>
    </row>
    <row s="5297"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3.75">
      <c r="E6" s="2314" t="s">
        <v>783</v>
      </c>
      <c r="F6" s="2314"/>
      <c r="G6" s="2314"/>
      <c r="H6" s="2314"/>
      <c r="I6" s="2314"/>
      <c r="J6" s="622"/>
      <c r="AF6" s="1697">
        <v>32</v>
      </c>
    </row>
    <row customHeight="1" ht="25.2">
      <c r="E7" s="2315" t="str">
        <f>IF(org=0,"Не определено",org)</f>
        <v>Филиал "Уренгойская ГРЭС" АО "Интер РАО - Электрогенерация"</v>
      </c>
      <c r="F7" s="2315"/>
      <c r="G7" s="2315"/>
      <c r="H7" s="2315"/>
      <c r="I7" s="2315"/>
      <c r="AF7" s="1697">
        <v>24</v>
      </c>
    </row>
    <row customHeight="1" ht="11.549999999999999">
      <c r="E8" s="1201"/>
      <c r="F8" s="1201"/>
      <c r="G8" s="1201"/>
      <c r="H8" s="1201"/>
      <c r="I8" s="1201"/>
      <c r="AF8" s="1697">
        <v>11</v>
      </c>
    </row>
    <row s="4562" customFormat="1" customHeight="1" ht="1.05">
      <c r="A9" s="1233"/>
      <c r="D9" s="1708"/>
      <c r="H9" s="955"/>
      <c r="I9" s="955" t="s">
        <v>122</v>
      </c>
      <c r="AF9" s="1702">
        <v>1</v>
      </c>
    </row>
    <row customHeight="1" ht="11.549999999999999">
      <c r="E10" s="777"/>
      <c r="F10" s="2433" t="s">
        <v>110</v>
      </c>
      <c r="G10" s="2434"/>
      <c r="H10" s="1725" t="str">
        <f>IF(H9="","",INDEX(DIFFERENTIATION_UNMERGE_VD,MATCH(H9,DIFFERENTIATION_ID_DIFF,0)))</f>
        <v/>
      </c>
      <c r="I10" s="1725">
        <f>IF(I9="","",INDEX(DIFFERENTIATION_UNMERGE_VD,MATCH(I9,DIFFERENTIATION_ID_DIFF,0)))</f>
        <v>0</v>
      </c>
      <c r="J10" s="2193"/>
      <c r="AF10" s="1697">
        <v>11</v>
      </c>
    </row>
    <row customHeight="1" ht="11.549999999999999">
      <c r="E11" s="777"/>
      <c r="F11" s="2433" t="s">
        <v>573</v>
      </c>
      <c r="G11" s="2434"/>
      <c r="H11" s="1725" t="str">
        <f>IF(H9="","",INDEX(DIFFERENTIATION_UNMERGE_AREA,MATCH(H9,DIFFERENTIATION_ID_DIFF,0)))</f>
        <v/>
      </c>
      <c r="I11" s="1725" t="str">
        <f>IF(I9="","",INDEX(DIFFERENTIATION_UNMERGE_AREA,MATCH(I9,DIFFERENTIATION_ID_DIFF,0)))</f>
        <v/>
      </c>
      <c r="J11" s="2193"/>
      <c r="AF11" s="1697">
        <v>11</v>
      </c>
    </row>
    <row customHeight="1" ht="11.25" hidden="1">
      <c r="E12" s="1728"/>
      <c r="F12" s="2456" t="s">
        <v>574</v>
      </c>
      <c r="G12" s="2457"/>
      <c r="H12" s="1729" t="str">
        <f>IF(H9="","",INDEX(DIFFERENTIATION_UNMERGE_SYSTEM,MATCH(H9,DIFFERENTIATION_ID_DIFF,0)))</f>
        <v/>
      </c>
      <c r="I12" s="1729" t="str">
        <f>IF(I9="","",INDEX(DIFFERENTIATION_UNMERGE_SYSTEM,MATCH(I9,DIFFERENTIATION_ID_DIFF,0)))</f>
        <v>без дифференциации</v>
      </c>
      <c r="J12" s="2193"/>
      <c r="AF12" s="1697">
        <v>0</v>
      </c>
    </row>
    <row customHeight="1" ht="11.549999999999999">
      <c r="E13" s="2435" t="s">
        <v>309</v>
      </c>
      <c r="F13" s="2436"/>
      <c r="G13" s="2436"/>
      <c r="H13" s="1722"/>
      <c r="I13" s="1722"/>
      <c r="J13" s="2193"/>
      <c r="AF13" s="1697">
        <v>11</v>
      </c>
    </row>
    <row customHeight="1" ht="24">
      <c r="E14" s="1723" t="s">
        <v>93</v>
      </c>
      <c r="F14" s="1726" t="s">
        <v>311</v>
      </c>
      <c r="G14" s="1726" t="s">
        <v>575</v>
      </c>
      <c r="H14" s="1726" t="s">
        <v>312</v>
      </c>
      <c r="I14" s="1726" t="s">
        <v>312</v>
      </c>
      <c r="J14" s="2193"/>
      <c r="AF14" s="1697">
        <v>23</v>
      </c>
    </row>
    <row customHeight="1" ht="19.95">
      <c r="D15" s="1704"/>
      <c r="E15" s="1696" t="s">
        <v>114</v>
      </c>
      <c r="F15" s="773" t="s">
        <v>784</v>
      </c>
      <c r="G15" s="1723" t="s">
        <v>561</v>
      </c>
      <c r="H15" s="623"/>
      <c r="I15" s="623"/>
      <c r="J15" s="355" t="s">
        <v>785</v>
      </c>
      <c r="K15" s="609" t="s">
        <v>639</v>
      </c>
      <c r="AF15" s="1697">
        <v>19</v>
      </c>
    </row>
    <row customHeight="1" ht="24">
      <c r="D16" s="1704"/>
      <c r="E16" s="1696" t="s">
        <v>115</v>
      </c>
      <c r="F16" s="1731" t="s">
        <v>786</v>
      </c>
      <c r="G16" s="1723" t="s">
        <v>561</v>
      </c>
      <c r="H16" s="624">
        <f>SUM(H17,H20:H27)</f>
        <v>0</v>
      </c>
      <c r="I16" s="624">
        <f>SUM(I17,I20:I27)</f>
        <v>0</v>
      </c>
      <c r="J16" s="355" t="s">
        <v>787</v>
      </c>
      <c r="K16" s="609" t="s">
        <v>639</v>
      </c>
      <c r="AF16" s="1697">
        <v>23</v>
      </c>
    </row>
    <row customHeight="1" ht="35.699999999999996">
      <c r="D17" s="1704"/>
      <c r="E17" s="1730" t="s">
        <v>717</v>
      </c>
      <c r="F17" s="1733" t="s">
        <v>788</v>
      </c>
      <c r="G17" s="1720" t="s">
        <v>561</v>
      </c>
      <c r="H17" s="623"/>
      <c r="I17" s="623"/>
      <c r="J17" s="355" t="s">
        <v>789</v>
      </c>
      <c r="K17" s="609"/>
      <c r="AF17" s="1697">
        <v>34</v>
      </c>
    </row>
    <row customHeight="1" ht="19.95">
      <c r="D18" s="1704"/>
      <c r="E18" s="1730" t="s">
        <v>720</v>
      </c>
      <c r="F18" s="1734" t="s">
        <v>790</v>
      </c>
      <c r="G18" s="1720" t="s">
        <v>561</v>
      </c>
      <c r="H18" s="623"/>
      <c r="I18" s="623"/>
      <c r="J18" s="355"/>
      <c r="K18" s="609"/>
      <c r="AF18" s="1697">
        <v>19</v>
      </c>
    </row>
    <row customHeight="1" ht="24">
      <c r="D19" s="1704"/>
      <c r="E19" s="1730" t="s">
        <v>723</v>
      </c>
      <c r="F19" s="1734" t="s">
        <v>791</v>
      </c>
      <c r="G19" s="1720" t="s">
        <v>561</v>
      </c>
      <c r="H19" s="623"/>
      <c r="I19" s="623"/>
      <c r="J19" s="355"/>
      <c r="K19" s="609"/>
      <c r="AF19" s="1697">
        <v>23</v>
      </c>
    </row>
    <row customHeight="1" ht="35.699999999999996">
      <c r="D20" s="1704"/>
      <c r="E20" s="1730" t="s">
        <v>316</v>
      </c>
      <c r="F20" s="1733" t="s">
        <v>792</v>
      </c>
      <c r="G20" s="1720" t="s">
        <v>561</v>
      </c>
      <c r="H20" s="623"/>
      <c r="I20" s="623"/>
      <c r="J20" s="355"/>
      <c r="K20" s="609"/>
      <c r="AF20" s="1697">
        <v>34</v>
      </c>
    </row>
    <row customHeight="1" ht="48.29999999999999">
      <c r="D21" s="1704"/>
      <c r="E21" s="1730" t="s">
        <v>319</v>
      </c>
      <c r="F21" s="1733" t="s">
        <v>793</v>
      </c>
      <c r="G21" s="1720" t="s">
        <v>561</v>
      </c>
      <c r="H21" s="623"/>
      <c r="I21" s="623"/>
      <c r="J21" s="355"/>
      <c r="K21" s="609"/>
      <c r="AF21" s="1697">
        <v>46</v>
      </c>
    </row>
    <row customHeight="1" ht="60">
      <c r="D22" s="1704"/>
      <c r="E22" s="1730" t="s">
        <v>737</v>
      </c>
      <c r="F22" s="1733" t="s">
        <v>794</v>
      </c>
      <c r="G22" s="1720" t="s">
        <v>561</v>
      </c>
      <c r="H22" s="623"/>
      <c r="I22" s="623"/>
      <c r="J22" s="355"/>
      <c r="K22" s="609"/>
      <c r="AF22" s="1697">
        <v>57</v>
      </c>
    </row>
    <row customHeight="1" ht="35.699999999999996">
      <c r="D23" s="1704"/>
      <c r="E23" s="1730" t="s">
        <v>744</v>
      </c>
      <c r="F23" s="1733" t="s">
        <v>795</v>
      </c>
      <c r="G23" s="1720" t="s">
        <v>561</v>
      </c>
      <c r="H23" s="623"/>
      <c r="I23" s="623"/>
      <c r="J23" s="355"/>
      <c r="K23" s="609"/>
      <c r="AF23" s="1697">
        <v>34</v>
      </c>
    </row>
    <row customHeight="1" ht="35.699999999999996">
      <c r="D24" s="1704"/>
      <c r="E24" s="1730" t="s">
        <v>746</v>
      </c>
      <c r="F24" s="1733" t="s">
        <v>796</v>
      </c>
      <c r="G24" s="1720" t="s">
        <v>561</v>
      </c>
      <c r="H24" s="623"/>
      <c r="I24" s="623"/>
      <c r="J24" s="355"/>
      <c r="K24" s="609"/>
      <c r="AF24" s="1697">
        <v>34</v>
      </c>
    </row>
    <row customHeight="1" ht="24">
      <c r="D25" s="1704"/>
      <c r="E25" s="1730" t="s">
        <v>748</v>
      </c>
      <c r="F25" s="1733" t="s">
        <v>797</v>
      </c>
      <c r="G25" s="1720" t="s">
        <v>561</v>
      </c>
      <c r="H25" s="623"/>
      <c r="I25" s="623"/>
      <c r="J25" s="355"/>
      <c r="K25" s="609"/>
      <c r="AF25" s="1697">
        <v>23</v>
      </c>
    </row>
    <row customHeight="1" ht="76.5">
      <c r="D26" s="1704"/>
      <c r="E26" s="1730" t="s">
        <v>750</v>
      </c>
      <c r="F26" s="1733" t="s">
        <v>798</v>
      </c>
      <c r="G26" s="1720" t="s">
        <v>561</v>
      </c>
      <c r="H26" s="623"/>
      <c r="I26" s="623"/>
      <c r="J26" s="355"/>
      <c r="K26" s="609"/>
      <c r="AF26" s="1697">
        <v>73</v>
      </c>
    </row>
    <row s="5002" customFormat="1" customHeight="1" ht="35.699999999999996">
      <c r="A27" s="1053"/>
      <c r="C27" s="1702"/>
      <c r="D27" s="1704"/>
      <c r="E27" s="1695" t="s">
        <v>754</v>
      </c>
      <c r="F27" s="1694" t="s">
        <v>799</v>
      </c>
      <c r="G27" s="1721" t="s">
        <v>561</v>
      </c>
      <c r="H27" s="645">
        <f>SUM(H28:H29)</f>
        <v>0</v>
      </c>
      <c r="I27" s="645">
        <f>SUM(I28:I29)</f>
        <v>0</v>
      </c>
      <c r="J27" s="355" t="s">
        <v>752</v>
      </c>
      <c r="K27" s="609"/>
      <c r="L27" s="1702"/>
      <c r="M27" s="1702"/>
      <c r="R27" s="1702"/>
      <c r="U27" s="610"/>
      <c r="AA27" s="1698"/>
      <c r="AB27" s="1698"/>
      <c r="AC27" s="1698"/>
      <c r="AD27" s="1698"/>
      <c r="AE27" s="1698"/>
      <c r="AF27" s="1226">
        <v>34</v>
      </c>
    </row>
    <row s="4562" customFormat="1" customHeight="1" ht="1.05">
      <c r="A28" s="1233"/>
      <c r="D28" s="614"/>
      <c r="E28" s="868" t="str">
        <f>E27&amp;".0"</f>
        <v>2.9.0</v>
      </c>
      <c r="F28" s="1057"/>
      <c r="G28" s="617"/>
      <c r="H28" s="1058"/>
      <c r="I28" s="1058"/>
      <c r="J28" s="1059"/>
      <c r="AF28" s="1702">
        <v>1</v>
      </c>
    </row>
    <row s="5002" customFormat="1" customHeight="1" ht="19.95">
      <c r="A29" s="1053"/>
      <c r="C29" s="1702"/>
      <c r="D29" s="1699"/>
      <c r="E29" s="636"/>
      <c r="F29" s="1732" t="s">
        <v>586</v>
      </c>
      <c r="G29" s="638"/>
      <c r="H29" s="639"/>
      <c r="I29" s="639"/>
      <c r="J29" s="367" t="s">
        <v>753</v>
      </c>
      <c r="K29" s="609"/>
      <c r="L29" s="1702"/>
      <c r="M29" s="1702"/>
      <c r="R29" s="1702"/>
      <c r="U29" s="610"/>
      <c r="AA29" s="1698"/>
      <c r="AB29" s="1698"/>
      <c r="AC29" s="1698"/>
      <c r="AD29" s="1698"/>
      <c r="AE29" s="1698"/>
      <c r="AF29" s="1226">
        <v>19</v>
      </c>
    </row>
    <row s="5002" customFormat="1" customHeight="1" ht="24">
      <c r="A30" s="1053"/>
      <c r="C30" s="1702"/>
      <c r="D30" s="1704"/>
      <c r="E30" s="1730" t="s">
        <v>95</v>
      </c>
      <c r="F30" s="1727" t="s">
        <v>800</v>
      </c>
      <c r="G30" s="1720" t="s">
        <v>561</v>
      </c>
      <c r="H30" s="623"/>
      <c r="I30" s="623"/>
      <c r="J30" s="355"/>
      <c r="K30" s="609"/>
      <c r="L30" s="1702"/>
      <c r="M30" s="1702"/>
      <c r="R30" s="1702"/>
      <c r="U30" s="610"/>
      <c r="AA30" s="1698"/>
      <c r="AB30" s="1698"/>
      <c r="AC30" s="1698"/>
      <c r="AD30" s="1698"/>
      <c r="AE30" s="1698"/>
      <c r="AF30" s="1226">
        <v>23</v>
      </c>
    </row>
    <row s="5002" customFormat="1" customHeight="1" ht="35.699999999999996">
      <c r="A31" s="1053"/>
      <c r="C31" s="1702"/>
      <c r="D31" s="641"/>
      <c r="E31" s="1730" t="s">
        <v>96</v>
      </c>
      <c r="F31" s="1727" t="s">
        <v>801</v>
      </c>
      <c r="G31" s="1720" t="s">
        <v>561</v>
      </c>
      <c r="H31" s="623"/>
      <c r="I31" s="623"/>
      <c r="J31" s="355" t="s">
        <v>802</v>
      </c>
      <c r="K31" s="609"/>
      <c r="L31" s="1702"/>
      <c r="M31" s="1702"/>
      <c r="R31" s="1702"/>
      <c r="U31" s="610"/>
      <c r="AA31" s="1698"/>
      <c r="AB31" s="1698"/>
      <c r="AC31" s="1698"/>
      <c r="AD31" s="1698"/>
      <c r="AE31" s="1698"/>
      <c r="AF31" s="1226">
        <v>34</v>
      </c>
    </row>
    <row s="5002" customFormat="1" customHeight="1" ht="24">
      <c r="A32" s="1053"/>
      <c r="C32" s="1702"/>
      <c r="D32" s="1704"/>
      <c r="E32" s="1730" t="s">
        <v>762</v>
      </c>
      <c r="F32" s="756" t="s">
        <v>766</v>
      </c>
      <c r="G32" s="1720" t="s">
        <v>561</v>
      </c>
      <c r="H32" s="623"/>
      <c r="I32" s="623"/>
      <c r="J32" s="355" t="s">
        <v>803</v>
      </c>
      <c r="K32" s="609"/>
      <c r="L32" s="1702"/>
      <c r="M32" s="1702"/>
      <c r="R32" s="1702"/>
      <c r="U32" s="610"/>
      <c r="AA32" s="1698"/>
      <c r="AB32" s="1698"/>
      <c r="AC32" s="1698"/>
      <c r="AD32" s="1698"/>
      <c r="AE32" s="1698"/>
      <c r="AF32" s="1226">
        <v>23</v>
      </c>
    </row>
    <row s="5002" customFormat="1" customHeight="1" ht="24">
      <c r="A33" s="1053"/>
      <c r="C33" s="1702"/>
      <c r="D33" s="1704"/>
      <c r="E33" s="1730" t="s">
        <v>804</v>
      </c>
      <c r="F33" s="756" t="s">
        <v>805</v>
      </c>
      <c r="G33" s="1720" t="s">
        <v>561</v>
      </c>
      <c r="H33" s="623"/>
      <c r="I33" s="623"/>
      <c r="J33" s="355" t="s">
        <v>806</v>
      </c>
      <c r="K33" s="609"/>
      <c r="L33" s="1702"/>
      <c r="M33" s="1702"/>
      <c r="R33" s="1702"/>
      <c r="U33" s="610"/>
      <c r="AA33" s="1698"/>
      <c r="AB33" s="1698"/>
      <c r="AC33" s="1698"/>
      <c r="AD33" s="1698"/>
      <c r="AE33" s="1698"/>
      <c r="AF33" s="1226">
        <v>23</v>
      </c>
    </row>
    <row s="5002" customFormat="1" customHeight="1" ht="24">
      <c r="A34" s="1053"/>
      <c r="C34" s="1702"/>
      <c r="D34" s="1704"/>
      <c r="E34" s="1730" t="s">
        <v>807</v>
      </c>
      <c r="F34" s="756" t="s">
        <v>772</v>
      </c>
      <c r="G34" s="1720" t="s">
        <v>561</v>
      </c>
      <c r="H34" s="623"/>
      <c r="I34" s="623"/>
      <c r="J34" s="355" t="s">
        <v>808</v>
      </c>
      <c r="K34" s="609"/>
      <c r="L34" s="1702"/>
      <c r="M34" s="1702"/>
      <c r="R34" s="1702"/>
      <c r="U34" s="610"/>
      <c r="AA34" s="1698"/>
      <c r="AB34" s="1698"/>
      <c r="AC34" s="1698"/>
      <c r="AD34" s="1698"/>
      <c r="AE34" s="1698"/>
      <c r="AF34" s="1226">
        <v>23</v>
      </c>
    </row>
    <row s="5002" customFormat="1" customHeight="1" ht="35.699999999999996">
      <c r="A35" s="1053"/>
      <c r="C35" s="1702" t="s">
        <v>597</v>
      </c>
      <c r="D35" s="1704"/>
      <c r="E35" s="1730" t="s">
        <v>116</v>
      </c>
      <c r="F35" s="1727" t="s">
        <v>638</v>
      </c>
      <c r="G35" s="1723" t="s">
        <v>315</v>
      </c>
      <c r="H35" s="467"/>
      <c r="I35" s="467"/>
      <c r="J35" s="355" t="s">
        <v>809</v>
      </c>
      <c r="K35" s="609"/>
      <c r="L35" s="1702"/>
      <c r="M35" s="1702"/>
      <c r="R35" s="1702"/>
      <c r="U35" s="610"/>
      <c r="AA35" s="1698"/>
      <c r="AB35" s="1698"/>
      <c r="AC35" s="1698"/>
      <c r="AD35" s="1698"/>
      <c r="AE35" s="1698"/>
      <c r="AF35" s="1226">
        <v>34</v>
      </c>
    </row>
    <row s="5002" customFormat="1" customHeight="1" ht="35.699999999999996">
      <c r="A36" s="1053"/>
      <c r="C36" s="1702"/>
      <c r="D36" s="1704"/>
      <c r="E36" s="1730" t="s">
        <v>97</v>
      </c>
      <c r="F36" s="1727" t="s">
        <v>810</v>
      </c>
      <c r="G36" s="1720" t="s">
        <v>777</v>
      </c>
      <c r="H36" s="611"/>
      <c r="I36" s="611"/>
      <c r="J36" s="355" t="s">
        <v>778</v>
      </c>
      <c r="K36" s="609"/>
      <c r="L36" s="1702"/>
      <c r="M36" s="1702"/>
      <c r="R36" s="1702"/>
      <c r="U36" s="610"/>
      <c r="AA36" s="1698"/>
      <c r="AB36" s="1698"/>
      <c r="AC36" s="1698"/>
      <c r="AD36" s="1698"/>
      <c r="AE36" s="1698"/>
      <c r="AF36" s="1226">
        <v>34</v>
      </c>
    </row>
    <row s="5002" customFormat="1" customHeight="1" ht="24">
      <c r="A37" s="1053"/>
      <c r="C37" s="1702"/>
      <c r="D37" s="1704"/>
      <c r="E37" s="1730" t="s">
        <v>98</v>
      </c>
      <c r="F37" s="1727" t="s">
        <v>811</v>
      </c>
      <c r="G37" s="1720" t="s">
        <v>780</v>
      </c>
      <c r="H37" s="611"/>
      <c r="I37" s="611"/>
      <c r="J37" s="355" t="s">
        <v>781</v>
      </c>
      <c r="K37" s="609"/>
      <c r="L37" s="1702"/>
      <c r="M37" s="1702"/>
      <c r="R37" s="1702"/>
      <c r="U37" s="610"/>
      <c r="AA37" s="1698"/>
      <c r="AB37" s="1698"/>
      <c r="AC37" s="1698"/>
      <c r="AD37" s="1698"/>
      <c r="AE37" s="1698"/>
      <c r="AF37" s="1226">
        <v>23</v>
      </c>
    </row>
    <row customHeight="1" ht="11.549999999999999">
      <c r="D38" s="1704"/>
      <c r="AF38" s="1697">
        <v>11</v>
      </c>
    </row>
    <row customHeight="1" ht="27.299999999999997">
      <c r="D39" s="1704"/>
      <c r="E39" s="1319" t="s">
        <v>812</v>
      </c>
      <c r="F39" s="2351" t="s">
        <v>813</v>
      </c>
      <c r="G39" s="2351"/>
      <c r="H39" s="435"/>
      <c r="I39" s="435"/>
      <c r="J39" s="435"/>
      <c r="AF39" s="1697">
        <v>26</v>
      </c>
    </row>
    <row s="4153" customFormat="1" customHeight="1" ht="39.75">
      <c r="A40" s="1053"/>
      <c r="B40" s="1702"/>
      <c r="C40" s="1702"/>
      <c r="D40" s="417"/>
      <c r="F40" s="2351" t="s">
        <v>814</v>
      </c>
      <c r="G40" s="2351"/>
      <c r="H40" s="435"/>
      <c r="I40" s="435"/>
      <c r="J40" s="435"/>
      <c r="K40" s="1226"/>
      <c r="L40" s="1702"/>
      <c r="M40" s="1702"/>
      <c r="N40" s="1226"/>
      <c r="O40" s="1226"/>
      <c r="P40" s="1226"/>
      <c r="Q40" s="1226"/>
      <c r="R40" s="1702"/>
      <c r="S40" s="1226"/>
      <c r="T40" s="1226"/>
      <c r="U40" s="610"/>
      <c r="V40" s="1226"/>
      <c r="W40" s="1226"/>
      <c r="X40" s="1226"/>
      <c r="Y40" s="1226"/>
      <c r="Z40" s="1226"/>
      <c r="AA40" s="1698"/>
      <c r="AB40" s="632"/>
      <c r="AC40" s="632"/>
      <c r="AD40" s="632"/>
      <c r="AE40" s="632"/>
      <c r="AF40" s="1707">
        <v>38</v>
      </c>
    </row>
    <row s="4153" customFormat="1" customHeight="1" ht="11.549999999999999">
      <c r="A41" s="1053"/>
      <c r="B41" s="1702"/>
      <c r="C41" s="1702"/>
      <c r="D41" s="417"/>
      <c r="K41" s="1226"/>
      <c r="L41" s="1702"/>
      <c r="M41" s="1702"/>
      <c r="N41" s="1226"/>
      <c r="O41" s="1226"/>
      <c r="P41" s="1226"/>
      <c r="Q41" s="1226"/>
      <c r="R41" s="1702"/>
      <c r="S41" s="1226"/>
      <c r="T41" s="1226"/>
      <c r="U41" s="610"/>
      <c r="V41" s="1226"/>
      <c r="W41" s="1226"/>
      <c r="X41" s="1226"/>
      <c r="Y41" s="1226"/>
      <c r="Z41" s="1226"/>
      <c r="AA41" s="1698"/>
      <c r="AB41" s="632"/>
      <c r="AC41" s="632"/>
      <c r="AD41" s="632"/>
      <c r="AE41" s="632"/>
      <c r="AF41" s="1707">
        <v>11</v>
      </c>
    </row>
    <row s="4153" customFormat="1" customHeight="1" ht="11.549999999999999">
      <c r="A42" s="1053"/>
      <c r="B42" s="1702"/>
      <c r="C42" s="1702"/>
      <c r="D42" s="417"/>
      <c r="K42" s="1226"/>
      <c r="L42" s="1702"/>
      <c r="M42" s="1702"/>
      <c r="N42" s="1226"/>
      <c r="O42" s="1226"/>
      <c r="P42" s="1226"/>
      <c r="Q42" s="1226"/>
      <c r="R42" s="1702"/>
      <c r="S42" s="1226"/>
      <c r="T42" s="1226"/>
      <c r="U42" s="610"/>
      <c r="V42" s="1226"/>
      <c r="W42" s="1226"/>
      <c r="X42" s="1226"/>
      <c r="Y42" s="1226"/>
      <c r="Z42" s="1226"/>
      <c r="AA42" s="1698"/>
      <c r="AB42" s="632"/>
      <c r="AC42" s="632"/>
      <c r="AD42" s="632"/>
      <c r="AE42" s="632"/>
      <c r="AF42" s="1707">
        <v>11</v>
      </c>
    </row>
    <row s="4153" customFormat="1" customHeight="1" ht="11.549999999999999">
      <c r="A43" s="1053"/>
      <c r="B43" s="1702"/>
      <c r="C43" s="1702"/>
      <c r="D43" s="417"/>
      <c r="H43" s="632"/>
      <c r="I43" s="632"/>
      <c r="K43" s="1226"/>
      <c r="L43" s="1702"/>
      <c r="M43" s="1702"/>
      <c r="N43" s="1226"/>
      <c r="O43" s="1226"/>
      <c r="P43" s="1226"/>
      <c r="Q43" s="1226"/>
      <c r="R43" s="1702"/>
      <c r="S43" s="1226"/>
      <c r="T43" s="1226"/>
      <c r="U43" s="610"/>
      <c r="V43" s="1226"/>
      <c r="W43" s="1226"/>
      <c r="X43" s="1226"/>
      <c r="Y43" s="1226"/>
      <c r="Z43" s="1226"/>
      <c r="AA43" s="1698"/>
      <c r="AB43" s="632"/>
      <c r="AC43" s="632"/>
      <c r="AD43" s="632"/>
      <c r="AE43" s="632"/>
      <c r="AF43" s="1707">
        <v>11</v>
      </c>
    </row>
    <row s="4153" customFormat="1" customHeight="1" ht="11.549999999999999">
      <c r="A44" s="1053"/>
      <c r="B44" s="1702"/>
      <c r="C44" s="1702"/>
      <c r="D44" s="417"/>
      <c r="K44" s="1226"/>
      <c r="L44" s="1702"/>
      <c r="M44" s="1702"/>
      <c r="N44" s="1226"/>
      <c r="O44" s="1226"/>
      <c r="P44" s="1226"/>
      <c r="Q44" s="1226"/>
      <c r="R44" s="1702"/>
      <c r="S44" s="1226"/>
      <c r="T44" s="1226"/>
      <c r="U44" s="610"/>
      <c r="V44" s="1226"/>
      <c r="W44" s="1226"/>
      <c r="X44" s="1226"/>
      <c r="Y44" s="1226"/>
      <c r="Z44" s="1226"/>
      <c r="AA44" s="1698"/>
      <c r="AB44" s="632"/>
      <c r="AC44" s="632"/>
      <c r="AD44" s="632"/>
      <c r="AE44" s="632"/>
      <c r="AF44" s="1707">
        <v>11</v>
      </c>
    </row>
    <row s="4153" customFormat="1" customHeight="1" ht="11.549999999999999">
      <c r="A45" s="1053"/>
      <c r="B45" s="1702"/>
      <c r="C45" s="1702"/>
      <c r="D45" s="417"/>
      <c r="K45" s="1226"/>
      <c r="L45" s="1702"/>
      <c r="M45" s="1702"/>
      <c r="N45" s="1226"/>
      <c r="O45" s="1226"/>
      <c r="P45" s="1226"/>
      <c r="Q45" s="1226"/>
      <c r="R45" s="1702"/>
      <c r="S45" s="1226"/>
      <c r="T45" s="1226"/>
      <c r="U45" s="610"/>
      <c r="V45" s="1226"/>
      <c r="W45" s="1226"/>
      <c r="X45" s="1226"/>
      <c r="Y45" s="1226"/>
      <c r="Z45" s="1226"/>
      <c r="AA45" s="1698"/>
      <c r="AB45" s="632"/>
      <c r="AC45" s="632"/>
      <c r="AD45" s="632"/>
      <c r="AE45" s="632"/>
      <c r="AF45" s="1707">
        <v>11</v>
      </c>
    </row>
    <row s="4153" customFormat="1" customHeight="1" ht="11.549999999999999">
      <c r="A46" s="1053"/>
      <c r="B46" s="1702"/>
      <c r="C46" s="1702"/>
      <c r="D46" s="417"/>
      <c r="K46" s="1226"/>
      <c r="L46" s="1702"/>
      <c r="M46" s="1702"/>
      <c r="N46" s="1226"/>
      <c r="O46" s="1226"/>
      <c r="P46" s="1226"/>
      <c r="Q46" s="1226"/>
      <c r="R46" s="1702"/>
      <c r="S46" s="1226"/>
      <c r="T46" s="1226"/>
      <c r="U46" s="610"/>
      <c r="V46" s="1226"/>
      <c r="W46" s="1226"/>
      <c r="X46" s="1226"/>
      <c r="Y46" s="1226"/>
      <c r="Z46" s="1226"/>
      <c r="AA46" s="1698"/>
      <c r="AB46" s="632"/>
      <c r="AC46" s="632"/>
      <c r="AD46" s="632"/>
      <c r="AE46" s="632"/>
      <c r="AF46" s="1707">
        <v>11</v>
      </c>
    </row>
    <row s="4153" customFormat="1" customHeight="1" ht="11.549999999999999">
      <c r="A47" s="1053"/>
      <c r="B47" s="1702"/>
      <c r="C47" s="1702"/>
      <c r="D47" s="417"/>
      <c r="K47" s="1226"/>
      <c r="L47" s="1702"/>
      <c r="M47" s="1702"/>
      <c r="N47" s="1226"/>
      <c r="O47" s="1226"/>
      <c r="P47" s="1226"/>
      <c r="Q47" s="1226"/>
      <c r="R47" s="1702"/>
      <c r="S47" s="1226"/>
      <c r="T47" s="1226"/>
      <c r="U47" s="610"/>
      <c r="V47" s="1226"/>
      <c r="W47" s="1226"/>
      <c r="X47" s="1226"/>
      <c r="Y47" s="1226"/>
      <c r="Z47" s="1226"/>
      <c r="AA47" s="1698"/>
      <c r="AB47" s="632"/>
      <c r="AC47" s="632"/>
      <c r="AD47" s="632"/>
      <c r="AE47" s="632"/>
      <c r="AF47" s="1707">
        <v>11</v>
      </c>
    </row>
    <row s="4153"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4153"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4153" customFormat="1" customHeight="1" ht="11.549999999999999">
      <c r="A50" s="1053"/>
      <c r="B50" s="1702"/>
      <c r="C50" s="1702"/>
      <c r="D50" s="417"/>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4153"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4153"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4153"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4153"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4153"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4153"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4153"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4153"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4153"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4153"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4153"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4153"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4153"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4153"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4153"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4153"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4153"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4153"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4153"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4153"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4153"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4153"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4153"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4153"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4153"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4153"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4153"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4153"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4153"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4153"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4153"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4153"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4153"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4153"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4153"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4153"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4153"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4153"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4153"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4153"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4153"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4153"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4153"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4153"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4153"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4153"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4153"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4153"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4153"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4153"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4153"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4153"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4153"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4153"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4153"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4153"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4153"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4153"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4153"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4153"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4153"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4153"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4153"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4153"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4153"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4153"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4153"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4153"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4153"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4153"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4153"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4153"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4153"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4153"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4153"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4153"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4153"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4153"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4153"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4153"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4153"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4153"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4153"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4153"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4153"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4153"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4153"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4153"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4153"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4153"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4153"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4153"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4153"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4153"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4153"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4153"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4153"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4153"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4153"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4153"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4153"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4153"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4153"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4153"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4153"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4153"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4153"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4153"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4153"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4153"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4153"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4153"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4153"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4153"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4153"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4153"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4153"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4153"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4153"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4153"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4153"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4153"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4153"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4153"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4153"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4153"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4153"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4153"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4153"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4153"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4153"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4153"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4153"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4153"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4153"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4153"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4153"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4153"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4153"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4153"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4153"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4153"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4153"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4153"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4153"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customHeight="1" ht="11.549999999999999">
      <c r="AF196" s="1697">
        <v>11</v>
      </c>
    </row>
    <row customHeight="1" ht="11.549999999999999">
      <c r="AF197" s="1697">
        <v>11</v>
      </c>
    </row>
    <row customHeight="1" ht="11.549999999999999">
      <c r="AF198" s="1697">
        <v>11</v>
      </c>
    </row>
    <row customHeight="1" ht="11.549999999999999">
      <c r="A199" s="1056"/>
      <c r="B199" s="1697"/>
      <c r="D199" s="1697"/>
      <c r="K199" s="1697"/>
      <c r="N199" s="1697"/>
      <c r="O199" s="1697"/>
      <c r="P199" s="1697"/>
      <c r="Q199" s="1697"/>
      <c r="S199" s="1697"/>
      <c r="T199" s="1697"/>
      <c r="U199" s="1697"/>
      <c r="V199" s="1697"/>
      <c r="W199" s="1697"/>
      <c r="X199" s="1697"/>
      <c r="Y199" s="1697"/>
      <c r="Z199" s="1697"/>
      <c r="AA199" s="1697"/>
      <c r="AB199" s="1697"/>
      <c r="AC199" s="1697"/>
      <c r="AD199" s="1697"/>
      <c r="AE199" s="1697"/>
      <c r="AF199" s="1697">
        <v>11</v>
      </c>
    </row>
    <row customHeight="1" ht="11.549999999999999">
      <c r="A200" s="1056"/>
      <c r="B200" s="1697"/>
      <c r="D200" s="1697"/>
      <c r="K200" s="1697"/>
      <c r="N200" s="1697"/>
      <c r="O200" s="1697"/>
      <c r="P200" s="1697"/>
      <c r="Q200" s="1697"/>
      <c r="S200" s="1697"/>
      <c r="T200" s="1697"/>
      <c r="U200" s="1697"/>
      <c r="V200" s="1697"/>
      <c r="W200" s="1697"/>
      <c r="X200" s="1697"/>
      <c r="Y200" s="1697"/>
      <c r="Z200" s="1697"/>
      <c r="AA200" s="1697"/>
      <c r="AB200" s="1697"/>
      <c r="AC200" s="1697"/>
      <c r="AD200" s="1697"/>
      <c r="AE200" s="1697"/>
      <c r="AF200" s="1697">
        <v>11</v>
      </c>
    </row>
    <row customHeight="1" ht="11.549999999999999">
      <c r="A201" s="1056"/>
      <c r="B201" s="1697"/>
      <c r="D201" s="1697"/>
      <c r="K201" s="1697"/>
      <c r="N201" s="1697"/>
      <c r="O201" s="1697"/>
      <c r="P201" s="1697"/>
      <c r="Q201" s="1697"/>
      <c r="S201" s="1697"/>
      <c r="T201" s="1697"/>
      <c r="U201" s="1697"/>
      <c r="V201" s="1697"/>
      <c r="W201" s="1697"/>
      <c r="X201" s="1697"/>
      <c r="Y201" s="1697"/>
      <c r="Z201" s="1697"/>
      <c r="AA201" s="1697"/>
      <c r="AB201" s="1697"/>
      <c r="AC201" s="1697"/>
      <c r="AD201" s="1697"/>
      <c r="AE201" s="1697"/>
      <c r="AF201" s="1697">
        <v>11</v>
      </c>
    </row>
    <row customHeight="1" ht="11.549999999999999">
      <c r="A202" s="1056"/>
      <c r="B202" s="1697"/>
      <c r="D202" s="1697"/>
      <c r="K202" s="1697"/>
      <c r="N202" s="1697"/>
      <c r="O202" s="1697"/>
      <c r="P202" s="1697"/>
      <c r="Q202" s="1697"/>
      <c r="S202" s="1697"/>
      <c r="T202" s="1697"/>
      <c r="U202" s="1697"/>
      <c r="V202" s="1697"/>
      <c r="W202" s="1697"/>
      <c r="X202" s="1697"/>
      <c r="Y202" s="1697"/>
      <c r="Z202" s="1697"/>
      <c r="AA202" s="1697"/>
      <c r="AB202" s="1697"/>
      <c r="AC202" s="1697"/>
      <c r="AD202" s="1697"/>
      <c r="AE202" s="1697"/>
      <c r="AF202" s="1697">
        <v>11</v>
      </c>
    </row>
    <row customHeight="1" ht="11.549999999999999">
      <c r="A203" s="1056"/>
      <c r="B203" s="1697"/>
      <c r="D203" s="1697"/>
      <c r="K203" s="1697"/>
      <c r="N203" s="1697"/>
      <c r="O203" s="1697"/>
      <c r="P203" s="1697"/>
      <c r="Q203" s="1697"/>
      <c r="S203" s="1697"/>
      <c r="T203" s="1697"/>
      <c r="U203" s="1697"/>
      <c r="V203" s="1697"/>
      <c r="W203" s="1697"/>
      <c r="X203" s="1697"/>
      <c r="Y203" s="1697"/>
      <c r="Z203" s="1697"/>
      <c r="AA203" s="1697"/>
      <c r="AB203" s="1697"/>
      <c r="AC203" s="1697"/>
      <c r="AD203" s="1697"/>
      <c r="AE203" s="1697"/>
      <c r="AF203" s="1697">
        <v>11</v>
      </c>
    </row>
    <row customHeight="1" ht="11.549999999999999">
      <c r="A204" s="1056"/>
      <c r="B204" s="1697"/>
      <c r="D204" s="1697"/>
      <c r="K204" s="1697"/>
      <c r="N204" s="1697"/>
      <c r="O204" s="1697"/>
      <c r="P204" s="1697"/>
      <c r="Q204" s="1697"/>
      <c r="S204" s="1697"/>
      <c r="T204" s="1697"/>
      <c r="U204" s="1697"/>
      <c r="V204" s="1697"/>
      <c r="W204" s="1697"/>
      <c r="X204" s="1697"/>
      <c r="Y204" s="1697"/>
      <c r="Z204" s="1697"/>
      <c r="AA204" s="1697"/>
      <c r="AB204" s="1697"/>
      <c r="AC204" s="1697"/>
      <c r="AD204" s="1697"/>
      <c r="AE204" s="1697"/>
      <c r="AF204" s="1697">
        <v>11</v>
      </c>
    </row>
    <row customHeight="1" ht="11.549999999999999">
      <c r="A205" s="1056"/>
      <c r="B205" s="1697"/>
      <c r="D205" s="1697"/>
      <c r="K205" s="1697"/>
      <c r="N205" s="1697"/>
      <c r="O205" s="1697"/>
      <c r="P205" s="1697"/>
      <c r="Q205" s="1697"/>
      <c r="S205" s="1697"/>
      <c r="T205" s="1697"/>
      <c r="U205" s="1697"/>
      <c r="V205" s="1697"/>
      <c r="W205" s="1697"/>
      <c r="X205" s="1697"/>
      <c r="Y205" s="1697"/>
      <c r="Z205" s="1697"/>
      <c r="AA205" s="1697"/>
      <c r="AB205" s="1697"/>
      <c r="AC205" s="1697"/>
      <c r="AD205" s="1697"/>
      <c r="AE205" s="1697"/>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25" hidden="1">
      <c r="A210" s="1053" t="s">
        <v>87</v>
      </c>
      <c r="B210" s="1226">
        <v>0</v>
      </c>
      <c r="C210" s="1702">
        <v>0</v>
      </c>
      <c r="D210" s="1701">
        <v>3</v>
      </c>
      <c r="E210" s="1697">
        <v>7</v>
      </c>
      <c r="F210" s="1697">
        <v>54</v>
      </c>
      <c r="G210" s="1697">
        <v>10</v>
      </c>
      <c r="H210" s="1697">
        <v>0</v>
      </c>
      <c r="I210" s="1697">
        <v>40</v>
      </c>
      <c r="J210" s="1697">
        <v>102</v>
      </c>
      <c r="K210" s="1226">
        <v>9</v>
      </c>
      <c r="L210" s="1702">
        <v>5</v>
      </c>
      <c r="M210" s="1702">
        <v>3</v>
      </c>
      <c r="N210" s="1226">
        <v>3</v>
      </c>
      <c r="O210" s="1226">
        <v>3</v>
      </c>
      <c r="P210" s="1226">
        <v>3</v>
      </c>
      <c r="Q210" s="1226">
        <v>3</v>
      </c>
      <c r="R210" s="1702">
        <v>10</v>
      </c>
      <c r="S210" s="1226">
        <v>34</v>
      </c>
      <c r="T210" s="1226">
        <v>9</v>
      </c>
      <c r="U210" s="610">
        <v>8</v>
      </c>
      <c r="V210" s="1226">
        <v>8</v>
      </c>
      <c r="W210" s="1226">
        <v>8</v>
      </c>
      <c r="X210" s="1226">
        <v>8</v>
      </c>
      <c r="Y210" s="1226">
        <v>8</v>
      </c>
      <c r="Z210" s="1226">
        <v>8</v>
      </c>
      <c r="AA210" s="1698">
        <v>8</v>
      </c>
      <c r="AB210" s="1698">
        <v>8</v>
      </c>
      <c r="AC210" s="1698">
        <v>8</v>
      </c>
      <c r="AD210" s="1698">
        <v>8</v>
      </c>
      <c r="AE210" s="1698">
        <v>8</v>
      </c>
      <c r="AF210" s="169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386B6-A6E4-C74A-A20D-5B8B0F34458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797" width="9.140625" hidden="1" customWidth="1"/>
    <col min="2" max="2" style="4562" width="3.57421875" hidden="1" customWidth="1"/>
    <col min="3" max="3" style="5053" width="3.00390625" customWidth="1"/>
    <col min="4" max="4" style="5053" width="7.00390625" customWidth="1"/>
    <col min="5" max="5" style="5053" width="69.00390625" customWidth="1"/>
    <col min="6" max="6" style="5053" width="10.00390625" customWidth="1"/>
    <col min="7" max="8" style="5053" width="44.00390625" hidden="1" customWidth="1"/>
    <col min="9" max="9" style="5053" width="44.00390625" customWidth="1"/>
    <col min="10" max="10" style="5053" width="43.00390625" customWidth="1"/>
    <col min="11" max="11" style="5053" width="73.00390625" customWidth="1"/>
    <col min="12" max="12" style="5053" width="3.00390625" customWidth="1"/>
    <col min="13" max="23" style="5053" width="10.00390625" customWidth="1"/>
    <col min="24" max="24" style="5053" width="10.57421875" hidden="1"/>
  </cols>
  <sheetData>
    <row s="5002" customFormat="1" customHeight="1" ht="22.5" hidden="1">
      <c r="A1" s="602"/>
      <c r="B1" s="577"/>
      <c r="G1" s="483">
        <v>4</v>
      </c>
      <c r="I1" s="483">
        <v>4</v>
      </c>
      <c r="K1" s="483">
        <v>5</v>
      </c>
      <c r="X1" s="483" t="s">
        <v>14</v>
      </c>
    </row>
    <row customHeight="1" ht="3">
      <c r="X2" s="571">
        <v>3</v>
      </c>
    </row>
    <row customHeight="1" ht="78.75">
      <c r="D3" s="230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5"/>
      <c r="F3" s="2306"/>
      <c r="X3" s="571">
        <v>75</v>
      </c>
    </row>
    <row s="5053" customFormat="1" customHeight="1" ht="21">
      <c r="A4" s="1017"/>
      <c r="B4" s="577"/>
      <c r="D4" s="2280" t="str">
        <f>IF(org=0,"Не определено",org)</f>
        <v>Филиал "Уренгойская ГРЭС" АО "Интер РАО - Электрогенерация"</v>
      </c>
      <c r="E4" s="2281"/>
      <c r="F4" s="2282"/>
      <c r="X4" s="824">
        <v>20</v>
      </c>
    </row>
    <row customHeight="1" ht="11.549999999999999">
      <c r="C5" s="575"/>
      <c r="D5" s="654"/>
      <c r="E5" s="654"/>
      <c r="F5" s="654"/>
      <c r="G5" s="654"/>
      <c r="H5" s="818"/>
      <c r="I5" s="654"/>
      <c r="J5" s="818"/>
      <c r="K5" s="654"/>
      <c r="X5" s="571">
        <v>11</v>
      </c>
    </row>
    <row customHeight="1" ht="1.05">
      <c r="C6" s="575"/>
      <c r="D6" s="575"/>
      <c r="E6" s="588"/>
      <c r="F6" s="680"/>
      <c r="G6" s="1088"/>
      <c r="H6" s="1088"/>
      <c r="I6" s="1088" t="s">
        <v>122</v>
      </c>
      <c r="J6" s="1088"/>
      <c r="X6" s="571">
        <v>1</v>
      </c>
    </row>
    <row customHeight="1" ht="11.549999999999999">
      <c r="D7" s="777"/>
      <c r="E7" s="2433" t="s">
        <v>110</v>
      </c>
      <c r="F7" s="2434"/>
      <c r="G7" s="2459" t="str">
        <f>IF(G6="","",INDEX(DIFFERENTIATION_UNMERGE_VD,MATCH(G6,DIFFERENTIATION_ID_DIFF,0)))</f>
        <v/>
      </c>
      <c r="H7" s="2460"/>
      <c r="I7" s="2459">
        <f>IF(I6="","",INDEX(DIFFERENTIATION_UNMERGE_VD,MATCH(I6,DIFFERENTIATION_ID_DIFF,0)))</f>
        <v>0</v>
      </c>
      <c r="J7" s="2460"/>
      <c r="K7" s="2241"/>
      <c r="L7" s="575"/>
      <c r="X7" s="571">
        <v>11</v>
      </c>
    </row>
    <row customHeight="1" ht="11.549999999999999">
      <c r="A8" s="770"/>
      <c r="D8" s="777"/>
      <c r="E8" s="2433" t="s">
        <v>573</v>
      </c>
      <c r="F8" s="2434"/>
      <c r="G8" s="2459" t="str">
        <f>IF(G6="","",INDEX(DIFFERENTIATION_UNMERGE_AREA,MATCH(G6,DIFFERENTIATION_ID_DIFF,0)))</f>
        <v/>
      </c>
      <c r="H8" s="2460"/>
      <c r="I8" s="2459" t="str">
        <f>IF(I6="","",INDEX(DIFFERENTIATION_UNMERGE_AREA,MATCH(I6,DIFFERENTIATION_ID_DIFF,0)))</f>
        <v/>
      </c>
      <c r="J8" s="2460"/>
      <c r="K8" s="2265"/>
      <c r="L8" s="575"/>
      <c r="X8" s="571">
        <v>11</v>
      </c>
    </row>
    <row customHeight="1" ht="11.549999999999999">
      <c r="A9" s="770"/>
      <c r="D9" s="777"/>
      <c r="E9" s="2433" t="s">
        <v>574</v>
      </c>
      <c r="F9" s="2434"/>
      <c r="G9" s="2459" t="str">
        <f>IF(G6="","",INDEX(DIFFERENTIATION_UNMERGE_SYSTEM,MATCH(G6,DIFFERENTIATION_ID_DIFF,0)))</f>
        <v/>
      </c>
      <c r="H9" s="2460"/>
      <c r="I9" s="2459" t="str">
        <f>IF(I6="","",INDEX(DIFFERENTIATION_UNMERGE_SYSTEM,MATCH(I6,DIFFERENTIATION_ID_DIFF,0)))</f>
        <v>без дифференциации</v>
      </c>
      <c r="J9" s="2460"/>
      <c r="K9" s="2265"/>
      <c r="L9" s="575"/>
      <c r="X9" s="571">
        <v>11</v>
      </c>
    </row>
    <row s="5053" customFormat="1" customHeight="1" ht="11.549999999999999">
      <c r="A10" s="1087"/>
      <c r="B10" s="577"/>
      <c r="D10" s="2167" t="s">
        <v>309</v>
      </c>
      <c r="E10" s="2168"/>
      <c r="F10" s="2168"/>
      <c r="G10" s="2168"/>
      <c r="H10" s="2168"/>
      <c r="I10" s="2168"/>
      <c r="J10" s="2169"/>
      <c r="K10" s="2265"/>
      <c r="L10" s="575"/>
      <c r="X10" s="824">
        <v>11</v>
      </c>
    </row>
    <row s="5053" customFormat="1" customHeight="1" ht="24">
      <c r="A11" s="2451"/>
      <c r="B11" s="2451"/>
      <c r="C11" s="723"/>
      <c r="D11" s="769" t="s">
        <v>93</v>
      </c>
      <c r="E11" s="771" t="s">
        <v>815</v>
      </c>
      <c r="F11" s="771" t="s">
        <v>575</v>
      </c>
      <c r="G11" s="531" t="s">
        <v>312</v>
      </c>
      <c r="H11" s="531" t="s">
        <v>399</v>
      </c>
      <c r="I11" s="873" t="s">
        <v>312</v>
      </c>
      <c r="J11" s="874" t="s">
        <v>399</v>
      </c>
      <c r="K11" s="2298"/>
      <c r="L11" s="724"/>
      <c r="X11" s="575">
        <v>23</v>
      </c>
    </row>
    <row s="4562" customFormat="1" customHeight="1" ht="10.5">
      <c r="A12" s="1018"/>
      <c r="D12" s="1091" t="s">
        <v>114</v>
      </c>
      <c r="E12" s="1091" t="s">
        <v>115</v>
      </c>
      <c r="F12" s="1091" t="s">
        <v>95</v>
      </c>
      <c r="G12" s="1092" t="str">
        <f>G1&amp;".1"</f>
        <v>4.1</v>
      </c>
      <c r="H12" s="1092" t="str">
        <f>G1&amp;".2"</f>
        <v>4.2</v>
      </c>
      <c r="I12" s="1092" t="str">
        <f>I1&amp;".1"</f>
        <v>4.1</v>
      </c>
      <c r="J12" s="1092" t="str">
        <f>I1&amp;".2"</f>
        <v>4.2</v>
      </c>
      <c r="K12" s="1092"/>
      <c r="X12" s="577">
        <v>10</v>
      </c>
    </row>
    <row customHeight="1" ht="22.5">
      <c r="A13" s="2458" t="s">
        <v>816</v>
      </c>
      <c r="D13" s="1019" t="s">
        <v>114</v>
      </c>
      <c r="E13" s="345" t="s">
        <v>817</v>
      </c>
      <c r="F13" s="726" t="s">
        <v>818</v>
      </c>
      <c r="G13" s="623"/>
      <c r="H13" s="727"/>
      <c r="I13" s="623"/>
      <c r="J13" s="727"/>
      <c r="K13" s="355" t="s">
        <v>819</v>
      </c>
      <c r="L13" s="786"/>
      <c r="X13" s="571">
        <v>0</v>
      </c>
    </row>
    <row customHeight="1" ht="22.5">
      <c r="A14" s="2458"/>
      <c r="D14" s="605" t="s">
        <v>115</v>
      </c>
      <c r="E14" s="345" t="s">
        <v>820</v>
      </c>
      <c r="F14" s="726" t="s">
        <v>821</v>
      </c>
      <c r="G14" s="623"/>
      <c r="H14" s="728"/>
      <c r="I14" s="623"/>
      <c r="J14" s="728"/>
      <c r="K14" s="355" t="s">
        <v>822</v>
      </c>
      <c r="L14" s="786"/>
      <c r="X14" s="571">
        <v>0</v>
      </c>
    </row>
    <row s="5053" customFormat="1" customHeight="1" ht="78.75">
      <c r="A15" s="2458"/>
      <c r="B15" s="577"/>
      <c r="D15" s="1019" t="s">
        <v>95</v>
      </c>
      <c r="E15" s="773" t="s">
        <v>823</v>
      </c>
      <c r="F15" s="1016" t="s">
        <v>315</v>
      </c>
      <c r="G15" s="1016" t="s">
        <v>315</v>
      </c>
      <c r="H15" s="172"/>
      <c r="I15" s="1016" t="s">
        <v>315</v>
      </c>
      <c r="J15" s="172"/>
      <c r="K15" s="355" t="s">
        <v>824</v>
      </c>
      <c r="L15" s="786"/>
      <c r="X15" s="824">
        <v>0</v>
      </c>
    </row>
    <row s="5053" customFormat="1" customHeight="1" ht="22.5">
      <c r="A16" s="2458"/>
      <c r="B16" s="577"/>
      <c r="D16" s="1019" t="s">
        <v>333</v>
      </c>
      <c r="E16" s="1020" t="s">
        <v>825</v>
      </c>
      <c r="F16" s="1016" t="s">
        <v>826</v>
      </c>
      <c r="G16" s="883"/>
      <c r="H16" s="172"/>
      <c r="I16" s="883"/>
      <c r="J16" s="172"/>
      <c r="K16" s="355"/>
      <c r="L16" s="786"/>
      <c r="X16" s="824">
        <v>0</v>
      </c>
    </row>
    <row s="5053" customFormat="1" customHeight="1" ht="22.5">
      <c r="A17" s="2458"/>
      <c r="B17" s="577"/>
      <c r="D17" s="1019" t="s">
        <v>341</v>
      </c>
      <c r="E17" s="1020" t="s">
        <v>827</v>
      </c>
      <c r="F17" s="1016" t="s">
        <v>828</v>
      </c>
      <c r="G17" s="883"/>
      <c r="H17" s="172"/>
      <c r="I17" s="883"/>
      <c r="J17" s="172"/>
      <c r="K17" s="355"/>
      <c r="L17" s="786"/>
      <c r="X17" s="824">
        <v>0</v>
      </c>
    </row>
    <row s="5053" customFormat="1" customHeight="1" ht="33.75">
      <c r="A18" s="2458"/>
      <c r="B18" s="577"/>
      <c r="D18" s="1019" t="s">
        <v>343</v>
      </c>
      <c r="E18" s="1020" t="s">
        <v>829</v>
      </c>
      <c r="F18" s="1016" t="s">
        <v>580</v>
      </c>
      <c r="G18" s="746"/>
      <c r="H18" s="172"/>
      <c r="I18" s="746"/>
      <c r="J18" s="172"/>
      <c r="K18" s="355"/>
      <c r="L18" s="786"/>
      <c r="X18" s="824">
        <v>0</v>
      </c>
    </row>
    <row customHeight="1" ht="101.25">
      <c r="A19" s="2458"/>
      <c r="D19" s="1019" t="s">
        <v>96</v>
      </c>
      <c r="E19" s="345" t="s">
        <v>830</v>
      </c>
      <c r="F19" s="726" t="s">
        <v>555</v>
      </c>
      <c r="G19" s="729"/>
      <c r="H19" s="728"/>
      <c r="I19" s="1021"/>
      <c r="J19" s="728"/>
      <c r="K19" s="355" t="s">
        <v>831</v>
      </c>
      <c r="L19" s="786"/>
      <c r="X19" s="571">
        <v>0</v>
      </c>
    </row>
    <row s="5053" customFormat="1" customHeight="1" ht="18.75">
      <c r="A20" s="2458"/>
      <c r="C20" s="1022"/>
      <c r="D20" s="1019" t="s">
        <v>762</v>
      </c>
      <c r="E20" s="1020" t="s">
        <v>832</v>
      </c>
      <c r="F20" s="1016" t="s">
        <v>315</v>
      </c>
      <c r="G20" s="1016" t="s">
        <v>315</v>
      </c>
      <c r="H20" s="1015" t="s">
        <v>315</v>
      </c>
      <c r="I20" s="1016" t="s">
        <v>315</v>
      </c>
      <c r="J20" s="1015" t="s">
        <v>315</v>
      </c>
      <c r="K20" s="1014"/>
      <c r="L20" s="786"/>
      <c r="W20" s="741"/>
      <c r="X20" s="824">
        <v>0</v>
      </c>
    </row>
    <row s="5053" customFormat="1" customHeight="1" ht="33.75">
      <c r="A21" s="2458"/>
      <c r="C21" s="1022"/>
      <c r="D21" s="1019" t="s">
        <v>765</v>
      </c>
      <c r="E21" s="642" t="s">
        <v>833</v>
      </c>
      <c r="F21" s="1016" t="s">
        <v>834</v>
      </c>
      <c r="G21" s="746"/>
      <c r="H21" s="172"/>
      <c r="I21" s="746"/>
      <c r="J21" s="172"/>
      <c r="K21" s="1014"/>
      <c r="L21" s="786"/>
      <c r="W21" s="741"/>
      <c r="X21" s="824">
        <v>0</v>
      </c>
    </row>
    <row s="5053" customFormat="1" customHeight="1" ht="33.75">
      <c r="A22" s="2458"/>
      <c r="C22" s="1022"/>
      <c r="D22" s="1019" t="s">
        <v>768</v>
      </c>
      <c r="E22" s="642" t="s">
        <v>835</v>
      </c>
      <c r="F22" s="1016" t="s">
        <v>836</v>
      </c>
      <c r="G22" s="746"/>
      <c r="H22" s="172"/>
      <c r="I22" s="746"/>
      <c r="J22" s="172"/>
      <c r="K22" s="1014"/>
      <c r="L22" s="786"/>
      <c r="W22" s="741"/>
      <c r="X22" s="824">
        <v>0</v>
      </c>
    </row>
    <row s="5053" customFormat="1" customHeight="1" ht="22.5">
      <c r="A23" s="2458"/>
      <c r="C23" s="1022"/>
      <c r="D23" s="1019" t="s">
        <v>804</v>
      </c>
      <c r="E23" s="1020" t="s">
        <v>837</v>
      </c>
      <c r="F23" s="1016" t="s">
        <v>315</v>
      </c>
      <c r="G23" s="1016" t="s">
        <v>315</v>
      </c>
      <c r="H23" s="1015" t="s">
        <v>315</v>
      </c>
      <c r="I23" s="1016" t="s">
        <v>315</v>
      </c>
      <c r="J23" s="1015" t="s">
        <v>315</v>
      </c>
      <c r="K23" s="1014"/>
      <c r="L23" s="786"/>
      <c r="W23" s="741"/>
      <c r="X23" s="824">
        <v>0</v>
      </c>
    </row>
    <row s="5053" customFormat="1" customHeight="1" ht="22.5">
      <c r="A24" s="2458"/>
      <c r="C24" s="1022"/>
      <c r="D24" s="1019" t="s">
        <v>838</v>
      </c>
      <c r="E24" s="642" t="s">
        <v>839</v>
      </c>
      <c r="F24" s="1016" t="s">
        <v>840</v>
      </c>
      <c r="G24" s="746"/>
      <c r="H24" s="752"/>
      <c r="I24" s="746"/>
      <c r="J24" s="752"/>
      <c r="K24" s="1014"/>
      <c r="L24" s="786"/>
      <c r="W24" s="741"/>
      <c r="X24" s="824">
        <v>0</v>
      </c>
    </row>
    <row s="5053" customFormat="1" customHeight="1" ht="22.5">
      <c r="A25" s="2458"/>
      <c r="C25" s="1022"/>
      <c r="D25" s="1019" t="s">
        <v>841</v>
      </c>
      <c r="E25" s="642" t="s">
        <v>842</v>
      </c>
      <c r="F25" s="1016" t="s">
        <v>315</v>
      </c>
      <c r="G25" s="1016" t="s">
        <v>315</v>
      </c>
      <c r="H25" s="1015" t="s">
        <v>315</v>
      </c>
      <c r="I25" s="1016" t="s">
        <v>315</v>
      </c>
      <c r="J25" s="1015" t="s">
        <v>315</v>
      </c>
      <c r="K25" s="1014"/>
      <c r="L25" s="786"/>
      <c r="W25" s="741"/>
      <c r="X25" s="824">
        <v>0</v>
      </c>
    </row>
    <row s="5053" customFormat="1" customHeight="1" ht="18.75">
      <c r="A26" s="2458"/>
      <c r="C26" s="1022"/>
      <c r="D26" s="1019" t="s">
        <v>843</v>
      </c>
      <c r="E26" s="619" t="s">
        <v>844</v>
      </c>
      <c r="F26" s="1016" t="s">
        <v>845</v>
      </c>
      <c r="G26" s="746"/>
      <c r="H26" s="752"/>
      <c r="I26" s="746"/>
      <c r="J26" s="752"/>
      <c r="K26" s="1014"/>
      <c r="L26" s="786"/>
      <c r="W26" s="741"/>
      <c r="X26" s="824">
        <v>0</v>
      </c>
    </row>
    <row s="5053" customFormat="1" customHeight="1" ht="18.75">
      <c r="A27" s="2458"/>
      <c r="C27" s="1022"/>
      <c r="D27" s="1019" t="s">
        <v>846</v>
      </c>
      <c r="E27" s="619" t="s">
        <v>847</v>
      </c>
      <c r="F27" s="1016" t="s">
        <v>848</v>
      </c>
      <c r="G27" s="746"/>
      <c r="H27" s="752"/>
      <c r="I27" s="746"/>
      <c r="J27" s="752"/>
      <c r="K27" s="1014"/>
      <c r="L27" s="786"/>
      <c r="W27" s="741"/>
      <c r="X27" s="824">
        <v>0</v>
      </c>
    </row>
    <row s="5053" customFormat="1" customHeight="1" ht="18.75">
      <c r="A28" s="2458"/>
      <c r="C28" s="1022"/>
      <c r="D28" s="1019" t="s">
        <v>849</v>
      </c>
      <c r="E28" s="642" t="s">
        <v>850</v>
      </c>
      <c r="F28" s="1016" t="s">
        <v>315</v>
      </c>
      <c r="G28" s="1016" t="s">
        <v>315</v>
      </c>
      <c r="H28" s="1015" t="s">
        <v>315</v>
      </c>
      <c r="I28" s="1016" t="s">
        <v>315</v>
      </c>
      <c r="J28" s="1015" t="s">
        <v>315</v>
      </c>
      <c r="K28" s="1014"/>
      <c r="L28" s="786"/>
      <c r="W28" s="741"/>
      <c r="X28" s="824">
        <v>0</v>
      </c>
    </row>
    <row s="5053" customFormat="1" customHeight="1" ht="18.75">
      <c r="A29" s="2458"/>
      <c r="C29" s="1022"/>
      <c r="D29" s="1019" t="s">
        <v>851</v>
      </c>
      <c r="E29" s="619" t="s">
        <v>844</v>
      </c>
      <c r="F29" s="1016" t="s">
        <v>852</v>
      </c>
      <c r="G29" s="746"/>
      <c r="H29" s="752"/>
      <c r="I29" s="746"/>
      <c r="J29" s="752"/>
      <c r="K29" s="1014"/>
      <c r="L29" s="786"/>
      <c r="W29" s="741"/>
      <c r="X29" s="824">
        <v>0</v>
      </c>
    </row>
    <row s="5053" customFormat="1" customHeight="1" ht="18.75">
      <c r="A30" s="2458"/>
      <c r="C30" s="1022"/>
      <c r="D30" s="1019" t="s">
        <v>853</v>
      </c>
      <c r="E30" s="619" t="s">
        <v>854</v>
      </c>
      <c r="F30" s="1016" t="s">
        <v>855</v>
      </c>
      <c r="G30" s="746"/>
      <c r="H30" s="752"/>
      <c r="I30" s="746"/>
      <c r="J30" s="752"/>
      <c r="K30" s="1014"/>
      <c r="L30" s="786"/>
      <c r="W30" s="741"/>
      <c r="X30" s="824">
        <v>0</v>
      </c>
    </row>
    <row customHeight="1" ht="126.75">
      <c r="A31" s="2458"/>
      <c r="D31" s="1019" t="s">
        <v>116</v>
      </c>
      <c r="E31" s="345" t="s">
        <v>856</v>
      </c>
      <c r="F31" s="726" t="s">
        <v>567</v>
      </c>
      <c r="G31" s="623"/>
      <c r="H31" s="728"/>
      <c r="I31" s="623"/>
      <c r="J31" s="728"/>
      <c r="K31" s="355" t="s">
        <v>857</v>
      </c>
      <c r="L31" s="786"/>
      <c r="X31" s="571">
        <v>0</v>
      </c>
    </row>
    <row customHeight="1" ht="56.25">
      <c r="A32" s="2458"/>
      <c r="D32" s="1019" t="s">
        <v>97</v>
      </c>
      <c r="E32" s="345" t="s">
        <v>858</v>
      </c>
      <c r="F32" s="605" t="s">
        <v>828</v>
      </c>
      <c r="G32" s="623"/>
      <c r="H32" s="728"/>
      <c r="I32" s="623"/>
      <c r="J32" s="728"/>
      <c r="K32" s="355" t="s">
        <v>859</v>
      </c>
      <c r="L32" s="786"/>
      <c r="X32" s="571">
        <v>0</v>
      </c>
    </row>
    <row customHeight="1" ht="11.25">
      <c r="A33" s="2458"/>
      <c r="E33" s="730"/>
      <c r="F33" s="247"/>
      <c r="G33" s="247"/>
      <c r="H33" s="247"/>
      <c r="I33" s="247"/>
      <c r="J33" s="247"/>
      <c r="K33" s="247"/>
      <c r="X33" s="571">
        <v>0</v>
      </c>
    </row>
    <row customHeight="1" ht="12.75">
      <c r="A34" s="2458"/>
      <c r="D34" s="131">
        <v>1</v>
      </c>
      <c r="E34" s="401" t="s">
        <v>860</v>
      </c>
      <c r="X34" s="571">
        <v>0</v>
      </c>
    </row>
    <row customHeight="1" ht="11.25">
      <c r="A35" s="2458"/>
      <c r="D35" s="435"/>
      <c r="E35" s="401" t="s">
        <v>861</v>
      </c>
      <c r="X35" s="571">
        <v>0</v>
      </c>
    </row>
    <row s="5053" customFormat="1" customHeight="1" ht="11.549999999999999">
      <c r="A36" s="1099"/>
      <c r="B36" s="584"/>
      <c r="D36" s="1100"/>
      <c r="E36" s="1101"/>
      <c r="X36" s="575">
        <v>11</v>
      </c>
    </row>
    <row s="5053" customFormat="1" customHeight="1" ht="22.5" hidden="1">
      <c r="A37" s="2458" t="s">
        <v>862</v>
      </c>
      <c r="B37" s="577"/>
      <c r="D37" s="1019">
        <v>1</v>
      </c>
      <c r="E37" s="773" t="s">
        <v>863</v>
      </c>
      <c r="F37" s="726" t="s">
        <v>818</v>
      </c>
      <c r="G37" s="623"/>
      <c r="H37" s="585"/>
      <c r="I37" s="623"/>
      <c r="J37" s="585"/>
      <c r="K37" s="355" t="s">
        <v>864</v>
      </c>
      <c r="X37" s="824">
        <v>0</v>
      </c>
    </row>
    <row s="5053" customFormat="1" customHeight="1" ht="22.5" hidden="1">
      <c r="A38" s="2458"/>
      <c r="B38" s="577"/>
      <c r="D38" s="735" t="s">
        <v>115</v>
      </c>
      <c r="E38" s="1098" t="s">
        <v>865</v>
      </c>
      <c r="F38" s="1102" t="s">
        <v>555</v>
      </c>
      <c r="G38" s="1102" t="s">
        <v>555</v>
      </c>
      <c r="H38" s="1096"/>
      <c r="I38" s="1102" t="s">
        <v>555</v>
      </c>
      <c r="J38" s="1096"/>
      <c r="K38" s="1097"/>
      <c r="X38" s="824">
        <v>0</v>
      </c>
    </row>
    <row s="5053" customFormat="1" customHeight="1" ht="33.75" hidden="1">
      <c r="A39" s="2458"/>
      <c r="B39" s="577"/>
      <c r="D39" s="731" t="s">
        <v>720</v>
      </c>
      <c r="E39" s="789" t="s">
        <v>866</v>
      </c>
      <c r="F39" s="726" t="s">
        <v>867</v>
      </c>
      <c r="G39" s="734"/>
      <c r="H39" s="1089"/>
      <c r="I39" s="734"/>
      <c r="J39" s="1089"/>
      <c r="K39" s="355" t="s">
        <v>868</v>
      </c>
      <c r="X39" s="824">
        <v>0</v>
      </c>
    </row>
    <row s="5053" customFormat="1" customHeight="1" ht="33.75" hidden="1">
      <c r="A40" s="2458"/>
      <c r="B40" s="577"/>
      <c r="D40" s="731" t="s">
        <v>723</v>
      </c>
      <c r="E40" s="789" t="s">
        <v>869</v>
      </c>
      <c r="F40" s="1093" t="s">
        <v>870</v>
      </c>
      <c r="G40" s="807"/>
      <c r="H40" s="1089"/>
      <c r="I40" s="807"/>
      <c r="J40" s="1089"/>
      <c r="K40" s="355" t="s">
        <v>871</v>
      </c>
      <c r="X40" s="824">
        <v>0</v>
      </c>
    </row>
    <row s="5053" customFormat="1" customHeight="1" ht="22.5" hidden="1">
      <c r="A41" s="2458"/>
      <c r="B41" s="577"/>
      <c r="D41" s="731" t="s">
        <v>95</v>
      </c>
      <c r="E41" s="788" t="s">
        <v>872</v>
      </c>
      <c r="F41" s="726" t="s">
        <v>555</v>
      </c>
      <c r="G41" s="726" t="s">
        <v>555</v>
      </c>
      <c r="H41" s="1090"/>
      <c r="I41" s="726" t="s">
        <v>555</v>
      </c>
      <c r="J41" s="1090"/>
      <c r="K41" s="368"/>
      <c r="X41" s="824">
        <v>0</v>
      </c>
    </row>
    <row s="5053" customFormat="1" customHeight="1" ht="45" hidden="1">
      <c r="A42" s="2458"/>
      <c r="B42" s="577"/>
      <c r="D42" s="731" t="s">
        <v>333</v>
      </c>
      <c r="E42" s="789" t="s">
        <v>873</v>
      </c>
      <c r="F42" s="726" t="s">
        <v>567</v>
      </c>
      <c r="G42" s="623"/>
      <c r="H42" s="1090"/>
      <c r="I42" s="623"/>
      <c r="J42" s="1090"/>
      <c r="K42" s="368" t="s">
        <v>874</v>
      </c>
      <c r="X42" s="824">
        <v>0</v>
      </c>
    </row>
    <row s="5053" customFormat="1" customHeight="1" ht="45" hidden="1">
      <c r="A43" s="2458"/>
      <c r="B43" s="577"/>
      <c r="D43" s="731" t="s">
        <v>341</v>
      </c>
      <c r="E43" s="733" t="s">
        <v>875</v>
      </c>
      <c r="F43" s="1094" t="s">
        <v>567</v>
      </c>
      <c r="G43" s="808"/>
      <c r="H43" s="1089"/>
      <c r="I43" s="808"/>
      <c r="J43" s="1089"/>
      <c r="K43" s="368" t="s">
        <v>876</v>
      </c>
      <c r="X43" s="824">
        <v>0</v>
      </c>
    </row>
    <row s="5053" customFormat="1" customHeight="1" ht="11.25" hidden="1">
      <c r="A44" s="2458"/>
      <c r="B44" s="577"/>
      <c r="D44" s="731" t="s">
        <v>96</v>
      </c>
      <c r="E44" s="732" t="s">
        <v>877</v>
      </c>
      <c r="F44" s="726" t="s">
        <v>867</v>
      </c>
      <c r="G44" s="734"/>
      <c r="H44" s="1089"/>
      <c r="I44" s="734"/>
      <c r="J44" s="1089"/>
      <c r="K44" s="355"/>
      <c r="X44" s="824">
        <v>0</v>
      </c>
    </row>
    <row s="5053" customFormat="1" customHeight="1" ht="11.25" hidden="1">
      <c r="A45" s="2458"/>
      <c r="B45" s="577"/>
      <c r="D45" s="731" t="s">
        <v>762</v>
      </c>
      <c r="E45" s="733" t="s">
        <v>878</v>
      </c>
      <c r="F45" s="726" t="s">
        <v>867</v>
      </c>
      <c r="G45" s="734"/>
      <c r="H45" s="1089"/>
      <c r="I45" s="734"/>
      <c r="J45" s="1089"/>
      <c r="K45" s="355"/>
      <c r="X45" s="824">
        <v>0</v>
      </c>
    </row>
    <row s="5053" customFormat="1" customHeight="1" ht="11.25" hidden="1">
      <c r="A46" s="2458"/>
      <c r="B46" s="577"/>
      <c r="D46" s="731" t="s">
        <v>804</v>
      </c>
      <c r="E46" s="733" t="s">
        <v>879</v>
      </c>
      <c r="F46" s="726" t="s">
        <v>867</v>
      </c>
      <c r="G46" s="734"/>
      <c r="H46" s="1089"/>
      <c r="I46" s="734"/>
      <c r="J46" s="1089"/>
      <c r="K46" s="355"/>
      <c r="X46" s="824">
        <v>0</v>
      </c>
    </row>
    <row s="5053" customFormat="1" customHeight="1" ht="11.25" hidden="1">
      <c r="A47" s="2458"/>
      <c r="B47" s="577"/>
      <c r="D47" s="731" t="s">
        <v>807</v>
      </c>
      <c r="E47" s="733" t="s">
        <v>880</v>
      </c>
      <c r="F47" s="726" t="s">
        <v>867</v>
      </c>
      <c r="G47" s="734"/>
      <c r="H47" s="1089"/>
      <c r="I47" s="734"/>
      <c r="J47" s="1089"/>
      <c r="K47" s="355"/>
      <c r="X47" s="824">
        <v>0</v>
      </c>
    </row>
    <row s="5053" customFormat="1" customHeight="1" ht="11.25" hidden="1">
      <c r="A48" s="2458"/>
      <c r="B48" s="577"/>
      <c r="D48" s="731" t="s">
        <v>881</v>
      </c>
      <c r="E48" s="737" t="s">
        <v>882</v>
      </c>
      <c r="F48" s="726" t="s">
        <v>867</v>
      </c>
      <c r="G48" s="734"/>
      <c r="H48" s="1089"/>
      <c r="I48" s="734"/>
      <c r="J48" s="1089"/>
      <c r="K48" s="355"/>
      <c r="X48" s="824">
        <v>0</v>
      </c>
    </row>
    <row s="5053" customFormat="1" customHeight="1" ht="11.25" hidden="1">
      <c r="A49" s="2458"/>
      <c r="B49" s="577"/>
      <c r="D49" s="731" t="s">
        <v>883</v>
      </c>
      <c r="E49" s="737" t="s">
        <v>884</v>
      </c>
      <c r="F49" s="726" t="s">
        <v>867</v>
      </c>
      <c r="G49" s="734"/>
      <c r="H49" s="1089"/>
      <c r="I49" s="734"/>
      <c r="J49" s="1089"/>
      <c r="K49" s="355"/>
      <c r="X49" s="824">
        <v>0</v>
      </c>
    </row>
    <row s="5053" customFormat="1" customHeight="1" ht="11.25" hidden="1">
      <c r="A50" s="2458"/>
      <c r="B50" s="577"/>
      <c r="D50" s="731" t="s">
        <v>885</v>
      </c>
      <c r="E50" s="733" t="s">
        <v>886</v>
      </c>
      <c r="F50" s="726" t="s">
        <v>867</v>
      </c>
      <c r="G50" s="734"/>
      <c r="H50" s="1089"/>
      <c r="I50" s="734"/>
      <c r="J50" s="1089"/>
      <c r="K50" s="355"/>
      <c r="X50" s="824">
        <v>0</v>
      </c>
    </row>
    <row s="5053" customFormat="1" customHeight="1" ht="11.25" hidden="1">
      <c r="A51" s="2458"/>
      <c r="B51" s="577"/>
      <c r="D51" s="731" t="s">
        <v>887</v>
      </c>
      <c r="E51" s="733" t="s">
        <v>888</v>
      </c>
      <c r="F51" s="726" t="s">
        <v>867</v>
      </c>
      <c r="G51" s="734"/>
      <c r="H51" s="1089"/>
      <c r="I51" s="734"/>
      <c r="J51" s="1089"/>
      <c r="K51" s="355"/>
      <c r="X51" s="824">
        <v>0</v>
      </c>
    </row>
    <row s="5053" customFormat="1" customHeight="1" ht="45" hidden="1">
      <c r="A52" s="2458"/>
      <c r="B52" s="577"/>
      <c r="D52" s="731" t="s">
        <v>116</v>
      </c>
      <c r="E52" s="732" t="s">
        <v>889</v>
      </c>
      <c r="F52" s="726" t="s">
        <v>867</v>
      </c>
      <c r="G52" s="734"/>
      <c r="H52" s="1089"/>
      <c r="I52" s="734"/>
      <c r="J52" s="1089"/>
      <c r="K52" s="355"/>
      <c r="X52" s="824">
        <v>0</v>
      </c>
    </row>
    <row s="5053" customFormat="1" customHeight="1" ht="11.25" hidden="1">
      <c r="A53" s="2458"/>
      <c r="B53" s="577"/>
      <c r="D53" s="731" t="s">
        <v>322</v>
      </c>
      <c r="E53" s="733" t="s">
        <v>878</v>
      </c>
      <c r="F53" s="726" t="s">
        <v>867</v>
      </c>
      <c r="G53" s="734"/>
      <c r="H53" s="1089"/>
      <c r="I53" s="734"/>
      <c r="J53" s="1089"/>
      <c r="K53" s="355"/>
      <c r="X53" s="824">
        <v>0</v>
      </c>
    </row>
    <row s="5053" customFormat="1" customHeight="1" ht="11.25" hidden="1">
      <c r="A54" s="2458"/>
      <c r="B54" s="577"/>
      <c r="D54" s="731" t="s">
        <v>890</v>
      </c>
      <c r="E54" s="733" t="s">
        <v>879</v>
      </c>
      <c r="F54" s="726" t="s">
        <v>867</v>
      </c>
      <c r="G54" s="734"/>
      <c r="H54" s="1089"/>
      <c r="I54" s="734"/>
      <c r="J54" s="1089"/>
      <c r="K54" s="355"/>
      <c r="X54" s="824">
        <v>0</v>
      </c>
    </row>
    <row s="5053" customFormat="1" customHeight="1" ht="11.25" hidden="1">
      <c r="A55" s="2458"/>
      <c r="B55" s="577"/>
      <c r="D55" s="731" t="s">
        <v>891</v>
      </c>
      <c r="E55" s="733" t="s">
        <v>880</v>
      </c>
      <c r="F55" s="726" t="s">
        <v>867</v>
      </c>
      <c r="G55" s="734"/>
      <c r="H55" s="1089"/>
      <c r="I55" s="734"/>
      <c r="J55" s="1089"/>
      <c r="K55" s="355"/>
      <c r="X55" s="824">
        <v>0</v>
      </c>
    </row>
    <row s="5053" customFormat="1" customHeight="1" ht="11.25" hidden="1">
      <c r="A56" s="2458"/>
      <c r="B56" s="577"/>
      <c r="D56" s="731" t="s">
        <v>892</v>
      </c>
      <c r="E56" s="737" t="s">
        <v>882</v>
      </c>
      <c r="F56" s="726" t="s">
        <v>867</v>
      </c>
      <c r="G56" s="734"/>
      <c r="H56" s="1089"/>
      <c r="I56" s="734"/>
      <c r="J56" s="1089"/>
      <c r="K56" s="355"/>
      <c r="X56" s="824">
        <v>0</v>
      </c>
    </row>
    <row s="5053" customFormat="1" customHeight="1" ht="11.25" hidden="1">
      <c r="A57" s="2458"/>
      <c r="B57" s="577"/>
      <c r="D57" s="731" t="s">
        <v>893</v>
      </c>
      <c r="E57" s="737" t="s">
        <v>884</v>
      </c>
      <c r="F57" s="726" t="s">
        <v>867</v>
      </c>
      <c r="G57" s="734"/>
      <c r="H57" s="1089"/>
      <c r="I57" s="734"/>
      <c r="J57" s="1089"/>
      <c r="K57" s="355"/>
      <c r="X57" s="824">
        <v>0</v>
      </c>
    </row>
    <row s="5053" customFormat="1" customHeight="1" ht="11.25" hidden="1">
      <c r="A58" s="2458"/>
      <c r="B58" s="577"/>
      <c r="D58" s="731" t="s">
        <v>894</v>
      </c>
      <c r="E58" s="733" t="s">
        <v>886</v>
      </c>
      <c r="F58" s="726" t="s">
        <v>867</v>
      </c>
      <c r="G58" s="734"/>
      <c r="H58" s="1089"/>
      <c r="I58" s="734"/>
      <c r="J58" s="1089"/>
      <c r="K58" s="355"/>
      <c r="X58" s="824">
        <v>0</v>
      </c>
    </row>
    <row s="5053" customFormat="1" customHeight="1" ht="11.25" hidden="1">
      <c r="A59" s="2458"/>
      <c r="B59" s="577"/>
      <c r="D59" s="731" t="s">
        <v>895</v>
      </c>
      <c r="E59" s="733" t="s">
        <v>888</v>
      </c>
      <c r="F59" s="726" t="s">
        <v>867</v>
      </c>
      <c r="G59" s="734"/>
      <c r="H59" s="1089"/>
      <c r="I59" s="734"/>
      <c r="J59" s="1089"/>
      <c r="K59" s="355"/>
      <c r="X59" s="824">
        <v>0</v>
      </c>
    </row>
    <row s="5053" customFormat="1" customHeight="1" ht="33.75" hidden="1">
      <c r="A60" s="2458"/>
      <c r="B60" s="577"/>
      <c r="D60" s="731" t="s">
        <v>97</v>
      </c>
      <c r="E60" s="732" t="s">
        <v>896</v>
      </c>
      <c r="F60" s="787" t="s">
        <v>567</v>
      </c>
      <c r="G60" s="808"/>
      <c r="H60" s="1089"/>
      <c r="I60" s="808"/>
      <c r="J60" s="1089"/>
      <c r="K60" s="368" t="s">
        <v>897</v>
      </c>
      <c r="X60" s="824">
        <v>0</v>
      </c>
    </row>
    <row s="5053" customFormat="1" customHeight="1" ht="33.75" hidden="1">
      <c r="A61" s="2458"/>
      <c r="B61" s="577"/>
      <c r="D61" s="731" t="s">
        <v>98</v>
      </c>
      <c r="E61" s="732" t="s">
        <v>898</v>
      </c>
      <c r="F61" s="792" t="s">
        <v>828</v>
      </c>
      <c r="G61" s="734"/>
      <c r="H61" s="1089"/>
      <c r="I61" s="734"/>
      <c r="J61" s="1089"/>
      <c r="K61" s="355"/>
      <c r="X61" s="824">
        <v>0</v>
      </c>
    </row>
    <row s="5053" customFormat="1" customHeight="1" ht="22.5" hidden="1">
      <c r="A62" s="2458"/>
      <c r="B62" s="577" t="s">
        <v>597</v>
      </c>
      <c r="D62" s="731" t="s">
        <v>117</v>
      </c>
      <c r="E62" s="732" t="s">
        <v>899</v>
      </c>
      <c r="F62" s="792" t="s">
        <v>315</v>
      </c>
      <c r="G62" s="448"/>
      <c r="H62" s="1089"/>
      <c r="I62" s="448"/>
      <c r="J62" s="1089"/>
      <c r="K62" s="355" t="s">
        <v>640</v>
      </c>
      <c r="X62" s="824">
        <v>0</v>
      </c>
    </row>
    <row s="5053" customFormat="1" customHeight="1" ht="45" hidden="1">
      <c r="A63" s="2458"/>
      <c r="B63" s="577" t="s">
        <v>597</v>
      </c>
      <c r="D63" s="731" t="s">
        <v>900</v>
      </c>
      <c r="E63" s="733" t="s">
        <v>901</v>
      </c>
      <c r="F63" s="787" t="s">
        <v>315</v>
      </c>
      <c r="G63" s="448"/>
      <c r="H63" s="1089"/>
      <c r="I63" s="448"/>
      <c r="J63" s="1089"/>
      <c r="K63" s="355" t="s">
        <v>640</v>
      </c>
      <c r="X63" s="824">
        <v>0</v>
      </c>
    </row>
    <row s="5053" customFormat="1" customHeight="1" ht="11.549999999999999">
      <c r="A64" s="1099"/>
      <c r="B64" s="584"/>
      <c r="D64" s="1100"/>
      <c r="E64" s="1101"/>
      <c r="X64" s="575">
        <v>11</v>
      </c>
    </row>
    <row s="5053" customFormat="1" customHeight="1" ht="22.5" hidden="1">
      <c r="A65" s="2458" t="s">
        <v>902</v>
      </c>
      <c r="B65" s="577"/>
      <c r="D65" s="731">
        <v>1</v>
      </c>
      <c r="E65" s="810" t="s">
        <v>903</v>
      </c>
      <c r="F65" s="806" t="s">
        <v>818</v>
      </c>
      <c r="G65" s="807"/>
      <c r="H65" s="1095"/>
      <c r="I65" s="807"/>
      <c r="J65" s="1095"/>
      <c r="K65" s="367" t="s">
        <v>904</v>
      </c>
      <c r="X65" s="824">
        <v>0</v>
      </c>
    </row>
    <row s="5053" customFormat="1" customHeight="1" ht="56.25" hidden="1">
      <c r="A66" s="2458"/>
      <c r="B66" s="577"/>
      <c r="D66" s="809" t="s">
        <v>115</v>
      </c>
      <c r="E66" s="773" t="s">
        <v>905</v>
      </c>
      <c r="F66" s="726" t="s">
        <v>555</v>
      </c>
      <c r="G66" s="726" t="s">
        <v>555</v>
      </c>
      <c r="H66" s="585"/>
      <c r="I66" s="726" t="s">
        <v>555</v>
      </c>
      <c r="J66" s="585"/>
      <c r="K66" s="355"/>
      <c r="X66" s="824">
        <v>0</v>
      </c>
    </row>
    <row s="5053" customFormat="1" customHeight="1" ht="33.75" hidden="1">
      <c r="A67" s="2458"/>
      <c r="B67" s="577"/>
      <c r="D67" s="809" t="s">
        <v>717</v>
      </c>
      <c r="E67" s="1020" t="s">
        <v>906</v>
      </c>
      <c r="F67" s="726" t="s">
        <v>870</v>
      </c>
      <c r="G67" s="793"/>
      <c r="H67" s="585"/>
      <c r="I67" s="793"/>
      <c r="J67" s="585"/>
      <c r="K67" s="355"/>
      <c r="X67" s="824">
        <v>0</v>
      </c>
    </row>
    <row s="5053" customFormat="1" customHeight="1" ht="22.5" hidden="1">
      <c r="A68" s="2458"/>
      <c r="B68" s="577"/>
      <c r="D68" s="809" t="s">
        <v>316</v>
      </c>
      <c r="E68" s="1020" t="s">
        <v>907</v>
      </c>
      <c r="F68" s="726" t="s">
        <v>870</v>
      </c>
      <c r="G68" s="793"/>
      <c r="H68" s="585"/>
      <c r="I68" s="793"/>
      <c r="J68" s="585"/>
      <c r="K68" s="355"/>
      <c r="X68" s="824">
        <v>0</v>
      </c>
    </row>
    <row s="5053" customFormat="1" customHeight="1" ht="22.5" hidden="1">
      <c r="A69" s="2458"/>
      <c r="B69" s="577"/>
      <c r="D69" s="809" t="s">
        <v>319</v>
      </c>
      <c r="E69" s="1020" t="s">
        <v>908</v>
      </c>
      <c r="F69" s="787" t="s">
        <v>567</v>
      </c>
      <c r="G69" s="808"/>
      <c r="H69" s="585"/>
      <c r="I69" s="808"/>
      <c r="J69" s="585"/>
      <c r="K69" s="355"/>
      <c r="X69" s="824">
        <v>0</v>
      </c>
    </row>
    <row s="5053" customFormat="1" customHeight="1" ht="22.5" hidden="1">
      <c r="A70" s="2458"/>
      <c r="B70" s="577"/>
      <c r="D70" s="809" t="s">
        <v>737</v>
      </c>
      <c r="E70" s="1020" t="s">
        <v>909</v>
      </c>
      <c r="F70" s="787" t="s">
        <v>567</v>
      </c>
      <c r="G70" s="808"/>
      <c r="H70" s="585"/>
      <c r="I70" s="808"/>
      <c r="J70" s="585"/>
      <c r="K70" s="355"/>
      <c r="X70" s="824">
        <v>0</v>
      </c>
    </row>
    <row s="5053" customFormat="1" customHeight="1" ht="22.5" hidden="1">
      <c r="A71" s="2458"/>
      <c r="B71" s="577"/>
      <c r="D71" s="731" t="s">
        <v>95</v>
      </c>
      <c r="E71" s="732" t="s">
        <v>910</v>
      </c>
      <c r="F71" s="726" t="s">
        <v>870</v>
      </c>
      <c r="G71" s="623"/>
      <c r="H71" s="1096"/>
      <c r="I71" s="623"/>
      <c r="J71" s="1096"/>
      <c r="K71" s="368"/>
      <c r="X71" s="824">
        <v>0</v>
      </c>
    </row>
    <row s="5053" customFormat="1" customHeight="1" ht="56.25" hidden="1">
      <c r="A72" s="2458"/>
      <c r="B72" s="577"/>
      <c r="D72" s="731" t="s">
        <v>96</v>
      </c>
      <c r="E72" s="732" t="s">
        <v>911</v>
      </c>
      <c r="F72" s="787" t="s">
        <v>567</v>
      </c>
      <c r="G72" s="808"/>
      <c r="H72" s="1089"/>
      <c r="I72" s="808"/>
      <c r="J72" s="1089"/>
      <c r="K72" s="368"/>
      <c r="X72" s="824">
        <v>0</v>
      </c>
    </row>
    <row s="5053" customFormat="1" customHeight="1" ht="33.75" hidden="1">
      <c r="A73" s="2458"/>
      <c r="B73" s="577"/>
      <c r="D73" s="731" t="s">
        <v>116</v>
      </c>
      <c r="E73" s="732" t="s">
        <v>912</v>
      </c>
      <c r="F73" s="792" t="s">
        <v>828</v>
      </c>
      <c r="G73" s="734"/>
      <c r="H73" s="1089"/>
      <c r="I73" s="734"/>
      <c r="J73" s="1089"/>
      <c r="K73" s="355"/>
      <c r="X73" s="824">
        <v>0</v>
      </c>
    </row>
    <row s="5053" customFormat="1" customHeight="1" ht="22.5" hidden="1">
      <c r="A74" s="2458"/>
      <c r="B74" s="577" t="s">
        <v>597</v>
      </c>
      <c r="D74" s="731" t="s">
        <v>97</v>
      </c>
      <c r="E74" s="732" t="s">
        <v>913</v>
      </c>
      <c r="F74" s="792" t="s">
        <v>315</v>
      </c>
      <c r="G74" s="448"/>
      <c r="H74" s="1089"/>
      <c r="I74" s="448"/>
      <c r="J74" s="1089"/>
      <c r="K74" s="355" t="s">
        <v>640</v>
      </c>
      <c r="X74" s="824">
        <v>0</v>
      </c>
    </row>
    <row s="5053" customFormat="1" customHeight="1" ht="45" hidden="1">
      <c r="A75" s="2458"/>
      <c r="B75" s="577" t="s">
        <v>597</v>
      </c>
      <c r="D75" s="731" t="s">
        <v>661</v>
      </c>
      <c r="E75" s="733" t="s">
        <v>914</v>
      </c>
      <c r="F75" s="787" t="s">
        <v>315</v>
      </c>
      <c r="G75" s="448"/>
      <c r="H75" s="1089"/>
      <c r="I75" s="448"/>
      <c r="J75" s="1089"/>
      <c r="K75" s="355" t="s">
        <v>640</v>
      </c>
      <c r="X75" s="824">
        <v>0</v>
      </c>
    </row>
    <row s="5053" customFormat="1" customHeight="1" ht="11.549999999999999">
      <c r="A76" s="1099"/>
      <c r="B76" s="584"/>
      <c r="D76" s="1100"/>
      <c r="E76" s="1101"/>
      <c r="X76" s="575">
        <v>11</v>
      </c>
    </row>
    <row s="5053" customFormat="1" customHeight="1" ht="11.25" hidden="1">
      <c r="A77" s="2458" t="s">
        <v>915</v>
      </c>
      <c r="B77" s="577"/>
      <c r="D77" s="731">
        <v>1</v>
      </c>
      <c r="E77" s="732" t="s">
        <v>916</v>
      </c>
      <c r="F77" s="787" t="s">
        <v>818</v>
      </c>
      <c r="G77" s="790"/>
      <c r="H77" s="1089"/>
      <c r="I77" s="790"/>
      <c r="J77" s="1089"/>
      <c r="K77" s="355" t="s">
        <v>917</v>
      </c>
      <c r="X77" s="824">
        <v>0</v>
      </c>
    </row>
    <row s="5053" customFormat="1" customHeight="1" ht="11.25" hidden="1">
      <c r="A78" s="2458"/>
      <c r="B78" s="577"/>
      <c r="D78" s="731" t="s">
        <v>115</v>
      </c>
      <c r="E78" s="732" t="s">
        <v>918</v>
      </c>
      <c r="F78" s="787" t="s">
        <v>818</v>
      </c>
      <c r="G78" s="790"/>
      <c r="H78" s="1089"/>
      <c r="I78" s="790"/>
      <c r="J78" s="1089"/>
      <c r="K78" s="355" t="s">
        <v>919</v>
      </c>
      <c r="X78" s="824">
        <v>0</v>
      </c>
    </row>
    <row s="5053" customFormat="1" customHeight="1" ht="22.5" hidden="1">
      <c r="A79" s="2458"/>
      <c r="B79" s="577"/>
      <c r="D79" s="731" t="s">
        <v>95</v>
      </c>
      <c r="E79" s="788" t="s">
        <v>920</v>
      </c>
      <c r="F79" s="726" t="s">
        <v>867</v>
      </c>
      <c r="G79" s="790"/>
      <c r="H79" s="1089"/>
      <c r="I79" s="790"/>
      <c r="J79" s="1089"/>
      <c r="K79" s="355" t="s">
        <v>921</v>
      </c>
      <c r="X79" s="824">
        <v>0</v>
      </c>
    </row>
    <row s="5053" customFormat="1" customHeight="1" ht="11.25" hidden="1">
      <c r="A80" s="2458"/>
      <c r="B80" s="577"/>
      <c r="D80" s="731" t="s">
        <v>333</v>
      </c>
      <c r="E80" s="789" t="s">
        <v>922</v>
      </c>
      <c r="F80" s="726" t="s">
        <v>867</v>
      </c>
      <c r="G80" s="790"/>
      <c r="H80" s="1089"/>
      <c r="I80" s="790"/>
      <c r="J80" s="1089"/>
      <c r="K80" s="355"/>
      <c r="X80" s="824">
        <v>0</v>
      </c>
    </row>
    <row s="5053" customFormat="1" customHeight="1" ht="11.25" hidden="1">
      <c r="A81" s="2458"/>
      <c r="B81" s="577"/>
      <c r="D81" s="731" t="s">
        <v>341</v>
      </c>
      <c r="E81" s="789" t="s">
        <v>923</v>
      </c>
      <c r="F81" s="726" t="s">
        <v>867</v>
      </c>
      <c r="G81" s="790"/>
      <c r="H81" s="1089"/>
      <c r="I81" s="790"/>
      <c r="J81" s="1089"/>
      <c r="K81" s="355"/>
      <c r="X81" s="824">
        <v>0</v>
      </c>
    </row>
    <row s="5053" customFormat="1" customHeight="1" ht="11.25" hidden="1">
      <c r="A82" s="2458"/>
      <c r="B82" s="577"/>
      <c r="D82" s="731" t="s">
        <v>343</v>
      </c>
      <c r="E82" s="789" t="s">
        <v>924</v>
      </c>
      <c r="F82" s="726" t="s">
        <v>867</v>
      </c>
      <c r="G82" s="790"/>
      <c r="H82" s="1089"/>
      <c r="I82" s="790"/>
      <c r="J82" s="1089"/>
      <c r="K82" s="355"/>
      <c r="X82" s="824">
        <v>0</v>
      </c>
    </row>
    <row s="5053" customFormat="1" customHeight="1" ht="11.25" hidden="1">
      <c r="A83" s="2458"/>
      <c r="B83" s="577"/>
      <c r="D83" s="731" t="s">
        <v>345</v>
      </c>
      <c r="E83" s="789" t="s">
        <v>925</v>
      </c>
      <c r="F83" s="726" t="s">
        <v>867</v>
      </c>
      <c r="G83" s="790"/>
      <c r="H83" s="1089"/>
      <c r="I83" s="790"/>
      <c r="J83" s="1089"/>
      <c r="K83" s="355"/>
      <c r="X83" s="824">
        <v>0</v>
      </c>
    </row>
    <row s="5053" customFormat="1" customHeight="1" ht="11.25" hidden="1">
      <c r="A84" s="2458"/>
      <c r="B84" s="577"/>
      <c r="D84" s="731" t="s">
        <v>926</v>
      </c>
      <c r="E84" s="789" t="s">
        <v>927</v>
      </c>
      <c r="F84" s="726" t="s">
        <v>867</v>
      </c>
      <c r="G84" s="790"/>
      <c r="H84" s="1089"/>
      <c r="I84" s="790"/>
      <c r="J84" s="1089"/>
      <c r="K84" s="355"/>
      <c r="X84" s="824">
        <v>0</v>
      </c>
    </row>
    <row s="5053" customFormat="1" customHeight="1" ht="11.25" hidden="1">
      <c r="A85" s="2458"/>
      <c r="B85" s="577"/>
      <c r="D85" s="731" t="s">
        <v>928</v>
      </c>
      <c r="E85" s="789" t="s">
        <v>929</v>
      </c>
      <c r="F85" s="726" t="s">
        <v>867</v>
      </c>
      <c r="G85" s="790"/>
      <c r="H85" s="1089"/>
      <c r="I85" s="790"/>
      <c r="J85" s="1089"/>
      <c r="K85" s="355"/>
      <c r="X85" s="824">
        <v>0</v>
      </c>
    </row>
    <row s="5053" customFormat="1" customHeight="1" ht="11.25" hidden="1">
      <c r="A86" s="2458"/>
      <c r="B86" s="577"/>
      <c r="D86" s="731" t="s">
        <v>930</v>
      </c>
      <c r="E86" s="789" t="s">
        <v>931</v>
      </c>
      <c r="F86" s="726" t="s">
        <v>867</v>
      </c>
      <c r="G86" s="790"/>
      <c r="H86" s="1089"/>
      <c r="I86" s="790"/>
      <c r="J86" s="1089"/>
      <c r="K86" s="355"/>
      <c r="X86" s="824">
        <v>0</v>
      </c>
    </row>
    <row s="5053" customFormat="1" customHeight="1" ht="45" hidden="1">
      <c r="A87" s="2458"/>
      <c r="B87" s="577"/>
      <c r="D87" s="731" t="s">
        <v>96</v>
      </c>
      <c r="E87" s="732" t="s">
        <v>932</v>
      </c>
      <c r="F87" s="726" t="s">
        <v>867</v>
      </c>
      <c r="G87" s="790"/>
      <c r="H87" s="1089"/>
      <c r="I87" s="790"/>
      <c r="J87" s="1089"/>
      <c r="K87" s="355" t="s">
        <v>933</v>
      </c>
      <c r="X87" s="824">
        <v>0</v>
      </c>
    </row>
    <row s="5053" customFormat="1" customHeight="1" ht="11.25" hidden="1">
      <c r="A88" s="2458"/>
      <c r="B88" s="577"/>
      <c r="D88" s="731" t="s">
        <v>762</v>
      </c>
      <c r="E88" s="789" t="s">
        <v>922</v>
      </c>
      <c r="F88" s="726" t="s">
        <v>867</v>
      </c>
      <c r="G88" s="790"/>
      <c r="H88" s="1089"/>
      <c r="I88" s="790"/>
      <c r="J88" s="1089"/>
      <c r="K88" s="355"/>
      <c r="X88" s="824">
        <v>0</v>
      </c>
    </row>
    <row s="5053" customFormat="1" customHeight="1" ht="11.25" hidden="1">
      <c r="A89" s="2458"/>
      <c r="B89" s="577"/>
      <c r="D89" s="731" t="s">
        <v>804</v>
      </c>
      <c r="E89" s="789" t="s">
        <v>923</v>
      </c>
      <c r="F89" s="726" t="s">
        <v>867</v>
      </c>
      <c r="G89" s="790"/>
      <c r="H89" s="1089"/>
      <c r="I89" s="790"/>
      <c r="J89" s="1089"/>
      <c r="K89" s="355"/>
      <c r="X89" s="824">
        <v>0</v>
      </c>
    </row>
    <row s="5053" customFormat="1" customHeight="1" ht="11.25" hidden="1">
      <c r="A90" s="2458"/>
      <c r="B90" s="577"/>
      <c r="D90" s="731" t="s">
        <v>807</v>
      </c>
      <c r="E90" s="789" t="s">
        <v>924</v>
      </c>
      <c r="F90" s="726" t="s">
        <v>867</v>
      </c>
      <c r="G90" s="790"/>
      <c r="H90" s="1089"/>
      <c r="I90" s="790"/>
      <c r="J90" s="1089"/>
      <c r="K90" s="355"/>
      <c r="X90" s="824">
        <v>0</v>
      </c>
    </row>
    <row s="5053" customFormat="1" customHeight="1" ht="11.25" hidden="1">
      <c r="A91" s="2458"/>
      <c r="B91" s="577"/>
      <c r="D91" s="731" t="s">
        <v>885</v>
      </c>
      <c r="E91" s="789" t="s">
        <v>925</v>
      </c>
      <c r="F91" s="726" t="s">
        <v>867</v>
      </c>
      <c r="G91" s="790"/>
      <c r="H91" s="1089"/>
      <c r="I91" s="790"/>
      <c r="J91" s="1089"/>
      <c r="K91" s="355"/>
      <c r="X91" s="824">
        <v>0</v>
      </c>
    </row>
    <row s="5053" customFormat="1" customHeight="1" ht="11.25" hidden="1">
      <c r="A92" s="2458"/>
      <c r="B92" s="577"/>
      <c r="D92" s="731" t="s">
        <v>887</v>
      </c>
      <c r="E92" s="789" t="s">
        <v>927</v>
      </c>
      <c r="F92" s="726" t="s">
        <v>867</v>
      </c>
      <c r="G92" s="790"/>
      <c r="H92" s="1089"/>
      <c r="I92" s="790"/>
      <c r="J92" s="1089"/>
      <c r="K92" s="355"/>
      <c r="X92" s="824">
        <v>0</v>
      </c>
    </row>
    <row s="5053" customFormat="1" customHeight="1" ht="11.25" hidden="1">
      <c r="A93" s="2458"/>
      <c r="B93" s="577"/>
      <c r="D93" s="731" t="s">
        <v>934</v>
      </c>
      <c r="E93" s="789" t="s">
        <v>929</v>
      </c>
      <c r="F93" s="726" t="s">
        <v>867</v>
      </c>
      <c r="G93" s="790"/>
      <c r="H93" s="1089"/>
      <c r="I93" s="790"/>
      <c r="J93" s="1089"/>
      <c r="K93" s="355"/>
      <c r="X93" s="824">
        <v>0</v>
      </c>
    </row>
    <row s="5053" customFormat="1" customHeight="1" ht="11.25" hidden="1">
      <c r="A94" s="2458"/>
      <c r="B94" s="577"/>
      <c r="D94" s="731" t="s">
        <v>935</v>
      </c>
      <c r="E94" s="789" t="s">
        <v>931</v>
      </c>
      <c r="F94" s="726" t="s">
        <v>867</v>
      </c>
      <c r="G94" s="790"/>
      <c r="H94" s="1089"/>
      <c r="I94" s="790"/>
      <c r="J94" s="1089"/>
      <c r="K94" s="355"/>
      <c r="X94" s="824">
        <v>0</v>
      </c>
    </row>
    <row s="5053" customFormat="1" customHeight="1" ht="24.75" hidden="1">
      <c r="A95" s="2458"/>
      <c r="B95" s="577"/>
      <c r="D95" s="731" t="s">
        <v>116</v>
      </c>
      <c r="E95" s="732" t="s">
        <v>936</v>
      </c>
      <c r="F95" s="791" t="s">
        <v>567</v>
      </c>
      <c r="G95" s="793"/>
      <c r="H95" s="1089"/>
      <c r="I95" s="793"/>
      <c r="J95" s="1089"/>
      <c r="K95" s="355" t="s">
        <v>937</v>
      </c>
      <c r="X95" s="824">
        <v>0</v>
      </c>
    </row>
    <row s="5053" customFormat="1" customHeight="1" ht="33.75" hidden="1">
      <c r="A96" s="2458"/>
      <c r="B96" s="577"/>
      <c r="D96" s="731" t="s">
        <v>97</v>
      </c>
      <c r="E96" s="732" t="s">
        <v>938</v>
      </c>
      <c r="F96" s="792" t="s">
        <v>828</v>
      </c>
      <c r="G96" s="794"/>
      <c r="H96" s="1089"/>
      <c r="I96" s="794"/>
      <c r="J96" s="1089"/>
      <c r="K96" s="355"/>
      <c r="X96" s="824">
        <v>0</v>
      </c>
    </row>
    <row s="5053" customFormat="1" customHeight="1" ht="22.5" hidden="1">
      <c r="A97" s="2458"/>
      <c r="B97" s="577" t="s">
        <v>597</v>
      </c>
      <c r="D97" s="731" t="s">
        <v>98</v>
      </c>
      <c r="E97" s="732" t="s">
        <v>939</v>
      </c>
      <c r="F97" s="792" t="s">
        <v>315</v>
      </c>
      <c r="G97" s="451"/>
      <c r="H97" s="1089"/>
      <c r="I97" s="451"/>
      <c r="J97" s="1089"/>
      <c r="K97" s="355" t="s">
        <v>640</v>
      </c>
      <c r="X97" s="824">
        <v>0</v>
      </c>
    </row>
    <row s="5053" customFormat="1" customHeight="1" ht="45" hidden="1">
      <c r="A98" s="2458"/>
      <c r="B98" s="577" t="s">
        <v>597</v>
      </c>
      <c r="D98" s="731" t="s">
        <v>940</v>
      </c>
      <c r="E98" s="733" t="s">
        <v>941</v>
      </c>
      <c r="F98" s="787" t="s">
        <v>315</v>
      </c>
      <c r="G98" s="451"/>
      <c r="H98" s="1089"/>
      <c r="I98" s="451"/>
      <c r="J98" s="1089"/>
      <c r="K98" s="355" t="s">
        <v>640</v>
      </c>
      <c r="X98" s="824">
        <v>0</v>
      </c>
    </row>
    <row s="5053" customFormat="1" customHeight="1" ht="95.25" hidden="1">
      <c r="A99" s="2458"/>
      <c r="B99" s="577" t="s">
        <v>597</v>
      </c>
      <c r="D99" s="731" t="s">
        <v>117</v>
      </c>
      <c r="E99" s="732" t="s">
        <v>942</v>
      </c>
      <c r="F99" s="787" t="s">
        <v>315</v>
      </c>
      <c r="G99" s="451"/>
      <c r="H99" s="1089"/>
      <c r="I99" s="451"/>
      <c r="J99" s="1089"/>
      <c r="K99" s="355" t="s">
        <v>640</v>
      </c>
      <c r="X99" s="824">
        <v>0</v>
      </c>
    </row>
    <row s="5053" customFormat="1" customHeight="1" ht="22.5" hidden="1">
      <c r="A100" s="2458"/>
      <c r="B100" s="577" t="s">
        <v>597</v>
      </c>
      <c r="D100" s="731" t="s">
        <v>153</v>
      </c>
      <c r="E100" s="732" t="s">
        <v>943</v>
      </c>
      <c r="F100" s="787" t="s">
        <v>315</v>
      </c>
      <c r="G100" s="451"/>
      <c r="H100" s="1089"/>
      <c r="I100" s="451"/>
      <c r="J100" s="1089"/>
      <c r="K100" s="355" t="s">
        <v>640</v>
      </c>
      <c r="X100" s="824">
        <v>0</v>
      </c>
    </row>
    <row s="5053" customFormat="1" customHeight="1" ht="11.549999999999999">
      <c r="A101" s="1099"/>
      <c r="B101" s="584"/>
      <c r="D101" s="1100"/>
      <c r="E101" s="1101"/>
      <c r="X101" s="575">
        <v>11</v>
      </c>
    </row>
    <row customHeight="1" ht="22.5" hidden="1">
      <c r="A102" s="602" t="s">
        <v>87</v>
      </c>
      <c r="B102" s="577">
        <v>0</v>
      </c>
      <c r="C102" s="571">
        <v>3</v>
      </c>
      <c r="D102" s="571">
        <v>7</v>
      </c>
      <c r="E102" s="571">
        <v>69</v>
      </c>
      <c r="F102" s="571">
        <v>10</v>
      </c>
      <c r="G102" s="571">
        <v>0</v>
      </c>
      <c r="H102" s="571">
        <v>0</v>
      </c>
      <c r="I102" s="824">
        <v>43</v>
      </c>
      <c r="J102" s="824">
        <v>43</v>
      </c>
      <c r="K102" s="571">
        <v>73</v>
      </c>
      <c r="L102" s="571">
        <v>3</v>
      </c>
      <c r="M102" s="571">
        <v>10</v>
      </c>
      <c r="N102" s="571">
        <v>10</v>
      </c>
      <c r="O102" s="571">
        <v>10</v>
      </c>
      <c r="P102" s="571">
        <v>10</v>
      </c>
      <c r="Q102" s="571">
        <v>10</v>
      </c>
      <c r="R102" s="571">
        <v>10</v>
      </c>
      <c r="S102" s="571">
        <v>10</v>
      </c>
      <c r="T102" s="571">
        <v>10</v>
      </c>
      <c r="U102" s="571">
        <v>10</v>
      </c>
      <c r="V102" s="571">
        <v>10</v>
      </c>
      <c r="W102" s="571">
        <v>10</v>
      </c>
      <c r="X102" s="57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9A868-0384-94C8-8353-C91911B4FF8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597" width="6.421875" hidden="1" customWidth="1"/>
    <col min="2" max="2" style="5597" width="2.00390625" hidden="1" customWidth="1"/>
    <col min="3" max="3" style="5597" width="3.00390625" customWidth="1"/>
    <col min="4" max="4" style="5597" width="4.00390625" customWidth="1"/>
    <col min="5" max="5" style="5597" width="44.00390625" customWidth="1"/>
    <col min="6" max="6" style="5597" width="6.421875" customWidth="1"/>
    <col min="7" max="7" style="5597" width="4.00390625" customWidth="1"/>
    <col min="8" max="8" style="5597" width="5.00390625" customWidth="1"/>
    <col min="9" max="9" style="5597" width="52.00390625" customWidth="1"/>
    <col min="10" max="10" style="5597" width="7.00390625" customWidth="1"/>
    <col min="11" max="11" style="5597" width="3.00390625" customWidth="1"/>
    <col min="12" max="12" style="5597" width="6.00390625" customWidth="1"/>
    <col min="13" max="13" style="5597" width="56.00390625" customWidth="1"/>
    <col min="14" max="14" style="3893" width="8.00390625" customWidth="1"/>
    <col min="15" max="20" style="5005" width="9.140625" hidden="1"/>
    <col min="21" max="24" style="5129" width="9.140625" hidden="1"/>
    <col min="25" max="37" style="3893" width="9.140625" hidden="1"/>
    <col min="38" max="38" style="3893" width="8.00390625" customWidth="1"/>
    <col min="39" max="39" style="5597" width="9.140625" hidden="1"/>
  </cols>
  <sheetData>
    <row customHeight="1" ht="11.25" hidden="1">
      <c r="AM1" s="649" t="s">
        <v>14</v>
      </c>
    </row>
    <row customHeight="1" ht="11.25" hidden="1">
      <c r="AM2" s="649">
        <v>0</v>
      </c>
    </row>
    <row customHeight="1" ht="11.549999999999999">
      <c r="AM3" s="649">
        <v>11</v>
      </c>
    </row>
    <row customHeight="1" ht="35.699999999999996">
      <c r="A4" s="651"/>
      <c r="B4" s="651"/>
      <c r="D4" s="2185" t="str">
        <f>Титульный!E5</f>
        <v>Показатели, подлежащие раскрытию в сфере теплоснабжения (цены и тарифы)</v>
      </c>
      <c r="E4" s="2186"/>
      <c r="F4" s="2186"/>
      <c r="G4" s="2186"/>
      <c r="H4" s="2186"/>
      <c r="I4" s="2187"/>
      <c r="J4" s="650"/>
      <c r="K4" s="650"/>
      <c r="L4" s="650"/>
      <c r="M4" s="650"/>
      <c r="AM4" s="649">
        <v>34</v>
      </c>
    </row>
    <row s="3053" customFormat="1" customHeight="1" ht="14.699999999999998">
      <c r="A5" s="651"/>
      <c r="B5" s="651"/>
      <c r="C5" s="651"/>
      <c r="D5" s="2188" t="str">
        <f>IF(org=0,"Не определено",org)</f>
        <v>Филиал "Уренгойская ГРЭС" АО "Интер РАО - Электрогенерация"</v>
      </c>
      <c r="E5" s="2189"/>
      <c r="F5" s="2189"/>
      <c r="G5" s="2189"/>
      <c r="H5" s="2189"/>
      <c r="I5" s="2190"/>
      <c r="J5" s="652"/>
      <c r="K5" s="652"/>
      <c r="L5" s="652"/>
      <c r="M5" s="652"/>
      <c r="N5" s="652"/>
      <c r="O5" s="936"/>
      <c r="P5" s="936"/>
      <c r="Q5" s="936"/>
      <c r="R5" s="936"/>
      <c r="S5" s="936"/>
      <c r="T5" s="936"/>
      <c r="U5" s="1327"/>
      <c r="V5" s="1327"/>
      <c r="W5" s="1327"/>
      <c r="X5" s="1327"/>
      <c r="Y5" s="652"/>
      <c r="Z5" s="652"/>
      <c r="AA5" s="652"/>
      <c r="AB5" s="652"/>
      <c r="AC5" s="652"/>
      <c r="AD5" s="652"/>
      <c r="AE5" s="652"/>
      <c r="AF5" s="652"/>
      <c r="AG5" s="652"/>
      <c r="AH5" s="652"/>
      <c r="AI5" s="652"/>
      <c r="AJ5" s="652"/>
      <c r="AK5" s="652"/>
      <c r="AL5" s="652"/>
      <c r="AM5" s="653">
        <v>14</v>
      </c>
    </row>
    <row s="3053" customFormat="1" customHeight="1" ht="6.3">
      <c r="A6" s="2191"/>
      <c r="B6" s="2191"/>
      <c r="C6" s="2191"/>
      <c r="D6" s="2191"/>
      <c r="E6" s="2191"/>
      <c r="F6" s="2191"/>
      <c r="G6" s="654"/>
      <c r="H6" s="654"/>
      <c r="I6" s="654"/>
      <c r="J6" s="654"/>
      <c r="K6" s="654"/>
      <c r="N6" s="656"/>
      <c r="O6" s="1480"/>
      <c r="P6" s="1480"/>
      <c r="Q6" s="1480"/>
      <c r="R6" s="1480"/>
      <c r="S6" s="1480"/>
      <c r="T6" s="1480"/>
      <c r="U6" s="1330"/>
      <c r="V6" s="1330"/>
      <c r="W6" s="1330"/>
      <c r="X6" s="1330"/>
      <c r="Y6" s="656"/>
      <c r="Z6" s="656"/>
      <c r="AA6" s="656"/>
      <c r="AB6" s="656"/>
      <c r="AC6" s="656"/>
      <c r="AD6" s="656"/>
      <c r="AE6" s="656"/>
      <c r="AF6" s="656"/>
      <c r="AG6" s="656"/>
      <c r="AH6" s="656"/>
      <c r="AI6" s="656"/>
      <c r="AJ6" s="656"/>
      <c r="AK6" s="656"/>
      <c r="AL6" s="656"/>
      <c r="AM6" s="655">
        <v>6</v>
      </c>
    </row>
    <row customHeight="1" ht="45.75" hidden="1">
      <c r="E7" s="2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7"/>
      <c r="G7" s="2197"/>
      <c r="H7" s="2197"/>
      <c r="I7" s="2197"/>
      <c r="J7" s="2197"/>
      <c r="K7" s="2197"/>
      <c r="L7" s="2197"/>
      <c r="M7" s="2197"/>
      <c r="AM7" s="649">
        <v>0</v>
      </c>
    </row>
    <row s="3053" customFormat="1" customHeight="1" ht="6.3">
      <c r="A8" s="657"/>
      <c r="B8" s="657"/>
      <c r="C8" s="657"/>
      <c r="D8" s="657"/>
      <c r="E8" s="657"/>
      <c r="F8" s="657"/>
      <c r="G8" s="657"/>
      <c r="H8" s="657"/>
      <c r="I8" s="657"/>
      <c r="J8" s="657"/>
      <c r="K8" s="657"/>
      <c r="L8" s="657"/>
      <c r="M8" s="655"/>
      <c r="N8" s="652"/>
      <c r="O8" s="936"/>
      <c r="P8" s="936"/>
      <c r="Q8" s="936"/>
      <c r="R8" s="936"/>
      <c r="S8" s="936"/>
      <c r="T8" s="936"/>
      <c r="U8" s="1327"/>
      <c r="V8" s="1327"/>
      <c r="W8" s="1327"/>
      <c r="X8" s="1327"/>
      <c r="Y8" s="652"/>
      <c r="Z8" s="652"/>
      <c r="AA8" s="652"/>
      <c r="AB8" s="652"/>
      <c r="AC8" s="652"/>
      <c r="AD8" s="652"/>
      <c r="AE8" s="652"/>
      <c r="AF8" s="652"/>
      <c r="AG8" s="652"/>
      <c r="AH8" s="652"/>
      <c r="AI8" s="652"/>
      <c r="AJ8" s="652"/>
      <c r="AK8" s="652"/>
      <c r="AL8" s="652"/>
      <c r="AM8" s="653">
        <v>6</v>
      </c>
    </row>
    <row customHeight="1" ht="18.75">
      <c r="A9" s="2192"/>
      <c r="B9" s="389"/>
      <c r="C9" s="389"/>
      <c r="D9" s="2193" t="s">
        <v>110</v>
      </c>
      <c r="E9" s="2193"/>
      <c r="F9" s="2194" t="s">
        <v>111</v>
      </c>
      <c r="G9" s="2195"/>
      <c r="H9" s="2195"/>
      <c r="I9" s="2195"/>
      <c r="J9" s="2198" t="s">
        <v>112</v>
      </c>
      <c r="K9" s="2198"/>
      <c r="L9" s="2198"/>
      <c r="M9" s="2198"/>
      <c r="AM9" s="649">
        <v>18</v>
      </c>
    </row>
    <row customHeight="1" ht="24">
      <c r="A10" s="2192"/>
      <c r="B10" s="658"/>
      <c r="C10" s="591"/>
      <c r="D10" s="589" t="s">
        <v>93</v>
      </c>
      <c r="E10" s="589" t="s">
        <v>94</v>
      </c>
      <c r="F10" s="589" t="s">
        <v>113</v>
      </c>
      <c r="G10" s="2199" t="s">
        <v>93</v>
      </c>
      <c r="H10" s="2200"/>
      <c r="I10" s="589" t="s">
        <v>94</v>
      </c>
      <c r="J10" s="589" t="s">
        <v>113</v>
      </c>
      <c r="K10" s="2199" t="s">
        <v>93</v>
      </c>
      <c r="L10" s="2200"/>
      <c r="M10" s="589" t="s">
        <v>94</v>
      </c>
      <c r="N10" s="1693"/>
      <c r="AM10" s="649">
        <v>23</v>
      </c>
    </row>
    <row s="5597" customFormat="1" customHeight="1" ht="11.25" hidden="1">
      <c r="A11" s="659"/>
      <c r="B11" s="659"/>
      <c r="C11" s="659"/>
      <c r="D11" s="660" t="s">
        <v>114</v>
      </c>
      <c r="E11" s="660" t="s">
        <v>115</v>
      </c>
      <c r="F11" s="660" t="s">
        <v>95</v>
      </c>
      <c r="G11" s="2181" t="s">
        <v>96</v>
      </c>
      <c r="H11" s="2182"/>
      <c r="I11" s="660" t="s">
        <v>116</v>
      </c>
      <c r="J11" s="660" t="s">
        <v>97</v>
      </c>
      <c r="K11" s="2183" t="s">
        <v>98</v>
      </c>
      <c r="L11" s="2184"/>
      <c r="M11" s="660" t="s">
        <v>117</v>
      </c>
      <c r="N11" s="1692"/>
      <c r="O11" s="1479"/>
      <c r="P11" s="1481"/>
      <c r="Q11" s="1481"/>
      <c r="R11" s="1481"/>
      <c r="S11" s="1481"/>
      <c r="T11" s="1481"/>
      <c r="U11" s="1331"/>
      <c r="V11" s="1331"/>
      <c r="W11" s="1331"/>
      <c r="X11" s="1331"/>
      <c r="Y11" s="661"/>
      <c r="Z11" s="661"/>
      <c r="AA11" s="661"/>
      <c r="AB11" s="661"/>
      <c r="AC11" s="661"/>
      <c r="AD11" s="661"/>
      <c r="AE11" s="661"/>
      <c r="AF11" s="661"/>
      <c r="AG11" s="661"/>
      <c r="AH11" s="661"/>
      <c r="AI11" s="661"/>
      <c r="AJ11" s="661"/>
      <c r="AK11" s="661"/>
      <c r="AL11" s="661"/>
      <c r="AM11" s="662">
        <v>0</v>
      </c>
    </row>
    <row customHeight="1" ht="1.05">
      <c r="A12" s="663"/>
      <c r="B12" s="664"/>
      <c r="C12" s="664"/>
      <c r="D12" s="665"/>
      <c r="E12" s="433"/>
      <c r="F12" s="666"/>
      <c r="G12" s="1125"/>
      <c r="H12" s="1125"/>
      <c r="I12" s="666"/>
      <c r="J12" s="666"/>
      <c r="K12" s="240"/>
      <c r="L12" s="433"/>
      <c r="M12" s="667"/>
      <c r="N12" s="1693"/>
      <c r="O12" s="1479" t="s">
        <v>118</v>
      </c>
      <c r="P12" s="1479" t="s">
        <v>119</v>
      </c>
      <c r="Q12" s="1479" t="s">
        <v>120</v>
      </c>
      <c r="R12" s="1479" t="s">
        <v>121</v>
      </c>
      <c r="AM12" s="649">
        <v>1</v>
      </c>
    </row>
    <row s="5597" customFormat="1" customHeight="1" ht="15.75">
      <c r="A13" s="359"/>
      <c r="B13" s="359"/>
      <c r="C13" s="592"/>
      <c r="D13" s="2174" t="s">
        <v>114</v>
      </c>
      <c r="E13" s="2175"/>
      <c r="F13" s="2178" t="s">
        <v>71</v>
      </c>
      <c r="G13" s="2179"/>
      <c r="H13" s="2180">
        <v>1</v>
      </c>
      <c r="I13" s="2171" t="str">
        <f>IF(U13="","",INDEX(TERRITORY_MR_LIST,MATCH(U13,TERRITORY_LIST_ID,0)))</f>
        <v/>
      </c>
      <c r="J13" s="2173" t="s">
        <v>19</v>
      </c>
      <c r="K13" s="668"/>
      <c r="L13" s="593" t="s">
        <v>114</v>
      </c>
      <c r="M13" s="669" t="s">
        <v>28</v>
      </c>
      <c r="N13" s="878"/>
      <c r="O13" s="1482" t="s">
        <v>122</v>
      </c>
      <c r="P13" s="1479">
        <f>$E$13</f>
        <v>0</v>
      </c>
      <c r="Q13" s="1479" t="str">
        <f>IF($F$13="нет","без дифференциации",$I$13)</f>
        <v/>
      </c>
      <c r="R13" s="1479" t="str">
        <f>IF($J$13="нет","без дифференциации",M13)</f>
        <v>без дифференциации</v>
      </c>
      <c r="S13" s="1482"/>
      <c r="T13" s="1482"/>
      <c r="U13" s="1332"/>
      <c r="V13" s="1332"/>
      <c r="W13" s="1332"/>
      <c r="X13" s="1332"/>
      <c r="Y13" s="670" t="s">
        <v>123</v>
      </c>
      <c r="Z13" s="670">
        <v>1705000</v>
      </c>
      <c r="AA13" s="670"/>
      <c r="AB13" s="670"/>
      <c r="AC13" s="670"/>
      <c r="AD13" s="670"/>
      <c r="AE13" s="670"/>
      <c r="AF13" s="670"/>
      <c r="AG13" s="670"/>
      <c r="AH13" s="670"/>
      <c r="AI13" s="670"/>
      <c r="AJ13" s="670"/>
      <c r="AK13" s="670"/>
      <c r="AL13" s="670"/>
      <c r="AM13" s="672">
        <v>15</v>
      </c>
    </row>
    <row s="5597" customFormat="1" customHeight="1" ht="15.75">
      <c r="A14" s="359"/>
      <c r="B14" s="359"/>
      <c r="C14" s="242"/>
      <c r="D14" s="2174"/>
      <c r="E14" s="2176"/>
      <c r="F14" s="2173"/>
      <c r="G14" s="2179"/>
      <c r="H14" s="2180"/>
      <c r="I14" s="2172"/>
      <c r="J14" s="2173"/>
      <c r="K14" s="487"/>
      <c r="L14" s="243"/>
      <c r="M14" s="673" t="s">
        <v>124</v>
      </c>
      <c r="N14" s="878"/>
      <c r="O14" s="1482"/>
      <c r="P14" s="1479"/>
      <c r="Q14" s="1479"/>
      <c r="R14" s="1479"/>
      <c r="S14" s="1482"/>
      <c r="T14" s="1482"/>
      <c r="U14" s="1332"/>
      <c r="V14" s="1332"/>
      <c r="W14" s="1332"/>
      <c r="X14" s="1332"/>
      <c r="Y14" s="670"/>
      <c r="Z14" s="670"/>
      <c r="AA14" s="670"/>
      <c r="AB14" s="670"/>
      <c r="AC14" s="670"/>
      <c r="AD14" s="670"/>
      <c r="AE14" s="670"/>
      <c r="AF14" s="670"/>
      <c r="AG14" s="670"/>
      <c r="AH14" s="670"/>
      <c r="AI14" s="670"/>
      <c r="AJ14" s="670"/>
      <c r="AK14" s="670"/>
      <c r="AL14" s="670"/>
      <c r="AM14" s="672">
        <v>15</v>
      </c>
    </row>
    <row s="5597" customFormat="1" customHeight="1" ht="15.75">
      <c r="A15" s="359"/>
      <c r="B15" s="359"/>
      <c r="C15" s="242"/>
      <c r="D15" s="2174"/>
      <c r="E15" s="2177"/>
      <c r="F15" s="2173"/>
      <c r="G15" s="1126"/>
      <c r="H15" s="1127"/>
      <c r="I15" s="646" t="s">
        <v>125</v>
      </c>
      <c r="J15" s="243"/>
      <c r="K15" s="243"/>
      <c r="L15" s="243"/>
      <c r="M15" s="674"/>
      <c r="N15" s="878"/>
      <c r="O15" s="1482"/>
      <c r="P15" s="1479"/>
      <c r="Q15" s="1479"/>
      <c r="R15" s="1479"/>
      <c r="S15" s="1482"/>
      <c r="T15" s="1482"/>
      <c r="U15" s="1332"/>
      <c r="V15" s="1332"/>
      <c r="W15" s="1332"/>
      <c r="X15" s="1332"/>
      <c r="Y15" s="670"/>
      <c r="Z15" s="670"/>
      <c r="AA15" s="670"/>
      <c r="AB15" s="670"/>
      <c r="AC15" s="670"/>
      <c r="AD15" s="670"/>
      <c r="AE15" s="670"/>
      <c r="AF15" s="670"/>
      <c r="AG15" s="670"/>
      <c r="AH15" s="670"/>
      <c r="AI15" s="670"/>
      <c r="AJ15" s="670"/>
      <c r="AK15" s="670"/>
      <c r="AL15" s="670"/>
      <c r="AM15" s="672">
        <v>15</v>
      </c>
    </row>
    <row customHeight="1" ht="15.75">
      <c r="A16" s="675"/>
      <c r="B16" s="201"/>
      <c r="C16" s="872"/>
      <c r="D16" s="487"/>
      <c r="E16" s="637" t="s">
        <v>126</v>
      </c>
      <c r="F16" s="243"/>
      <c r="G16" s="243"/>
      <c r="H16" s="243"/>
      <c r="I16" s="243"/>
      <c r="J16" s="243"/>
      <c r="K16" s="243" t="s">
        <v>28</v>
      </c>
      <c r="L16" s="243"/>
      <c r="M16" s="674"/>
      <c r="N16" s="1693"/>
      <c r="AM16" s="649">
        <v>15</v>
      </c>
    </row>
    <row customHeight="1" ht="11.25" hidden="1">
      <c r="A17" s="649" t="s">
        <v>87</v>
      </c>
      <c r="B17" s="649">
        <v>0</v>
      </c>
      <c r="C17" s="649">
        <v>3</v>
      </c>
      <c r="D17" s="649">
        <v>4</v>
      </c>
      <c r="E17" s="649">
        <v>44</v>
      </c>
      <c r="F17" s="649">
        <v>6</v>
      </c>
      <c r="G17" s="649">
        <v>4</v>
      </c>
      <c r="H17" s="649">
        <v>5</v>
      </c>
      <c r="I17" s="649">
        <v>52</v>
      </c>
      <c r="J17" s="649">
        <v>6</v>
      </c>
      <c r="K17" s="649">
        <v>3</v>
      </c>
      <c r="L17" s="649">
        <v>6</v>
      </c>
      <c r="M17" s="649">
        <v>56</v>
      </c>
      <c r="N17" s="650">
        <v>8</v>
      </c>
      <c r="O17" s="1479">
        <v>0</v>
      </c>
      <c r="P17" s="1479">
        <v>0</v>
      </c>
      <c r="Q17" s="1479">
        <v>0</v>
      </c>
      <c r="R17" s="1479">
        <v>0</v>
      </c>
      <c r="S17" s="1479">
        <v>0</v>
      </c>
      <c r="T17" s="1479">
        <v>0</v>
      </c>
      <c r="U17" s="1329">
        <v>0</v>
      </c>
      <c r="V17" s="1329">
        <v>0</v>
      </c>
      <c r="W17" s="1329">
        <v>0</v>
      </c>
      <c r="X17" s="1329">
        <v>0</v>
      </c>
      <c r="Y17" s="650">
        <v>0</v>
      </c>
      <c r="Z17" s="650">
        <v>0</v>
      </c>
      <c r="AA17" s="650">
        <v>0</v>
      </c>
      <c r="AB17" s="650">
        <v>0</v>
      </c>
      <c r="AC17" s="650">
        <v>0</v>
      </c>
      <c r="AD17" s="650">
        <v>0</v>
      </c>
      <c r="AE17" s="650">
        <v>0</v>
      </c>
      <c r="AF17" s="650">
        <v>0</v>
      </c>
      <c r="AG17" s="650">
        <v>0</v>
      </c>
      <c r="AH17" s="650">
        <v>0</v>
      </c>
      <c r="AI17" s="650">
        <v>0</v>
      </c>
      <c r="AJ17" s="650">
        <v>0</v>
      </c>
      <c r="AK17" s="650">
        <v>0</v>
      </c>
      <c r="AL17" s="650">
        <v>8</v>
      </c>
      <c r="AM17" s="64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D219A-E624-C37E-A48E-35BF1E902DA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5297" width="9.140625" hidden="1" customWidth="1"/>
    <col min="2" max="2" style="5053" width="9.140625" hidden="1" customWidth="1"/>
    <col min="3" max="3" style="4965" width="4.00390625" customWidth="1"/>
    <col min="4" max="4" style="5053" width="6.00390625" customWidth="1"/>
    <col min="5" max="5" style="5053" width="36.00390625" customWidth="1"/>
    <col min="6" max="6" style="5053" width="9.00390625" customWidth="1"/>
    <col min="7" max="7" style="5053" width="25.7109375" hidden="1" customWidth="1"/>
    <col min="8" max="8" style="5053" width="33.7109375" hidden="1" customWidth="1"/>
    <col min="9" max="9" style="5053" width="25.7109375" customWidth="1"/>
    <col min="10" max="10" style="5053" width="33.00390625" customWidth="1"/>
    <col min="11" max="11" style="5002" width="93.00390625" customWidth="1"/>
    <col min="12" max="20" style="5053" width="10.00390625" customWidth="1"/>
    <col min="21" max="21" style="5087" width="10.00390625" customWidth="1"/>
    <col min="22" max="22" style="5053" width="10.57421875" hidden="1"/>
  </cols>
  <sheetData>
    <row s="5002" customFormat="1" customHeight="1" ht="22.5" hidden="1">
      <c r="C1" s="738"/>
      <c r="G1" s="483">
        <v>4</v>
      </c>
      <c r="I1" s="483">
        <v>4</v>
      </c>
      <c r="U1" s="486"/>
      <c r="V1" s="483" t="s">
        <v>14</v>
      </c>
    </row>
    <row s="5002" customFormat="1" customHeight="1" ht="15" hidden="1">
      <c r="C2" s="738"/>
      <c r="U2" s="486"/>
      <c r="V2" s="483">
        <v>0</v>
      </c>
    </row>
    <row customHeight="1" ht="22.5" hidden="1">
      <c r="A3" s="571"/>
      <c r="B3" s="2463"/>
      <c r="C3" s="2464" t="s">
        <v>454</v>
      </c>
      <c r="D3" s="755" t="str">
        <f>B3&amp;".1"</f>
        <v>.1</v>
      </c>
      <c r="E3" s="756" t="s">
        <v>944</v>
      </c>
      <c r="F3" s="757" t="s">
        <v>315</v>
      </c>
      <c r="G3" s="752"/>
      <c r="H3" s="467"/>
      <c r="I3" s="752"/>
      <c r="J3" s="467"/>
      <c r="K3" s="355" t="s">
        <v>945</v>
      </c>
      <c r="V3" s="571">
        <v>0</v>
      </c>
    </row>
    <row customHeight="1" ht="15" hidden="1">
      <c r="A4" s="571"/>
      <c r="B4" s="2463"/>
      <c r="C4" s="2464"/>
      <c r="D4" s="755" t="str">
        <f>B3&amp;".2"</f>
        <v>.2</v>
      </c>
      <c r="E4" s="756" t="s">
        <v>946</v>
      </c>
      <c r="F4" s="757" t="s">
        <v>315</v>
      </c>
      <c r="G4" s="1804" t="s">
        <v>28</v>
      </c>
      <c r="H4" s="467"/>
      <c r="I4" s="1804" t="s">
        <v>28</v>
      </c>
      <c r="J4" s="467"/>
      <c r="K4" s="355" t="s">
        <v>947</v>
      </c>
      <c r="V4" s="571">
        <v>0</v>
      </c>
    </row>
    <row s="5002" customFormat="1" customHeight="1" ht="15" hidden="1">
      <c r="C5" s="738"/>
      <c r="U5" s="486"/>
      <c r="V5" s="483">
        <v>0</v>
      </c>
    </row>
    <row customHeight="1" ht="22.5" hidden="1">
      <c r="A6" s="571"/>
      <c r="B6" s="2463"/>
      <c r="C6" s="2464" t="s">
        <v>454</v>
      </c>
      <c r="D6" s="755" t="str">
        <f>B6&amp;".1"</f>
        <v>.1</v>
      </c>
      <c r="E6" s="756" t="s">
        <v>948</v>
      </c>
      <c r="F6" s="757" t="s">
        <v>315</v>
      </c>
      <c r="G6" s="752"/>
      <c r="H6" s="467"/>
      <c r="I6" s="752"/>
      <c r="J6" s="467"/>
      <c r="K6" s="355" t="s">
        <v>949</v>
      </c>
      <c r="V6" s="571">
        <v>0</v>
      </c>
    </row>
    <row customHeight="1" ht="15" hidden="1">
      <c r="A7" s="571"/>
      <c r="B7" s="2463"/>
      <c r="C7" s="2464"/>
      <c r="D7" s="755" t="str">
        <f>B6&amp;".2"</f>
        <v>.2</v>
      </c>
      <c r="E7" s="756" t="s">
        <v>946</v>
      </c>
      <c r="F7" s="757" t="s">
        <v>315</v>
      </c>
      <c r="G7" s="1804" t="s">
        <v>28</v>
      </c>
      <c r="H7" s="467"/>
      <c r="I7" s="1804" t="s">
        <v>28</v>
      </c>
      <c r="J7" s="467"/>
      <c r="K7" s="355" t="s">
        <v>947</v>
      </c>
      <c r="V7" s="571">
        <v>0</v>
      </c>
    </row>
    <row s="5002" customFormat="1" customHeight="1" ht="15" hidden="1">
      <c r="C8" s="738"/>
      <c r="U8" s="486"/>
      <c r="V8" s="483">
        <v>0</v>
      </c>
    </row>
    <row customHeight="1" ht="22.5" hidden="1">
      <c r="A9" s="571"/>
      <c r="B9" s="2463"/>
      <c r="C9" s="2464" t="s">
        <v>454</v>
      </c>
      <c r="D9" s="755" t="str">
        <f>B9&amp;".1"</f>
        <v>.1</v>
      </c>
      <c r="E9" s="756" t="s">
        <v>950</v>
      </c>
      <c r="F9" s="757" t="s">
        <v>315</v>
      </c>
      <c r="G9" s="763" t="s">
        <v>28</v>
      </c>
      <c r="H9" s="467" t="s">
        <v>28</v>
      </c>
      <c r="I9" s="763" t="s">
        <v>28</v>
      </c>
      <c r="J9" s="467" t="s">
        <v>28</v>
      </c>
      <c r="K9" s="355"/>
      <c r="V9" s="571">
        <v>0</v>
      </c>
    </row>
    <row customHeight="1" ht="15" hidden="1">
      <c r="A10" s="571"/>
      <c r="B10" s="2463"/>
      <c r="C10" s="2464"/>
      <c r="D10" s="755" t="str">
        <f>B9&amp;".2"</f>
        <v>.2</v>
      </c>
      <c r="E10" s="756" t="s">
        <v>951</v>
      </c>
      <c r="F10" s="757" t="s">
        <v>315</v>
      </c>
      <c r="G10" s="1798" t="s">
        <v>28</v>
      </c>
      <c r="H10" s="467" t="s">
        <v>28</v>
      </c>
      <c r="I10" s="1798" t="s">
        <v>28</v>
      </c>
      <c r="J10" s="467" t="s">
        <v>28</v>
      </c>
      <c r="K10" s="355" t="s">
        <v>952</v>
      </c>
      <c r="V10" s="571">
        <v>0</v>
      </c>
    </row>
    <row customHeight="1" ht="15" hidden="1">
      <c r="A11" s="571"/>
      <c r="B11" s="2463"/>
      <c r="C11" s="2464"/>
      <c r="D11" s="755" t="str">
        <f>B9&amp;".3"</f>
        <v>.3</v>
      </c>
      <c r="E11" s="756" t="s">
        <v>953</v>
      </c>
      <c r="F11" s="757" t="s">
        <v>315</v>
      </c>
      <c r="G11" s="1798" t="s">
        <v>28</v>
      </c>
      <c r="H11" s="467" t="s">
        <v>28</v>
      </c>
      <c r="I11" s="1798" t="s">
        <v>28</v>
      </c>
      <c r="J11" s="467" t="s">
        <v>28</v>
      </c>
      <c r="K11" s="355" t="s">
        <v>954</v>
      </c>
      <c r="V11" s="571">
        <v>0</v>
      </c>
    </row>
    <row s="5002" customFormat="1" customHeight="1" ht="15" hidden="1">
      <c r="C12" s="738"/>
      <c r="U12" s="486"/>
      <c r="V12" s="483">
        <v>0</v>
      </c>
    </row>
    <row customHeight="1" ht="33.75" hidden="1">
      <c r="A13" s="571"/>
      <c r="B13" s="2463"/>
      <c r="C13" s="2464" t="s">
        <v>454</v>
      </c>
      <c r="D13" s="755" t="str">
        <f>B13&amp;".1"</f>
        <v>.1</v>
      </c>
      <c r="E13" s="756" t="s">
        <v>955</v>
      </c>
      <c r="F13" s="757" t="s">
        <v>315</v>
      </c>
      <c r="G13" s="763" t="s">
        <v>28</v>
      </c>
      <c r="H13" s="467" t="s">
        <v>28</v>
      </c>
      <c r="I13" s="763" t="s">
        <v>28</v>
      </c>
      <c r="J13" s="467" t="s">
        <v>28</v>
      </c>
      <c r="K13" s="355" t="s">
        <v>956</v>
      </c>
      <c r="V13" s="571">
        <v>0</v>
      </c>
    </row>
    <row customHeight="1" ht="15" hidden="1">
      <c r="B14" s="2463"/>
      <c r="C14" s="2464"/>
      <c r="D14" s="755" t="str">
        <f>B13&amp;".2"</f>
        <v>.2</v>
      </c>
      <c r="E14" s="756" t="s">
        <v>957</v>
      </c>
      <c r="F14" s="757" t="s">
        <v>315</v>
      </c>
      <c r="G14" s="1798" t="s">
        <v>28</v>
      </c>
      <c r="H14" s="467" t="s">
        <v>28</v>
      </c>
      <c r="I14" s="1798" t="s">
        <v>28</v>
      </c>
      <c r="J14" s="467" t="s">
        <v>28</v>
      </c>
      <c r="K14" s="355" t="s">
        <v>958</v>
      </c>
      <c r="V14" s="571">
        <v>0</v>
      </c>
    </row>
    <row s="5002" customFormat="1" customHeight="1" ht="15" hidden="1">
      <c r="C15" s="738"/>
      <c r="U15" s="486"/>
      <c r="V15" s="483">
        <v>0</v>
      </c>
    </row>
    <row s="5002" customFormat="1" customHeight="1" ht="15" hidden="1">
      <c r="C16" s="738"/>
      <c r="U16" s="486"/>
      <c r="V16" s="483">
        <v>0</v>
      </c>
    </row>
    <row s="5002" customFormat="1" customHeight="1" ht="15" hidden="1">
      <c r="C17" s="738"/>
      <c r="U17" s="486"/>
      <c r="V17" s="483">
        <v>0</v>
      </c>
    </row>
    <row s="5002" customFormat="1" customHeight="1" ht="15" hidden="1">
      <c r="C18" s="738"/>
      <c r="U18" s="486"/>
      <c r="V18" s="483">
        <v>0</v>
      </c>
    </row>
    <row s="5002" customFormat="1" customHeight="1" ht="15" hidden="1">
      <c r="C19" s="738"/>
      <c r="U19" s="486"/>
      <c r="V19" s="483">
        <v>0</v>
      </c>
    </row>
    <row s="5002" customFormat="1" customHeight="1" ht="15" hidden="1">
      <c r="C20" s="738"/>
      <c r="U20" s="486"/>
      <c r="V20" s="483">
        <v>0</v>
      </c>
    </row>
    <row customHeight="1" ht="15.75">
      <c r="C21" s="242"/>
      <c r="D21" s="575"/>
      <c r="E21" s="575"/>
      <c r="F21" s="575"/>
      <c r="G21" s="575"/>
      <c r="H21" s="575"/>
      <c r="I21" s="575"/>
      <c r="J21" s="575"/>
      <c r="V21" s="571">
        <v>15</v>
      </c>
    </row>
    <row customHeight="1" ht="23.25">
      <c r="C22" s="242"/>
      <c r="D22"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3"/>
      <c r="F22" s="2303"/>
      <c r="G22" s="2303"/>
      <c r="H22" s="2303"/>
      <c r="I22" s="2303"/>
      <c r="J22" s="742"/>
      <c r="K22" s="603"/>
      <c r="V22" s="571">
        <v>22</v>
      </c>
    </row>
    <row customHeight="1" ht="15.75">
      <c r="C23" s="242"/>
      <c r="D23" s="2242" t="str">
        <f>IF(org=0,"Не определено",org)</f>
        <v>Филиал "Уренгойская ГРЭС" АО "Интер РАО - Электрогенерация"</v>
      </c>
      <c r="E23" s="2242"/>
      <c r="F23" s="2242"/>
      <c r="G23" s="2242"/>
      <c r="H23" s="2242"/>
      <c r="I23" s="2242"/>
      <c r="J23" s="742"/>
      <c r="K23" s="603"/>
      <c r="V23" s="571">
        <v>15</v>
      </c>
    </row>
    <row customHeight="1" ht="15.75">
      <c r="C24" s="242"/>
      <c r="D24" s="575"/>
      <c r="E24" s="575"/>
      <c r="F24" s="575"/>
      <c r="G24" s="603">
        <v>22</v>
      </c>
      <c r="H24" s="818"/>
      <c r="I24" s="603">
        <v>22</v>
      </c>
      <c r="J24" s="818"/>
      <c r="V24" s="571">
        <v>15</v>
      </c>
    </row>
    <row s="5053" customFormat="1" customHeight="1" ht="1.05">
      <c r="A25" s="825"/>
      <c r="C25" s="242"/>
      <c r="D25" s="575"/>
      <c r="E25" s="575"/>
      <c r="F25" s="575"/>
      <c r="G25" s="603"/>
      <c r="H25" s="818"/>
      <c r="I25" s="603" t="s">
        <v>122</v>
      </c>
      <c r="J25" s="818"/>
      <c r="K25" s="483"/>
      <c r="U25" s="741"/>
      <c r="V25" s="824">
        <v>1</v>
      </c>
    </row>
    <row customHeight="1" ht="15.75">
      <c r="C26" s="242"/>
      <c r="D26" s="777"/>
      <c r="E26" s="2433" t="s">
        <v>110</v>
      </c>
      <c r="F26" s="2434"/>
      <c r="G26" s="2461" t="str">
        <f>IF(G25="","",INDEX(DIFFERENTIATION_UNMERGE_VD,MATCH(G25,DIFFERENTIATION_ID_DIFF,0)))</f>
        <v/>
      </c>
      <c r="H26" s="2462"/>
      <c r="I26" s="2461">
        <f>IF(I25="","",INDEX(DIFFERENTIATION_UNMERGE_VD,MATCH(I25,DIFFERENTIATION_ID_DIFF,0)))</f>
        <v>0</v>
      </c>
      <c r="J26" s="2462"/>
      <c r="K26" s="2241" t="s">
        <v>310</v>
      </c>
      <c r="V26" s="571">
        <v>15</v>
      </c>
    </row>
    <row s="5053" customFormat="1" customHeight="1" ht="15.75">
      <c r="A27" s="825"/>
      <c r="C27" s="242"/>
      <c r="D27" s="777"/>
      <c r="E27" s="2433" t="s">
        <v>573</v>
      </c>
      <c r="F27" s="2434"/>
      <c r="G27" s="2461" t="str">
        <f>IF(G25="","",INDEX(DIFFERENTIATION_UNMERGE_AREA,MATCH(G25,DIFFERENTIATION_ID_DIFF,0)))</f>
        <v/>
      </c>
      <c r="H27" s="2462"/>
      <c r="I27" s="2461" t="str">
        <f>IF(I25="","",INDEX(DIFFERENTIATION_UNMERGE_AREA,MATCH(I25,DIFFERENTIATION_ID_DIFF,0)))</f>
        <v/>
      </c>
      <c r="J27" s="2462"/>
      <c r="K27" s="2261"/>
      <c r="U27" s="741"/>
      <c r="V27" s="824">
        <v>15</v>
      </c>
    </row>
    <row s="5053" customFormat="1" customHeight="1" ht="15.75">
      <c r="A28" s="825"/>
      <c r="C28" s="242"/>
      <c r="D28" s="777"/>
      <c r="E28" s="2433" t="s">
        <v>574</v>
      </c>
      <c r="F28" s="2434"/>
      <c r="G28" s="2461" t="str">
        <f>IF(G25="","",INDEX(DIFFERENTIATION_UNMERGE_SYSTEM,MATCH(G25,DIFFERENTIATION_ID_DIFF,0)))</f>
        <v/>
      </c>
      <c r="H28" s="2462"/>
      <c r="I28" s="2461" t="str">
        <f>IF(I25="","",INDEX(DIFFERENTIATION_UNMERGE_SYSTEM,MATCH(I25,DIFFERENTIATION_ID_DIFF,0)))</f>
        <v>без дифференциации</v>
      </c>
      <c r="J28" s="2462"/>
      <c r="K28" s="2261"/>
      <c r="U28" s="741"/>
      <c r="V28" s="824">
        <v>15</v>
      </c>
    </row>
    <row s="5053" customFormat="1" customHeight="1" ht="15.75">
      <c r="A29" s="825"/>
      <c r="C29" s="242"/>
      <c r="D29" s="2435" t="s">
        <v>309</v>
      </c>
      <c r="E29" s="2436"/>
      <c r="F29" s="2436"/>
      <c r="G29" s="953"/>
      <c r="H29" s="953"/>
      <c r="I29" s="953"/>
      <c r="J29" s="954"/>
      <c r="K29" s="2261"/>
      <c r="U29" s="741"/>
      <c r="V29" s="824">
        <v>15</v>
      </c>
    </row>
    <row customHeight="1" ht="35.699999999999996">
      <c r="C30" s="242"/>
      <c r="D30" s="827" t="s">
        <v>93</v>
      </c>
      <c r="E30" s="826" t="s">
        <v>311</v>
      </c>
      <c r="F30" s="826" t="s">
        <v>575</v>
      </c>
      <c r="G30" s="874" t="s">
        <v>312</v>
      </c>
      <c r="H30" s="873" t="s">
        <v>399</v>
      </c>
      <c r="I30" s="750" t="s">
        <v>312</v>
      </c>
      <c r="J30" s="531" t="s">
        <v>399</v>
      </c>
      <c r="K30" s="2267"/>
      <c r="V30" s="571">
        <v>34</v>
      </c>
    </row>
    <row customHeight="1" ht="15" hidden="1">
      <c r="C31" s="242"/>
      <c r="D31" s="659"/>
      <c r="E31" s="659"/>
      <c r="F31" s="659"/>
      <c r="G31" s="725"/>
      <c r="H31" s="725"/>
      <c r="I31" s="725"/>
      <c r="J31" s="725"/>
      <c r="K31" s="355"/>
      <c r="V31" s="571">
        <v>0</v>
      </c>
    </row>
    <row customHeight="1" ht="24">
      <c r="A32" s="571"/>
      <c r="B32" s="571" t="s">
        <v>959</v>
      </c>
      <c r="C32" s="592"/>
      <c r="D32" s="758">
        <v>1</v>
      </c>
      <c r="E32" s="759" t="s">
        <v>960</v>
      </c>
      <c r="F32" s="757" t="s">
        <v>315</v>
      </c>
      <c r="G32" s="879" t="s">
        <v>315</v>
      </c>
      <c r="H32" s="879" t="s">
        <v>315</v>
      </c>
      <c r="I32" s="757" t="s">
        <v>315</v>
      </c>
      <c r="J32" s="757" t="s">
        <v>315</v>
      </c>
      <c r="K32" s="355"/>
      <c r="V32" s="571">
        <v>23</v>
      </c>
    </row>
    <row customHeight="1" ht="11.549999999999999">
      <c r="A33" s="571"/>
      <c r="C33" s="571"/>
      <c r="D33" s="413"/>
      <c r="E33" s="646" t="s">
        <v>595</v>
      </c>
      <c r="F33" s="638"/>
      <c r="G33" s="638"/>
      <c r="H33" s="638"/>
      <c r="I33" s="638"/>
      <c r="J33" s="638"/>
      <c r="K33" s="639"/>
      <c r="U33" s="571"/>
      <c r="V33" s="571">
        <v>11</v>
      </c>
    </row>
    <row customHeight="1" ht="24">
      <c r="A34" s="571"/>
      <c r="B34" s="647" t="s">
        <v>645</v>
      </c>
      <c r="C34" s="592"/>
      <c r="D34" s="758">
        <v>2</v>
      </c>
      <c r="E34" s="759" t="s">
        <v>961</v>
      </c>
      <c r="F34" s="886" t="s">
        <v>315</v>
      </c>
      <c r="G34" s="886" t="s">
        <v>315</v>
      </c>
      <c r="H34" s="886" t="s">
        <v>315</v>
      </c>
      <c r="I34" s="757"/>
      <c r="J34" s="757"/>
      <c r="K34" s="355"/>
      <c r="V34" s="571">
        <v>23</v>
      </c>
    </row>
    <row customHeight="1" ht="11.549999999999999">
      <c r="A35" s="571"/>
      <c r="C35" s="571"/>
      <c r="D35" s="413"/>
      <c r="E35" s="646" t="s">
        <v>962</v>
      </c>
      <c r="F35" s="638"/>
      <c r="G35" s="760"/>
      <c r="H35" s="638"/>
      <c r="I35" s="760"/>
      <c r="J35" s="638"/>
      <c r="K35" s="639"/>
      <c r="U35" s="571"/>
      <c r="V35" s="571">
        <v>11</v>
      </c>
    </row>
    <row customHeight="1" ht="71.25">
      <c r="A36" s="571"/>
      <c r="B36" s="571" t="s">
        <v>963</v>
      </c>
      <c r="C36" s="592"/>
      <c r="D36" s="758">
        <v>3</v>
      </c>
      <c r="E36" s="759" t="s">
        <v>964</v>
      </c>
      <c r="F36" s="761" t="s">
        <v>315</v>
      </c>
      <c r="G36" s="880" t="s">
        <v>965</v>
      </c>
      <c r="H36" s="879" t="s">
        <v>315</v>
      </c>
      <c r="I36" s="590" t="s">
        <v>965</v>
      </c>
      <c r="J36" s="757" t="s">
        <v>315</v>
      </c>
      <c r="K36" s="355" t="s">
        <v>966</v>
      </c>
      <c r="V36" s="571">
        <v>68</v>
      </c>
    </row>
    <row customHeight="1" ht="11.549999999999999">
      <c r="A37" s="571"/>
      <c r="C37" s="571"/>
      <c r="D37" s="413"/>
      <c r="E37" s="646" t="s">
        <v>967</v>
      </c>
      <c r="F37" s="638"/>
      <c r="G37" s="760"/>
      <c r="H37" s="760"/>
      <c r="I37" s="760"/>
      <c r="J37" s="760"/>
      <c r="K37" s="639"/>
      <c r="U37" s="571"/>
      <c r="V37" s="571">
        <v>11</v>
      </c>
    </row>
    <row customHeight="1" ht="71.25">
      <c r="A38" s="571"/>
      <c r="B38" s="571" t="s">
        <v>968</v>
      </c>
      <c r="C38" s="592"/>
      <c r="D38" s="758">
        <v>4</v>
      </c>
      <c r="E38" s="759" t="s">
        <v>969</v>
      </c>
      <c r="F38" s="761" t="s">
        <v>315</v>
      </c>
      <c r="G38" s="880" t="s">
        <v>965</v>
      </c>
      <c r="H38" s="881" t="s">
        <v>315</v>
      </c>
      <c r="I38" s="590" t="s">
        <v>965</v>
      </c>
      <c r="J38" s="587" t="s">
        <v>315</v>
      </c>
      <c r="K38" s="745" t="s">
        <v>970</v>
      </c>
      <c r="V38" s="571">
        <v>68</v>
      </c>
    </row>
    <row customHeight="1" ht="11.549999999999999">
      <c r="A39" s="571"/>
      <c r="C39" s="571"/>
      <c r="D39" s="413"/>
      <c r="E39" s="646" t="s">
        <v>971</v>
      </c>
      <c r="F39" s="638"/>
      <c r="G39" s="638"/>
      <c r="H39" s="762"/>
      <c r="I39" s="638"/>
      <c r="J39" s="762"/>
      <c r="K39" s="639"/>
      <c r="U39" s="571"/>
      <c r="V39" s="571">
        <v>11</v>
      </c>
    </row>
    <row customHeight="1" ht="22.5" hidden="1">
      <c r="A40" s="515" t="s">
        <v>87</v>
      </c>
      <c r="B40" s="571">
        <v>0</v>
      </c>
      <c r="C40" s="749">
        <v>4</v>
      </c>
      <c r="D40" s="571">
        <v>6</v>
      </c>
      <c r="E40" s="571">
        <v>36</v>
      </c>
      <c r="F40" s="571">
        <v>9</v>
      </c>
      <c r="G40" s="824">
        <v>0</v>
      </c>
      <c r="H40" s="824">
        <v>0</v>
      </c>
      <c r="I40" s="571">
        <v>25</v>
      </c>
      <c r="J40" s="571">
        <v>33</v>
      </c>
      <c r="K40" s="483">
        <v>93</v>
      </c>
      <c r="L40" s="571">
        <v>10</v>
      </c>
      <c r="M40" s="571">
        <v>10</v>
      </c>
      <c r="N40" s="571">
        <v>10</v>
      </c>
      <c r="O40" s="571">
        <v>10</v>
      </c>
      <c r="P40" s="571">
        <v>10</v>
      </c>
      <c r="Q40" s="571">
        <v>10</v>
      </c>
      <c r="R40" s="571">
        <v>10</v>
      </c>
      <c r="S40" s="571">
        <v>10</v>
      </c>
      <c r="T40" s="571">
        <v>10</v>
      </c>
      <c r="U40" s="741">
        <v>10</v>
      </c>
      <c r="V40" s="57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FDAD3-541E-F426-942D-BC04F8480EC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797" width="6.7109375" hidden="1" customWidth="1"/>
    <col min="4" max="4" style="5002" width="6.7109375" hidden="1" customWidth="1"/>
    <col min="5" max="5" style="5053" width="3.00390625" customWidth="1"/>
    <col min="6" max="6" style="5053" width="6.00390625" customWidth="1"/>
    <col min="7" max="7" style="5053" width="37.00390625" customWidth="1"/>
    <col min="8" max="8" style="5053" width="16.00390625" customWidth="1"/>
    <col min="9" max="10" style="5053" width="19.00390625" customWidth="1"/>
    <col min="11" max="11" style="5053" width="24.00390625" customWidth="1"/>
    <col min="12" max="13" style="5053" width="25.00390625" customWidth="1"/>
    <col min="14" max="16" style="5053" width="17.00390625" customWidth="1"/>
    <col min="17" max="24" style="5053" width="19.00390625" customWidth="1"/>
    <col min="25" max="25" style="5053" width="7.00390625" customWidth="1"/>
    <col min="26" max="26" style="5053" width="3.00390625" customWidth="1"/>
    <col min="27" max="27" style="5053" width="6.00390625" customWidth="1"/>
    <col min="28" max="28" style="5053" width="34.00390625" customWidth="1"/>
    <col min="29" max="30" style="5053" width="8.00390625" customWidth="1"/>
    <col min="31" max="31" style="5053" width="9.140625" hidden="1"/>
  </cols>
  <sheetData>
    <row s="5002" customFormat="1" customHeight="1" ht="10.5" hidden="1">
      <c r="A1" s="961"/>
      <c r="B1" s="961"/>
      <c r="C1" s="961"/>
      <c r="E1" s="603"/>
      <c r="H1" s="1226"/>
      <c r="AE1" s="483" t="s">
        <v>14</v>
      </c>
    </row>
    <row customHeight="1" ht="10.5" hidden="1">
      <c r="AE2" s="824">
        <v>0</v>
      </c>
    </row>
    <row s="5297" customFormat="1" customHeight="1" ht="10.5" hidden="1">
      <c r="A3" s="961"/>
      <c r="B3" s="961"/>
      <c r="C3" s="961"/>
      <c r="D3" s="483"/>
      <c r="E3" s="428"/>
      <c r="G3" s="1698" t="s">
        <v>972</v>
      </c>
      <c r="H3" s="1222"/>
      <c r="AE3" s="825">
        <v>0</v>
      </c>
    </row>
    <row customHeight="1" ht="3">
      <c r="AE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M5" s="648"/>
      <c r="AB5" s="972"/>
      <c r="AE5" s="824">
        <v>26</v>
      </c>
    </row>
    <row s="5053" customFormat="1" customHeight="1" ht="16.8">
      <c r="A6" s="1232"/>
      <c r="B6" s="1232"/>
      <c r="C6" s="1232"/>
      <c r="D6" s="1226"/>
      <c r="E6" s="1701"/>
      <c r="F6" s="2315" t="str">
        <f>IF(org=0,"Не определено",org)</f>
        <v>Филиал "Уренгойская ГРЭС" АО "Интер РАО - Электрогенерация"</v>
      </c>
      <c r="G6" s="2315"/>
      <c r="H6" s="2315"/>
      <c r="I6" s="2315"/>
      <c r="J6" s="2315"/>
      <c r="K6" s="2315"/>
      <c r="M6" s="648"/>
      <c r="AB6" s="1214"/>
      <c r="AE6" s="1697">
        <v>16</v>
      </c>
    </row>
    <row customHeight="1" ht="10.5">
      <c r="AE7" s="824">
        <v>10</v>
      </c>
    </row>
    <row customHeight="1" ht="10.5">
      <c r="A8" s="1117"/>
      <c r="B8" s="1117"/>
      <c r="C8" s="1117"/>
      <c r="F8" s="2167" t="s">
        <v>309</v>
      </c>
      <c r="G8" s="2168"/>
      <c r="H8" s="2168"/>
      <c r="I8" s="2168"/>
      <c r="J8" s="2168"/>
      <c r="K8" s="2168"/>
      <c r="L8" s="2168"/>
      <c r="M8" s="2168"/>
      <c r="N8" s="2168"/>
      <c r="O8" s="2168"/>
      <c r="P8" s="2168"/>
      <c r="Q8" s="2168"/>
      <c r="R8" s="2168"/>
      <c r="S8" s="2168"/>
      <c r="T8" s="2168"/>
      <c r="U8" s="2168"/>
      <c r="V8" s="2168"/>
      <c r="W8" s="2168"/>
      <c r="X8" s="2168"/>
      <c r="Y8" s="2168"/>
      <c r="Z8" s="2168"/>
      <c r="AA8" s="2168"/>
      <c r="AB8" s="2169"/>
      <c r="AE8" s="824">
        <v>10</v>
      </c>
    </row>
    <row customHeight="1" ht="43.050000000000004">
      <c r="A9" s="971"/>
      <c r="B9" s="971"/>
      <c r="C9" s="971"/>
      <c r="F9" s="2193" t="s">
        <v>93</v>
      </c>
      <c r="G9" s="2193" t="s">
        <v>972</v>
      </c>
      <c r="H9" s="2241" t="s">
        <v>973</v>
      </c>
      <c r="I9" s="2193" t="s">
        <v>974</v>
      </c>
      <c r="J9" s="2193" t="s">
        <v>975</v>
      </c>
      <c r="K9" s="2193" t="s">
        <v>976</v>
      </c>
      <c r="L9" s="2193" t="s">
        <v>977</v>
      </c>
      <c r="M9" s="2193" t="s">
        <v>978</v>
      </c>
      <c r="N9" s="2275" t="s">
        <v>979</v>
      </c>
      <c r="O9" s="2275"/>
      <c r="P9" s="2275"/>
      <c r="Q9" s="2465" t="s">
        <v>980</v>
      </c>
      <c r="R9" s="2466"/>
      <c r="S9" s="2466"/>
      <c r="T9" s="2467"/>
      <c r="U9" s="2465" t="s">
        <v>981</v>
      </c>
      <c r="V9" s="2466"/>
      <c r="W9" s="2466"/>
      <c r="X9" s="2467"/>
      <c r="Y9" s="2167" t="s">
        <v>982</v>
      </c>
      <c r="Z9" s="2168"/>
      <c r="AA9" s="2168"/>
      <c r="AB9" s="2169"/>
      <c r="AE9" s="824">
        <v>41</v>
      </c>
    </row>
    <row customHeight="1" ht="43.050000000000004">
      <c r="A10" s="971"/>
      <c r="B10" s="971"/>
      <c r="C10" s="971"/>
      <c r="F10" s="2241"/>
      <c r="G10" s="2241"/>
      <c r="H10" s="2298"/>
      <c r="I10" s="2241"/>
      <c r="J10" s="2241"/>
      <c r="K10" s="2241"/>
      <c r="L10" s="2241"/>
      <c r="M10" s="2241"/>
      <c r="N10" s="969" t="s">
        <v>983</v>
      </c>
      <c r="O10" s="969" t="s">
        <v>984</v>
      </c>
      <c r="P10" s="970" t="s">
        <v>985</v>
      </c>
      <c r="Q10" s="981" t="s">
        <v>94</v>
      </c>
      <c r="R10" s="981" t="s">
        <v>986</v>
      </c>
      <c r="S10" s="981" t="s">
        <v>987</v>
      </c>
      <c r="T10" s="982" t="s">
        <v>988</v>
      </c>
      <c r="U10" s="981" t="s">
        <v>94</v>
      </c>
      <c r="V10" s="981" t="s">
        <v>989</v>
      </c>
      <c r="W10" s="981" t="s">
        <v>987</v>
      </c>
      <c r="X10" s="982" t="s">
        <v>988</v>
      </c>
      <c r="Y10" s="367" t="s">
        <v>990</v>
      </c>
      <c r="Z10" s="2167" t="s">
        <v>93</v>
      </c>
      <c r="AA10" s="2169"/>
      <c r="AB10" s="1115" t="s">
        <v>991</v>
      </c>
      <c r="AE10" s="824">
        <v>41</v>
      </c>
    </row>
    <row s="4562" customFormat="1" customHeight="1" ht="5.25" hidden="1">
      <c r="A11" s="1118"/>
      <c r="B11" s="1118"/>
      <c r="C11" s="1118"/>
      <c r="E11" s="1116"/>
      <c r="F11" s="2472" t="s">
        <v>385</v>
      </c>
      <c r="G11" s="2469"/>
      <c r="H11" s="2468"/>
      <c r="I11" s="2468"/>
      <c r="J11" s="2468"/>
      <c r="K11" s="2470"/>
      <c r="L11" s="2470"/>
      <c r="M11" s="2470"/>
      <c r="N11" s="2468"/>
      <c r="O11" s="2468"/>
      <c r="P11" s="2193"/>
      <c r="Q11" s="2245"/>
      <c r="R11" s="2245"/>
      <c r="S11" s="2245"/>
      <c r="T11" s="2468"/>
      <c r="U11" s="2245"/>
      <c r="V11" s="2245"/>
      <c r="W11" s="2245"/>
      <c r="X11" s="2468"/>
      <c r="Y11" s="2174"/>
      <c r="Z11" s="2174"/>
      <c r="AA11" s="2174"/>
      <c r="AB11" s="2174"/>
      <c r="AD11" s="577" t="s">
        <v>992</v>
      </c>
      <c r="AE11" s="577">
        <v>0</v>
      </c>
    </row>
    <row s="4562" customFormat="1" customHeight="1" ht="5.25" hidden="1">
      <c r="A12" s="962"/>
      <c r="B12" s="962"/>
      <c r="C12" s="962"/>
      <c r="E12" s="584"/>
      <c r="F12" s="2472"/>
      <c r="G12" s="2469"/>
      <c r="H12" s="2468"/>
      <c r="I12" s="2468"/>
      <c r="J12" s="2468"/>
      <c r="K12" s="2470"/>
      <c r="L12" s="2470"/>
      <c r="M12" s="2470"/>
      <c r="N12" s="2468"/>
      <c r="O12" s="2468"/>
      <c r="P12" s="2193"/>
      <c r="Q12" s="2245"/>
      <c r="R12" s="2245"/>
      <c r="S12" s="2245"/>
      <c r="T12" s="2468"/>
      <c r="U12" s="2245"/>
      <c r="V12" s="2245"/>
      <c r="W12" s="2245"/>
      <c r="X12" s="2468"/>
      <c r="Y12" s="2471"/>
      <c r="Z12" s="2471"/>
      <c r="AA12" s="2471"/>
      <c r="AB12" s="2471"/>
      <c r="AE12" s="577">
        <v>0</v>
      </c>
    </row>
    <row customHeight="1" ht="10.5">
      <c r="F13" s="968"/>
      <c r="G13" s="716" t="s">
        <v>993</v>
      </c>
      <c r="H13" s="1234"/>
      <c r="I13" s="638"/>
      <c r="J13" s="638"/>
      <c r="K13" s="638"/>
      <c r="L13" s="638"/>
      <c r="M13" s="638"/>
      <c r="N13" s="638"/>
      <c r="O13" s="638"/>
      <c r="P13" s="638"/>
      <c r="Q13" s="638"/>
      <c r="R13" s="638"/>
      <c r="S13" s="638"/>
      <c r="T13" s="638"/>
      <c r="U13" s="638"/>
      <c r="V13" s="638"/>
      <c r="W13" s="638"/>
      <c r="X13" s="638"/>
      <c r="Y13" s="638"/>
      <c r="Z13" s="762"/>
      <c r="AA13" s="762"/>
      <c r="AB13" s="983"/>
      <c r="AE13" s="824">
        <v>10</v>
      </c>
    </row>
    <row customHeight="1" ht="10.5">
      <c r="AE14" s="824">
        <v>10</v>
      </c>
    </row>
    <row s="4562" customFormat="1" customHeight="1" ht="10.5">
      <c r="A15" s="1233"/>
      <c r="B15" s="1233"/>
      <c r="C15" s="1233"/>
      <c r="E15" s="584"/>
      <c r="H15" s="577">
        <f>_xlfn.IFERROR(MATCH("нет",IP_MAIN_DIFFERENTIATION_EVENTS_FLAG,0),0)</f>
        <v>0</v>
      </c>
      <c r="AE15" s="577">
        <v>10</v>
      </c>
    </row>
    <row customHeight="1" ht="10.5" hidden="1">
      <c r="A16" s="961" t="s">
        <v>87</v>
      </c>
      <c r="B16" s="961">
        <v>0</v>
      </c>
      <c r="C16" s="961">
        <v>0</v>
      </c>
      <c r="D16" s="483">
        <v>0</v>
      </c>
      <c r="E16" s="575">
        <v>3</v>
      </c>
      <c r="F16" s="824">
        <v>6</v>
      </c>
      <c r="G16" s="824">
        <v>37</v>
      </c>
      <c r="H16" s="1221">
        <v>16</v>
      </c>
      <c r="I16" s="824">
        <v>19</v>
      </c>
      <c r="J16" s="824">
        <v>19</v>
      </c>
      <c r="K16" s="824">
        <v>24</v>
      </c>
      <c r="L16" s="824">
        <v>25</v>
      </c>
      <c r="M16" s="824">
        <v>25</v>
      </c>
      <c r="N16" s="824">
        <v>17</v>
      </c>
      <c r="O16" s="824">
        <v>17</v>
      </c>
      <c r="P16" s="824">
        <v>17</v>
      </c>
      <c r="Q16" s="824">
        <v>19</v>
      </c>
      <c r="R16" s="824">
        <v>19</v>
      </c>
      <c r="S16" s="824">
        <v>19</v>
      </c>
      <c r="T16" s="824">
        <v>19</v>
      </c>
      <c r="U16" s="824">
        <v>19</v>
      </c>
      <c r="V16" s="824">
        <v>19</v>
      </c>
      <c r="W16" s="824">
        <v>19</v>
      </c>
      <c r="X16" s="824">
        <v>19</v>
      </c>
      <c r="Y16" s="824">
        <v>7</v>
      </c>
      <c r="Z16" s="824">
        <v>3</v>
      </c>
      <c r="AA16" s="824">
        <v>6</v>
      </c>
      <c r="AB16" s="824">
        <v>34</v>
      </c>
      <c r="AC16" s="824">
        <v>8</v>
      </c>
      <c r="AD16" s="824">
        <v>8</v>
      </c>
      <c r="AE16" s="82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345CB-80A3-CE0F-2E05-41C14E4F70D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797" width="4.140625" hidden="1" customWidth="1"/>
    <col min="4" max="4" style="5002" width="4.140625" hidden="1" customWidth="1"/>
    <col min="5" max="5" style="5053" width="3.00390625" customWidth="1"/>
    <col min="6" max="6" style="5053" width="14.00390625" customWidth="1"/>
    <col min="7" max="7" style="5053" width="3.00390625" customWidth="1"/>
    <col min="8" max="8" style="5053" width="7.00390625" customWidth="1"/>
    <col min="9" max="10" style="5053" width="16.00390625" customWidth="1"/>
    <col min="11" max="11" style="5053" width="25.00390625" customWidth="1"/>
    <col min="12" max="12" style="5053" width="7.00390625" customWidth="1"/>
    <col min="13" max="13" style="5053" width="15.00390625" customWidth="1"/>
    <col min="14" max="14" style="5053" width="3.00390625" customWidth="1"/>
    <col min="15" max="15" style="5053" width="4.00390625" customWidth="1"/>
    <col min="16" max="16" style="5053" width="8.00390625" customWidth="1"/>
    <col min="17" max="17" style="5053" width="21.00390625" customWidth="1"/>
    <col min="18" max="18" style="5053" width="14.00390625" customWidth="1"/>
    <col min="19" max="20" style="5053" width="17.00390625" customWidth="1"/>
    <col min="21" max="21" style="5053" width="9.00390625" customWidth="1"/>
    <col min="22" max="22" style="5053" width="12.00390625" customWidth="1"/>
    <col min="23" max="23" style="5053" width="9.00390625" customWidth="1"/>
    <col min="24" max="24" style="5053" width="21.00390625" customWidth="1"/>
    <col min="25" max="25" style="5053" width="12.00390625" customWidth="1"/>
    <col min="26" max="26" style="5053" width="3.00390625" customWidth="1"/>
    <col min="27" max="27" style="5053" width="6.00390625" customWidth="1"/>
    <col min="28" max="28" style="5053" width="38.00390625" customWidth="1"/>
    <col min="29" max="29" style="5053" width="15.00390625" customWidth="1"/>
    <col min="30" max="30" style="5053" width="37.57421875" hidden="1" customWidth="1"/>
    <col min="31" max="31" style="5053" width="15.7109375" hidden="1" customWidth="1"/>
    <col min="32" max="34" style="5053" width="16.00390625" customWidth="1"/>
    <col min="35" max="37" style="5053" width="16.7109375" hidden="1" customWidth="1"/>
    <col min="38" max="58" style="5053" width="8.00390625" customWidth="1"/>
    <col min="59" max="59" style="5053" width="9.140625" hidden="1"/>
  </cols>
  <sheetData>
    <row s="5002" customFormat="1" customHeight="1" ht="10.5" hidden="1">
      <c r="A1" s="961"/>
      <c r="B1" s="961"/>
      <c r="C1" s="961"/>
      <c r="E1" s="603"/>
      <c r="H1" s="1226"/>
      <c r="L1" s="1194"/>
      <c r="M1" s="1194"/>
      <c r="AD1" s="1194"/>
      <c r="AH1" s="1213"/>
      <c r="AI1" s="1206"/>
      <c r="BG1" s="483" t="s">
        <v>14</v>
      </c>
    </row>
    <row customHeight="1" ht="10.5" hidden="1">
      <c r="BG2" s="824">
        <v>0</v>
      </c>
    </row>
    <row s="5297" customFormat="1" customHeight="1" ht="10.5" hidden="1">
      <c r="A3" s="961"/>
      <c r="B3" s="961"/>
      <c r="C3" s="961"/>
      <c r="D3" s="483"/>
      <c r="E3" s="428"/>
      <c r="H3" s="1222"/>
      <c r="L3" s="1192"/>
      <c r="M3" s="1192"/>
      <c r="AD3" s="1192"/>
      <c r="AH3" s="1211"/>
      <c r="AI3" s="1204"/>
      <c r="BG3" s="825">
        <v>0</v>
      </c>
    </row>
    <row customHeight="1" ht="3">
      <c r="BG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L5" s="1201"/>
      <c r="M5" s="1201"/>
      <c r="AG5" s="972"/>
      <c r="AH5" s="1214"/>
      <c r="BG5" s="824">
        <v>26</v>
      </c>
    </row>
    <row customHeight="1" ht="10.5">
      <c r="F6" s="2242" t="str">
        <f>IF(org=0,"Не определено",org)</f>
        <v>Филиал "Уренгойская ГРЭС" АО "Интер РАО - Электрогенерация"</v>
      </c>
      <c r="G6" s="2242"/>
      <c r="H6" s="2242"/>
      <c r="I6" s="2242"/>
      <c r="J6" s="2242"/>
      <c r="K6" s="2242"/>
      <c r="L6" s="1202"/>
      <c r="M6" s="1202"/>
      <c r="BG6" s="824">
        <v>10</v>
      </c>
    </row>
    <row customHeight="1" ht="11.549999999999999">
      <c r="E7" s="974"/>
      <c r="F7" s="985"/>
      <c r="G7" s="985"/>
      <c r="H7" s="1250"/>
      <c r="I7" s="985"/>
      <c r="J7" s="985"/>
      <c r="K7" s="987"/>
      <c r="L7" s="1199"/>
      <c r="M7" s="1199"/>
      <c r="N7" s="985"/>
      <c r="O7" s="985"/>
      <c r="P7" s="985"/>
      <c r="Q7" s="987"/>
      <c r="R7" s="985"/>
      <c r="S7" s="985"/>
      <c r="T7" s="985"/>
      <c r="U7" s="985"/>
      <c r="V7" s="985"/>
      <c r="W7" s="985"/>
      <c r="X7" s="985"/>
      <c r="Y7" s="985"/>
      <c r="Z7" s="985"/>
      <c r="AA7" s="985"/>
      <c r="AB7" s="985"/>
      <c r="AC7" s="986"/>
      <c r="AD7" s="1198"/>
      <c r="AE7" s="986"/>
      <c r="AF7" s="985"/>
      <c r="AG7" s="985"/>
      <c r="AH7" s="1216"/>
      <c r="AI7" s="1209"/>
      <c r="AJ7" s="985"/>
      <c r="AK7" s="985"/>
      <c r="AL7" s="976"/>
      <c r="AM7" s="976"/>
      <c r="AN7" s="976"/>
      <c r="AO7" s="973"/>
      <c r="AP7" s="973"/>
      <c r="AQ7" s="973"/>
      <c r="AR7" s="973"/>
      <c r="AS7" s="973"/>
      <c r="AT7" s="973"/>
      <c r="AU7" s="973"/>
      <c r="AV7" s="973"/>
      <c r="AW7" s="973"/>
      <c r="AX7" s="973"/>
      <c r="AY7" s="973"/>
      <c r="AZ7" s="973"/>
      <c r="BA7" s="973"/>
      <c r="BB7" s="973"/>
      <c r="BC7" s="973"/>
      <c r="BD7" s="973"/>
      <c r="BE7" s="973"/>
      <c r="BF7" s="973"/>
      <c r="BG7" s="824">
        <v>11</v>
      </c>
    </row>
    <row customHeight="1" ht="10.5">
      <c r="E8" s="974"/>
      <c r="F8" s="2481" t="s">
        <v>309</v>
      </c>
      <c r="G8" s="2482"/>
      <c r="H8" s="2482"/>
      <c r="I8" s="2482"/>
      <c r="J8" s="2482"/>
      <c r="K8" s="2482"/>
      <c r="L8" s="2482"/>
      <c r="M8" s="2482"/>
      <c r="N8" s="2482"/>
      <c r="O8" s="2482"/>
      <c r="P8" s="2482"/>
      <c r="Q8" s="2482"/>
      <c r="R8" s="2482"/>
      <c r="S8" s="2482"/>
      <c r="T8" s="2482"/>
      <c r="U8" s="2482"/>
      <c r="V8" s="2482"/>
      <c r="W8" s="2482"/>
      <c r="X8" s="2482"/>
      <c r="Y8" s="2482"/>
      <c r="Z8" s="2482"/>
      <c r="AA8" s="2482"/>
      <c r="AB8" s="2482"/>
      <c r="AC8" s="2482"/>
      <c r="AD8" s="2482"/>
      <c r="AE8" s="2482"/>
      <c r="AF8" s="2482"/>
      <c r="AG8" s="2482"/>
      <c r="AH8" s="2482"/>
      <c r="AI8" s="2482"/>
      <c r="AJ8" s="2482"/>
      <c r="AK8" s="2483"/>
      <c r="AL8" s="975"/>
      <c r="AM8" s="973"/>
      <c r="AN8" s="973"/>
      <c r="AO8" s="973"/>
      <c r="AP8" s="973"/>
      <c r="AQ8" s="973"/>
      <c r="AR8" s="973"/>
      <c r="AS8" s="973"/>
      <c r="AT8" s="973"/>
      <c r="AU8" s="973"/>
      <c r="AV8" s="973"/>
      <c r="AW8" s="973"/>
      <c r="AX8" s="973"/>
      <c r="AY8" s="973"/>
      <c r="AZ8" s="973"/>
      <c r="BA8" s="973"/>
      <c r="BB8" s="973"/>
      <c r="BC8" s="973"/>
      <c r="BD8" s="973"/>
      <c r="BE8" s="973"/>
      <c r="BF8" s="973"/>
      <c r="BG8" s="824">
        <v>10</v>
      </c>
    </row>
    <row customHeight="1" ht="24">
      <c r="A9" s="971"/>
      <c r="B9" s="971"/>
      <c r="C9" s="971"/>
      <c r="E9" s="974"/>
      <c r="F9" s="2474" t="s">
        <v>994</v>
      </c>
      <c r="G9" s="2475" t="s">
        <v>995</v>
      </c>
      <c r="H9" s="2476"/>
      <c r="I9" s="2193" t="s">
        <v>996</v>
      </c>
      <c r="J9" s="2193"/>
      <c r="K9" s="2193" t="s">
        <v>997</v>
      </c>
      <c r="L9" s="2193"/>
      <c r="M9" s="2193"/>
      <c r="N9" s="2193"/>
      <c r="O9" s="2193"/>
      <c r="P9" s="2193"/>
      <c r="Q9" s="2193"/>
      <c r="R9" s="2193"/>
      <c r="S9" s="2193"/>
      <c r="T9" s="2193"/>
      <c r="U9" s="2193"/>
      <c r="V9" s="2193"/>
      <c r="W9" s="2193"/>
      <c r="X9" s="2193"/>
      <c r="Y9" s="2193"/>
      <c r="Z9" s="2258" t="s">
        <v>998</v>
      </c>
      <c r="AA9" s="2259"/>
      <c r="AB9" s="2193" t="s">
        <v>999</v>
      </c>
      <c r="AC9" s="2193"/>
      <c r="AD9" s="2193"/>
      <c r="AE9" s="2193"/>
      <c r="AF9" s="2241" t="s">
        <v>1000</v>
      </c>
      <c r="AG9" s="2193" t="s">
        <v>1001</v>
      </c>
      <c r="AH9" s="2193"/>
      <c r="AI9" s="2241" t="s">
        <v>1002</v>
      </c>
      <c r="AJ9" s="2193" t="s">
        <v>1003</v>
      </c>
      <c r="AK9" s="2193"/>
      <c r="AL9" s="1208"/>
      <c r="AM9" s="973"/>
      <c r="AN9" s="973"/>
      <c r="AO9" s="973"/>
      <c r="AP9" s="973"/>
      <c r="AQ9" s="973"/>
      <c r="AR9" s="973"/>
      <c r="AS9" s="973"/>
      <c r="AT9" s="973"/>
      <c r="AU9" s="973"/>
      <c r="AV9" s="973"/>
      <c r="AW9" s="973"/>
      <c r="AX9" s="973"/>
      <c r="AY9" s="973"/>
      <c r="AZ9" s="973"/>
      <c r="BA9" s="973"/>
      <c r="BB9" s="973"/>
      <c r="BC9" s="973"/>
      <c r="BD9" s="973"/>
      <c r="BE9" s="973"/>
      <c r="BF9" s="973"/>
      <c r="BG9" s="824">
        <v>23</v>
      </c>
    </row>
    <row customHeight="1" ht="25.2">
      <c r="A10" s="971"/>
      <c r="B10" s="971"/>
      <c r="C10" s="971"/>
      <c r="E10" s="978"/>
      <c r="F10" s="2474"/>
      <c r="G10" s="2477"/>
      <c r="H10" s="2478"/>
      <c r="I10" s="2193"/>
      <c r="J10" s="2193"/>
      <c r="K10" s="2193" t="s">
        <v>1004</v>
      </c>
      <c r="L10" s="2167" t="s">
        <v>1005</v>
      </c>
      <c r="M10" s="2169"/>
      <c r="N10" s="2193" t="s">
        <v>1006</v>
      </c>
      <c r="O10" s="2193"/>
      <c r="P10" s="2193"/>
      <c r="Q10" s="2193"/>
      <c r="R10" s="2193"/>
      <c r="S10" s="2193"/>
      <c r="T10" s="2193"/>
      <c r="U10" s="2193"/>
      <c r="V10" s="2193"/>
      <c r="W10" s="2193"/>
      <c r="X10" s="2193"/>
      <c r="Y10" s="2193"/>
      <c r="Z10" s="2260"/>
      <c r="AA10" s="2261"/>
      <c r="AB10" s="2193"/>
      <c r="AC10" s="2193"/>
      <c r="AD10" s="2193"/>
      <c r="AE10" s="2193"/>
      <c r="AF10" s="2265"/>
      <c r="AG10" s="2193"/>
      <c r="AH10" s="2193"/>
      <c r="AI10" s="2265"/>
      <c r="AJ10" s="2193"/>
      <c r="AK10" s="2193"/>
      <c r="AL10" s="1208"/>
      <c r="AM10" s="979"/>
      <c r="AN10" s="979"/>
      <c r="AO10" s="979"/>
      <c r="AP10" s="979"/>
      <c r="AQ10" s="979"/>
      <c r="AR10" s="979"/>
      <c r="AS10" s="979"/>
      <c r="AT10" s="979"/>
      <c r="AU10" s="979"/>
      <c r="AV10" s="979"/>
      <c r="AW10" s="979"/>
      <c r="AX10" s="979"/>
      <c r="AY10" s="979"/>
      <c r="AZ10" s="979"/>
      <c r="BA10" s="979"/>
      <c r="BB10" s="979"/>
      <c r="BC10" s="979"/>
      <c r="BD10" s="979"/>
      <c r="BE10" s="979"/>
      <c r="BF10" s="979"/>
      <c r="BG10" s="824">
        <v>24</v>
      </c>
    </row>
    <row s="5053" customFormat="1" customHeight="1" ht="25.2">
      <c r="A11" s="1195"/>
      <c r="B11" s="1195"/>
      <c r="C11" s="1195"/>
      <c r="D11" s="1194"/>
      <c r="E11" s="1196"/>
      <c r="F11" s="2474"/>
      <c r="G11" s="2477"/>
      <c r="H11" s="2478"/>
      <c r="I11" s="2193"/>
      <c r="J11" s="2193"/>
      <c r="K11" s="2193"/>
      <c r="L11" s="2241" t="s">
        <v>1007</v>
      </c>
      <c r="M11" s="2241" t="s">
        <v>1008</v>
      </c>
      <c r="N11" s="2193" t="s">
        <v>1009</v>
      </c>
      <c r="O11" s="2193"/>
      <c r="P11" s="2484" t="s">
        <v>990</v>
      </c>
      <c r="Q11" s="2484" t="s">
        <v>1010</v>
      </c>
      <c r="R11" s="2484" t="s">
        <v>1011</v>
      </c>
      <c r="S11" s="2484" t="s">
        <v>1012</v>
      </c>
      <c r="T11" s="2484"/>
      <c r="U11" s="2484"/>
      <c r="V11" s="2484"/>
      <c r="W11" s="2484"/>
      <c r="X11" s="2484"/>
      <c r="Y11" s="2484"/>
      <c r="Z11" s="2260"/>
      <c r="AA11" s="2261"/>
      <c r="AB11" s="2193" t="s">
        <v>1013</v>
      </c>
      <c r="AC11" s="2193"/>
      <c r="AD11" s="2167" t="s">
        <v>1014</v>
      </c>
      <c r="AE11" s="2169"/>
      <c r="AF11" s="2265"/>
      <c r="AG11" s="2193"/>
      <c r="AH11" s="2193"/>
      <c r="AI11" s="2265"/>
      <c r="AJ11" s="2193"/>
      <c r="AK11" s="2193"/>
      <c r="AL11" s="1208"/>
      <c r="AM11" s="1193"/>
      <c r="AN11" s="1193"/>
      <c r="AO11" s="1193"/>
      <c r="AP11" s="1193"/>
      <c r="AQ11" s="1193"/>
      <c r="AR11" s="1193"/>
      <c r="AS11" s="1193"/>
      <c r="AT11" s="1193"/>
      <c r="AU11" s="1193"/>
      <c r="AV11" s="1193"/>
      <c r="AW11" s="1193"/>
      <c r="AX11" s="1193"/>
      <c r="AY11" s="1193"/>
      <c r="AZ11" s="1193"/>
      <c r="BA11" s="1193"/>
      <c r="BB11" s="1193"/>
      <c r="BC11" s="1193"/>
      <c r="BD11" s="1193"/>
      <c r="BE11" s="1193"/>
      <c r="BF11" s="1193"/>
      <c r="BG11" s="1191">
        <v>24</v>
      </c>
    </row>
    <row customHeight="1" ht="35.699999999999996">
      <c r="A12" s="971"/>
      <c r="B12" s="971"/>
      <c r="C12" s="971"/>
      <c r="E12" s="974"/>
      <c r="F12" s="2474"/>
      <c r="G12" s="2479"/>
      <c r="H12" s="2480"/>
      <c r="I12" s="1219" t="s">
        <v>94</v>
      </c>
      <c r="J12" s="1219" t="s">
        <v>1015</v>
      </c>
      <c r="K12" s="2193"/>
      <c r="L12" s="2298"/>
      <c r="M12" s="2298"/>
      <c r="N12" s="2193"/>
      <c r="O12" s="2193"/>
      <c r="P12" s="2484"/>
      <c r="Q12" s="2484"/>
      <c r="R12" s="2484"/>
      <c r="S12" s="1200" t="s">
        <v>91</v>
      </c>
      <c r="T12" s="1200" t="s">
        <v>92</v>
      </c>
      <c r="U12" s="1200" t="s">
        <v>90</v>
      </c>
      <c r="V12" s="1200" t="s">
        <v>1016</v>
      </c>
      <c r="W12" s="1200" t="s">
        <v>90</v>
      </c>
      <c r="X12" s="1200" t="s">
        <v>1017</v>
      </c>
      <c r="Y12" s="1200" t="s">
        <v>1018</v>
      </c>
      <c r="Z12" s="2266"/>
      <c r="AA12" s="2267"/>
      <c r="AB12" s="1207" t="s">
        <v>1019</v>
      </c>
      <c r="AC12" s="1207" t="s">
        <v>1020</v>
      </c>
      <c r="AD12" s="1207" t="s">
        <v>1019</v>
      </c>
      <c r="AE12" s="1207" t="s">
        <v>1020</v>
      </c>
      <c r="AF12" s="2298"/>
      <c r="AG12" s="1220" t="s">
        <v>1021</v>
      </c>
      <c r="AH12" s="1220" t="s">
        <v>1022</v>
      </c>
      <c r="AI12" s="2298"/>
      <c r="AJ12" s="1220" t="s">
        <v>1021</v>
      </c>
      <c r="AK12" s="1220" t="s">
        <v>1022</v>
      </c>
      <c r="AL12" s="1208"/>
      <c r="AM12" s="973"/>
      <c r="AN12" s="973"/>
      <c r="AO12" s="973"/>
      <c r="AP12" s="973"/>
      <c r="AQ12" s="973"/>
      <c r="AR12" s="973"/>
      <c r="AS12" s="973"/>
      <c r="AT12" s="973"/>
      <c r="AU12" s="973"/>
      <c r="AV12" s="973"/>
      <c r="AW12" s="973"/>
      <c r="AX12" s="973"/>
      <c r="AY12" s="973"/>
      <c r="AZ12" s="973"/>
      <c r="BA12" s="973"/>
      <c r="BB12" s="973"/>
      <c r="BC12" s="973"/>
      <c r="BD12" s="973"/>
      <c r="BE12" s="973"/>
      <c r="BF12" s="973"/>
      <c r="BG12" s="824">
        <v>34</v>
      </c>
    </row>
    <row customHeight="1" ht="1.05">
      <c r="E13" s="974"/>
      <c r="F13" s="1190">
        <v>0</v>
      </c>
      <c r="G13" s="1190"/>
      <c r="H13" s="1190"/>
      <c r="I13" s="1190"/>
      <c r="J13" s="1190"/>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7"/>
      <c r="AH13" s="1215"/>
      <c r="AI13" s="1208"/>
      <c r="AJ13" s="1197"/>
      <c r="AK13" s="1197"/>
      <c r="AL13" s="975"/>
      <c r="AM13" s="973"/>
      <c r="AN13" s="973"/>
      <c r="AO13" s="973"/>
      <c r="AP13" s="973"/>
      <c r="AQ13" s="973"/>
      <c r="AR13" s="973"/>
      <c r="AS13" s="973"/>
      <c r="AT13" s="973"/>
      <c r="AU13" s="973"/>
      <c r="AV13" s="973"/>
      <c r="AW13" s="973"/>
      <c r="AX13" s="973"/>
      <c r="AY13" s="973"/>
      <c r="AZ13" s="973"/>
      <c r="BA13" s="973"/>
      <c r="BB13" s="973"/>
      <c r="BC13" s="973"/>
      <c r="BD13" s="973"/>
      <c r="BE13" s="973"/>
      <c r="BF13" s="973"/>
      <c r="BG13" s="824">
        <v>1</v>
      </c>
    </row>
    <row customHeight="1" ht="10.5">
      <c r="E14" s="973"/>
      <c r="F14" s="984"/>
      <c r="G14" s="984"/>
      <c r="H14" s="1238"/>
      <c r="I14" s="984"/>
      <c r="J14" s="984"/>
      <c r="K14" s="984"/>
      <c r="L14" s="1197"/>
      <c r="M14" s="1197"/>
      <c r="N14" s="984"/>
      <c r="O14" s="984"/>
      <c r="P14" s="984"/>
      <c r="Q14" s="984"/>
      <c r="R14" s="984"/>
      <c r="S14" s="984"/>
      <c r="T14" s="984"/>
      <c r="U14" s="984"/>
      <c r="V14" s="984"/>
      <c r="W14" s="984"/>
      <c r="X14" s="984"/>
      <c r="Y14" s="984"/>
      <c r="Z14" s="984"/>
      <c r="AA14" s="984"/>
      <c r="AB14" s="984"/>
      <c r="AC14" s="984"/>
      <c r="AD14" s="1197"/>
      <c r="AE14" s="984"/>
      <c r="AF14" s="984"/>
      <c r="AG14" s="984"/>
      <c r="AH14" s="1215"/>
      <c r="AI14" s="1208"/>
      <c r="AJ14" s="984"/>
      <c r="AK14" s="984"/>
      <c r="AL14" s="973"/>
      <c r="AM14" s="973"/>
      <c r="AN14" s="973"/>
      <c r="AO14" s="973"/>
      <c r="AP14" s="973"/>
      <c r="AQ14" s="973"/>
      <c r="AR14" s="973"/>
      <c r="AS14" s="973"/>
      <c r="AT14" s="973"/>
      <c r="AU14" s="973"/>
      <c r="AV14" s="973"/>
      <c r="AW14" s="973"/>
      <c r="AX14" s="973"/>
      <c r="AY14" s="973"/>
      <c r="AZ14" s="973"/>
      <c r="BA14" s="973"/>
      <c r="BB14" s="973"/>
      <c r="BC14" s="973"/>
      <c r="BD14" s="973"/>
      <c r="BE14" s="973"/>
      <c r="BF14" s="973"/>
      <c r="BG14" s="824">
        <v>10</v>
      </c>
    </row>
    <row customHeight="1" ht="13.5">
      <c r="E15" s="973"/>
      <c r="F15" s="980" t="s">
        <v>1023</v>
      </c>
      <c r="G15" s="980"/>
      <c r="H15" s="1237"/>
      <c r="I15" s="980"/>
      <c r="J15" s="980"/>
      <c r="K15" s="977"/>
      <c r="L15" s="1193"/>
      <c r="M15" s="1193"/>
      <c r="N15" s="979"/>
      <c r="O15" s="979"/>
      <c r="P15" s="979"/>
      <c r="Q15" s="979"/>
      <c r="R15" s="979"/>
      <c r="S15" s="979"/>
      <c r="T15" s="979"/>
      <c r="U15" s="979"/>
      <c r="V15" s="979"/>
      <c r="W15" s="979"/>
      <c r="X15" s="979"/>
      <c r="Y15" s="979"/>
      <c r="Z15" s="977"/>
      <c r="AA15" s="977"/>
      <c r="AB15" s="977"/>
      <c r="AC15" s="977"/>
      <c r="AD15" s="1193"/>
      <c r="AE15" s="977"/>
      <c r="AF15" s="977"/>
      <c r="AG15" s="977"/>
      <c r="AH15" s="1212"/>
      <c r="AI15" s="1205"/>
      <c r="AJ15" s="977"/>
      <c r="AK15" s="977"/>
      <c r="AL15" s="973"/>
      <c r="AM15" s="973"/>
      <c r="AN15" s="973"/>
      <c r="AO15" s="973"/>
      <c r="AP15" s="973"/>
      <c r="AQ15" s="973"/>
      <c r="AR15" s="973"/>
      <c r="AS15" s="973"/>
      <c r="AT15" s="973"/>
      <c r="AU15" s="973"/>
      <c r="AV15" s="973"/>
      <c r="AW15" s="973"/>
      <c r="AX15" s="973"/>
      <c r="AY15" s="973"/>
      <c r="AZ15" s="973"/>
      <c r="BA15" s="973"/>
      <c r="BB15" s="973"/>
      <c r="BC15" s="973"/>
      <c r="BD15" s="973"/>
      <c r="BE15" s="973"/>
      <c r="BF15" s="973"/>
      <c r="BG15" s="824">
        <v>13</v>
      </c>
    </row>
    <row customHeight="1" ht="10.5">
      <c r="BG16" s="824">
        <v>10</v>
      </c>
    </row>
    <row customHeight="1" ht="10.5">
      <c r="E17" s="973"/>
      <c r="F17" s="2473"/>
      <c r="G17" s="2473"/>
      <c r="H17" s="2473"/>
      <c r="I17" s="2473"/>
      <c r="J17" s="2473"/>
      <c r="K17" s="977"/>
      <c r="L17" s="1193"/>
      <c r="M17" s="1193"/>
      <c r="N17" s="979"/>
      <c r="O17" s="979"/>
      <c r="P17" s="979"/>
      <c r="Q17" s="979"/>
      <c r="R17" s="979"/>
      <c r="S17" s="979"/>
      <c r="T17" s="979"/>
      <c r="U17" s="979"/>
      <c r="V17" s="979"/>
      <c r="W17" s="979"/>
      <c r="X17" s="979"/>
      <c r="Y17" s="979"/>
      <c r="Z17" s="977"/>
      <c r="AA17" s="977"/>
      <c r="AB17" s="977"/>
      <c r="AC17" s="977"/>
      <c r="AD17" s="1193"/>
      <c r="AE17" s="977"/>
      <c r="AF17" s="977"/>
      <c r="AG17" s="977"/>
      <c r="AH17" s="1212"/>
      <c r="AI17" s="1205"/>
      <c r="AJ17" s="977"/>
      <c r="AK17" s="977"/>
      <c r="AL17" s="973"/>
      <c r="AM17" s="973"/>
      <c r="AN17" s="973"/>
      <c r="AO17" s="973"/>
      <c r="AP17" s="973"/>
      <c r="AQ17" s="973"/>
      <c r="AR17" s="973"/>
      <c r="AS17" s="973"/>
      <c r="AT17" s="973"/>
      <c r="AU17" s="973"/>
      <c r="AV17" s="973"/>
      <c r="AW17" s="973"/>
      <c r="AX17" s="973"/>
      <c r="AY17" s="973"/>
      <c r="AZ17" s="973"/>
      <c r="BA17" s="973"/>
      <c r="BB17" s="973"/>
      <c r="BC17" s="973"/>
      <c r="BD17" s="973"/>
      <c r="BE17" s="973"/>
      <c r="BF17" s="973"/>
      <c r="BG17" s="824">
        <v>10</v>
      </c>
    </row>
    <row customHeight="1" ht="10.5">
      <c r="E18" s="973"/>
      <c r="F18" s="2473"/>
      <c r="G18" s="2473"/>
      <c r="H18" s="2473"/>
      <c r="I18" s="2473"/>
      <c r="J18" s="2473"/>
      <c r="K18" s="977"/>
      <c r="L18" s="1193"/>
      <c r="M18" s="1193"/>
      <c r="N18" s="979"/>
      <c r="O18" s="979"/>
      <c r="P18" s="979"/>
      <c r="Q18" s="979"/>
      <c r="R18" s="979"/>
      <c r="S18" s="979"/>
      <c r="T18" s="979"/>
      <c r="U18" s="979"/>
      <c r="V18" s="979"/>
      <c r="W18" s="979"/>
      <c r="X18" s="979"/>
      <c r="Y18" s="979"/>
      <c r="Z18" s="977"/>
      <c r="AA18" s="977"/>
      <c r="AB18" s="977"/>
      <c r="AC18" s="977"/>
      <c r="AD18" s="1193"/>
      <c r="AE18" s="977"/>
      <c r="AF18" s="977"/>
      <c r="AG18" s="977"/>
      <c r="AH18" s="1212"/>
      <c r="AI18" s="1205"/>
      <c r="AJ18" s="977"/>
      <c r="AK18" s="977"/>
      <c r="AL18" s="973"/>
      <c r="AM18" s="973"/>
      <c r="AN18" s="973"/>
      <c r="AO18" s="973"/>
      <c r="AP18" s="973"/>
      <c r="AQ18" s="973"/>
      <c r="AR18" s="973"/>
      <c r="AS18" s="973"/>
      <c r="AT18" s="973"/>
      <c r="AU18" s="973"/>
      <c r="AV18" s="973"/>
      <c r="AW18" s="973"/>
      <c r="AX18" s="973"/>
      <c r="AY18" s="973"/>
      <c r="AZ18" s="973"/>
      <c r="BA18" s="973"/>
      <c r="BB18" s="973"/>
      <c r="BC18" s="973"/>
      <c r="BD18" s="973"/>
      <c r="BE18" s="973"/>
      <c r="BF18" s="973"/>
      <c r="BG18" s="824">
        <v>10</v>
      </c>
    </row>
    <row customHeight="1" ht="10.5">
      <c r="E19" s="973"/>
      <c r="F19" s="2473"/>
      <c r="G19" s="2473"/>
      <c r="H19" s="2473"/>
      <c r="I19" s="2473"/>
      <c r="J19" s="2473"/>
      <c r="K19" s="977"/>
      <c r="L19" s="1193"/>
      <c r="M19" s="1193"/>
      <c r="N19" s="979"/>
      <c r="O19" s="979"/>
      <c r="P19" s="979"/>
      <c r="Q19" s="979"/>
      <c r="R19" s="979"/>
      <c r="S19" s="979"/>
      <c r="T19" s="979"/>
      <c r="U19" s="979"/>
      <c r="V19" s="979"/>
      <c r="W19" s="979"/>
      <c r="X19" s="979"/>
      <c r="Y19" s="979"/>
      <c r="Z19" s="977"/>
      <c r="AA19" s="977"/>
      <c r="AB19" s="977"/>
      <c r="AC19" s="977"/>
      <c r="AD19" s="1193"/>
      <c r="AE19" s="977"/>
      <c r="AF19" s="977"/>
      <c r="AG19" s="977"/>
      <c r="AH19" s="1212"/>
      <c r="AI19" s="1205"/>
      <c r="AJ19" s="977"/>
      <c r="AK19" s="977"/>
      <c r="AL19" s="973"/>
      <c r="AM19" s="973"/>
      <c r="AN19" s="973"/>
      <c r="AO19" s="973"/>
      <c r="AP19" s="973"/>
      <c r="AQ19" s="973"/>
      <c r="AR19" s="973"/>
      <c r="AS19" s="973"/>
      <c r="AT19" s="973"/>
      <c r="AU19" s="973"/>
      <c r="AV19" s="973"/>
      <c r="AW19" s="973"/>
      <c r="AX19" s="973"/>
      <c r="AY19" s="973"/>
      <c r="AZ19" s="973"/>
      <c r="BA19" s="973"/>
      <c r="BB19" s="973"/>
      <c r="BC19" s="973"/>
      <c r="BD19" s="973"/>
      <c r="BE19" s="973"/>
      <c r="BF19" s="973"/>
      <c r="BG19" s="824">
        <v>10</v>
      </c>
    </row>
    <row customHeight="1" ht="10.5" hidden="1">
      <c r="A20" s="961" t="s">
        <v>87</v>
      </c>
      <c r="B20" s="961">
        <v>0</v>
      </c>
      <c r="C20" s="961">
        <v>0</v>
      </c>
      <c r="D20" s="483">
        <v>0</v>
      </c>
      <c r="E20" s="575">
        <v>3</v>
      </c>
      <c r="F20" s="824">
        <v>14</v>
      </c>
      <c r="G20" s="824">
        <v>3</v>
      </c>
      <c r="H20" s="1221">
        <v>7</v>
      </c>
      <c r="I20" s="824">
        <v>16</v>
      </c>
      <c r="J20" s="824">
        <v>16</v>
      </c>
      <c r="K20" s="824">
        <v>25</v>
      </c>
      <c r="L20" s="1191">
        <v>7</v>
      </c>
      <c r="M20" s="1191">
        <v>15</v>
      </c>
      <c r="N20" s="824">
        <v>3</v>
      </c>
      <c r="O20" s="824">
        <v>4</v>
      </c>
      <c r="P20" s="824">
        <v>8</v>
      </c>
      <c r="Q20" s="824">
        <v>21</v>
      </c>
      <c r="R20" s="824">
        <v>14</v>
      </c>
      <c r="S20" s="824">
        <v>17</v>
      </c>
      <c r="T20" s="824">
        <v>17</v>
      </c>
      <c r="U20" s="824">
        <v>9</v>
      </c>
      <c r="V20" s="824">
        <v>12</v>
      </c>
      <c r="W20" s="824">
        <v>9</v>
      </c>
      <c r="X20" s="824">
        <v>21</v>
      </c>
      <c r="Y20" s="824">
        <v>12</v>
      </c>
      <c r="Z20" s="824">
        <v>3</v>
      </c>
      <c r="AA20" s="824">
        <v>6</v>
      </c>
      <c r="AB20" s="824">
        <v>38</v>
      </c>
      <c r="AC20" s="824">
        <v>15</v>
      </c>
      <c r="AD20" s="1191">
        <v>0</v>
      </c>
      <c r="AE20" s="824">
        <v>0</v>
      </c>
      <c r="AF20" s="824">
        <v>16</v>
      </c>
      <c r="AG20" s="824">
        <v>16</v>
      </c>
      <c r="AH20" s="1210">
        <v>16</v>
      </c>
      <c r="AI20" s="1203">
        <v>0</v>
      </c>
      <c r="AJ20" s="824">
        <v>0</v>
      </c>
      <c r="AK20" s="824">
        <v>0</v>
      </c>
      <c r="AL20" s="824">
        <v>8</v>
      </c>
      <c r="AM20" s="824">
        <v>8</v>
      </c>
      <c r="AN20" s="824">
        <v>8</v>
      </c>
      <c r="AO20" s="824">
        <v>8</v>
      </c>
      <c r="AP20" s="824">
        <v>8</v>
      </c>
      <c r="AQ20" s="824">
        <v>8</v>
      </c>
      <c r="AR20" s="824">
        <v>8</v>
      </c>
      <c r="AS20" s="824">
        <v>8</v>
      </c>
      <c r="AT20" s="824">
        <v>8</v>
      </c>
      <c r="AU20" s="824">
        <v>8</v>
      </c>
      <c r="AV20" s="824">
        <v>8</v>
      </c>
      <c r="AW20" s="824">
        <v>8</v>
      </c>
      <c r="AX20" s="824">
        <v>8</v>
      </c>
      <c r="AY20" s="824">
        <v>8</v>
      </c>
      <c r="AZ20" s="824">
        <v>8</v>
      </c>
      <c r="BA20" s="824">
        <v>8</v>
      </c>
      <c r="BB20" s="824">
        <v>8</v>
      </c>
      <c r="BC20" s="824">
        <v>8</v>
      </c>
      <c r="BD20" s="824">
        <v>8</v>
      </c>
      <c r="BE20" s="824">
        <v>8</v>
      </c>
      <c r="BF20" s="824">
        <v>8</v>
      </c>
      <c r="BG20" s="82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1429B-710B-14C2-9279-2B08142205D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797" width="4.140625" hidden="1" customWidth="1"/>
    <col min="4" max="4" style="5002" width="4.140625" hidden="1" customWidth="1"/>
    <col min="5" max="5" style="5053" width="3.00390625" customWidth="1"/>
    <col min="6" max="6" style="5053" width="6.00390625" customWidth="1"/>
    <col min="7" max="7" style="5053" width="60.00390625" customWidth="1"/>
    <col min="8" max="9" style="5053" width="21.7109375" hidden="1" customWidth="1"/>
    <col min="10" max="10" style="5053" width="0.140625" customWidth="1"/>
    <col min="11" max="11" style="5053" width="1.00390625" customWidth="1"/>
    <col min="12" max="22" style="5053" width="8.00390625" customWidth="1"/>
    <col min="23" max="23" style="5053" width="9.140625" hidden="1"/>
  </cols>
  <sheetData>
    <row s="5002" customFormat="1" customHeight="1" ht="10.5" hidden="1">
      <c r="A1" s="1232"/>
      <c r="B1" s="1232"/>
      <c r="C1" s="1232"/>
      <c r="E1" s="603"/>
      <c r="W1" s="1226" t="s">
        <v>14</v>
      </c>
    </row>
    <row customHeight="1" ht="10.5" hidden="1">
      <c r="W2" s="1221">
        <v>0</v>
      </c>
    </row>
    <row s="5297" customFormat="1" customHeight="1" ht="10.5" hidden="1">
      <c r="A3" s="1232"/>
      <c r="B3" s="1232"/>
      <c r="C3" s="1232"/>
      <c r="D3" s="1226"/>
      <c r="E3" s="428"/>
      <c r="W3" s="1222">
        <v>0</v>
      </c>
    </row>
    <row customHeight="1" ht="3">
      <c r="W4" s="1221">
        <v>3</v>
      </c>
    </row>
    <row customHeight="1" ht="27.299999999999997">
      <c r="F5" s="231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4"/>
      <c r="H5" s="2314"/>
      <c r="I5" s="2314"/>
      <c r="J5" s="2314"/>
      <c r="W5" s="1221">
        <v>26</v>
      </c>
    </row>
    <row customHeight="1" ht="10.5">
      <c r="F6" s="2242" t="str">
        <f>IF(org=0,"Не определено",org)</f>
        <v>Филиал "Уренгойская ГРЭС" АО "Интер РАО - Электрогенерация"</v>
      </c>
      <c r="G6" s="2242"/>
      <c r="H6" s="2242"/>
      <c r="I6" s="2242"/>
      <c r="J6" s="2242"/>
      <c r="W6" s="1221">
        <v>10</v>
      </c>
    </row>
    <row customHeight="1" ht="11.549999999999999">
      <c r="E7" s="1236"/>
      <c r="F7" s="1293"/>
      <c r="G7" s="1293"/>
      <c r="H7" s="1293"/>
      <c r="I7" s="1293"/>
      <c r="J7" s="1293"/>
      <c r="K7" s="1223"/>
      <c r="L7" s="1223"/>
      <c r="M7" s="1223"/>
      <c r="N7" s="1223"/>
      <c r="O7" s="1223"/>
      <c r="P7" s="1223"/>
      <c r="Q7" s="1223"/>
      <c r="R7" s="1223"/>
      <c r="S7" s="1223"/>
      <c r="T7" s="1223"/>
      <c r="U7" s="1223"/>
      <c r="V7" s="1223"/>
      <c r="W7" s="1221">
        <v>11</v>
      </c>
    </row>
    <row s="4562" customFormat="1" customHeight="1" ht="4.2">
      <c r="A8" s="1233"/>
      <c r="B8" s="1233"/>
      <c r="C8" s="1233"/>
      <c r="E8" s="1294"/>
      <c r="F8" s="1295"/>
      <c r="G8" s="1295"/>
      <c r="H8" s="1295"/>
      <c r="I8" s="1295"/>
      <c r="J8" s="1295"/>
      <c r="K8" s="1294"/>
      <c r="L8" s="1294"/>
      <c r="M8" s="1294"/>
      <c r="N8" s="1294"/>
      <c r="O8" s="1294"/>
      <c r="P8" s="1294"/>
      <c r="Q8" s="1294"/>
      <c r="R8" s="1294"/>
      <c r="S8" s="1294"/>
      <c r="T8" s="1294"/>
      <c r="U8" s="1294"/>
      <c r="V8" s="1294"/>
      <c r="W8" s="577">
        <v>4</v>
      </c>
    </row>
    <row customHeight="1" ht="10.5">
      <c r="E9" s="1236"/>
      <c r="F9" s="2485" t="s">
        <v>309</v>
      </c>
      <c r="G9" s="2486"/>
      <c r="H9" s="2486"/>
      <c r="I9" s="2486"/>
      <c r="J9" s="2486"/>
      <c r="K9" s="1306"/>
      <c r="L9" s="1223"/>
      <c r="M9" s="1223"/>
      <c r="N9" s="1223"/>
      <c r="O9" s="1223"/>
      <c r="P9" s="1223"/>
      <c r="Q9" s="1223"/>
      <c r="R9" s="1223"/>
      <c r="S9" s="1223"/>
      <c r="T9" s="1223"/>
      <c r="U9" s="1223"/>
      <c r="V9" s="1223"/>
      <c r="W9" s="1221">
        <v>10</v>
      </c>
    </row>
    <row customHeight="1" ht="25.2">
      <c r="E10" s="1223"/>
      <c r="F10" s="2489" t="s">
        <v>93</v>
      </c>
      <c r="G10" s="2494" t="s">
        <v>1024</v>
      </c>
      <c r="H10" s="2492" t="s">
        <v>1025</v>
      </c>
      <c r="I10" s="2492"/>
      <c r="J10" s="2492"/>
      <c r="K10" s="1299"/>
      <c r="L10" s="1223"/>
      <c r="M10" s="1223"/>
      <c r="N10" s="1223"/>
      <c r="O10" s="1223"/>
      <c r="P10" s="1223"/>
      <c r="Q10" s="1223"/>
      <c r="R10" s="1223"/>
      <c r="S10" s="1223"/>
      <c r="T10" s="1223"/>
      <c r="U10" s="1223"/>
      <c r="V10" s="1223"/>
      <c r="W10" s="1221">
        <v>24</v>
      </c>
    </row>
    <row customHeight="1" ht="25.5">
      <c r="E11" s="1223"/>
      <c r="F11" s="2490"/>
      <c r="G11" s="2494"/>
      <c r="H11" s="2493">
        <f>INDEX(IP_MAIN_LIST_NAME_IP,MATCH(H8,IP_MAIN_LIST_IP_ID,0))&amp;" ("&amp;INDEX(IP_MAIN_START_DATE,MATCH(H8,IP_MAIN_LIST_IP_ID,0))&amp;"-"&amp;INDEX(IP_MAIN_END_DATE,MATCH(H8,IP_MAIN_LIST_IP_ID,0))&amp;")"</f>
      </c>
      <c r="I11" s="2493"/>
      <c r="J11" s="2493"/>
      <c r="K11" s="1299"/>
      <c r="L11" s="1223"/>
      <c r="M11" s="1223"/>
      <c r="N11" s="1223"/>
      <c r="O11" s="1223"/>
      <c r="P11" s="1223"/>
      <c r="Q11" s="1223"/>
      <c r="R11" s="1223"/>
      <c r="S11" s="1223"/>
      <c r="T11" s="1223"/>
      <c r="U11" s="1223"/>
      <c r="V11" s="1223"/>
      <c r="W11" s="1221">
        <v>24</v>
      </c>
    </row>
    <row customHeight="1" ht="10.5">
      <c r="F12" s="2491"/>
      <c r="G12" s="2494"/>
      <c r="H12" s="1292" t="s">
        <v>1026</v>
      </c>
      <c r="I12" s="1298"/>
      <c r="J12" s="1292"/>
      <c r="K12" s="1300"/>
      <c r="W12" s="1221">
        <v>10</v>
      </c>
    </row>
    <row customHeight="1" ht="10.5" hidden="1">
      <c r="F13" s="1292">
        <v>1</v>
      </c>
      <c r="G13" s="1292">
        <v>2</v>
      </c>
      <c r="H13" s="1292">
        <v>3</v>
      </c>
      <c r="I13" s="1292">
        <v>4</v>
      </c>
      <c r="J13" s="1292">
        <v>5</v>
      </c>
      <c r="K13" s="1300"/>
      <c r="W13" s="1221">
        <v>0</v>
      </c>
    </row>
    <row customHeight="1" ht="11.549999999999999">
      <c r="F14" s="1291" t="s">
        <v>1027</v>
      </c>
      <c r="G14" s="2487" t="s">
        <v>1028</v>
      </c>
      <c r="H14" s="2487"/>
      <c r="I14" s="2487"/>
      <c r="J14" s="2487"/>
      <c r="K14" s="1300"/>
      <c r="W14" s="1221">
        <v>11</v>
      </c>
    </row>
    <row customHeight="1" ht="11.549999999999999">
      <c r="F15" s="1296">
        <v>1</v>
      </c>
      <c r="G15" s="756" t="s">
        <v>1029</v>
      </c>
      <c r="H15" s="1302">
        <f>SUM(I15:J15)</f>
        <v>0</v>
      </c>
      <c r="I15" s="1302">
        <f>SUM(I16:I27)</f>
        <v>0</v>
      </c>
      <c r="J15" s="1291"/>
      <c r="K15" s="1300"/>
      <c r="W15" s="1221">
        <v>11</v>
      </c>
    </row>
    <row customHeight="1" ht="24">
      <c r="F16" s="1296" t="s">
        <v>1030</v>
      </c>
      <c r="G16" s="1303" t="s">
        <v>1031</v>
      </c>
      <c r="H16" s="1302">
        <f>SUM(I16:J16)</f>
        <v>0</v>
      </c>
      <c r="I16" s="1301"/>
      <c r="J16" s="1291"/>
      <c r="K16" s="1300"/>
      <c r="W16" s="1221">
        <v>23</v>
      </c>
    </row>
    <row customHeight="1" ht="24">
      <c r="F17" s="1296" t="s">
        <v>1032</v>
      </c>
      <c r="G17" s="1303" t="s">
        <v>1033</v>
      </c>
      <c r="H17" s="1302">
        <f>SUM(I17:J17)</f>
        <v>0</v>
      </c>
      <c r="I17" s="1301"/>
      <c r="J17" s="1291"/>
      <c r="K17" s="1300"/>
      <c r="W17" s="1221">
        <v>23</v>
      </c>
    </row>
    <row customHeight="1" ht="35.699999999999996">
      <c r="F18" s="1296" t="s">
        <v>1034</v>
      </c>
      <c r="G18" s="1303" t="s">
        <v>1035</v>
      </c>
      <c r="H18" s="1302">
        <f>SUM(I18:J18)</f>
        <v>0</v>
      </c>
      <c r="I18" s="1301"/>
      <c r="J18" s="1291"/>
      <c r="K18" s="1300"/>
      <c r="W18" s="1221">
        <v>34</v>
      </c>
    </row>
    <row customHeight="1" ht="35.699999999999996">
      <c r="F19" s="1296" t="s">
        <v>1036</v>
      </c>
      <c r="G19" s="1303" t="s">
        <v>1037</v>
      </c>
      <c r="H19" s="1302">
        <f>SUM(I19:J19)</f>
        <v>0</v>
      </c>
      <c r="I19" s="1301"/>
      <c r="J19" s="1291"/>
      <c r="K19" s="1300"/>
      <c r="W19" s="1221">
        <v>34</v>
      </c>
    </row>
    <row customHeight="1" ht="48.29999999999999">
      <c r="F20" s="1296" t="s">
        <v>1038</v>
      </c>
      <c r="G20" s="1303" t="s">
        <v>1039</v>
      </c>
      <c r="H20" s="1302">
        <f>SUM(I20:J20)</f>
        <v>0</v>
      </c>
      <c r="I20" s="1301"/>
      <c r="J20" s="1291"/>
      <c r="K20" s="1300"/>
      <c r="W20" s="1221">
        <v>46</v>
      </c>
    </row>
    <row customHeight="1" ht="35.699999999999996">
      <c r="F21" s="1296" t="s">
        <v>1040</v>
      </c>
      <c r="G21" s="1303" t="s">
        <v>1041</v>
      </c>
      <c r="H21" s="1302">
        <f>SUM(I21:J21)</f>
        <v>0</v>
      </c>
      <c r="I21" s="1301"/>
      <c r="J21" s="1291"/>
      <c r="K21" s="1300"/>
      <c r="W21" s="1221">
        <v>34</v>
      </c>
    </row>
    <row customHeight="1" ht="35.699999999999996">
      <c r="F22" s="1296" t="s">
        <v>1042</v>
      </c>
      <c r="G22" s="1303" t="s">
        <v>1043</v>
      </c>
      <c r="H22" s="1302">
        <f>SUM(I22:J22)</f>
        <v>0</v>
      </c>
      <c r="I22" s="1301"/>
      <c r="J22" s="1291"/>
      <c r="K22" s="1300"/>
      <c r="W22" s="1221">
        <v>34</v>
      </c>
    </row>
    <row customHeight="1" ht="24">
      <c r="F23" s="1296" t="s">
        <v>1044</v>
      </c>
      <c r="G23" s="1303" t="s">
        <v>1045</v>
      </c>
      <c r="H23" s="1302">
        <f>SUM(I23:J23)</f>
        <v>0</v>
      </c>
      <c r="I23" s="1301"/>
      <c r="J23" s="1291"/>
      <c r="K23" s="1300"/>
      <c r="W23" s="1221">
        <v>23</v>
      </c>
    </row>
    <row customHeight="1" ht="24">
      <c r="F24" s="1296" t="s">
        <v>1046</v>
      </c>
      <c r="G24" s="1303" t="s">
        <v>1047</v>
      </c>
      <c r="H24" s="1302">
        <f>SUM(I24:J24)</f>
        <v>0</v>
      </c>
      <c r="I24" s="1301"/>
      <c r="J24" s="1291"/>
      <c r="K24" s="1300"/>
      <c r="W24" s="1221">
        <v>23</v>
      </c>
    </row>
    <row customHeight="1" ht="35.699999999999996">
      <c r="F25" s="1296" t="s">
        <v>1048</v>
      </c>
      <c r="G25" s="1303" t="s">
        <v>1049</v>
      </c>
      <c r="H25" s="1302">
        <f>SUM(I25:J25)</f>
        <v>0</v>
      </c>
      <c r="I25" s="1301"/>
      <c r="J25" s="1291"/>
      <c r="K25" s="1300"/>
      <c r="W25" s="1221">
        <v>34</v>
      </c>
    </row>
    <row customHeight="1" ht="35.699999999999996">
      <c r="F26" s="1296" t="s">
        <v>1050</v>
      </c>
      <c r="G26" s="1303" t="s">
        <v>1051</v>
      </c>
      <c r="H26" s="1302">
        <f>SUM(I26:J26)</f>
        <v>0</v>
      </c>
      <c r="I26" s="1301"/>
      <c r="J26" s="1291"/>
      <c r="K26" s="1300"/>
      <c r="W26" s="1221">
        <v>34</v>
      </c>
    </row>
    <row customHeight="1" ht="11.549999999999999">
      <c r="F27" s="1296" t="s">
        <v>1052</v>
      </c>
      <c r="G27" s="1303" t="s">
        <v>1053</v>
      </c>
      <c r="H27" s="1302">
        <f>SUM(I27:J27)</f>
        <v>0</v>
      </c>
      <c r="I27" s="1301"/>
      <c r="J27" s="1291"/>
      <c r="K27" s="1300"/>
      <c r="W27" s="1221">
        <v>11</v>
      </c>
    </row>
    <row customHeight="1" ht="11.549999999999999">
      <c r="F28" s="1296">
        <v>2</v>
      </c>
      <c r="G28" s="756" t="s">
        <v>1054</v>
      </c>
      <c r="H28" s="1302">
        <f>SUM(I28:J28)</f>
        <v>0</v>
      </c>
      <c r="I28" s="1302">
        <f>SUM(I29:I31)</f>
        <v>0</v>
      </c>
      <c r="J28" s="1291"/>
      <c r="K28" s="1300"/>
      <c r="W28" s="1221">
        <v>11</v>
      </c>
    </row>
    <row customHeight="1" ht="11.549999999999999">
      <c r="F29" s="1296" t="s">
        <v>717</v>
      </c>
      <c r="G29" s="1303" t="s">
        <v>1055</v>
      </c>
      <c r="H29" s="1302">
        <f>SUM(I29:J29)</f>
        <v>0</v>
      </c>
      <c r="I29" s="1301"/>
      <c r="J29" s="1291"/>
      <c r="K29" s="1300"/>
      <c r="W29" s="1221">
        <v>11</v>
      </c>
    </row>
    <row customHeight="1" ht="11.549999999999999">
      <c r="F30" s="1296" t="s">
        <v>316</v>
      </c>
      <c r="G30" s="1303" t="s">
        <v>1056</v>
      </c>
      <c r="H30" s="1302">
        <f>SUM(I30:J30)</f>
        <v>0</v>
      </c>
      <c r="I30" s="1301"/>
      <c r="J30" s="1291"/>
      <c r="K30" s="1300"/>
      <c r="W30" s="1221">
        <v>11</v>
      </c>
    </row>
    <row customHeight="1" ht="11.549999999999999">
      <c r="F31" s="1296" t="s">
        <v>319</v>
      </c>
      <c r="G31" s="1303" t="s">
        <v>1057</v>
      </c>
      <c r="H31" s="1302">
        <f>SUM(I31:J31)</f>
        <v>0</v>
      </c>
      <c r="I31" s="1301"/>
      <c r="J31" s="1291"/>
      <c r="K31" s="1300"/>
      <c r="W31" s="1221">
        <v>11</v>
      </c>
    </row>
    <row customHeight="1" ht="11.549999999999999">
      <c r="F32" s="1296">
        <v>3</v>
      </c>
      <c r="G32" s="756" t="s">
        <v>1058</v>
      </c>
      <c r="H32" s="1302">
        <f>SUM(I32:J32)</f>
        <v>0</v>
      </c>
      <c r="I32" s="1302">
        <f>SUM(I33:I34)</f>
        <v>0</v>
      </c>
      <c r="J32" s="1291"/>
      <c r="K32" s="1300"/>
      <c r="W32" s="1221">
        <v>11</v>
      </c>
    </row>
    <row customHeight="1" ht="48.29999999999999">
      <c r="F33" s="1296" t="s">
        <v>333</v>
      </c>
      <c r="G33" s="1303" t="s">
        <v>1059</v>
      </c>
      <c r="H33" s="1302">
        <f>SUM(I33:J33)</f>
        <v>0</v>
      </c>
      <c r="I33" s="1301"/>
      <c r="J33" s="1291"/>
      <c r="K33" s="1300"/>
      <c r="W33" s="1221">
        <v>46</v>
      </c>
    </row>
    <row customHeight="1" ht="11.549999999999999">
      <c r="F34" s="1296" t="s">
        <v>341</v>
      </c>
      <c r="G34" s="1303" t="s">
        <v>1060</v>
      </c>
      <c r="H34" s="1302">
        <f>SUM(I34:J34)</f>
        <v>0</v>
      </c>
      <c r="I34" s="1301"/>
      <c r="J34" s="1291"/>
      <c r="K34" s="1300"/>
      <c r="W34" s="1221">
        <v>11</v>
      </c>
    </row>
    <row customHeight="1" ht="11.549999999999999">
      <c r="F35" s="1296">
        <v>4</v>
      </c>
      <c r="G35" s="756" t="s">
        <v>1061</v>
      </c>
      <c r="H35" s="1302">
        <f>SUM(I35:J35)</f>
        <v>0</v>
      </c>
      <c r="I35" s="1301"/>
      <c r="J35" s="1291"/>
      <c r="K35" s="1300"/>
      <c r="W35" s="1221">
        <v>11</v>
      </c>
    </row>
    <row customHeight="1" ht="11.549999999999999">
      <c r="F36" s="1296"/>
      <c r="G36" s="759" t="s">
        <v>1062</v>
      </c>
      <c r="H36" s="1302">
        <f>SUM(I36:J36)</f>
        <v>0</v>
      </c>
      <c r="I36" s="1302">
        <f>SUM(I15,I28,I32,I35)</f>
        <v>0</v>
      </c>
      <c r="J36" s="1291"/>
      <c r="K36" s="1300"/>
      <c r="W36" s="1221">
        <v>11</v>
      </c>
    </row>
    <row customHeight="1" ht="29.25">
      <c r="F37" s="1297" t="s">
        <v>1063</v>
      </c>
      <c r="G37" s="2488" t="s">
        <v>1064</v>
      </c>
      <c r="H37" s="2488"/>
      <c r="I37" s="2488"/>
      <c r="J37" s="2488"/>
      <c r="K37" s="1300"/>
      <c r="W37" s="1221">
        <v>28</v>
      </c>
    </row>
    <row customHeight="1" ht="24">
      <c r="F38" s="1296" t="s">
        <v>114</v>
      </c>
      <c r="G38" s="756" t="s">
        <v>1065</v>
      </c>
      <c r="H38" s="1302">
        <f>SUM(I38:J38)</f>
        <v>0</v>
      </c>
      <c r="I38" s="1302">
        <f>SUM(I39,I44,I47)</f>
        <v>0</v>
      </c>
      <c r="J38" s="1291"/>
      <c r="K38" s="1300"/>
      <c r="W38" s="1221">
        <v>23</v>
      </c>
    </row>
    <row customHeight="1" ht="11.549999999999999">
      <c r="F39" s="1296" t="s">
        <v>1030</v>
      </c>
      <c r="G39" s="1303" t="s">
        <v>1029</v>
      </c>
      <c r="H39" s="1302">
        <f>SUM(I39:J39)</f>
        <v>0</v>
      </c>
      <c r="I39" s="1302">
        <f>SUM(I40:I43)</f>
        <v>0</v>
      </c>
      <c r="J39" s="1291"/>
      <c r="K39" s="1300"/>
      <c r="W39" s="1221">
        <v>11</v>
      </c>
    </row>
    <row customHeight="1" ht="24">
      <c r="F40" s="1296" t="s">
        <v>1066</v>
      </c>
      <c r="G40" s="1304" t="s">
        <v>1067</v>
      </c>
      <c r="H40" s="1302">
        <f>SUM(I40:J40)</f>
        <v>0</v>
      </c>
      <c r="I40" s="1301"/>
      <c r="J40" s="1291"/>
      <c r="K40" s="1300"/>
      <c r="W40" s="1221">
        <v>23</v>
      </c>
    </row>
    <row customHeight="1" ht="11.549999999999999">
      <c r="F41" s="1296" t="s">
        <v>1068</v>
      </c>
      <c r="G41" s="1304" t="s">
        <v>1069</v>
      </c>
      <c r="H41" s="1302">
        <f>SUM(I41:J41)</f>
        <v>0</v>
      </c>
      <c r="I41" s="1301"/>
      <c r="J41" s="1291"/>
      <c r="K41" s="1300"/>
      <c r="W41" s="1221">
        <v>11</v>
      </c>
    </row>
    <row customHeight="1" ht="11.549999999999999">
      <c r="F42" s="1296" t="s">
        <v>1070</v>
      </c>
      <c r="G42" s="1304" t="s">
        <v>1071</v>
      </c>
      <c r="H42" s="1302">
        <f>SUM(I42:J42)</f>
        <v>0</v>
      </c>
      <c r="I42" s="1301"/>
      <c r="J42" s="1291"/>
      <c r="K42" s="1300"/>
      <c r="W42" s="1221">
        <v>11</v>
      </c>
    </row>
    <row customHeight="1" ht="35.699999999999996">
      <c r="F43" s="1296" t="s">
        <v>1072</v>
      </c>
      <c r="G43" s="1304" t="s">
        <v>1073</v>
      </c>
      <c r="H43" s="1302">
        <f>SUM(I43:J43)</f>
        <v>0</v>
      </c>
      <c r="I43" s="1301"/>
      <c r="J43" s="1291"/>
      <c r="K43" s="1300"/>
      <c r="W43" s="1221">
        <v>34</v>
      </c>
    </row>
    <row customHeight="1" ht="11.549999999999999">
      <c r="F44" s="1296" t="s">
        <v>1032</v>
      </c>
      <c r="G44" s="1303" t="s">
        <v>1058</v>
      </c>
      <c r="H44" s="1302">
        <f>SUM(I44:J44)</f>
        <v>0</v>
      </c>
      <c r="I44" s="1302">
        <f>SUM(I45:I46)</f>
        <v>0</v>
      </c>
      <c r="J44" s="1291"/>
      <c r="K44" s="1300"/>
      <c r="W44" s="1221">
        <v>11</v>
      </c>
    </row>
    <row customHeight="1" ht="48.29999999999999">
      <c r="F45" s="1296" t="s">
        <v>1074</v>
      </c>
      <c r="G45" s="1304" t="s">
        <v>1059</v>
      </c>
      <c r="H45" s="1302">
        <f>SUM(I45:J45)</f>
        <v>0</v>
      </c>
      <c r="I45" s="1301"/>
      <c r="J45" s="1291"/>
      <c r="K45" s="1300"/>
      <c r="W45" s="1221">
        <v>46</v>
      </c>
    </row>
    <row customHeight="1" ht="11.549999999999999">
      <c r="F46" s="1296" t="s">
        <v>1075</v>
      </c>
      <c r="G46" s="1304" t="s">
        <v>1060</v>
      </c>
      <c r="H46" s="1302">
        <f>SUM(I46:J46)</f>
        <v>0</v>
      </c>
      <c r="I46" s="1301"/>
      <c r="J46" s="1291"/>
      <c r="K46" s="1300"/>
      <c r="W46" s="1221">
        <v>11</v>
      </c>
    </row>
    <row customHeight="1" ht="11.549999999999999">
      <c r="F47" s="1296" t="s">
        <v>1034</v>
      </c>
      <c r="G47" s="1303" t="s">
        <v>1076</v>
      </c>
      <c r="H47" s="1302">
        <f>SUM(I47:J47)</f>
        <v>0</v>
      </c>
      <c r="I47" s="1301"/>
      <c r="J47" s="1291"/>
      <c r="K47" s="1300"/>
      <c r="W47" s="1221">
        <v>11</v>
      </c>
    </row>
    <row customHeight="1" ht="24">
      <c r="F48" s="1296" t="s">
        <v>115</v>
      </c>
      <c r="G48" s="756" t="s">
        <v>1077</v>
      </c>
      <c r="H48" s="1302">
        <f>SUM(I48:J48)</f>
        <v>0</v>
      </c>
      <c r="I48" s="1302">
        <f>SUM(I49,I54,I57)</f>
        <v>0</v>
      </c>
      <c r="J48" s="1291"/>
      <c r="K48" s="1300"/>
      <c r="W48" s="1221">
        <v>23</v>
      </c>
    </row>
    <row customHeight="1" ht="11.549999999999999">
      <c r="F49" s="1296" t="s">
        <v>717</v>
      </c>
      <c r="G49" s="1303" t="s">
        <v>1029</v>
      </c>
      <c r="H49" s="1302">
        <f>SUM(I49:J49)</f>
        <v>0</v>
      </c>
      <c r="I49" s="1302">
        <f>SUM(I50:I53)</f>
        <v>0</v>
      </c>
      <c r="J49" s="1291"/>
      <c r="K49" s="1300"/>
      <c r="W49" s="1221">
        <v>11</v>
      </c>
    </row>
    <row customHeight="1" ht="24">
      <c r="F50" s="1296" t="s">
        <v>720</v>
      </c>
      <c r="G50" s="1304" t="s">
        <v>1067</v>
      </c>
      <c r="H50" s="1302">
        <f>SUM(I50:J50)</f>
        <v>0</v>
      </c>
      <c r="I50" s="1301"/>
      <c r="J50" s="1291"/>
      <c r="K50" s="1300"/>
      <c r="W50" s="1221">
        <v>23</v>
      </c>
    </row>
    <row customHeight="1" ht="11.549999999999999">
      <c r="F51" s="1296" t="s">
        <v>723</v>
      </c>
      <c r="G51" s="1304" t="s">
        <v>1069</v>
      </c>
      <c r="H51" s="1302">
        <f>SUM(I51:J51)</f>
        <v>0</v>
      </c>
      <c r="I51" s="1301"/>
      <c r="J51" s="1291"/>
      <c r="K51" s="1300"/>
      <c r="W51" s="1221">
        <v>11</v>
      </c>
    </row>
    <row customHeight="1" ht="11.549999999999999">
      <c r="F52" s="1296" t="s">
        <v>1078</v>
      </c>
      <c r="G52" s="1304" t="s">
        <v>1071</v>
      </c>
      <c r="H52" s="1302">
        <f>SUM(I52:J52)</f>
        <v>0</v>
      </c>
      <c r="I52" s="1301"/>
      <c r="J52" s="1291"/>
      <c r="K52" s="1300"/>
      <c r="W52" s="1221">
        <v>11</v>
      </c>
    </row>
    <row customHeight="1" ht="35.699999999999996">
      <c r="F53" s="1296" t="s">
        <v>1079</v>
      </c>
      <c r="G53" s="1304" t="s">
        <v>1073</v>
      </c>
      <c r="H53" s="1302">
        <f>SUM(I53:J53)</f>
        <v>0</v>
      </c>
      <c r="I53" s="1301"/>
      <c r="J53" s="1291"/>
      <c r="K53" s="1300"/>
      <c r="W53" s="1221">
        <v>34</v>
      </c>
    </row>
    <row customHeight="1" ht="11.549999999999999">
      <c r="F54" s="1296" t="s">
        <v>316</v>
      </c>
      <c r="G54" s="1303" t="s">
        <v>1058</v>
      </c>
      <c r="H54" s="1302">
        <f>SUM(I54:J54)</f>
        <v>0</v>
      </c>
      <c r="I54" s="1302">
        <f>SUM(I55:I56)</f>
        <v>0</v>
      </c>
      <c r="J54" s="1291"/>
      <c r="K54" s="1300"/>
      <c r="W54" s="1221">
        <v>11</v>
      </c>
    </row>
    <row customHeight="1" ht="48.29999999999999">
      <c r="F55" s="1296" t="s">
        <v>727</v>
      </c>
      <c r="G55" s="1304" t="s">
        <v>1059</v>
      </c>
      <c r="H55" s="1302">
        <f>SUM(I55:J55)</f>
        <v>0</v>
      </c>
      <c r="I55" s="1301"/>
      <c r="J55" s="1291"/>
      <c r="K55" s="1300"/>
      <c r="W55" s="1221">
        <v>46</v>
      </c>
    </row>
    <row customHeight="1" ht="11.549999999999999">
      <c r="F56" s="1296" t="s">
        <v>729</v>
      </c>
      <c r="G56" s="1304" t="s">
        <v>1060</v>
      </c>
      <c r="H56" s="1302">
        <f>SUM(I56:J56)</f>
        <v>0</v>
      </c>
      <c r="I56" s="1301"/>
      <c r="J56" s="1291"/>
      <c r="K56" s="1300"/>
      <c r="W56" s="1221">
        <v>11</v>
      </c>
    </row>
    <row customHeight="1" ht="11.549999999999999">
      <c r="F57" s="1296" t="s">
        <v>319</v>
      </c>
      <c r="G57" s="1303" t="s">
        <v>1076</v>
      </c>
      <c r="H57" s="1302">
        <f>SUM(I57:J57)</f>
        <v>0</v>
      </c>
      <c r="I57" s="1301"/>
      <c r="J57" s="1291"/>
      <c r="K57" s="1300"/>
      <c r="W57" s="1221">
        <v>11</v>
      </c>
    </row>
    <row customHeight="1" ht="11.549999999999999">
      <c r="F58" s="1296"/>
      <c r="G58" s="1305" t="s">
        <v>1062</v>
      </c>
      <c r="H58" s="1302">
        <f>SUM(I58:J58)</f>
        <v>0</v>
      </c>
      <c r="I58" s="1302">
        <f>SUM(I38,I48)</f>
        <v>0</v>
      </c>
      <c r="J58" s="1291"/>
      <c r="K58" s="1300"/>
      <c r="W58" s="1221">
        <v>11</v>
      </c>
    </row>
    <row customHeight="1" ht="10.5" hidden="1">
      <c r="A59" s="1232" t="s">
        <v>87</v>
      </c>
      <c r="B59" s="1232">
        <v>0</v>
      </c>
      <c r="C59" s="1232">
        <v>0</v>
      </c>
      <c r="D59" s="1226">
        <v>0</v>
      </c>
      <c r="E59" s="575">
        <v>3</v>
      </c>
      <c r="F59" s="1221">
        <v>6</v>
      </c>
      <c r="G59" s="1221">
        <v>60</v>
      </c>
      <c r="H59" s="1221">
        <v>0</v>
      </c>
      <c r="I59" s="1221">
        <v>0</v>
      </c>
      <c r="J59" s="1221">
        <v>0</v>
      </c>
      <c r="K59" s="1221">
        <v>1</v>
      </c>
      <c r="L59" s="1221">
        <v>8</v>
      </c>
      <c r="M59" s="1221">
        <v>8</v>
      </c>
      <c r="N59" s="1221">
        <v>8</v>
      </c>
      <c r="O59" s="1221">
        <v>8</v>
      </c>
      <c r="P59" s="1221">
        <v>8</v>
      </c>
      <c r="Q59" s="1221">
        <v>8</v>
      </c>
      <c r="R59" s="1221">
        <v>8</v>
      </c>
      <c r="S59" s="1221">
        <v>8</v>
      </c>
      <c r="T59" s="1221">
        <v>8</v>
      </c>
      <c r="U59" s="1221">
        <v>8</v>
      </c>
      <c r="V59" s="1221">
        <v>8</v>
      </c>
      <c r="W59" s="122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3BE9D-B5D8-31F4-E08A-.57BD15DA5B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961" width="4.7109375" hidden="1" customWidth="1"/>
    <col min="2" max="2" style="4964" width="4.7109375" hidden="1" customWidth="1"/>
    <col min="3" max="4" style="4961" width="4.7109375" hidden="1" customWidth="1"/>
    <col min="5" max="5" style="4961" width="3.00390625" customWidth="1"/>
    <col min="6" max="6" style="4961" width="6.00390625" customWidth="1"/>
    <col min="7" max="7" style="4961" width="18.00390625" customWidth="1"/>
    <col min="8" max="8" style="4961" width="27.00390625" customWidth="1"/>
    <col min="9" max="9" style="4961" width="18.00390625" customWidth="1"/>
    <col min="10" max="14" style="4961" width="0.8515625" hidden="1" customWidth="1"/>
    <col min="15" max="28" style="4961" width="21.7109375" customWidth="1"/>
    <col min="29" max="71" style="4961" width="0.8515625" customWidth="1"/>
    <col min="72" max="79" style="4961" width="21.7109375" hidden="1" customWidth="1"/>
    <col min="80" max="81" style="4961" width="29.140625" hidden="1" customWidth="1"/>
    <col min="82" max="89" style="4961" width="21.7109375" hidden="1" customWidth="1"/>
    <col min="90" max="102" style="4961" width="0.7109375" hidden="1" customWidth="1"/>
    <col min="103" max="114" style="4961" width="21.7109375" hidden="1" customWidth="1"/>
    <col min="115" max="178" style="4961" width="0.7109375" hidden="1" customWidth="1"/>
    <col min="179" max="179" style="4961" width="0.140625" customWidth="1"/>
    <col min="180" max="184" style="4961" width="8.00390625" customWidth="1"/>
    <col min="185" max="185" style="4961" width="9.140625" hidden="1"/>
  </cols>
  <sheetData>
    <row s="4899" customFormat="1" customHeight="1" ht="12" hidden="1">
      <c r="B1" s="989"/>
      <c r="C1" s="990"/>
      <c r="D1" s="990"/>
      <c r="GC1" s="988" t="s">
        <v>14</v>
      </c>
    </row>
    <row s="4899" customFormat="1" customHeight="1" ht="12" hidden="1">
      <c r="B2" s="989"/>
      <c r="C2" s="990"/>
      <c r="D2" s="990"/>
      <c r="E2" s="990"/>
      <c r="F2" s="990"/>
      <c r="G2" s="990"/>
      <c r="H2" s="990"/>
      <c r="I2" s="990"/>
      <c r="J2" s="990"/>
      <c r="K2" s="990"/>
      <c r="L2" s="990"/>
      <c r="M2" s="990"/>
      <c r="N2" s="990"/>
      <c r="O2" s="990"/>
      <c r="P2" s="990"/>
      <c r="Q2" s="990"/>
      <c r="R2" s="990"/>
      <c r="S2" s="990"/>
      <c r="T2" s="990"/>
      <c r="U2" s="990"/>
      <c r="V2" s="990"/>
      <c r="W2" s="990"/>
      <c r="X2" s="990"/>
      <c r="Y2" s="990"/>
      <c r="Z2" s="990"/>
      <c r="AA2" s="990"/>
      <c r="AB2" s="991"/>
      <c r="AC2" s="990"/>
      <c r="AD2" s="990"/>
      <c r="AE2" s="990"/>
      <c r="AF2" s="990"/>
      <c r="AG2" s="990"/>
      <c r="AH2" s="990"/>
      <c r="AI2" s="990"/>
      <c r="AJ2" s="990"/>
      <c r="AK2" s="990"/>
      <c r="AL2" s="990"/>
      <c r="AM2" s="990"/>
      <c r="AN2" s="990"/>
      <c r="AO2" s="990"/>
      <c r="AP2" s="990"/>
      <c r="AQ2" s="990"/>
      <c r="AR2" s="990"/>
      <c r="AS2" s="990"/>
      <c r="AT2" s="990"/>
      <c r="AU2" s="990"/>
      <c r="AV2" s="990"/>
      <c r="AW2" s="990"/>
      <c r="AX2" s="990"/>
      <c r="AY2" s="990"/>
      <c r="AZ2" s="990"/>
      <c r="BA2" s="990"/>
      <c r="BB2" s="990"/>
      <c r="BC2" s="990"/>
      <c r="BD2" s="990"/>
      <c r="BE2" s="990"/>
      <c r="BF2" s="990"/>
      <c r="BG2" s="990"/>
      <c r="BH2" s="990"/>
      <c r="BI2" s="990"/>
      <c r="BJ2" s="990"/>
      <c r="BK2" s="990"/>
      <c r="BL2" s="990"/>
      <c r="BM2" s="990"/>
      <c r="BN2" s="990"/>
      <c r="BO2" s="990"/>
      <c r="BP2" s="990"/>
      <c r="BQ2" s="990"/>
      <c r="BR2" s="990"/>
      <c r="BS2" s="990"/>
      <c r="BT2" s="990"/>
      <c r="BU2" s="990"/>
      <c r="BV2" s="990"/>
      <c r="BW2" s="990"/>
      <c r="BX2" s="990"/>
      <c r="BY2" s="990"/>
      <c r="BZ2" s="990"/>
      <c r="CA2" s="990"/>
      <c r="CB2" s="990"/>
      <c r="CC2" s="990"/>
      <c r="CD2" s="990"/>
      <c r="CE2" s="990"/>
      <c r="CF2" s="990"/>
      <c r="CG2" s="990"/>
      <c r="CH2" s="990"/>
      <c r="CI2" s="990"/>
      <c r="CJ2" s="990"/>
      <c r="CK2" s="990"/>
      <c r="CL2" s="990"/>
      <c r="CM2" s="990"/>
      <c r="CN2" s="990"/>
      <c r="CO2" s="990"/>
      <c r="CP2" s="990"/>
      <c r="CQ2" s="990"/>
      <c r="CR2" s="990"/>
      <c r="CS2" s="990"/>
      <c r="CT2" s="990"/>
      <c r="CU2" s="990"/>
      <c r="CV2" s="990"/>
      <c r="CW2" s="990"/>
      <c r="CX2" s="990"/>
      <c r="CY2" s="990"/>
      <c r="CZ2" s="990"/>
      <c r="DA2" s="990"/>
      <c r="DB2" s="990"/>
      <c r="DC2" s="990"/>
      <c r="DD2" s="990"/>
      <c r="DE2" s="990"/>
      <c r="DF2" s="990"/>
      <c r="DG2" s="990"/>
      <c r="DH2" s="990"/>
      <c r="DI2" s="990"/>
      <c r="DJ2" s="990"/>
      <c r="DK2" s="990"/>
      <c r="DL2" s="990"/>
      <c r="DM2" s="990"/>
      <c r="DN2" s="990"/>
      <c r="DO2" s="990"/>
      <c r="DP2" s="990"/>
      <c r="DQ2" s="990"/>
      <c r="DR2" s="990"/>
      <c r="DS2" s="990"/>
      <c r="DT2" s="990"/>
      <c r="DU2" s="990"/>
      <c r="DV2" s="990"/>
      <c r="DW2" s="990"/>
      <c r="DX2" s="990"/>
      <c r="DY2" s="990"/>
      <c r="DZ2" s="990"/>
      <c r="EA2" s="990"/>
      <c r="EB2" s="990"/>
      <c r="EC2" s="990"/>
      <c r="ED2" s="990"/>
      <c r="EE2" s="990"/>
      <c r="EF2" s="990"/>
      <c r="EG2" s="990"/>
      <c r="EH2" s="990"/>
      <c r="EI2" s="990"/>
      <c r="EJ2" s="990"/>
      <c r="EK2" s="990"/>
      <c r="EL2" s="990"/>
      <c r="EM2" s="990"/>
      <c r="EN2" s="990"/>
      <c r="EO2" s="990"/>
      <c r="EP2" s="990"/>
      <c r="EQ2" s="990"/>
      <c r="ER2" s="990"/>
      <c r="ES2" s="990"/>
      <c r="ET2" s="990"/>
      <c r="EU2" s="990"/>
      <c r="EV2" s="990"/>
      <c r="EW2" s="990"/>
      <c r="EX2" s="990"/>
      <c r="EY2" s="990"/>
      <c r="EZ2" s="990"/>
      <c r="FA2" s="990"/>
      <c r="FB2" s="990"/>
      <c r="FC2" s="990"/>
      <c r="FD2" s="990"/>
      <c r="FE2" s="990"/>
      <c r="FF2" s="990"/>
      <c r="FG2" s="990"/>
      <c r="FH2" s="990"/>
      <c r="FI2" s="990"/>
      <c r="FJ2" s="990"/>
      <c r="FK2" s="990"/>
      <c r="FL2" s="990"/>
      <c r="FM2" s="990"/>
      <c r="FN2" s="990"/>
      <c r="FO2" s="990"/>
      <c r="FP2" s="990"/>
      <c r="FQ2" s="990"/>
      <c r="FR2" s="990"/>
      <c r="FS2" s="990"/>
      <c r="FT2" s="990"/>
      <c r="FU2" s="990"/>
      <c r="FV2" s="990"/>
      <c r="FW2" s="990"/>
      <c r="GC2" s="988">
        <v>0</v>
      </c>
    </row>
    <row s="4899" customFormat="1" customHeight="1" ht="12" hidden="1">
      <c r="B3" s="989"/>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1"/>
      <c r="AC3" s="990"/>
      <c r="AD3" s="990"/>
      <c r="AE3" s="990"/>
      <c r="AF3" s="990"/>
      <c r="AG3" s="990"/>
      <c r="AH3" s="990"/>
      <c r="AI3" s="990"/>
      <c r="AJ3" s="990"/>
      <c r="AK3" s="990"/>
      <c r="AL3" s="990"/>
      <c r="AM3" s="990"/>
      <c r="AN3" s="990"/>
      <c r="AO3" s="990"/>
      <c r="AP3" s="990"/>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R3" s="990"/>
      <c r="BS3" s="990"/>
      <c r="BT3" s="990"/>
      <c r="BU3" s="990"/>
      <c r="BV3" s="990"/>
      <c r="BW3" s="990"/>
      <c r="BX3" s="990"/>
      <c r="BY3" s="990"/>
      <c r="BZ3" s="990"/>
      <c r="CA3" s="990"/>
      <c r="CB3" s="990"/>
      <c r="CC3" s="990"/>
      <c r="CD3" s="990"/>
      <c r="CE3" s="990"/>
      <c r="CF3" s="990"/>
      <c r="CG3" s="990"/>
      <c r="CH3" s="990"/>
      <c r="CI3" s="990"/>
      <c r="CJ3" s="990"/>
      <c r="CK3" s="990"/>
      <c r="CL3" s="990"/>
      <c r="CM3" s="990"/>
      <c r="CN3" s="990"/>
      <c r="CO3" s="990"/>
      <c r="CP3" s="990"/>
      <c r="CQ3" s="990"/>
      <c r="CR3" s="990"/>
      <c r="CS3" s="990"/>
      <c r="CT3" s="990"/>
      <c r="CU3" s="990"/>
      <c r="CV3" s="990"/>
      <c r="CW3" s="990"/>
      <c r="CX3" s="990"/>
      <c r="CY3" s="990"/>
      <c r="CZ3" s="990"/>
      <c r="DA3" s="990"/>
      <c r="DB3" s="990"/>
      <c r="DC3" s="990"/>
      <c r="DD3" s="990"/>
      <c r="DE3" s="990"/>
      <c r="DF3" s="990"/>
      <c r="DG3" s="990"/>
      <c r="DH3" s="990"/>
      <c r="DI3" s="990"/>
      <c r="DJ3" s="990"/>
      <c r="DK3" s="990"/>
      <c r="DL3" s="990"/>
      <c r="DM3" s="990"/>
      <c r="DN3" s="990"/>
      <c r="DO3" s="990"/>
      <c r="DP3" s="990"/>
      <c r="DQ3" s="990"/>
      <c r="DR3" s="990"/>
      <c r="DS3" s="990"/>
      <c r="DT3" s="990"/>
      <c r="DU3" s="990"/>
      <c r="DV3" s="990"/>
      <c r="DW3" s="990"/>
      <c r="DX3" s="990"/>
      <c r="DY3" s="990"/>
      <c r="DZ3" s="990"/>
      <c r="EA3" s="990"/>
      <c r="EB3" s="990"/>
      <c r="EC3" s="990"/>
      <c r="ED3" s="990"/>
      <c r="EE3" s="990"/>
      <c r="EF3" s="990"/>
      <c r="EG3" s="990"/>
      <c r="EH3" s="990"/>
      <c r="EI3" s="990"/>
      <c r="EJ3" s="990"/>
      <c r="EK3" s="990"/>
      <c r="EL3" s="990"/>
      <c r="EM3" s="990"/>
      <c r="EN3" s="990"/>
      <c r="EO3" s="990"/>
      <c r="EP3" s="990"/>
      <c r="EQ3" s="990"/>
      <c r="ER3" s="990"/>
      <c r="ES3" s="990"/>
      <c r="ET3" s="990"/>
      <c r="EU3" s="990"/>
      <c r="EV3" s="990"/>
      <c r="EW3" s="990"/>
      <c r="EX3" s="990"/>
      <c r="EY3" s="990"/>
      <c r="EZ3" s="990"/>
      <c r="FA3" s="990"/>
      <c r="FB3" s="990"/>
      <c r="FC3" s="990"/>
      <c r="FD3" s="990"/>
      <c r="FE3" s="990"/>
      <c r="FF3" s="990"/>
      <c r="FG3" s="990"/>
      <c r="FH3" s="990"/>
      <c r="FI3" s="990"/>
      <c r="FJ3" s="990"/>
      <c r="FK3" s="990"/>
      <c r="FL3" s="990"/>
      <c r="FM3" s="990"/>
      <c r="FN3" s="990"/>
      <c r="FO3" s="990"/>
      <c r="FP3" s="990"/>
      <c r="FQ3" s="990"/>
      <c r="FR3" s="990"/>
      <c r="FS3" s="990"/>
      <c r="FT3" s="990"/>
      <c r="FU3" s="990"/>
      <c r="FV3" s="990"/>
      <c r="FW3" s="990"/>
      <c r="GC3" s="988">
        <v>0</v>
      </c>
    </row>
    <row customHeight="1" ht="10.5">
      <c r="B4" s="993"/>
      <c r="C4" s="994"/>
      <c r="D4" s="994"/>
      <c r="E4" s="994"/>
      <c r="F4" s="994"/>
      <c r="G4" s="994"/>
      <c r="H4" s="995"/>
      <c r="I4" s="995"/>
      <c r="J4" s="995"/>
      <c r="K4" s="995"/>
      <c r="L4" s="995"/>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6"/>
      <c r="CF4" s="996"/>
      <c r="CG4" s="996"/>
      <c r="CH4" s="996"/>
      <c r="CI4" s="996"/>
      <c r="CJ4" s="996"/>
      <c r="CK4" s="996"/>
      <c r="CL4" s="996"/>
      <c r="CM4" s="996"/>
      <c r="CN4" s="996"/>
      <c r="CO4" s="996"/>
      <c r="CP4" s="996"/>
      <c r="CQ4" s="996"/>
      <c r="CR4" s="996"/>
      <c r="CS4" s="996"/>
      <c r="CT4" s="996"/>
      <c r="CU4" s="996"/>
      <c r="CV4" s="996"/>
      <c r="CW4" s="996"/>
      <c r="CX4" s="996"/>
      <c r="CY4" s="996"/>
      <c r="CZ4" s="996"/>
      <c r="DA4" s="996"/>
      <c r="DB4" s="996"/>
      <c r="DC4" s="996"/>
      <c r="DD4" s="996"/>
      <c r="DE4" s="996"/>
      <c r="DF4" s="996"/>
      <c r="DG4" s="996"/>
      <c r="DH4" s="996"/>
      <c r="DI4" s="996"/>
      <c r="DJ4" s="996"/>
      <c r="DK4" s="996"/>
      <c r="DL4" s="996"/>
      <c r="DM4" s="996"/>
      <c r="DN4" s="996"/>
      <c r="DO4" s="996"/>
      <c r="DP4" s="996"/>
      <c r="DQ4" s="996"/>
      <c r="DR4" s="996"/>
      <c r="DS4" s="996"/>
      <c r="DT4" s="996"/>
      <c r="DU4" s="996"/>
      <c r="DV4" s="996"/>
      <c r="DW4" s="996"/>
      <c r="DX4" s="996"/>
      <c r="DY4" s="996"/>
      <c r="DZ4" s="996"/>
      <c r="EA4" s="996"/>
      <c r="EB4" s="996"/>
      <c r="EC4" s="996"/>
      <c r="ED4" s="996"/>
      <c r="EE4" s="996"/>
      <c r="EF4" s="996"/>
      <c r="EG4" s="996"/>
      <c r="EH4" s="996"/>
      <c r="EI4" s="996"/>
      <c r="EJ4" s="996"/>
      <c r="EK4" s="996"/>
      <c r="EL4" s="996"/>
      <c r="EM4" s="996"/>
      <c r="EN4" s="996"/>
      <c r="EO4" s="996"/>
      <c r="EP4" s="996"/>
      <c r="EQ4" s="996"/>
      <c r="ER4" s="996"/>
      <c r="ES4" s="996"/>
      <c r="ET4" s="996"/>
      <c r="EU4" s="996"/>
      <c r="EV4" s="996"/>
      <c r="EW4" s="996"/>
      <c r="EX4" s="996"/>
      <c r="EY4" s="996"/>
      <c r="EZ4" s="996"/>
      <c r="FA4" s="996"/>
      <c r="FB4" s="996"/>
      <c r="FC4" s="996"/>
      <c r="FD4" s="996"/>
      <c r="FE4" s="996"/>
      <c r="FF4" s="996"/>
      <c r="FG4" s="996"/>
      <c r="FH4" s="996"/>
      <c r="FI4" s="996"/>
      <c r="FJ4" s="996"/>
      <c r="FK4" s="996"/>
      <c r="FL4" s="996"/>
      <c r="FM4" s="996"/>
      <c r="FN4" s="996"/>
      <c r="FO4" s="996"/>
      <c r="FP4" s="996"/>
      <c r="FQ4" s="996"/>
      <c r="FR4" s="996"/>
      <c r="FS4" s="996"/>
      <c r="FT4" s="996"/>
      <c r="FU4" s="996"/>
      <c r="FV4" s="996"/>
      <c r="FW4" s="996"/>
      <c r="GC4" s="992">
        <v>10</v>
      </c>
    </row>
    <row s="4905" customFormat="1" customHeight="1" ht="27.299999999999997">
      <c r="B5" s="1938"/>
      <c r="E5" s="1940"/>
      <c r="F5" s="249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5"/>
      <c r="H5" s="2235"/>
      <c r="I5" s="2235"/>
      <c r="J5" s="2235"/>
      <c r="K5" s="2235"/>
      <c r="L5" s="2235"/>
      <c r="M5" s="2235"/>
      <c r="N5" s="2235"/>
      <c r="O5" s="2235"/>
      <c r="P5" s="2235"/>
      <c r="Q5" s="2235"/>
      <c r="R5" s="2235"/>
      <c r="S5" s="2235"/>
      <c r="T5" s="2235"/>
      <c r="U5" s="2235"/>
      <c r="V5" s="2235"/>
      <c r="W5" s="2235"/>
      <c r="X5" s="2235"/>
      <c r="Y5" s="2235"/>
      <c r="Z5" s="2235"/>
      <c r="AA5" s="2235"/>
      <c r="AB5" s="2235"/>
      <c r="AC5" s="2235"/>
      <c r="AD5" s="2235"/>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5"/>
      <c r="BC5" s="2235"/>
      <c r="BD5" s="2235"/>
      <c r="BE5" s="2235"/>
      <c r="BF5" s="2235"/>
      <c r="BG5" s="2235"/>
      <c r="BH5" s="2235"/>
      <c r="BI5" s="2235"/>
      <c r="BJ5" s="2235"/>
      <c r="BK5" s="2235"/>
      <c r="BL5" s="2235"/>
      <c r="BM5" s="2235"/>
      <c r="BN5" s="2235"/>
      <c r="BO5" s="2235"/>
      <c r="BP5" s="2235"/>
      <c r="BQ5" s="2235"/>
      <c r="BR5" s="2235"/>
      <c r="BS5" s="2235"/>
      <c r="GC5" s="1939">
        <v>26</v>
      </c>
    </row>
    <row s="5610" customFormat="1" customHeight="1" ht="18.75">
      <c r="B6" s="1009"/>
      <c r="E6" s="1011"/>
      <c r="F6" s="2280" t="str">
        <f>IF(org=0,"Не определено",org)</f>
        <v>Филиал "Уренгойская ГРЭС" АО "Интер РАО - Электрогенерация"</v>
      </c>
      <c r="G6" s="2281"/>
      <c r="H6" s="2281"/>
      <c r="I6" s="2281"/>
      <c r="J6" s="2281"/>
      <c r="K6" s="2281"/>
      <c r="L6" s="2281"/>
      <c r="M6" s="2281"/>
      <c r="N6" s="2281"/>
      <c r="O6" s="2281"/>
      <c r="P6" s="2281"/>
      <c r="Q6" s="2281"/>
      <c r="R6" s="2281"/>
      <c r="S6" s="2281"/>
      <c r="T6" s="2281"/>
      <c r="U6" s="2281"/>
      <c r="V6" s="2281"/>
      <c r="W6" s="2281"/>
      <c r="X6" s="2281"/>
      <c r="Y6" s="2281"/>
      <c r="Z6" s="2281"/>
      <c r="AA6" s="2281"/>
      <c r="AB6" s="2281"/>
      <c r="AC6" s="2281"/>
      <c r="AD6" s="2281"/>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1"/>
      <c r="BC6" s="2281"/>
      <c r="BD6" s="2281"/>
      <c r="BE6" s="2281"/>
      <c r="BF6" s="2281"/>
      <c r="BG6" s="2281"/>
      <c r="BH6" s="2281"/>
      <c r="BI6" s="2281"/>
      <c r="BJ6" s="2281"/>
      <c r="BK6" s="2281"/>
      <c r="BL6" s="2281"/>
      <c r="BM6" s="2281"/>
      <c r="BN6" s="2281"/>
      <c r="BO6" s="2281"/>
      <c r="BP6" s="2281"/>
      <c r="BQ6" s="2281"/>
      <c r="BR6" s="2281"/>
      <c r="BS6" s="2281"/>
      <c r="GC6" s="1010">
        <v>18</v>
      </c>
    </row>
    <row s="4914" customFormat="1" customHeight="1" ht="10.5">
      <c r="B7" s="998"/>
      <c r="E7" s="999"/>
      <c r="F7" s="999"/>
      <c r="G7" s="1001"/>
      <c r="H7" s="995"/>
      <c r="I7" s="995"/>
      <c r="J7" s="995"/>
      <c r="K7" s="995"/>
      <c r="L7" s="995"/>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999"/>
      <c r="BA7" s="999"/>
      <c r="BB7" s="999"/>
      <c r="BC7" s="999"/>
      <c r="BD7" s="999"/>
      <c r="BE7" s="999"/>
      <c r="BF7" s="999"/>
      <c r="BG7" s="999"/>
      <c r="BH7" s="999"/>
      <c r="BI7" s="999"/>
      <c r="BJ7" s="999"/>
      <c r="BK7" s="999"/>
      <c r="BL7" s="999"/>
      <c r="BM7" s="999"/>
      <c r="BN7" s="999"/>
      <c r="BO7" s="999"/>
      <c r="BP7" s="999"/>
      <c r="BQ7" s="999"/>
      <c r="BR7" s="999"/>
      <c r="BS7" s="999"/>
      <c r="BT7" s="999"/>
      <c r="BU7" s="999"/>
      <c r="BV7" s="999"/>
      <c r="BW7" s="999"/>
      <c r="BX7" s="999"/>
      <c r="BY7" s="999"/>
      <c r="BZ7" s="999"/>
      <c r="CA7" s="999"/>
      <c r="CB7" s="999"/>
      <c r="CC7" s="999"/>
      <c r="CD7" s="999"/>
      <c r="CE7" s="999"/>
      <c r="CF7" s="999"/>
      <c r="CG7" s="999"/>
      <c r="CH7" s="999"/>
      <c r="CI7" s="999"/>
      <c r="CJ7" s="999"/>
      <c r="CK7" s="999"/>
      <c r="CL7" s="999"/>
      <c r="CM7" s="999"/>
      <c r="CN7" s="999"/>
      <c r="CO7" s="999"/>
      <c r="CP7" s="999"/>
      <c r="CQ7" s="999"/>
      <c r="CR7" s="999"/>
      <c r="CS7" s="999"/>
      <c r="CT7" s="999"/>
      <c r="CU7" s="999"/>
      <c r="CV7" s="999"/>
      <c r="CW7" s="999"/>
      <c r="CX7" s="999"/>
      <c r="CY7" s="999"/>
      <c r="CZ7" s="999"/>
      <c r="DA7" s="999"/>
      <c r="DB7" s="999"/>
      <c r="DC7" s="999"/>
      <c r="DD7" s="999"/>
      <c r="DE7" s="999"/>
      <c r="DF7" s="999"/>
      <c r="DG7" s="999"/>
      <c r="DH7" s="999"/>
      <c r="DI7" s="999"/>
      <c r="DJ7" s="999"/>
      <c r="DK7" s="999"/>
      <c r="DL7" s="999"/>
      <c r="DM7" s="999"/>
      <c r="DN7" s="999"/>
      <c r="DO7" s="999"/>
      <c r="DP7" s="999"/>
      <c r="DQ7" s="999"/>
      <c r="DR7" s="999"/>
      <c r="DS7" s="999"/>
      <c r="DT7" s="999"/>
      <c r="DU7" s="999"/>
      <c r="DV7" s="999"/>
      <c r="DW7" s="999"/>
      <c r="DX7" s="999"/>
      <c r="DY7" s="999"/>
      <c r="DZ7" s="999"/>
      <c r="EA7" s="999"/>
      <c r="EB7" s="999"/>
      <c r="EC7" s="999"/>
      <c r="ED7" s="999"/>
      <c r="EE7" s="999"/>
      <c r="EF7" s="999"/>
      <c r="EG7" s="999"/>
      <c r="EH7" s="999"/>
      <c r="EI7" s="999"/>
      <c r="EJ7" s="999"/>
      <c r="EK7" s="999"/>
      <c r="EL7" s="999"/>
      <c r="EM7" s="999"/>
      <c r="EN7" s="999"/>
      <c r="EO7" s="999"/>
      <c r="EP7" s="999"/>
      <c r="EQ7" s="999"/>
      <c r="ER7" s="999"/>
      <c r="ES7" s="999"/>
      <c r="ET7" s="999"/>
      <c r="EU7" s="999"/>
      <c r="EV7" s="999"/>
      <c r="EW7" s="999"/>
      <c r="EX7" s="999"/>
      <c r="EY7" s="999"/>
      <c r="EZ7" s="999"/>
      <c r="FA7" s="999"/>
      <c r="FB7" s="999"/>
      <c r="FC7" s="999"/>
      <c r="FD7" s="999"/>
      <c r="FE7" s="999"/>
      <c r="FF7" s="999"/>
      <c r="FG7" s="999"/>
      <c r="FH7" s="999"/>
      <c r="FI7" s="999"/>
      <c r="FJ7" s="999"/>
      <c r="FK7" s="999"/>
      <c r="FL7" s="999"/>
      <c r="FM7" s="999"/>
      <c r="FN7" s="999"/>
      <c r="FO7" s="999"/>
      <c r="FP7" s="999"/>
      <c r="FQ7" s="999"/>
      <c r="FR7" s="999"/>
      <c r="FS7" s="999"/>
      <c r="FT7" s="999"/>
      <c r="FU7" s="999"/>
      <c r="FV7" s="999"/>
      <c r="FW7" s="999"/>
      <c r="GC7" s="997">
        <v>10</v>
      </c>
    </row>
    <row s="4914" customFormat="1" customHeight="1" ht="11.25" hidden="1">
      <c r="B8" s="1000"/>
      <c r="F8" s="1122"/>
      <c r="G8" s="829"/>
      <c r="H8" s="426"/>
      <c r="I8" s="426"/>
      <c r="J8" s="426"/>
      <c r="K8" s="426"/>
      <c r="L8" s="426"/>
      <c r="M8" s="1122"/>
      <c r="N8" s="1122"/>
      <c r="O8" s="2516" t="s">
        <v>1080</v>
      </c>
      <c r="P8" s="2517"/>
      <c r="Q8" s="2517"/>
      <c r="R8" s="2517"/>
      <c r="S8" s="2517"/>
      <c r="T8" s="2517"/>
      <c r="U8" s="2517"/>
      <c r="V8" s="2517"/>
      <c r="W8" s="2517"/>
      <c r="X8" s="2517"/>
      <c r="Y8" s="2517"/>
      <c r="Z8" s="2517"/>
      <c r="AA8" s="2517"/>
      <c r="AB8" s="2517"/>
      <c r="AC8" s="2517"/>
      <c r="AD8" s="2517"/>
      <c r="AE8" s="2517"/>
      <c r="AF8" s="2517"/>
      <c r="AG8" s="2517"/>
      <c r="AH8" s="2517"/>
      <c r="AI8" s="2517"/>
      <c r="AJ8" s="2517"/>
      <c r="AK8" s="2517"/>
      <c r="AL8" s="2517"/>
      <c r="AM8" s="2517"/>
      <c r="AN8" s="2517"/>
      <c r="AO8" s="2517"/>
      <c r="AP8" s="2517"/>
      <c r="AQ8" s="2517"/>
      <c r="AR8" s="2517"/>
      <c r="AS8" s="2517"/>
      <c r="AT8" s="2517"/>
      <c r="AU8" s="2517"/>
      <c r="AV8" s="2517"/>
      <c r="AW8" s="2517"/>
      <c r="AX8" s="2517"/>
      <c r="AY8" s="2517"/>
      <c r="AZ8" s="2517"/>
      <c r="BA8" s="2517"/>
      <c r="BB8" s="2517"/>
      <c r="BC8" s="2517"/>
      <c r="BD8" s="2517"/>
      <c r="BE8" s="2517"/>
      <c r="BF8" s="2517"/>
      <c r="BG8" s="2517"/>
      <c r="BH8" s="2517"/>
      <c r="BI8" s="2517"/>
      <c r="BJ8" s="2517"/>
      <c r="BK8" s="2517"/>
      <c r="BL8" s="2517"/>
      <c r="BM8" s="2517"/>
      <c r="BN8" s="2517"/>
      <c r="BO8" s="2517"/>
      <c r="BP8" s="2517"/>
      <c r="BQ8" s="2517"/>
      <c r="BR8" s="2517"/>
      <c r="BS8" s="2518"/>
      <c r="BT8" s="2505"/>
      <c r="BU8" s="2506"/>
      <c r="BV8" s="2506"/>
      <c r="BW8" s="2506"/>
      <c r="BX8" s="2506"/>
      <c r="BY8" s="2506"/>
      <c r="BZ8" s="2506"/>
      <c r="CA8" s="2506"/>
      <c r="CB8" s="2506"/>
      <c r="CC8" s="2506"/>
      <c r="CD8" s="2506"/>
      <c r="CE8" s="2506"/>
      <c r="CF8" s="2506"/>
      <c r="CG8" s="2506"/>
      <c r="CH8" s="2506"/>
      <c r="CI8" s="2506"/>
      <c r="CJ8" s="2506"/>
      <c r="CK8" s="2506"/>
      <c r="CL8" s="2506"/>
      <c r="CM8" s="2506"/>
      <c r="CN8" s="2506"/>
      <c r="CO8" s="2506"/>
      <c r="CP8" s="2506"/>
      <c r="CQ8" s="2506"/>
      <c r="CR8" s="2506"/>
      <c r="CS8" s="2506"/>
      <c r="CT8" s="2506"/>
      <c r="CU8" s="2506"/>
      <c r="CV8" s="2506"/>
      <c r="CW8" s="2506"/>
      <c r="CX8" s="2507"/>
      <c r="CY8" s="2508"/>
      <c r="CZ8" s="2509"/>
      <c r="DA8" s="2509"/>
      <c r="DB8" s="2509"/>
      <c r="DC8" s="2509"/>
      <c r="DD8" s="2509"/>
      <c r="DE8" s="2509"/>
      <c r="DF8" s="2509"/>
      <c r="DG8" s="2509"/>
      <c r="DH8" s="2509"/>
      <c r="DI8" s="2509"/>
      <c r="DJ8" s="2509"/>
      <c r="DK8" s="2509"/>
      <c r="DL8" s="2509"/>
      <c r="DM8" s="2509"/>
      <c r="DN8" s="2509"/>
      <c r="DO8" s="2509"/>
      <c r="DP8" s="2509"/>
      <c r="DQ8" s="2509"/>
      <c r="DR8" s="2509"/>
      <c r="DS8" s="2509"/>
      <c r="DT8" s="2509"/>
      <c r="DU8" s="2509"/>
      <c r="DV8" s="2509"/>
      <c r="DW8" s="2509"/>
      <c r="DX8" s="2510"/>
      <c r="DY8" s="2511" t="s">
        <v>1081</v>
      </c>
      <c r="DZ8" s="2512"/>
      <c r="EA8" s="2512"/>
      <c r="EB8" s="2512"/>
      <c r="EC8" s="2512"/>
      <c r="ED8" s="2512"/>
      <c r="EE8" s="2512"/>
      <c r="EF8" s="2512"/>
      <c r="EG8" s="2512"/>
      <c r="EH8" s="2512"/>
      <c r="EI8" s="2512"/>
      <c r="EJ8" s="2512"/>
      <c r="EK8" s="2512"/>
      <c r="EL8" s="2512"/>
      <c r="EM8" s="2512"/>
      <c r="EN8" s="2512"/>
      <c r="EO8" s="2512"/>
      <c r="EP8" s="2512"/>
      <c r="EQ8" s="2512"/>
      <c r="ER8" s="2512"/>
      <c r="ES8" s="2512"/>
      <c r="ET8" s="2512"/>
      <c r="EU8" s="2512"/>
      <c r="EV8" s="2512"/>
      <c r="EW8" s="2512"/>
      <c r="EX8" s="2512"/>
      <c r="EY8" s="2512"/>
      <c r="EZ8" s="2512"/>
      <c r="FA8" s="2512"/>
      <c r="FB8" s="2512"/>
      <c r="FC8" s="2512"/>
      <c r="FD8" s="2512"/>
      <c r="FE8" s="2512"/>
      <c r="FF8" s="2512"/>
      <c r="FG8" s="2512"/>
      <c r="FH8" s="2512"/>
      <c r="FI8" s="2512"/>
      <c r="FJ8" s="2512"/>
      <c r="FK8" s="2512"/>
      <c r="FL8" s="2512"/>
      <c r="FM8" s="2512"/>
      <c r="FN8" s="2512"/>
      <c r="FO8" s="2512"/>
      <c r="FP8" s="2512"/>
      <c r="FQ8" s="2512"/>
      <c r="FR8" s="2512"/>
      <c r="FS8" s="2512"/>
      <c r="FT8" s="2512"/>
      <c r="FU8" s="2512"/>
      <c r="FV8" s="2512"/>
      <c r="FW8" s="2513"/>
      <c r="FX8" s="1122"/>
      <c r="GC8" s="999">
        <v>0</v>
      </c>
    </row>
    <row s="4914" customFormat="1" customHeight="1" ht="11.25" hidden="1">
      <c r="B9" s="1000"/>
      <c r="F9" s="1122"/>
      <c r="G9" s="829"/>
      <c r="H9" s="426"/>
      <c r="I9" s="426"/>
      <c r="J9" s="426"/>
      <c r="K9" s="426"/>
      <c r="L9" s="426"/>
      <c r="M9" s="1122"/>
      <c r="N9" s="1122"/>
      <c r="O9" s="1122"/>
      <c r="P9" s="1122"/>
      <c r="Q9" s="1122"/>
      <c r="R9" s="1122"/>
      <c r="S9" s="1122"/>
      <c r="T9" s="1122"/>
      <c r="U9" s="1122"/>
      <c r="V9" s="1122"/>
      <c r="W9" s="1122"/>
      <c r="X9" s="1122"/>
      <c r="Y9" s="1122"/>
      <c r="Z9" s="1122"/>
      <c r="AA9" s="1122"/>
      <c r="AB9" s="1122"/>
      <c r="AC9" s="1122"/>
      <c r="AD9" s="1122"/>
      <c r="AE9" s="1122"/>
      <c r="AF9" s="1122"/>
      <c r="AG9" s="1122"/>
      <c r="AH9" s="1122"/>
      <c r="AI9" s="1122"/>
      <c r="AJ9" s="1122"/>
      <c r="AK9" s="1122"/>
      <c r="AL9" s="1122"/>
      <c r="AM9" s="1122"/>
      <c r="AN9" s="1122"/>
      <c r="AO9" s="1122"/>
      <c r="AP9" s="1122"/>
      <c r="AQ9" s="1122"/>
      <c r="AR9" s="1122"/>
      <c r="AS9" s="1122"/>
      <c r="AT9" s="1122"/>
      <c r="AU9" s="1122"/>
      <c r="AV9" s="1122"/>
      <c r="AW9" s="1122"/>
      <c r="AX9" s="1122"/>
      <c r="AY9" s="1122"/>
      <c r="AZ9" s="1122"/>
      <c r="BA9" s="1122"/>
      <c r="BB9" s="1122"/>
      <c r="BC9" s="1122"/>
      <c r="BD9" s="1122"/>
      <c r="BE9" s="1122"/>
      <c r="BF9" s="1122"/>
      <c r="BG9" s="1122"/>
      <c r="BH9" s="1122"/>
      <c r="BI9" s="1122"/>
      <c r="BJ9" s="1122"/>
      <c r="BK9" s="1122"/>
      <c r="BL9" s="1122"/>
      <c r="BM9" s="1122"/>
      <c r="BN9" s="1122"/>
      <c r="BO9" s="1122"/>
      <c r="BP9" s="1122"/>
      <c r="BQ9" s="1122"/>
      <c r="BR9" s="1122"/>
      <c r="BS9" s="1122"/>
      <c r="BT9" s="1122"/>
      <c r="BU9" s="1122"/>
      <c r="BV9" s="1122"/>
      <c r="BW9" s="1122"/>
      <c r="BX9" s="1122"/>
      <c r="BY9" s="1122"/>
      <c r="BZ9" s="1122"/>
      <c r="CA9" s="1122"/>
      <c r="CB9" s="1122"/>
      <c r="CC9" s="1122"/>
      <c r="CD9" s="1122"/>
      <c r="CE9" s="1122"/>
      <c r="CF9" s="1122"/>
      <c r="CG9" s="1122"/>
      <c r="CH9" s="1122"/>
      <c r="CI9" s="1122"/>
      <c r="CJ9" s="1122"/>
      <c r="CK9" s="1122"/>
      <c r="CL9" s="1122"/>
      <c r="CM9" s="1122"/>
      <c r="CN9" s="1122"/>
      <c r="CO9" s="1122"/>
      <c r="CP9" s="1122"/>
      <c r="CQ9" s="1122"/>
      <c r="CR9" s="1122"/>
      <c r="CS9" s="1122"/>
      <c r="CT9" s="1122"/>
      <c r="CU9" s="1122"/>
      <c r="CV9" s="1122"/>
      <c r="CW9" s="1122"/>
      <c r="CX9" s="1122"/>
      <c r="CY9" s="1122"/>
      <c r="CZ9" s="1122"/>
      <c r="DA9" s="1122"/>
      <c r="DB9" s="1122"/>
      <c r="DC9" s="1122"/>
      <c r="DD9" s="1122"/>
      <c r="DE9" s="1122"/>
      <c r="DF9" s="1122"/>
      <c r="DG9" s="1122"/>
      <c r="DH9" s="1122"/>
      <c r="DI9" s="1122"/>
      <c r="DJ9" s="1122"/>
      <c r="DK9" s="1122"/>
      <c r="DL9" s="1122"/>
      <c r="DM9" s="1122"/>
      <c r="DN9" s="1122"/>
      <c r="DO9" s="1122"/>
      <c r="DP9" s="1122"/>
      <c r="DQ9" s="1122"/>
      <c r="DR9" s="1122"/>
      <c r="DS9" s="1122"/>
      <c r="DT9" s="1122"/>
      <c r="DU9" s="1122"/>
      <c r="DV9" s="1122"/>
      <c r="DW9" s="1122"/>
      <c r="DX9" s="1122"/>
      <c r="DY9" s="1122"/>
      <c r="DZ9" s="1122"/>
      <c r="EA9" s="1122"/>
      <c r="EB9" s="1122"/>
      <c r="EC9" s="1122"/>
      <c r="ED9" s="1122"/>
      <c r="EE9" s="1122"/>
      <c r="EF9" s="1122"/>
      <c r="EG9" s="1122"/>
      <c r="EH9" s="1122"/>
      <c r="EI9" s="1122"/>
      <c r="EJ9" s="1122"/>
      <c r="EK9" s="1122"/>
      <c r="EL9" s="1122"/>
      <c r="EM9" s="1122"/>
      <c r="EN9" s="1122"/>
      <c r="EO9" s="1122"/>
      <c r="EP9" s="1122"/>
      <c r="EQ9" s="1122"/>
      <c r="ER9" s="1122"/>
      <c r="ES9" s="1122"/>
      <c r="ET9" s="1122"/>
      <c r="EU9" s="1122"/>
      <c r="EV9" s="1122"/>
      <c r="EW9" s="1122"/>
      <c r="EX9" s="1122"/>
      <c r="EY9" s="1122"/>
      <c r="EZ9" s="1122"/>
      <c r="FA9" s="1122"/>
      <c r="FB9" s="1122"/>
      <c r="FC9" s="1122"/>
      <c r="FD9" s="1122"/>
      <c r="FE9" s="1122"/>
      <c r="FF9" s="1122"/>
      <c r="FG9" s="1122"/>
      <c r="FH9" s="1122"/>
      <c r="FI9" s="1122"/>
      <c r="FJ9" s="1122"/>
      <c r="FK9" s="1122"/>
      <c r="FL9" s="1122"/>
      <c r="FM9" s="1122"/>
      <c r="FN9" s="1122"/>
      <c r="FO9" s="1122"/>
      <c r="FP9" s="1122"/>
      <c r="FQ9" s="1122"/>
      <c r="FR9" s="1122"/>
      <c r="FS9" s="1122"/>
      <c r="FT9" s="1122"/>
      <c r="FU9" s="1122"/>
      <c r="FV9" s="1122"/>
      <c r="FW9" s="2514"/>
      <c r="FX9" s="1122"/>
      <c r="GC9" s="999">
        <v>0</v>
      </c>
    </row>
    <row s="4914" customFormat="1" customHeight="1" ht="11.549999999999999">
      <c r="B10" s="1000"/>
      <c r="F10" s="2495" t="s">
        <v>309</v>
      </c>
      <c r="G10" s="2496"/>
      <c r="H10" s="2496"/>
      <c r="I10" s="2496"/>
      <c r="J10" s="2496"/>
      <c r="K10" s="2496"/>
      <c r="L10" s="2496"/>
      <c r="M10" s="2496"/>
      <c r="N10" s="2496"/>
      <c r="O10" s="2496"/>
      <c r="P10" s="2496"/>
      <c r="Q10" s="2496"/>
      <c r="R10" s="2496"/>
      <c r="S10" s="2496"/>
      <c r="T10" s="2496"/>
      <c r="U10" s="2496"/>
      <c r="V10" s="2496"/>
      <c r="W10" s="2496"/>
      <c r="X10" s="2496"/>
      <c r="Y10" s="2496"/>
      <c r="Z10" s="2496"/>
      <c r="AA10" s="2496"/>
      <c r="AB10" s="2496"/>
      <c r="AC10" s="2496"/>
      <c r="AD10" s="2496"/>
      <c r="AE10" s="2496"/>
      <c r="AF10" s="2496"/>
      <c r="AG10" s="2496"/>
      <c r="AH10" s="2496"/>
      <c r="AI10" s="2496"/>
      <c r="AJ10" s="2496"/>
      <c r="AK10" s="2496"/>
      <c r="AL10" s="2496"/>
      <c r="AM10" s="2496"/>
      <c r="AN10" s="2496"/>
      <c r="AO10" s="2496"/>
      <c r="AP10" s="2496"/>
      <c r="AQ10" s="2496"/>
      <c r="AR10" s="2496"/>
      <c r="AS10" s="2496"/>
      <c r="AT10" s="2496"/>
      <c r="AU10" s="2496"/>
      <c r="AV10" s="2496"/>
      <c r="AW10" s="2496"/>
      <c r="AX10" s="2496"/>
      <c r="AY10" s="2496"/>
      <c r="AZ10" s="2496"/>
      <c r="BA10" s="2496"/>
      <c r="BB10" s="2496"/>
      <c r="BC10" s="2496"/>
      <c r="BD10" s="2496"/>
      <c r="BE10" s="2496"/>
      <c r="BF10" s="2496"/>
      <c r="BG10" s="2496"/>
      <c r="BH10" s="2496"/>
      <c r="BI10" s="2496"/>
      <c r="BJ10" s="2496"/>
      <c r="BK10" s="2496"/>
      <c r="BL10" s="2496"/>
      <c r="BM10" s="2496"/>
      <c r="BN10" s="2496"/>
      <c r="BO10" s="2496"/>
      <c r="BP10" s="2496"/>
      <c r="BQ10" s="2496"/>
      <c r="BR10" s="2496"/>
      <c r="BS10" s="2496"/>
      <c r="BT10" s="2496"/>
      <c r="BU10" s="2496"/>
      <c r="BV10" s="2496"/>
      <c r="BW10" s="2496"/>
      <c r="BX10" s="2496"/>
      <c r="BY10" s="2496"/>
      <c r="BZ10" s="2496"/>
      <c r="CA10" s="2496"/>
      <c r="CB10" s="2496"/>
      <c r="CC10" s="2496"/>
      <c r="CD10" s="2496"/>
      <c r="CE10" s="2496"/>
      <c r="CF10" s="2496"/>
      <c r="CG10" s="2496"/>
      <c r="CH10" s="2496"/>
      <c r="CI10" s="2496"/>
      <c r="CJ10" s="2496"/>
      <c r="CK10" s="2496"/>
      <c r="CL10" s="2496"/>
      <c r="CM10" s="2496"/>
      <c r="CN10" s="2496"/>
      <c r="CO10" s="2496"/>
      <c r="CP10" s="2496"/>
      <c r="CQ10" s="2496"/>
      <c r="CR10" s="2496"/>
      <c r="CS10" s="2496"/>
      <c r="CT10" s="2496"/>
      <c r="CU10" s="2496"/>
      <c r="CV10" s="2496"/>
      <c r="CW10" s="2496"/>
      <c r="CX10" s="2496"/>
      <c r="CY10" s="2496"/>
      <c r="CZ10" s="2496"/>
      <c r="DA10" s="2496"/>
      <c r="DB10" s="2496"/>
      <c r="DC10" s="2496"/>
      <c r="DD10" s="2496"/>
      <c r="DE10" s="2496"/>
      <c r="DF10" s="2496"/>
      <c r="DG10" s="2496"/>
      <c r="DH10" s="2496"/>
      <c r="DI10" s="2496"/>
      <c r="DJ10" s="2496"/>
      <c r="DK10" s="2496"/>
      <c r="DL10" s="2496"/>
      <c r="DM10" s="2496"/>
      <c r="DN10" s="2496"/>
      <c r="DO10" s="2496"/>
      <c r="DP10" s="2496"/>
      <c r="DQ10" s="2496"/>
      <c r="DR10" s="2496"/>
      <c r="DS10" s="2496"/>
      <c r="DT10" s="2496"/>
      <c r="DU10" s="2496"/>
      <c r="DV10" s="2496"/>
      <c r="DW10" s="2496"/>
      <c r="DX10" s="2496"/>
      <c r="DY10" s="2496"/>
      <c r="DZ10" s="2496"/>
      <c r="EA10" s="2496"/>
      <c r="EB10" s="2496"/>
      <c r="EC10" s="2496"/>
      <c r="ED10" s="2496"/>
      <c r="EE10" s="2496"/>
      <c r="EF10" s="2496"/>
      <c r="EG10" s="2496"/>
      <c r="EH10" s="2496"/>
      <c r="EI10" s="2496"/>
      <c r="EJ10" s="2496"/>
      <c r="EK10" s="2496"/>
      <c r="EL10" s="2496"/>
      <c r="EM10" s="2496"/>
      <c r="EN10" s="2496"/>
      <c r="EO10" s="2496"/>
      <c r="EP10" s="2496"/>
      <c r="EQ10" s="2496"/>
      <c r="ER10" s="2496"/>
      <c r="ES10" s="2496"/>
      <c r="ET10" s="2496"/>
      <c r="EU10" s="2496"/>
      <c r="EV10" s="2496"/>
      <c r="EW10" s="2496"/>
      <c r="EX10" s="2496"/>
      <c r="EY10" s="2496"/>
      <c r="EZ10" s="2496"/>
      <c r="FA10" s="2496"/>
      <c r="FB10" s="2496"/>
      <c r="FC10" s="2496"/>
      <c r="FD10" s="2496"/>
      <c r="FE10" s="2496"/>
      <c r="FF10" s="2496"/>
      <c r="FG10" s="2496"/>
      <c r="FH10" s="2496"/>
      <c r="FI10" s="2496"/>
      <c r="FJ10" s="2496"/>
      <c r="FK10" s="2496"/>
      <c r="FL10" s="2496"/>
      <c r="FM10" s="2496"/>
      <c r="FN10" s="2496"/>
      <c r="FO10" s="2496"/>
      <c r="FP10" s="2496"/>
      <c r="FQ10" s="2496"/>
      <c r="FR10" s="2496"/>
      <c r="FS10" s="2496"/>
      <c r="FT10" s="2496"/>
      <c r="FU10" s="2496"/>
      <c r="FV10" s="2497"/>
      <c r="FW10" s="2514"/>
      <c r="FX10" s="1122"/>
      <c r="GC10" s="999">
        <v>11</v>
      </c>
    </row>
    <row customHeight="1" ht="12.75">
      <c r="E11" s="1003"/>
      <c r="F11" s="2271" t="s">
        <v>93</v>
      </c>
      <c r="G11" s="2271" t="s">
        <v>1082</v>
      </c>
      <c r="H11" s="2503" t="s">
        <v>1083</v>
      </c>
      <c r="I11" s="2503" t="s">
        <v>1084</v>
      </c>
      <c r="J11" s="2504"/>
      <c r="K11" s="2504"/>
      <c r="L11" s="2504"/>
      <c r="M11" s="2504"/>
      <c r="N11" s="2504"/>
      <c r="O11" s="2275" t="s">
        <v>1085</v>
      </c>
      <c r="P11" s="2275"/>
      <c r="Q11" s="2275"/>
      <c r="R11" s="2275"/>
      <c r="S11" s="2275"/>
      <c r="T11" s="2275"/>
      <c r="U11" s="2275"/>
      <c r="V11" s="2275"/>
      <c r="W11" s="2275"/>
      <c r="X11" s="2275"/>
      <c r="Y11" s="2275"/>
      <c r="Z11" s="2275"/>
      <c r="AA11" s="2275"/>
      <c r="AB11" s="2275"/>
      <c r="AC11" s="2500"/>
      <c r="AD11" s="2500"/>
      <c r="AE11" s="2500"/>
      <c r="AF11" s="2500"/>
      <c r="AG11" s="2500"/>
      <c r="AH11" s="2500"/>
      <c r="AI11" s="2500"/>
      <c r="AJ11" s="2500"/>
      <c r="AK11" s="2500"/>
      <c r="AL11" s="2500"/>
      <c r="AM11" s="2500"/>
      <c r="AN11" s="2500"/>
      <c r="AO11" s="2500"/>
      <c r="AP11" s="2500"/>
      <c r="AQ11" s="2500"/>
      <c r="AR11" s="2500"/>
      <c r="AS11" s="2500"/>
      <c r="AT11" s="2500"/>
      <c r="AU11" s="2500"/>
      <c r="AV11" s="2500"/>
      <c r="AW11" s="2500"/>
      <c r="AX11" s="2500"/>
      <c r="AY11" s="2500"/>
      <c r="AZ11" s="2500"/>
      <c r="BA11" s="2500"/>
      <c r="BB11" s="2500"/>
      <c r="BC11" s="2500"/>
      <c r="BD11" s="2500"/>
      <c r="BE11" s="2500"/>
      <c r="BF11" s="2500"/>
      <c r="BG11" s="2500"/>
      <c r="BH11" s="2500"/>
      <c r="BI11" s="2500"/>
      <c r="BJ11" s="2500"/>
      <c r="BK11" s="2500"/>
      <c r="BL11" s="2500"/>
      <c r="BM11" s="2500"/>
      <c r="BN11" s="2500"/>
      <c r="BO11" s="2500"/>
      <c r="BP11" s="2500"/>
      <c r="BQ11" s="2500"/>
      <c r="BR11" s="2500"/>
      <c r="BS11" s="2519"/>
      <c r="BT11" s="2452" t="s">
        <v>1085</v>
      </c>
      <c r="BU11" s="2453"/>
      <c r="BV11" s="2453"/>
      <c r="BW11" s="2453"/>
      <c r="BX11" s="2453"/>
      <c r="BY11" s="2453"/>
      <c r="BZ11" s="2453"/>
      <c r="CA11" s="2453"/>
      <c r="CB11" s="2453"/>
      <c r="CC11" s="2453"/>
      <c r="CD11" s="2453"/>
      <c r="CE11" s="2453"/>
      <c r="CF11" s="2453"/>
      <c r="CG11" s="2453"/>
      <c r="CH11" s="2453"/>
      <c r="CI11" s="2453"/>
      <c r="CJ11" s="2453"/>
      <c r="CK11" s="2499"/>
      <c r="CL11" s="2502"/>
      <c r="CM11" s="2500"/>
      <c r="CN11" s="2500"/>
      <c r="CO11" s="2500"/>
      <c r="CP11" s="2500"/>
      <c r="CQ11" s="2500"/>
      <c r="CR11" s="2500"/>
      <c r="CS11" s="2500"/>
      <c r="CT11" s="2500"/>
      <c r="CU11" s="2500"/>
      <c r="CV11" s="2500"/>
      <c r="CW11" s="2500"/>
      <c r="CX11" s="2519"/>
      <c r="CY11" s="2452" t="s">
        <v>1085</v>
      </c>
      <c r="CZ11" s="2453"/>
      <c r="DA11" s="2453"/>
      <c r="DB11" s="2453"/>
      <c r="DC11" s="2453"/>
      <c r="DD11" s="2453"/>
      <c r="DE11" s="2453"/>
      <c r="DF11" s="2453"/>
      <c r="DG11" s="2453"/>
      <c r="DH11" s="2453"/>
      <c r="DI11" s="2453"/>
      <c r="DJ11" s="2499"/>
      <c r="DK11" s="2502"/>
      <c r="DL11" s="2500"/>
      <c r="DM11" s="2500"/>
      <c r="DN11" s="2500"/>
      <c r="DO11" s="2500"/>
      <c r="DP11" s="2500"/>
      <c r="DQ11" s="2500"/>
      <c r="DR11" s="2500"/>
      <c r="DS11" s="2500"/>
      <c r="DT11" s="2500"/>
      <c r="DU11" s="2500"/>
      <c r="DV11" s="2500"/>
      <c r="DW11" s="2500"/>
      <c r="DX11" s="2500"/>
      <c r="DY11" s="2500"/>
      <c r="DZ11" s="2500"/>
      <c r="EA11" s="2500"/>
      <c r="EB11" s="2500"/>
      <c r="EC11" s="2500"/>
      <c r="ED11" s="2500"/>
      <c r="EE11" s="2500"/>
      <c r="EF11" s="2500"/>
      <c r="EG11" s="2500"/>
      <c r="EH11" s="2500"/>
      <c r="EI11" s="2500"/>
      <c r="EJ11" s="2500"/>
      <c r="EK11" s="2500"/>
      <c r="EL11" s="2500"/>
      <c r="EM11" s="2500"/>
      <c r="EN11" s="2500"/>
      <c r="EO11" s="2500"/>
      <c r="EP11" s="2500"/>
      <c r="EQ11" s="2500"/>
      <c r="ER11" s="2500"/>
      <c r="ES11" s="2500"/>
      <c r="ET11" s="2500"/>
      <c r="EU11" s="2500"/>
      <c r="EV11" s="2500"/>
      <c r="EW11" s="2500"/>
      <c r="EX11" s="2500"/>
      <c r="EY11" s="2500"/>
      <c r="EZ11" s="2500"/>
      <c r="FA11" s="2500"/>
      <c r="FB11" s="2500"/>
      <c r="FC11" s="2500"/>
      <c r="FD11" s="2500"/>
      <c r="FE11" s="2500"/>
      <c r="FF11" s="2500"/>
      <c r="FG11" s="2500"/>
      <c r="FH11" s="2500"/>
      <c r="FI11" s="2500"/>
      <c r="FJ11" s="2500"/>
      <c r="FK11" s="2500"/>
      <c r="FL11" s="2500"/>
      <c r="FM11" s="2500"/>
      <c r="FN11" s="2500"/>
      <c r="FO11" s="2500"/>
      <c r="FP11" s="2500"/>
      <c r="FQ11" s="2500"/>
      <c r="FR11" s="2500"/>
      <c r="FS11" s="2500"/>
      <c r="FT11" s="2500"/>
      <c r="FU11" s="2500"/>
      <c r="FV11" s="2500"/>
      <c r="FW11" s="2514"/>
      <c r="FX11" s="828"/>
      <c r="GC11" s="992">
        <v>12</v>
      </c>
    </row>
    <row customHeight="1" ht="12.75">
      <c r="D12" s="1004"/>
      <c r="E12" s="1003"/>
      <c r="F12" s="2271"/>
      <c r="G12" s="2271"/>
      <c r="H12" s="2503"/>
      <c r="I12" s="2503"/>
      <c r="J12" s="2504"/>
      <c r="K12" s="2504"/>
      <c r="L12" s="2504"/>
      <c r="M12" s="2504"/>
      <c r="N12" s="2504"/>
      <c r="O12" s="2275" t="s">
        <v>1086</v>
      </c>
      <c r="P12" s="2275"/>
      <c r="Q12" s="2275"/>
      <c r="R12" s="2275"/>
      <c r="S12" s="2275" t="s">
        <v>1087</v>
      </c>
      <c r="T12" s="2275"/>
      <c r="U12" s="2275"/>
      <c r="V12" s="2275"/>
      <c r="W12" s="2275"/>
      <c r="X12" s="2275"/>
      <c r="Y12" s="2275"/>
      <c r="Z12" s="2275"/>
      <c r="AA12" s="2275"/>
      <c r="AB12" s="2275"/>
      <c r="AC12" s="2500"/>
      <c r="AD12" s="2500"/>
      <c r="AE12" s="2500"/>
      <c r="AF12" s="2500"/>
      <c r="AG12" s="2500"/>
      <c r="AH12" s="2500"/>
      <c r="AI12" s="2500"/>
      <c r="AJ12" s="2500"/>
      <c r="AK12" s="2500"/>
      <c r="AL12" s="2500"/>
      <c r="AM12" s="2500"/>
      <c r="AN12" s="2500"/>
      <c r="AO12" s="2500"/>
      <c r="AP12" s="2500"/>
      <c r="AQ12" s="2500"/>
      <c r="AR12" s="2500"/>
      <c r="AS12" s="2500"/>
      <c r="AT12" s="2500"/>
      <c r="AU12" s="2500"/>
      <c r="AV12" s="2500"/>
      <c r="AW12" s="2500"/>
      <c r="AX12" s="2500"/>
      <c r="AY12" s="2500"/>
      <c r="AZ12" s="2500"/>
      <c r="BA12" s="2500"/>
      <c r="BB12" s="2500"/>
      <c r="BC12" s="2500"/>
      <c r="BD12" s="2500"/>
      <c r="BE12" s="2500"/>
      <c r="BF12" s="2500"/>
      <c r="BG12" s="2500"/>
      <c r="BH12" s="2500"/>
      <c r="BI12" s="2500"/>
      <c r="BJ12" s="2500"/>
      <c r="BK12" s="2500"/>
      <c r="BL12" s="2500"/>
      <c r="BM12" s="2500"/>
      <c r="BN12" s="2500"/>
      <c r="BO12" s="2500"/>
      <c r="BP12" s="2500"/>
      <c r="BQ12" s="2500"/>
      <c r="BR12" s="2500"/>
      <c r="BS12" s="2519"/>
      <c r="BT12" s="2452" t="s">
        <v>1088</v>
      </c>
      <c r="BU12" s="2453"/>
      <c r="BV12" s="2453"/>
      <c r="BW12" s="2499"/>
      <c r="BX12" s="2452" t="s">
        <v>1089</v>
      </c>
      <c r="BY12" s="2453"/>
      <c r="BZ12" s="2453"/>
      <c r="CA12" s="2499"/>
      <c r="CB12" s="2452" t="s">
        <v>1090</v>
      </c>
      <c r="CC12" s="2499"/>
      <c r="CD12" s="2452" t="s">
        <v>1091</v>
      </c>
      <c r="CE12" s="2453"/>
      <c r="CF12" s="2453"/>
      <c r="CG12" s="2453"/>
      <c r="CH12" s="2453"/>
      <c r="CI12" s="2453"/>
      <c r="CJ12" s="2453"/>
      <c r="CK12" s="2499"/>
      <c r="CL12" s="2502"/>
      <c r="CM12" s="2500"/>
      <c r="CN12" s="2500"/>
      <c r="CO12" s="2500"/>
      <c r="CP12" s="2500"/>
      <c r="CQ12" s="2500"/>
      <c r="CR12" s="2500"/>
      <c r="CS12" s="2500"/>
      <c r="CT12" s="2500"/>
      <c r="CU12" s="2500"/>
      <c r="CV12" s="2500"/>
      <c r="CW12" s="2500"/>
      <c r="CX12" s="2519"/>
      <c r="CY12" s="2452" t="s">
        <v>1092</v>
      </c>
      <c r="CZ12" s="2453"/>
      <c r="DA12" s="2453"/>
      <c r="DB12" s="2453"/>
      <c r="DC12" s="2453"/>
      <c r="DD12" s="2499"/>
      <c r="DE12" s="2452" t="s">
        <v>1093</v>
      </c>
      <c r="DF12" s="2499"/>
      <c r="DG12" s="2452" t="s">
        <v>1091</v>
      </c>
      <c r="DH12" s="2453"/>
      <c r="DI12" s="2453"/>
      <c r="DJ12" s="2499"/>
      <c r="DK12" s="2502"/>
      <c r="DL12" s="2500"/>
      <c r="DM12" s="2500"/>
      <c r="DN12" s="2500"/>
      <c r="DO12" s="2500"/>
      <c r="DP12" s="2500"/>
      <c r="DQ12" s="2500"/>
      <c r="DR12" s="2500"/>
      <c r="DS12" s="2500"/>
      <c r="DT12" s="2500"/>
      <c r="DU12" s="2500"/>
      <c r="DV12" s="2500"/>
      <c r="DW12" s="2500"/>
      <c r="DX12" s="2500"/>
      <c r="DY12" s="2500"/>
      <c r="DZ12" s="2500"/>
      <c r="EA12" s="2500"/>
      <c r="EB12" s="2500"/>
      <c r="EC12" s="2500"/>
      <c r="ED12" s="2500"/>
      <c r="EE12" s="2500"/>
      <c r="EF12" s="2500"/>
      <c r="EG12" s="2500"/>
      <c r="EH12" s="2500"/>
      <c r="EI12" s="2500"/>
      <c r="EJ12" s="2500"/>
      <c r="EK12" s="2500"/>
      <c r="EL12" s="2500"/>
      <c r="EM12" s="2500"/>
      <c r="EN12" s="2500"/>
      <c r="EO12" s="2500"/>
      <c r="EP12" s="2500"/>
      <c r="EQ12" s="2500"/>
      <c r="ER12" s="2500"/>
      <c r="ES12" s="2500"/>
      <c r="ET12" s="2500"/>
      <c r="EU12" s="2500"/>
      <c r="EV12" s="2500"/>
      <c r="EW12" s="2500"/>
      <c r="EX12" s="2500"/>
      <c r="EY12" s="2500"/>
      <c r="EZ12" s="2500"/>
      <c r="FA12" s="2500"/>
      <c r="FB12" s="2500"/>
      <c r="FC12" s="2500"/>
      <c r="FD12" s="2500"/>
      <c r="FE12" s="2500"/>
      <c r="FF12" s="2500"/>
      <c r="FG12" s="2500"/>
      <c r="FH12" s="2500"/>
      <c r="FI12" s="2500"/>
      <c r="FJ12" s="2500"/>
      <c r="FK12" s="2500"/>
      <c r="FL12" s="2500"/>
      <c r="FM12" s="2500"/>
      <c r="FN12" s="2500"/>
      <c r="FO12" s="2500"/>
      <c r="FP12" s="2500"/>
      <c r="FQ12" s="2500"/>
      <c r="FR12" s="2500"/>
      <c r="FS12" s="2500"/>
      <c r="FT12" s="2500"/>
      <c r="FU12" s="2500"/>
      <c r="FV12" s="2500"/>
      <c r="FW12" s="2514"/>
      <c r="FX12" s="828"/>
      <c r="GC12" s="992">
        <v>12</v>
      </c>
    </row>
    <row customHeight="1" ht="37.8">
      <c r="D13" s="1004"/>
      <c r="E13" s="1003"/>
      <c r="F13" s="2271"/>
      <c r="G13" s="2271"/>
      <c r="H13" s="2503"/>
      <c r="I13" s="2503"/>
      <c r="J13" s="2504"/>
      <c r="K13" s="2504"/>
      <c r="L13" s="2504"/>
      <c r="M13" s="2504"/>
      <c r="N13" s="2504"/>
      <c r="O13" s="2275" t="s">
        <v>1094</v>
      </c>
      <c r="P13" s="2275"/>
      <c r="Q13" s="2275"/>
      <c r="R13" s="2275"/>
      <c r="S13" s="2402" t="s">
        <v>1095</v>
      </c>
      <c r="T13" s="2454"/>
      <c r="U13" s="2193" t="s">
        <v>1096</v>
      </c>
      <c r="V13" s="2193"/>
      <c r="W13" s="2193"/>
      <c r="X13" s="2193"/>
      <c r="Y13" s="2193" t="s">
        <v>1097</v>
      </c>
      <c r="Z13" s="2193"/>
      <c r="AA13" s="2193"/>
      <c r="AB13" s="2193"/>
      <c r="AC13" s="2500"/>
      <c r="AD13" s="2500"/>
      <c r="AE13" s="2500"/>
      <c r="AF13" s="2500"/>
      <c r="AG13" s="2500"/>
      <c r="AH13" s="2500"/>
      <c r="AI13" s="2500"/>
      <c r="AJ13" s="2500"/>
      <c r="AK13" s="2500"/>
      <c r="AL13" s="2500"/>
      <c r="AM13" s="2500"/>
      <c r="AN13" s="2500"/>
      <c r="AO13" s="2500"/>
      <c r="AP13" s="2500"/>
      <c r="AQ13" s="2500"/>
      <c r="AR13" s="2500"/>
      <c r="AS13" s="2500"/>
      <c r="AT13" s="2500"/>
      <c r="AU13" s="2500"/>
      <c r="AV13" s="2500"/>
      <c r="AW13" s="2500"/>
      <c r="AX13" s="2500"/>
      <c r="AY13" s="2500"/>
      <c r="AZ13" s="2500"/>
      <c r="BA13" s="2500"/>
      <c r="BB13" s="2500"/>
      <c r="BC13" s="2500"/>
      <c r="BD13" s="2500"/>
      <c r="BE13" s="2500"/>
      <c r="BF13" s="2500"/>
      <c r="BG13" s="2500"/>
      <c r="BH13" s="2500"/>
      <c r="BI13" s="2500"/>
      <c r="BJ13" s="2500"/>
      <c r="BK13" s="2500"/>
      <c r="BL13" s="2500"/>
      <c r="BM13" s="2500"/>
      <c r="BN13" s="2500"/>
      <c r="BO13" s="2500"/>
      <c r="BP13" s="2500"/>
      <c r="BQ13" s="2500"/>
      <c r="BR13" s="2500"/>
      <c r="BS13" s="2519"/>
      <c r="BT13" s="2402" t="s">
        <v>1098</v>
      </c>
      <c r="BU13" s="2454"/>
      <c r="BV13" s="2402" t="s">
        <v>1099</v>
      </c>
      <c r="BW13" s="2454"/>
      <c r="BX13" s="2402" t="s">
        <v>1100</v>
      </c>
      <c r="BY13" s="2454"/>
      <c r="BZ13" s="2402" t="s">
        <v>1101</v>
      </c>
      <c r="CA13" s="2454"/>
      <c r="CB13" s="2402" t="s">
        <v>1102</v>
      </c>
      <c r="CC13" s="2454"/>
      <c r="CD13" s="2402" t="s">
        <v>1103</v>
      </c>
      <c r="CE13" s="2454"/>
      <c r="CF13" s="2402" t="s">
        <v>1104</v>
      </c>
      <c r="CG13" s="2454"/>
      <c r="CH13" s="2452" t="s">
        <v>1105</v>
      </c>
      <c r="CI13" s="2453"/>
      <c r="CJ13" s="2453"/>
      <c r="CK13" s="2499"/>
      <c r="CL13" s="2502"/>
      <c r="CM13" s="2500"/>
      <c r="CN13" s="2500"/>
      <c r="CO13" s="2500"/>
      <c r="CP13" s="2500"/>
      <c r="CQ13" s="2500"/>
      <c r="CR13" s="2500"/>
      <c r="CS13" s="2500"/>
      <c r="CT13" s="2500"/>
      <c r="CU13" s="2500"/>
      <c r="CV13" s="2500"/>
      <c r="CW13" s="2500"/>
      <c r="CX13" s="2519"/>
      <c r="CY13" s="2402" t="s">
        <v>1106</v>
      </c>
      <c r="CZ13" s="2454"/>
      <c r="DA13" s="2402" t="s">
        <v>1107</v>
      </c>
      <c r="DB13" s="2454"/>
      <c r="DC13" s="2402" t="s">
        <v>1108</v>
      </c>
      <c r="DD13" s="2454"/>
      <c r="DE13" s="2402" t="s">
        <v>1109</v>
      </c>
      <c r="DF13" s="2454"/>
      <c r="DG13" s="2452" t="s">
        <v>1110</v>
      </c>
      <c r="DH13" s="2453"/>
      <c r="DI13" s="2453"/>
      <c r="DJ13" s="2499"/>
      <c r="DK13" s="2502"/>
      <c r="DL13" s="2500"/>
      <c r="DM13" s="2500"/>
      <c r="DN13" s="2500"/>
      <c r="DO13" s="2500"/>
      <c r="DP13" s="2500"/>
      <c r="DQ13" s="2500"/>
      <c r="DR13" s="2500"/>
      <c r="DS13" s="2500"/>
      <c r="DT13" s="2500"/>
      <c r="DU13" s="2500"/>
      <c r="DV13" s="2500"/>
      <c r="DW13" s="2500"/>
      <c r="DX13" s="2500"/>
      <c r="DY13" s="2500"/>
      <c r="DZ13" s="2500"/>
      <c r="EA13" s="2500"/>
      <c r="EB13" s="2500"/>
      <c r="EC13" s="2500"/>
      <c r="ED13" s="2500"/>
      <c r="EE13" s="2500"/>
      <c r="EF13" s="2500"/>
      <c r="EG13" s="2500"/>
      <c r="EH13" s="2500"/>
      <c r="EI13" s="2500"/>
      <c r="EJ13" s="2500"/>
      <c r="EK13" s="2500"/>
      <c r="EL13" s="2500"/>
      <c r="EM13" s="2500"/>
      <c r="EN13" s="2500"/>
      <c r="EO13" s="2500"/>
      <c r="EP13" s="2500"/>
      <c r="EQ13" s="2500"/>
      <c r="ER13" s="2500"/>
      <c r="ES13" s="2500"/>
      <c r="ET13" s="2500"/>
      <c r="EU13" s="2500"/>
      <c r="EV13" s="2500"/>
      <c r="EW13" s="2500"/>
      <c r="EX13" s="2500"/>
      <c r="EY13" s="2500"/>
      <c r="EZ13" s="2500"/>
      <c r="FA13" s="2500"/>
      <c r="FB13" s="2500"/>
      <c r="FC13" s="2500"/>
      <c r="FD13" s="2500"/>
      <c r="FE13" s="2500"/>
      <c r="FF13" s="2500"/>
      <c r="FG13" s="2500"/>
      <c r="FH13" s="2500"/>
      <c r="FI13" s="2500"/>
      <c r="FJ13" s="2500"/>
      <c r="FK13" s="2500"/>
      <c r="FL13" s="2500"/>
      <c r="FM13" s="2500"/>
      <c r="FN13" s="2500"/>
      <c r="FO13" s="2500"/>
      <c r="FP13" s="2500"/>
      <c r="FQ13" s="2500"/>
      <c r="FR13" s="2500"/>
      <c r="FS13" s="2500"/>
      <c r="FT13" s="2500"/>
      <c r="FU13" s="2500"/>
      <c r="FV13" s="2500"/>
      <c r="FW13" s="2514"/>
      <c r="FX13" s="828"/>
      <c r="GC13" s="992">
        <v>36</v>
      </c>
    </row>
    <row customHeight="1" ht="37.8">
      <c r="D14" s="1004"/>
      <c r="E14" s="1003"/>
      <c r="F14" s="2271"/>
      <c r="G14" s="2271"/>
      <c r="H14" s="2503"/>
      <c r="I14" s="2503"/>
      <c r="J14" s="2504"/>
      <c r="K14" s="2504"/>
      <c r="L14" s="2504"/>
      <c r="M14" s="2504"/>
      <c r="N14" s="2504"/>
      <c r="O14" s="2402" t="s">
        <v>1111</v>
      </c>
      <c r="P14" s="2454"/>
      <c r="Q14" s="2402" t="s">
        <v>1112</v>
      </c>
      <c r="R14" s="2454"/>
      <c r="S14" s="2403"/>
      <c r="T14" s="2279"/>
      <c r="U14" s="2402" t="s">
        <v>844</v>
      </c>
      <c r="V14" s="2454"/>
      <c r="W14" s="2402" t="s">
        <v>847</v>
      </c>
      <c r="X14" s="2454"/>
      <c r="Y14" s="2402" t="s">
        <v>844</v>
      </c>
      <c r="Z14" s="2454"/>
      <c r="AA14" s="2402" t="s">
        <v>854</v>
      </c>
      <c r="AB14" s="2454"/>
      <c r="AC14" s="2500"/>
      <c r="AD14" s="2500"/>
      <c r="AE14" s="2500"/>
      <c r="AF14" s="2500"/>
      <c r="AG14" s="2500"/>
      <c r="AH14" s="2500"/>
      <c r="AI14" s="2500"/>
      <c r="AJ14" s="2500"/>
      <c r="AK14" s="2500"/>
      <c r="AL14" s="2500"/>
      <c r="AM14" s="2500"/>
      <c r="AN14" s="2500"/>
      <c r="AO14" s="2500"/>
      <c r="AP14" s="2500"/>
      <c r="AQ14" s="2500"/>
      <c r="AR14" s="2500"/>
      <c r="AS14" s="2500"/>
      <c r="AT14" s="2500"/>
      <c r="AU14" s="2500"/>
      <c r="AV14" s="2500"/>
      <c r="AW14" s="2500"/>
      <c r="AX14" s="2500"/>
      <c r="AY14" s="2500"/>
      <c r="AZ14" s="2500"/>
      <c r="BA14" s="2500"/>
      <c r="BB14" s="2500"/>
      <c r="BC14" s="2500"/>
      <c r="BD14" s="2500"/>
      <c r="BE14" s="2500"/>
      <c r="BF14" s="2500"/>
      <c r="BG14" s="2500"/>
      <c r="BH14" s="2500"/>
      <c r="BI14" s="2500"/>
      <c r="BJ14" s="2500"/>
      <c r="BK14" s="2500"/>
      <c r="BL14" s="2500"/>
      <c r="BM14" s="2500"/>
      <c r="BN14" s="2500"/>
      <c r="BO14" s="2500"/>
      <c r="BP14" s="2500"/>
      <c r="BQ14" s="2500"/>
      <c r="BR14" s="2500"/>
      <c r="BS14" s="2519"/>
      <c r="BT14" s="2403"/>
      <c r="BU14" s="2279"/>
      <c r="BV14" s="2403"/>
      <c r="BW14" s="2279"/>
      <c r="BX14" s="2403"/>
      <c r="BY14" s="2279"/>
      <c r="BZ14" s="2403"/>
      <c r="CA14" s="2279"/>
      <c r="CB14" s="2403"/>
      <c r="CC14" s="2279"/>
      <c r="CD14" s="2403"/>
      <c r="CE14" s="2279"/>
      <c r="CF14" s="2403"/>
      <c r="CG14" s="2279"/>
      <c r="CH14" s="2402" t="s">
        <v>1113</v>
      </c>
      <c r="CI14" s="2454"/>
      <c r="CJ14" s="2402" t="s">
        <v>1114</v>
      </c>
      <c r="CK14" s="2454"/>
      <c r="CL14" s="2502"/>
      <c r="CM14" s="2500"/>
      <c r="CN14" s="2500"/>
      <c r="CO14" s="2500"/>
      <c r="CP14" s="2500"/>
      <c r="CQ14" s="2500"/>
      <c r="CR14" s="2500"/>
      <c r="CS14" s="2500"/>
      <c r="CT14" s="2500"/>
      <c r="CU14" s="2500"/>
      <c r="CV14" s="2500"/>
      <c r="CW14" s="2500"/>
      <c r="CX14" s="2519"/>
      <c r="CY14" s="2403"/>
      <c r="CZ14" s="2279"/>
      <c r="DA14" s="2403"/>
      <c r="DB14" s="2279"/>
      <c r="DC14" s="2403"/>
      <c r="DD14" s="2279"/>
      <c r="DE14" s="2403"/>
      <c r="DF14" s="2279"/>
      <c r="DG14" s="2402" t="s">
        <v>1115</v>
      </c>
      <c r="DH14" s="2454"/>
      <c r="DI14" s="2402" t="s">
        <v>1116</v>
      </c>
      <c r="DJ14" s="2454"/>
      <c r="DK14" s="2502"/>
      <c r="DL14" s="2500"/>
      <c r="DM14" s="2500"/>
      <c r="DN14" s="2500"/>
      <c r="DO14" s="2500"/>
      <c r="DP14" s="2500"/>
      <c r="DQ14" s="2500"/>
      <c r="DR14" s="2500"/>
      <c r="DS14" s="2500"/>
      <c r="DT14" s="2500"/>
      <c r="DU14" s="2500"/>
      <c r="DV14" s="2500"/>
      <c r="DW14" s="2500"/>
      <c r="DX14" s="2500"/>
      <c r="DY14" s="2500"/>
      <c r="DZ14" s="2500"/>
      <c r="EA14" s="2500"/>
      <c r="EB14" s="2500"/>
      <c r="EC14" s="2500"/>
      <c r="ED14" s="2500"/>
      <c r="EE14" s="2500"/>
      <c r="EF14" s="2500"/>
      <c r="EG14" s="2500"/>
      <c r="EH14" s="2500"/>
      <c r="EI14" s="2500"/>
      <c r="EJ14" s="2500"/>
      <c r="EK14" s="2500"/>
      <c r="EL14" s="2500"/>
      <c r="EM14" s="2500"/>
      <c r="EN14" s="2500"/>
      <c r="EO14" s="2500"/>
      <c r="EP14" s="2500"/>
      <c r="EQ14" s="2500"/>
      <c r="ER14" s="2500"/>
      <c r="ES14" s="2500"/>
      <c r="ET14" s="2500"/>
      <c r="EU14" s="2500"/>
      <c r="EV14" s="2500"/>
      <c r="EW14" s="2500"/>
      <c r="EX14" s="2500"/>
      <c r="EY14" s="2500"/>
      <c r="EZ14" s="2500"/>
      <c r="FA14" s="2500"/>
      <c r="FB14" s="2500"/>
      <c r="FC14" s="2500"/>
      <c r="FD14" s="2500"/>
      <c r="FE14" s="2500"/>
      <c r="FF14" s="2500"/>
      <c r="FG14" s="2500"/>
      <c r="FH14" s="2500"/>
      <c r="FI14" s="2500"/>
      <c r="FJ14" s="2500"/>
      <c r="FK14" s="2500"/>
      <c r="FL14" s="2500"/>
      <c r="FM14" s="2500"/>
      <c r="FN14" s="2500"/>
      <c r="FO14" s="2500"/>
      <c r="FP14" s="2500"/>
      <c r="FQ14" s="2500"/>
      <c r="FR14" s="2500"/>
      <c r="FS14" s="2500"/>
      <c r="FT14" s="2500"/>
      <c r="FU14" s="2500"/>
      <c r="FV14" s="2500"/>
      <c r="FW14" s="2514"/>
      <c r="FX14" s="828"/>
      <c r="GC14" s="992">
        <v>36</v>
      </c>
    </row>
    <row customHeight="1" ht="37.8">
      <c r="D15" s="1004"/>
      <c r="E15" s="1003"/>
      <c r="F15" s="2271"/>
      <c r="G15" s="2271"/>
      <c r="H15" s="2503"/>
      <c r="I15" s="2503"/>
      <c r="J15" s="2504"/>
      <c r="K15" s="2504"/>
      <c r="L15" s="2504"/>
      <c r="M15" s="2504"/>
      <c r="N15" s="2504"/>
      <c r="O15" s="2404"/>
      <c r="P15" s="2501"/>
      <c r="Q15" s="2404"/>
      <c r="R15" s="2501"/>
      <c r="S15" s="2404"/>
      <c r="T15" s="2501"/>
      <c r="U15" s="2404"/>
      <c r="V15" s="2501"/>
      <c r="W15" s="2404"/>
      <c r="X15" s="2501"/>
      <c r="Y15" s="2404"/>
      <c r="Z15" s="2501"/>
      <c r="AA15" s="2404"/>
      <c r="AB15" s="2501"/>
      <c r="AC15" s="2500"/>
      <c r="AD15" s="2500"/>
      <c r="AE15" s="2500"/>
      <c r="AF15" s="2500"/>
      <c r="AG15" s="2500"/>
      <c r="AH15" s="2500"/>
      <c r="AI15" s="2500"/>
      <c r="AJ15" s="2500"/>
      <c r="AK15" s="2500"/>
      <c r="AL15" s="2500"/>
      <c r="AM15" s="2500"/>
      <c r="AN15" s="2500"/>
      <c r="AO15" s="2500"/>
      <c r="AP15" s="2500"/>
      <c r="AQ15" s="2500"/>
      <c r="AR15" s="2500"/>
      <c r="AS15" s="2500"/>
      <c r="AT15" s="2500"/>
      <c r="AU15" s="2500"/>
      <c r="AV15" s="2500"/>
      <c r="AW15" s="2500"/>
      <c r="AX15" s="2500"/>
      <c r="AY15" s="2500"/>
      <c r="AZ15" s="2500"/>
      <c r="BA15" s="2500"/>
      <c r="BB15" s="2500"/>
      <c r="BC15" s="2500"/>
      <c r="BD15" s="2500"/>
      <c r="BE15" s="2500"/>
      <c r="BF15" s="2500"/>
      <c r="BG15" s="2500"/>
      <c r="BH15" s="2500"/>
      <c r="BI15" s="2500"/>
      <c r="BJ15" s="2500"/>
      <c r="BK15" s="2500"/>
      <c r="BL15" s="2500"/>
      <c r="BM15" s="2500"/>
      <c r="BN15" s="2500"/>
      <c r="BO15" s="2500"/>
      <c r="BP15" s="2500"/>
      <c r="BQ15" s="2500"/>
      <c r="BR15" s="2500"/>
      <c r="BS15" s="2519"/>
      <c r="BT15" s="2404"/>
      <c r="BU15" s="2501"/>
      <c r="BV15" s="2404"/>
      <c r="BW15" s="2501"/>
      <c r="BX15" s="2404"/>
      <c r="BY15" s="2501"/>
      <c r="BZ15" s="2404"/>
      <c r="CA15" s="2501"/>
      <c r="CB15" s="2404"/>
      <c r="CC15" s="2501"/>
      <c r="CD15" s="2404"/>
      <c r="CE15" s="2501"/>
      <c r="CF15" s="2404"/>
      <c r="CG15" s="2501"/>
      <c r="CH15" s="2404"/>
      <c r="CI15" s="2501"/>
      <c r="CJ15" s="2404"/>
      <c r="CK15" s="2501"/>
      <c r="CL15" s="2502"/>
      <c r="CM15" s="2500"/>
      <c r="CN15" s="2500"/>
      <c r="CO15" s="2500"/>
      <c r="CP15" s="2500"/>
      <c r="CQ15" s="2500"/>
      <c r="CR15" s="2500"/>
      <c r="CS15" s="2500"/>
      <c r="CT15" s="2500"/>
      <c r="CU15" s="2500"/>
      <c r="CV15" s="2500"/>
      <c r="CW15" s="2500"/>
      <c r="CX15" s="2519"/>
      <c r="CY15" s="2404"/>
      <c r="CZ15" s="2501"/>
      <c r="DA15" s="2404"/>
      <c r="DB15" s="2501"/>
      <c r="DC15" s="2404"/>
      <c r="DD15" s="2501"/>
      <c r="DE15" s="2404"/>
      <c r="DF15" s="2501"/>
      <c r="DG15" s="2404"/>
      <c r="DH15" s="2501"/>
      <c r="DI15" s="2404"/>
      <c r="DJ15" s="2501"/>
      <c r="DK15" s="2502"/>
      <c r="DL15" s="2500"/>
      <c r="DM15" s="2500"/>
      <c r="DN15" s="2500"/>
      <c r="DO15" s="2500"/>
      <c r="DP15" s="2500"/>
      <c r="DQ15" s="2500"/>
      <c r="DR15" s="2500"/>
      <c r="DS15" s="2500"/>
      <c r="DT15" s="2500"/>
      <c r="DU15" s="2500"/>
      <c r="DV15" s="2500"/>
      <c r="DW15" s="2500"/>
      <c r="DX15" s="2500"/>
      <c r="DY15" s="2500"/>
      <c r="DZ15" s="2500"/>
      <c r="EA15" s="2500"/>
      <c r="EB15" s="2500"/>
      <c r="EC15" s="2500"/>
      <c r="ED15" s="2500"/>
      <c r="EE15" s="2500"/>
      <c r="EF15" s="2500"/>
      <c r="EG15" s="2500"/>
      <c r="EH15" s="2500"/>
      <c r="EI15" s="2500"/>
      <c r="EJ15" s="2500"/>
      <c r="EK15" s="2500"/>
      <c r="EL15" s="2500"/>
      <c r="EM15" s="2500"/>
      <c r="EN15" s="2500"/>
      <c r="EO15" s="2500"/>
      <c r="EP15" s="2500"/>
      <c r="EQ15" s="2500"/>
      <c r="ER15" s="2500"/>
      <c r="ES15" s="2500"/>
      <c r="ET15" s="2500"/>
      <c r="EU15" s="2500"/>
      <c r="EV15" s="2500"/>
      <c r="EW15" s="2500"/>
      <c r="EX15" s="2500"/>
      <c r="EY15" s="2500"/>
      <c r="EZ15" s="2500"/>
      <c r="FA15" s="2500"/>
      <c r="FB15" s="2500"/>
      <c r="FC15" s="2500"/>
      <c r="FD15" s="2500"/>
      <c r="FE15" s="2500"/>
      <c r="FF15" s="2500"/>
      <c r="FG15" s="2500"/>
      <c r="FH15" s="2500"/>
      <c r="FI15" s="2500"/>
      <c r="FJ15" s="2500"/>
      <c r="FK15" s="2500"/>
      <c r="FL15" s="2500"/>
      <c r="FM15" s="2500"/>
      <c r="FN15" s="2500"/>
      <c r="FO15" s="2500"/>
      <c r="FP15" s="2500"/>
      <c r="FQ15" s="2500"/>
      <c r="FR15" s="2500"/>
      <c r="FS15" s="2500"/>
      <c r="FT15" s="2500"/>
      <c r="FU15" s="2500"/>
      <c r="FV15" s="2500"/>
      <c r="FW15" s="2514"/>
      <c r="FX15" s="828"/>
      <c r="GC15" s="992">
        <v>36</v>
      </c>
    </row>
    <row customHeight="1" ht="12.75">
      <c r="D16" s="1004"/>
      <c r="E16" s="1003"/>
      <c r="F16" s="2271"/>
      <c r="G16" s="2271"/>
      <c r="H16" s="2503"/>
      <c r="I16" s="2503"/>
      <c r="J16" s="2504"/>
      <c r="K16" s="2504"/>
      <c r="L16" s="2504"/>
      <c r="M16" s="2504"/>
      <c r="N16" s="2504"/>
      <c r="O16" s="2452" t="s">
        <v>834</v>
      </c>
      <c r="P16" s="2499"/>
      <c r="Q16" s="2452" t="s">
        <v>836</v>
      </c>
      <c r="R16" s="2499"/>
      <c r="S16" s="2452" t="s">
        <v>840</v>
      </c>
      <c r="T16" s="2499"/>
      <c r="U16" s="2452" t="s">
        <v>845</v>
      </c>
      <c r="V16" s="2499"/>
      <c r="W16" s="2452" t="s">
        <v>848</v>
      </c>
      <c r="X16" s="2499"/>
      <c r="Y16" s="2452" t="s">
        <v>852</v>
      </c>
      <c r="Z16" s="2499"/>
      <c r="AA16" s="2452" t="s">
        <v>855</v>
      </c>
      <c r="AB16" s="2499"/>
      <c r="AC16" s="2500"/>
      <c r="AD16" s="2500"/>
      <c r="AE16" s="2500"/>
      <c r="AF16" s="2500"/>
      <c r="AG16" s="2500"/>
      <c r="AH16" s="2500"/>
      <c r="AI16" s="2500"/>
      <c r="AJ16" s="2500"/>
      <c r="AK16" s="2500"/>
      <c r="AL16" s="2500"/>
      <c r="AM16" s="2500"/>
      <c r="AN16" s="2500"/>
      <c r="AO16" s="2500"/>
      <c r="AP16" s="2500"/>
      <c r="AQ16" s="2500"/>
      <c r="AR16" s="2500"/>
      <c r="AS16" s="2500"/>
      <c r="AT16" s="2500"/>
      <c r="AU16" s="2500"/>
      <c r="AV16" s="2500"/>
      <c r="AW16" s="2500"/>
      <c r="AX16" s="2500"/>
      <c r="AY16" s="2500"/>
      <c r="AZ16" s="2500"/>
      <c r="BA16" s="2500"/>
      <c r="BB16" s="2500"/>
      <c r="BC16" s="2500"/>
      <c r="BD16" s="2500"/>
      <c r="BE16" s="2500"/>
      <c r="BF16" s="2500"/>
      <c r="BG16" s="2500"/>
      <c r="BH16" s="2500"/>
      <c r="BI16" s="2500"/>
      <c r="BJ16" s="2500"/>
      <c r="BK16" s="2500"/>
      <c r="BL16" s="2500"/>
      <c r="BM16" s="2500"/>
      <c r="BN16" s="2500"/>
      <c r="BO16" s="2500"/>
      <c r="BP16" s="2500"/>
      <c r="BQ16" s="2500"/>
      <c r="BR16" s="2500"/>
      <c r="BS16" s="2519"/>
      <c r="BT16" s="2452" t="s">
        <v>567</v>
      </c>
      <c r="BU16" s="2499"/>
      <c r="BV16" s="2452" t="s">
        <v>567</v>
      </c>
      <c r="BW16" s="2499"/>
      <c r="BX16" s="2452" t="s">
        <v>567</v>
      </c>
      <c r="BY16" s="2499"/>
      <c r="BZ16" s="2452" t="s">
        <v>567</v>
      </c>
      <c r="CA16" s="2499"/>
      <c r="CB16" s="2452" t="s">
        <v>1117</v>
      </c>
      <c r="CC16" s="2499"/>
      <c r="CD16" s="2452" t="s">
        <v>567</v>
      </c>
      <c r="CE16" s="2499"/>
      <c r="CF16" s="2452" t="s">
        <v>1118</v>
      </c>
      <c r="CG16" s="2499"/>
      <c r="CH16" s="2452" t="s">
        <v>1119</v>
      </c>
      <c r="CI16" s="2499"/>
      <c r="CJ16" s="2452" t="s">
        <v>1119</v>
      </c>
      <c r="CK16" s="2499"/>
      <c r="CL16" s="2502"/>
      <c r="CM16" s="2500"/>
      <c r="CN16" s="2500"/>
      <c r="CO16" s="2500"/>
      <c r="CP16" s="2500"/>
      <c r="CQ16" s="2500"/>
      <c r="CR16" s="2500"/>
      <c r="CS16" s="2500"/>
      <c r="CT16" s="2500"/>
      <c r="CU16" s="2500"/>
      <c r="CV16" s="2500"/>
      <c r="CW16" s="2500"/>
      <c r="CX16" s="2519"/>
      <c r="CY16" s="2402" t="s">
        <v>567</v>
      </c>
      <c r="CZ16" s="2454"/>
      <c r="DA16" s="2402" t="s">
        <v>567</v>
      </c>
      <c r="DB16" s="2454"/>
      <c r="DC16" s="2402" t="s">
        <v>567</v>
      </c>
      <c r="DD16" s="2454"/>
      <c r="DE16" s="2452" t="s">
        <v>1117</v>
      </c>
      <c r="DF16" s="2499"/>
      <c r="DG16" s="2452" t="s">
        <v>1120</v>
      </c>
      <c r="DH16" s="2499"/>
      <c r="DI16" s="2452" t="s">
        <v>1120</v>
      </c>
      <c r="DJ16" s="2499"/>
      <c r="DK16" s="2502"/>
      <c r="DL16" s="2500"/>
      <c r="DM16" s="2500"/>
      <c r="DN16" s="2500"/>
      <c r="DO16" s="2500"/>
      <c r="DP16" s="2500"/>
      <c r="DQ16" s="2500"/>
      <c r="DR16" s="2500"/>
      <c r="DS16" s="2500"/>
      <c r="DT16" s="2500"/>
      <c r="DU16" s="2500"/>
      <c r="DV16" s="2500"/>
      <c r="DW16" s="2500"/>
      <c r="DX16" s="2500"/>
      <c r="DY16" s="2500"/>
      <c r="DZ16" s="2500"/>
      <c r="EA16" s="2500"/>
      <c r="EB16" s="2500"/>
      <c r="EC16" s="2500"/>
      <c r="ED16" s="2500"/>
      <c r="EE16" s="2500"/>
      <c r="EF16" s="2500"/>
      <c r="EG16" s="2500"/>
      <c r="EH16" s="2500"/>
      <c r="EI16" s="2500"/>
      <c r="EJ16" s="2500"/>
      <c r="EK16" s="2500"/>
      <c r="EL16" s="2500"/>
      <c r="EM16" s="2500"/>
      <c r="EN16" s="2500"/>
      <c r="EO16" s="2500"/>
      <c r="EP16" s="2500"/>
      <c r="EQ16" s="2500"/>
      <c r="ER16" s="2500"/>
      <c r="ES16" s="2500"/>
      <c r="ET16" s="2500"/>
      <c r="EU16" s="2500"/>
      <c r="EV16" s="2500"/>
      <c r="EW16" s="2500"/>
      <c r="EX16" s="2500"/>
      <c r="EY16" s="2500"/>
      <c r="EZ16" s="2500"/>
      <c r="FA16" s="2500"/>
      <c r="FB16" s="2500"/>
      <c r="FC16" s="2500"/>
      <c r="FD16" s="2500"/>
      <c r="FE16" s="2500"/>
      <c r="FF16" s="2500"/>
      <c r="FG16" s="2500"/>
      <c r="FH16" s="2500"/>
      <c r="FI16" s="2500"/>
      <c r="FJ16" s="2500"/>
      <c r="FK16" s="2500"/>
      <c r="FL16" s="2500"/>
      <c r="FM16" s="2500"/>
      <c r="FN16" s="2500"/>
      <c r="FO16" s="2500"/>
      <c r="FP16" s="2500"/>
      <c r="FQ16" s="2500"/>
      <c r="FR16" s="2500"/>
      <c r="FS16" s="2500"/>
      <c r="FT16" s="2500"/>
      <c r="FU16" s="2500"/>
      <c r="FV16" s="2500"/>
      <c r="FW16" s="2514"/>
      <c r="FX16" s="828"/>
      <c r="GC16" s="992">
        <v>12</v>
      </c>
    </row>
    <row customHeight="1" ht="15.75">
      <c r="E17" s="1003"/>
      <c r="F17" s="2271"/>
      <c r="G17" s="2271"/>
      <c r="H17" s="2503"/>
      <c r="I17" s="2503"/>
      <c r="J17" s="2504"/>
      <c r="K17" s="2504"/>
      <c r="L17" s="2504"/>
      <c r="M17" s="2504"/>
      <c r="N17" s="2504"/>
      <c r="O17" s="1257" t="s">
        <v>1121</v>
      </c>
      <c r="P17" s="1257" t="s">
        <v>1122</v>
      </c>
      <c r="Q17" s="1257" t="s">
        <v>1121</v>
      </c>
      <c r="R17" s="1257" t="s">
        <v>1122</v>
      </c>
      <c r="S17" s="1257" t="s">
        <v>1121</v>
      </c>
      <c r="T17" s="1257" t="s">
        <v>1122</v>
      </c>
      <c r="U17" s="1257" t="s">
        <v>1121</v>
      </c>
      <c r="V17" s="1257" t="s">
        <v>1122</v>
      </c>
      <c r="W17" s="1257" t="s">
        <v>1121</v>
      </c>
      <c r="X17" s="1257" t="s">
        <v>1122</v>
      </c>
      <c r="Y17" s="1257" t="s">
        <v>1121</v>
      </c>
      <c r="Z17" s="1257" t="s">
        <v>1122</v>
      </c>
      <c r="AA17" s="1257" t="s">
        <v>1121</v>
      </c>
      <c r="AB17" s="1257" t="s">
        <v>1122</v>
      </c>
      <c r="AC17" s="2500"/>
      <c r="AD17" s="2500"/>
      <c r="AE17" s="2500"/>
      <c r="AF17" s="2500"/>
      <c r="AG17" s="2500"/>
      <c r="AH17" s="2500"/>
      <c r="AI17" s="2500"/>
      <c r="AJ17" s="2500"/>
      <c r="AK17" s="2500"/>
      <c r="AL17" s="2500"/>
      <c r="AM17" s="2500"/>
      <c r="AN17" s="2500"/>
      <c r="AO17" s="2500"/>
      <c r="AP17" s="2500"/>
      <c r="AQ17" s="2500"/>
      <c r="AR17" s="2500"/>
      <c r="AS17" s="2500"/>
      <c r="AT17" s="2500"/>
      <c r="AU17" s="2500"/>
      <c r="AV17" s="2500"/>
      <c r="AW17" s="2500"/>
      <c r="AX17" s="2500"/>
      <c r="AY17" s="2500"/>
      <c r="AZ17" s="2500"/>
      <c r="BA17" s="2500"/>
      <c r="BB17" s="2500"/>
      <c r="BC17" s="2500"/>
      <c r="BD17" s="2500"/>
      <c r="BE17" s="2500"/>
      <c r="BF17" s="2500"/>
      <c r="BG17" s="2500"/>
      <c r="BH17" s="2500"/>
      <c r="BI17" s="2500"/>
      <c r="BJ17" s="2500"/>
      <c r="BK17" s="2500"/>
      <c r="BL17" s="2500"/>
      <c r="BM17" s="2500"/>
      <c r="BN17" s="2500"/>
      <c r="BO17" s="2500"/>
      <c r="BP17" s="2500"/>
      <c r="BQ17" s="2500"/>
      <c r="BR17" s="2500"/>
      <c r="BS17" s="2519"/>
      <c r="BT17" s="1257" t="s">
        <v>1121</v>
      </c>
      <c r="BU17" s="1257" t="s">
        <v>1122</v>
      </c>
      <c r="BV17" s="1257" t="s">
        <v>1121</v>
      </c>
      <c r="BW17" s="1257" t="s">
        <v>1122</v>
      </c>
      <c r="BX17" s="1257" t="s">
        <v>1121</v>
      </c>
      <c r="BY17" s="1257" t="s">
        <v>1122</v>
      </c>
      <c r="BZ17" s="1257" t="s">
        <v>1121</v>
      </c>
      <c r="CA17" s="1257" t="s">
        <v>1122</v>
      </c>
      <c r="CB17" s="1257" t="s">
        <v>1121</v>
      </c>
      <c r="CC17" s="1257" t="s">
        <v>1122</v>
      </c>
      <c r="CD17" s="1257" t="s">
        <v>1121</v>
      </c>
      <c r="CE17" s="1257" t="s">
        <v>1122</v>
      </c>
      <c r="CF17" s="1257" t="s">
        <v>1121</v>
      </c>
      <c r="CG17" s="1257" t="s">
        <v>1122</v>
      </c>
      <c r="CH17" s="1257" t="s">
        <v>1121</v>
      </c>
      <c r="CI17" s="1257" t="s">
        <v>1122</v>
      </c>
      <c r="CJ17" s="1257" t="s">
        <v>1121</v>
      </c>
      <c r="CK17" s="1257" t="s">
        <v>1122</v>
      </c>
      <c r="CL17" s="2502"/>
      <c r="CM17" s="2500"/>
      <c r="CN17" s="2500"/>
      <c r="CO17" s="2500"/>
      <c r="CP17" s="2500"/>
      <c r="CQ17" s="2500"/>
      <c r="CR17" s="2500"/>
      <c r="CS17" s="2500"/>
      <c r="CT17" s="2500"/>
      <c r="CU17" s="2500"/>
      <c r="CV17" s="2500"/>
      <c r="CW17" s="2500"/>
      <c r="CX17" s="2519"/>
      <c r="CY17" s="1257" t="s">
        <v>1121</v>
      </c>
      <c r="CZ17" s="1257" t="s">
        <v>1122</v>
      </c>
      <c r="DA17" s="1257" t="s">
        <v>1121</v>
      </c>
      <c r="DB17" s="1257" t="s">
        <v>1122</v>
      </c>
      <c r="DC17" s="1257" t="s">
        <v>1121</v>
      </c>
      <c r="DD17" s="1257" t="s">
        <v>1122</v>
      </c>
      <c r="DE17" s="1257" t="s">
        <v>1121</v>
      </c>
      <c r="DF17" s="1257" t="s">
        <v>1122</v>
      </c>
      <c r="DG17" s="1257" t="s">
        <v>1121</v>
      </c>
      <c r="DH17" s="1257" t="s">
        <v>1122</v>
      </c>
      <c r="DI17" s="1257" t="s">
        <v>1121</v>
      </c>
      <c r="DJ17" s="1257" t="s">
        <v>1122</v>
      </c>
      <c r="DK17" s="2502"/>
      <c r="DL17" s="2500"/>
      <c r="DM17" s="2500"/>
      <c r="DN17" s="2500"/>
      <c r="DO17" s="2500"/>
      <c r="DP17" s="2500"/>
      <c r="DQ17" s="2500"/>
      <c r="DR17" s="2500"/>
      <c r="DS17" s="2500"/>
      <c r="DT17" s="2500"/>
      <c r="DU17" s="2500"/>
      <c r="DV17" s="2500"/>
      <c r="DW17" s="2500"/>
      <c r="DX17" s="2500"/>
      <c r="DY17" s="2500"/>
      <c r="DZ17" s="2500"/>
      <c r="EA17" s="2500"/>
      <c r="EB17" s="2500"/>
      <c r="EC17" s="2500"/>
      <c r="ED17" s="2500"/>
      <c r="EE17" s="2500"/>
      <c r="EF17" s="2500"/>
      <c r="EG17" s="2500"/>
      <c r="EH17" s="2500"/>
      <c r="EI17" s="2500"/>
      <c r="EJ17" s="2500"/>
      <c r="EK17" s="2500"/>
      <c r="EL17" s="2500"/>
      <c r="EM17" s="2500"/>
      <c r="EN17" s="2500"/>
      <c r="EO17" s="2500"/>
      <c r="EP17" s="2500"/>
      <c r="EQ17" s="2500"/>
      <c r="ER17" s="2500"/>
      <c r="ES17" s="2500"/>
      <c r="ET17" s="2500"/>
      <c r="EU17" s="2500"/>
      <c r="EV17" s="2500"/>
      <c r="EW17" s="2500"/>
      <c r="EX17" s="2500"/>
      <c r="EY17" s="2500"/>
      <c r="EZ17" s="2500"/>
      <c r="FA17" s="2500"/>
      <c r="FB17" s="2500"/>
      <c r="FC17" s="2500"/>
      <c r="FD17" s="2500"/>
      <c r="FE17" s="2500"/>
      <c r="FF17" s="2500"/>
      <c r="FG17" s="2500"/>
      <c r="FH17" s="2500"/>
      <c r="FI17" s="2500"/>
      <c r="FJ17" s="2500"/>
      <c r="FK17" s="2500"/>
      <c r="FL17" s="2500"/>
      <c r="FM17" s="2500"/>
      <c r="FN17" s="2500"/>
      <c r="FO17" s="2500"/>
      <c r="FP17" s="2500"/>
      <c r="FQ17" s="2500"/>
      <c r="FR17" s="2500"/>
      <c r="FS17" s="2500"/>
      <c r="FT17" s="2500"/>
      <c r="FU17" s="2500"/>
      <c r="FV17" s="2500"/>
      <c r="FW17" s="2515"/>
      <c r="FX17" s="828"/>
      <c r="GC17" s="992">
        <v>15</v>
      </c>
    </row>
    <row s="4899" customFormat="1" customHeight="1" ht="12" hidden="1">
      <c r="B18" s="989"/>
      <c r="E18" s="1005"/>
      <c r="F18" s="1258"/>
      <c r="G18" s="1258"/>
      <c r="H18" s="1258"/>
      <c r="I18" s="1258"/>
      <c r="J18" s="1259"/>
      <c r="K18" s="1259"/>
      <c r="L18" s="1259"/>
      <c r="M18" s="1259"/>
      <c r="N18" s="1259"/>
      <c r="O18" s="1258"/>
      <c r="P18" s="1258"/>
      <c r="Q18" s="1258"/>
      <c r="R18" s="1258"/>
      <c r="S18" s="1258"/>
      <c r="T18" s="1258"/>
      <c r="U18" s="1260"/>
      <c r="V18" s="1260"/>
      <c r="W18" s="1260"/>
      <c r="X18" s="1260"/>
      <c r="Y18" s="1260"/>
      <c r="Z18" s="1260"/>
      <c r="AA18" s="1260"/>
      <c r="AB18" s="1258"/>
      <c r="AC18" s="1259"/>
      <c r="AD18" s="1259"/>
      <c r="AE18" s="1259"/>
      <c r="AF18" s="1259"/>
      <c r="AG18" s="1259"/>
      <c r="AH18" s="1259"/>
      <c r="AI18" s="1259"/>
      <c r="AJ18" s="1259"/>
      <c r="AK18" s="1259"/>
      <c r="AL18" s="1259"/>
      <c r="AM18" s="1259"/>
      <c r="AN18" s="1259"/>
      <c r="AO18" s="1259"/>
      <c r="AP18" s="1259"/>
      <c r="AQ18" s="1259"/>
      <c r="AR18" s="1259"/>
      <c r="AS18" s="1259"/>
      <c r="AT18" s="1259"/>
      <c r="AU18" s="1259"/>
      <c r="AV18" s="1259"/>
      <c r="AW18" s="1259"/>
      <c r="AX18" s="1259"/>
      <c r="AY18" s="1259"/>
      <c r="AZ18" s="1259"/>
      <c r="BA18" s="1259"/>
      <c r="BB18" s="1259"/>
      <c r="BC18" s="1259"/>
      <c r="BD18" s="1259"/>
      <c r="BE18" s="1259"/>
      <c r="BF18" s="1259"/>
      <c r="BG18" s="1259"/>
      <c r="BH18" s="1259"/>
      <c r="BI18" s="1259"/>
      <c r="BJ18" s="1259"/>
      <c r="BK18" s="1259"/>
      <c r="BL18" s="1259"/>
      <c r="BM18" s="1259"/>
      <c r="BN18" s="1259"/>
      <c r="BO18" s="1259"/>
      <c r="BP18" s="1259"/>
      <c r="BQ18" s="1259"/>
      <c r="BR18" s="1259"/>
      <c r="BS18" s="1259"/>
      <c r="BT18" s="1261"/>
      <c r="BU18" s="1261"/>
      <c r="BV18" s="1261"/>
      <c r="BW18" s="1261"/>
      <c r="BX18" s="1261"/>
      <c r="BY18" s="1261"/>
      <c r="BZ18" s="1261"/>
      <c r="CA18" s="1261"/>
      <c r="CB18" s="1261"/>
      <c r="CC18" s="1261"/>
      <c r="CD18" s="1261"/>
      <c r="CE18" s="1261"/>
      <c r="CF18" s="1261"/>
      <c r="CG18" s="1261"/>
      <c r="CH18" s="1261"/>
      <c r="CI18" s="1261"/>
      <c r="CJ18" s="1261"/>
      <c r="CK18" s="1261"/>
      <c r="CL18" s="1259"/>
      <c r="CM18" s="1259"/>
      <c r="CN18" s="1259"/>
      <c r="CO18" s="1259"/>
      <c r="CP18" s="1259"/>
      <c r="CQ18" s="1259"/>
      <c r="CR18" s="1259"/>
      <c r="CS18" s="1259"/>
      <c r="CT18" s="1259"/>
      <c r="CU18" s="1259"/>
      <c r="CV18" s="1259"/>
      <c r="CW18" s="1259"/>
      <c r="CX18" s="1259"/>
      <c r="CY18" s="1261"/>
      <c r="CZ18" s="1261"/>
      <c r="DA18" s="1261"/>
      <c r="DB18" s="1261"/>
      <c r="DC18" s="1261"/>
      <c r="DD18" s="1261"/>
      <c r="DE18" s="1261"/>
      <c r="DF18" s="1261"/>
      <c r="DG18" s="1261"/>
      <c r="DH18" s="1261"/>
      <c r="DI18" s="1261"/>
      <c r="DJ18" s="1261"/>
      <c r="DK18" s="1259"/>
      <c r="DL18" s="1259"/>
      <c r="DM18" s="1259"/>
      <c r="DN18" s="1259"/>
      <c r="DO18" s="1259"/>
      <c r="DP18" s="1259"/>
      <c r="DQ18" s="1259"/>
      <c r="DR18" s="1259"/>
      <c r="DS18" s="1259"/>
      <c r="DT18" s="1259"/>
      <c r="DU18" s="1259"/>
      <c r="DV18" s="1259"/>
      <c r="DW18" s="1259"/>
      <c r="DX18" s="1259"/>
      <c r="DY18" s="1259"/>
      <c r="DZ18" s="1259"/>
      <c r="EA18" s="1259"/>
      <c r="EB18" s="1259"/>
      <c r="EC18" s="1259"/>
      <c r="ED18" s="1259"/>
      <c r="EE18" s="1259"/>
      <c r="EF18" s="1259"/>
      <c r="EG18" s="1259"/>
      <c r="EH18" s="1259"/>
      <c r="EI18" s="1259"/>
      <c r="EJ18" s="1259"/>
      <c r="EK18" s="1259"/>
      <c r="EL18" s="1259"/>
      <c r="EM18" s="1259"/>
      <c r="EN18" s="1259"/>
      <c r="EO18" s="1259"/>
      <c r="EP18" s="1259"/>
      <c r="EQ18" s="1259"/>
      <c r="ER18" s="1259"/>
      <c r="ES18" s="1259"/>
      <c r="ET18" s="1259"/>
      <c r="EU18" s="1259"/>
      <c r="EV18" s="1259"/>
      <c r="EW18" s="1259"/>
      <c r="EX18" s="1259"/>
      <c r="EY18" s="1259"/>
      <c r="EZ18" s="1259"/>
      <c r="FA18" s="1259"/>
      <c r="FB18" s="1259"/>
      <c r="FC18" s="1259"/>
      <c r="FD18" s="1259"/>
      <c r="FE18" s="1259"/>
      <c r="FF18" s="1259"/>
      <c r="FG18" s="1259"/>
      <c r="FH18" s="1259"/>
      <c r="FI18" s="1259"/>
      <c r="FJ18" s="1259"/>
      <c r="FK18" s="1259"/>
      <c r="FL18" s="1259"/>
      <c r="FM18" s="1259"/>
      <c r="FN18" s="1259"/>
      <c r="FO18" s="1259"/>
      <c r="FP18" s="1259"/>
      <c r="FQ18" s="1259"/>
      <c r="FR18" s="1259"/>
      <c r="FS18" s="1259"/>
      <c r="FT18" s="1259"/>
      <c r="FU18" s="1259"/>
      <c r="FV18" s="1259"/>
      <c r="FW18" s="1258"/>
      <c r="FX18" s="1262"/>
      <c r="GC18" s="990">
        <v>0</v>
      </c>
    </row>
    <row s="4899" customFormat="1" customHeight="1" ht="11.25" hidden="1">
      <c r="B19" s="989"/>
      <c r="E19" s="1005"/>
      <c r="F19" s="1258"/>
      <c r="G19" s="1258"/>
      <c r="H19" s="1258"/>
      <c r="I19" s="1258"/>
      <c r="J19" s="1258"/>
      <c r="K19" s="1258"/>
      <c r="L19" s="1258"/>
      <c r="M19" s="1258"/>
      <c r="N19" s="1258"/>
      <c r="O19" s="1258"/>
      <c r="P19" s="1258"/>
      <c r="Q19" s="1258"/>
      <c r="R19" s="1258"/>
      <c r="S19" s="1258"/>
      <c r="T19" s="1258"/>
      <c r="U19" s="1260"/>
      <c r="V19" s="1260"/>
      <c r="W19" s="1260"/>
      <c r="X19" s="1260"/>
      <c r="Y19" s="1260"/>
      <c r="Z19" s="1260"/>
      <c r="AA19" s="1260"/>
      <c r="AB19" s="1258"/>
      <c r="AC19" s="1258"/>
      <c r="AD19" s="1258"/>
      <c r="AE19" s="1258"/>
      <c r="AF19" s="1258"/>
      <c r="AG19" s="1258"/>
      <c r="AH19" s="1258"/>
      <c r="AI19" s="1258"/>
      <c r="AJ19" s="1258"/>
      <c r="AK19" s="1258"/>
      <c r="AL19" s="1258"/>
      <c r="AM19" s="1258"/>
      <c r="AN19" s="1258"/>
      <c r="AO19" s="1258"/>
      <c r="AP19" s="1258"/>
      <c r="AQ19" s="1258"/>
      <c r="AR19" s="1258"/>
      <c r="AS19" s="1258"/>
      <c r="AT19" s="1258"/>
      <c r="AU19" s="1258"/>
      <c r="AV19" s="1258"/>
      <c r="AW19" s="1258"/>
      <c r="AX19" s="1258"/>
      <c r="AY19" s="1258"/>
      <c r="AZ19" s="1258"/>
      <c r="BA19" s="1258"/>
      <c r="BB19" s="1258"/>
      <c r="BC19" s="1258"/>
      <c r="BD19" s="1258"/>
      <c r="BE19" s="1258"/>
      <c r="BF19" s="1258"/>
      <c r="BG19" s="1258"/>
      <c r="BH19" s="1258"/>
      <c r="BI19" s="1258"/>
      <c r="BJ19" s="1258"/>
      <c r="BK19" s="1258"/>
      <c r="BL19" s="1258"/>
      <c r="BM19" s="1258"/>
      <c r="BN19" s="1258"/>
      <c r="BO19" s="1258"/>
      <c r="BP19" s="1258"/>
      <c r="BQ19" s="1258"/>
      <c r="BR19" s="1258"/>
      <c r="BS19" s="1258"/>
      <c r="BT19" s="1258"/>
      <c r="BU19" s="1258"/>
      <c r="BV19" s="1258"/>
      <c r="BW19" s="1258"/>
      <c r="BX19" s="1258"/>
      <c r="BY19" s="1258"/>
      <c r="BZ19" s="1258"/>
      <c r="CA19" s="1258"/>
      <c r="CB19" s="1258"/>
      <c r="CC19" s="1258"/>
      <c r="CD19" s="1258"/>
      <c r="CE19" s="1258"/>
      <c r="CF19" s="1258"/>
      <c r="CG19" s="1258"/>
      <c r="CH19" s="1258"/>
      <c r="CI19" s="1258"/>
      <c r="CJ19" s="1258"/>
      <c r="CK19" s="1258"/>
      <c r="CL19" s="1258"/>
      <c r="CM19" s="1258"/>
      <c r="CN19" s="1258"/>
      <c r="CO19" s="1258"/>
      <c r="CP19" s="1258"/>
      <c r="CQ19" s="1258"/>
      <c r="CR19" s="1258"/>
      <c r="CS19" s="1258"/>
      <c r="CT19" s="1258"/>
      <c r="CU19" s="1258"/>
      <c r="CV19" s="1258"/>
      <c r="CW19" s="1258"/>
      <c r="CX19" s="1258"/>
      <c r="CY19" s="1258"/>
      <c r="CZ19" s="1258"/>
      <c r="DA19" s="1258"/>
      <c r="DB19" s="1258"/>
      <c r="DC19" s="1258"/>
      <c r="DD19" s="1258"/>
      <c r="DE19" s="1258"/>
      <c r="DF19" s="1258"/>
      <c r="DG19" s="1258"/>
      <c r="DH19" s="1258"/>
      <c r="DI19" s="1258"/>
      <c r="DJ19" s="1258"/>
      <c r="DK19" s="1258"/>
      <c r="DL19" s="1258"/>
      <c r="DM19" s="1258"/>
      <c r="DN19" s="1258"/>
      <c r="DO19" s="1258"/>
      <c r="DP19" s="1258"/>
      <c r="DQ19" s="1258"/>
      <c r="DR19" s="1258"/>
      <c r="DS19" s="1258"/>
      <c r="DT19" s="1258"/>
      <c r="DU19" s="1258"/>
      <c r="DV19" s="1258"/>
      <c r="DW19" s="1258"/>
      <c r="DX19" s="1258"/>
      <c r="DY19" s="1258"/>
      <c r="DZ19" s="1258"/>
      <c r="EA19" s="1258"/>
      <c r="EB19" s="1258"/>
      <c r="EC19" s="1258"/>
      <c r="ED19" s="1258"/>
      <c r="EE19" s="1258"/>
      <c r="EF19" s="1258"/>
      <c r="EG19" s="1258"/>
      <c r="EH19" s="1258"/>
      <c r="EI19" s="1258"/>
      <c r="EJ19" s="1258"/>
      <c r="EK19" s="1258"/>
      <c r="EL19" s="1258"/>
      <c r="EM19" s="1258"/>
      <c r="EN19" s="1258"/>
      <c r="EO19" s="1258"/>
      <c r="EP19" s="1258"/>
      <c r="EQ19" s="1258"/>
      <c r="ER19" s="1258"/>
      <c r="ES19" s="1258"/>
      <c r="ET19" s="1258"/>
      <c r="EU19" s="1258"/>
      <c r="EV19" s="1258"/>
      <c r="EW19" s="1258"/>
      <c r="EX19" s="1258"/>
      <c r="EY19" s="1258"/>
      <c r="EZ19" s="1258"/>
      <c r="FA19" s="1258"/>
      <c r="FB19" s="1258"/>
      <c r="FC19" s="1258"/>
      <c r="FD19" s="1258"/>
      <c r="FE19" s="1258"/>
      <c r="FF19" s="1258"/>
      <c r="FG19" s="1258"/>
      <c r="FH19" s="1258"/>
      <c r="FI19" s="1258"/>
      <c r="FJ19" s="1258"/>
      <c r="FK19" s="1258"/>
      <c r="FL19" s="1258"/>
      <c r="FM19" s="1258"/>
      <c r="FN19" s="1258"/>
      <c r="FO19" s="1258"/>
      <c r="FP19" s="1258"/>
      <c r="FQ19" s="1258"/>
      <c r="FR19" s="1258"/>
      <c r="FS19" s="1258"/>
      <c r="FT19" s="1258"/>
      <c r="FU19" s="1258"/>
      <c r="FV19" s="1258"/>
      <c r="FW19" s="1258"/>
      <c r="FX19" s="1262"/>
      <c r="GC19" s="990">
        <v>0</v>
      </c>
    </row>
    <row s="4899" customFormat="1" customHeight="1" ht="11.25" hidden="1">
      <c r="B20" s="1006"/>
      <c r="D20" s="990"/>
      <c r="E20" s="1005"/>
      <c r="F20" s="1263" t="s">
        <v>385</v>
      </c>
      <c r="G20" s="1264"/>
      <c r="H20" s="1265"/>
      <c r="I20" s="1265"/>
      <c r="J20" s="1265"/>
      <c r="K20" s="1265"/>
      <c r="L20" s="1265"/>
      <c r="M20" s="1265"/>
      <c r="N20" s="1265"/>
      <c r="O20" s="1264"/>
      <c r="P20" s="1264"/>
      <c r="Q20" s="1264"/>
      <c r="R20" s="1264"/>
      <c r="S20" s="1264"/>
      <c r="T20" s="1264"/>
      <c r="U20" s="1266"/>
      <c r="V20" s="1266"/>
      <c r="W20" s="1266"/>
      <c r="X20" s="1266"/>
      <c r="Y20" s="1266"/>
      <c r="Z20" s="1266"/>
      <c r="AA20" s="1266"/>
      <c r="AB20" s="1264"/>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5"/>
      <c r="BN20" s="1265"/>
      <c r="BO20" s="1265"/>
      <c r="BP20" s="1265"/>
      <c r="BQ20" s="1265"/>
      <c r="BR20" s="1265"/>
      <c r="BS20" s="1265"/>
      <c r="BT20" s="1265"/>
      <c r="BU20" s="1265"/>
      <c r="BV20" s="1265"/>
      <c r="BW20" s="1265"/>
      <c r="BX20" s="1265"/>
      <c r="BY20" s="1265"/>
      <c r="BZ20" s="1265"/>
      <c r="CA20" s="1265"/>
      <c r="CB20" s="1265"/>
      <c r="CC20" s="1265"/>
      <c r="CD20" s="1265"/>
      <c r="CE20" s="1265"/>
      <c r="CF20" s="1265"/>
      <c r="CG20" s="1265"/>
      <c r="CH20" s="1265"/>
      <c r="CI20" s="1265"/>
      <c r="CJ20" s="1265"/>
      <c r="CK20" s="1265"/>
      <c r="CL20" s="1267"/>
      <c r="CM20" s="1267"/>
      <c r="CN20" s="1267"/>
      <c r="CO20" s="1267"/>
      <c r="CP20" s="1267"/>
      <c r="CQ20" s="1267"/>
      <c r="CR20" s="1267"/>
      <c r="CS20" s="1267"/>
      <c r="CT20" s="1267"/>
      <c r="CU20" s="1267"/>
      <c r="CV20" s="1267"/>
      <c r="CW20" s="1267"/>
      <c r="CX20" s="1267"/>
      <c r="CY20" s="1267"/>
      <c r="CZ20" s="1267"/>
      <c r="DA20" s="1267"/>
      <c r="DB20" s="1267"/>
      <c r="DC20" s="1267"/>
      <c r="DD20" s="1267"/>
      <c r="DE20" s="1267"/>
      <c r="DF20" s="1267"/>
      <c r="DG20" s="1267"/>
      <c r="DH20" s="1267"/>
      <c r="DI20" s="1267"/>
      <c r="DJ20" s="1267"/>
      <c r="DK20" s="1267"/>
      <c r="DL20" s="1267"/>
      <c r="DM20" s="1267"/>
      <c r="DN20" s="1267"/>
      <c r="DO20" s="1267"/>
      <c r="DP20" s="1267"/>
      <c r="DQ20" s="1267"/>
      <c r="DR20" s="1267"/>
      <c r="DS20" s="1267"/>
      <c r="DT20" s="1267"/>
      <c r="DU20" s="1267"/>
      <c r="DV20" s="1267"/>
      <c r="DW20" s="1267"/>
      <c r="DX20" s="1267"/>
      <c r="DY20" s="1267"/>
      <c r="DZ20" s="1267"/>
      <c r="EA20" s="1267"/>
      <c r="EB20" s="1267"/>
      <c r="EC20" s="1267"/>
      <c r="ED20" s="1267"/>
      <c r="EE20" s="1267"/>
      <c r="EF20" s="1267"/>
      <c r="EG20" s="1267"/>
      <c r="EH20" s="1267"/>
      <c r="EI20" s="1267"/>
      <c r="EJ20" s="1267"/>
      <c r="EK20" s="1267"/>
      <c r="EL20" s="1267"/>
      <c r="EM20" s="1267"/>
      <c r="EN20" s="1267"/>
      <c r="EO20" s="1267"/>
      <c r="EP20" s="1267"/>
      <c r="EQ20" s="1267"/>
      <c r="ER20" s="1267"/>
      <c r="ES20" s="1267"/>
      <c r="ET20" s="1267"/>
      <c r="EU20" s="1267"/>
      <c r="EV20" s="1267"/>
      <c r="EW20" s="1267"/>
      <c r="EX20" s="1267"/>
      <c r="EY20" s="1267"/>
      <c r="EZ20" s="1267"/>
      <c r="FA20" s="1267"/>
      <c r="FB20" s="1267"/>
      <c r="FC20" s="1267"/>
      <c r="FD20" s="1267"/>
      <c r="FE20" s="1267"/>
      <c r="FF20" s="1267"/>
      <c r="FG20" s="1267"/>
      <c r="FH20" s="1267"/>
      <c r="FI20" s="1267"/>
      <c r="FJ20" s="1267"/>
      <c r="FK20" s="1267"/>
      <c r="FL20" s="1267"/>
      <c r="FM20" s="1267"/>
      <c r="FN20" s="1267"/>
      <c r="FO20" s="1267"/>
      <c r="FP20" s="1267"/>
      <c r="FQ20" s="1267"/>
      <c r="FR20" s="1267"/>
      <c r="FS20" s="1267"/>
      <c r="FT20" s="1267"/>
      <c r="FU20" s="1267"/>
      <c r="FV20" s="1267"/>
      <c r="FW20" s="1267"/>
      <c r="FX20" s="1268"/>
      <c r="GC20" s="988">
        <v>0</v>
      </c>
    </row>
    <row s="4899" customFormat="1" customHeight="1" ht="12.75">
      <c r="A21" s="1007"/>
      <c r="B21" s="1007"/>
      <c r="C21" s="1007"/>
      <c r="D21" s="1007"/>
      <c r="E21" s="1007"/>
      <c r="F21" s="1005"/>
      <c r="G21" s="1005"/>
      <c r="H21" s="1005"/>
      <c r="I21" s="1005"/>
      <c r="J21" s="1005"/>
      <c r="K21" s="1005"/>
      <c r="L21" s="1005"/>
      <c r="M21" s="1005"/>
      <c r="N21" s="1005"/>
      <c r="O21" s="1005"/>
      <c r="P21" s="1005"/>
      <c r="Q21" s="1005"/>
      <c r="R21" s="1005"/>
      <c r="S21" s="1008"/>
      <c r="T21" s="1008"/>
      <c r="U21" s="1005"/>
      <c r="V21" s="1005"/>
      <c r="W21" s="1005"/>
      <c r="X21" s="1005"/>
      <c r="Y21" s="1005"/>
      <c r="Z21" s="1005"/>
      <c r="AA21" s="1005"/>
      <c r="AB21" s="1005"/>
      <c r="AC21" s="1005"/>
      <c r="AD21" s="1005"/>
      <c r="AE21" s="1005"/>
      <c r="AF21" s="1005"/>
      <c r="AG21" s="1005"/>
      <c r="AH21" s="1005"/>
      <c r="AI21" s="1005"/>
      <c r="AJ21" s="1005"/>
      <c r="AK21" s="1005"/>
      <c r="AL21" s="1005"/>
      <c r="AM21" s="1005"/>
      <c r="AN21" s="1005"/>
      <c r="AO21" s="1005"/>
      <c r="AP21" s="1005"/>
      <c r="AQ21" s="1005"/>
      <c r="AR21" s="1005"/>
      <c r="AS21" s="1005"/>
      <c r="AT21" s="1005"/>
      <c r="AU21" s="1005"/>
      <c r="AV21" s="1005"/>
      <c r="AW21" s="1005"/>
      <c r="AX21" s="1005"/>
      <c r="AY21" s="1005"/>
      <c r="AZ21" s="1005"/>
      <c r="BA21" s="1005"/>
      <c r="BB21" s="1005"/>
      <c r="BC21" s="1005"/>
      <c r="BD21" s="1005"/>
      <c r="BE21" s="1005"/>
      <c r="BF21" s="1005"/>
      <c r="BG21" s="1005"/>
      <c r="BH21" s="1005"/>
      <c r="BI21" s="1005"/>
      <c r="BJ21" s="1005"/>
      <c r="BK21" s="1005"/>
      <c r="BL21" s="1005"/>
      <c r="BM21" s="1005"/>
      <c r="BN21" s="1005"/>
      <c r="BO21" s="1005"/>
      <c r="BP21" s="1005"/>
      <c r="BQ21" s="1005"/>
      <c r="BR21" s="1005"/>
      <c r="BS21" s="1005"/>
      <c r="BT21" s="1005"/>
      <c r="BU21" s="1005"/>
      <c r="BV21" s="1005"/>
      <c r="BW21" s="1005"/>
      <c r="BX21" s="1005"/>
      <c r="BY21" s="1005"/>
      <c r="BZ21" s="1005"/>
      <c r="CA21" s="1005"/>
      <c r="CB21" s="1005"/>
      <c r="CC21" s="1005"/>
      <c r="CD21" s="1005"/>
      <c r="CE21" s="1005"/>
      <c r="CF21" s="1005"/>
      <c r="CG21" s="1005"/>
      <c r="CH21" s="1005"/>
      <c r="CI21" s="1005"/>
      <c r="CJ21" s="1005"/>
      <c r="CK21" s="1005"/>
      <c r="CL21" s="1005"/>
      <c r="CM21" s="1005"/>
      <c r="CN21" s="1005"/>
      <c r="CO21" s="1005"/>
      <c r="CP21" s="1005"/>
      <c r="CQ21" s="1005"/>
      <c r="CR21" s="1005"/>
      <c r="CS21" s="1005"/>
      <c r="CT21" s="1005"/>
      <c r="CU21" s="1005"/>
      <c r="CV21" s="1005"/>
      <c r="CW21" s="1005"/>
      <c r="CX21" s="1005"/>
      <c r="CY21" s="1005"/>
      <c r="CZ21" s="1005"/>
      <c r="DA21" s="1005"/>
      <c r="DB21" s="1005"/>
      <c r="DC21" s="1005"/>
      <c r="DD21" s="1005"/>
      <c r="DE21" s="1005"/>
      <c r="DF21" s="1005"/>
      <c r="DG21" s="1005"/>
      <c r="DH21" s="1005"/>
      <c r="DI21" s="1005"/>
      <c r="DJ21" s="1005"/>
      <c r="DK21" s="1005"/>
      <c r="DL21" s="1005"/>
      <c r="DM21" s="1005"/>
      <c r="DN21" s="1005"/>
      <c r="DO21" s="1005"/>
      <c r="DP21" s="1005"/>
      <c r="DQ21" s="1005"/>
      <c r="DR21" s="1005"/>
      <c r="DS21" s="1005"/>
      <c r="DT21" s="1005"/>
      <c r="DU21" s="1005"/>
      <c r="DV21" s="1005"/>
      <c r="DW21" s="1005"/>
      <c r="DX21" s="1005"/>
      <c r="DY21" s="1005"/>
      <c r="DZ21" s="1005"/>
      <c r="EA21" s="1005"/>
      <c r="EB21" s="1005"/>
      <c r="EC21" s="1005"/>
      <c r="ED21" s="1005"/>
      <c r="EE21" s="1005"/>
      <c r="EF21" s="1005"/>
      <c r="EG21" s="1005"/>
      <c r="EH21" s="1005"/>
      <c r="EI21" s="1005"/>
      <c r="EJ21" s="1005"/>
      <c r="EK21" s="1005"/>
      <c r="EL21" s="1005"/>
      <c r="EM21" s="1005"/>
      <c r="EN21" s="1005"/>
      <c r="EO21" s="1005"/>
      <c r="EP21" s="1005"/>
      <c r="EQ21" s="1005"/>
      <c r="ER21" s="1005"/>
      <c r="ES21" s="1005"/>
      <c r="ET21" s="1005"/>
      <c r="EU21" s="1005"/>
      <c r="EV21" s="1005"/>
      <c r="EW21" s="1005"/>
      <c r="EX21" s="1005"/>
      <c r="EY21" s="1005"/>
      <c r="EZ21" s="1005"/>
      <c r="FA21" s="1005"/>
      <c r="FB21" s="1005"/>
      <c r="FC21" s="1005"/>
      <c r="FD21" s="1005"/>
      <c r="FE21" s="1005"/>
      <c r="FF21" s="1005"/>
      <c r="FG21" s="1005"/>
      <c r="FH21" s="1005"/>
      <c r="FI21" s="1005"/>
      <c r="FJ21" s="1005"/>
      <c r="FK21" s="1005"/>
      <c r="FL21" s="1005"/>
      <c r="FM21" s="1005"/>
      <c r="FN21" s="1005"/>
      <c r="FO21" s="1005"/>
      <c r="FP21" s="1005"/>
      <c r="FQ21" s="1005"/>
      <c r="FR21" s="1005"/>
      <c r="FS21" s="1005"/>
      <c r="FT21" s="1005"/>
      <c r="FU21" s="1005"/>
      <c r="FV21" s="1005"/>
      <c r="FW21" s="1005"/>
      <c r="FX21" s="1007"/>
      <c r="FY21" s="1007"/>
      <c r="FZ21" s="1007"/>
      <c r="GA21" s="1007"/>
      <c r="GB21" s="1007"/>
      <c r="GC21" s="988">
        <v>12</v>
      </c>
    </row>
    <row s="4899" customFormat="1" customHeight="1" ht="12.75">
      <c r="A22" s="1007"/>
      <c r="B22" s="1007"/>
      <c r="C22" s="1007"/>
      <c r="D22" s="1007"/>
      <c r="E22" s="1007"/>
      <c r="FX22" s="1007"/>
      <c r="FY22" s="1007"/>
      <c r="FZ22" s="1007"/>
      <c r="GA22" s="1007"/>
      <c r="GB22" s="1007"/>
      <c r="GC22" s="988">
        <v>12</v>
      </c>
    </row>
    <row s="4961" customFormat="1" customHeight="1" ht="12.75">
      <c r="A23" s="1128"/>
      <c r="B23" s="1128"/>
      <c r="C23" s="1128"/>
      <c r="D23" s="1128"/>
      <c r="E23" s="1128"/>
      <c r="O23" s="1130"/>
      <c r="P23" s="1130"/>
      <c r="Q23" s="1130"/>
      <c r="R23" s="1130"/>
      <c r="S23" s="1130"/>
      <c r="T23" s="1130"/>
      <c r="U23" s="1130"/>
      <c r="V23" s="1130"/>
      <c r="W23" s="1130"/>
      <c r="X23" s="1130"/>
      <c r="Y23" s="1130"/>
      <c r="Z23" s="1130"/>
      <c r="AA23" s="1130"/>
      <c r="AB23" s="1130"/>
      <c r="AC23" s="1130"/>
      <c r="AD23" s="1130"/>
      <c r="AE23" s="1130"/>
      <c r="AF23" s="1130"/>
      <c r="AG23" s="1130"/>
      <c r="AH23" s="1130"/>
      <c r="AI23" s="1130"/>
      <c r="AJ23" s="1130"/>
      <c r="AK23" s="1130"/>
      <c r="AL23" s="1130"/>
      <c r="AM23" s="1130"/>
      <c r="AN23" s="1130"/>
      <c r="AO23" s="1130"/>
      <c r="AP23" s="1130"/>
      <c r="AQ23" s="1130"/>
      <c r="AR23" s="1130"/>
      <c r="AS23" s="1130"/>
      <c r="AT23" s="1130"/>
      <c r="AU23" s="1130"/>
      <c r="AV23" s="1130"/>
      <c r="AW23" s="1130"/>
      <c r="AX23" s="1130"/>
      <c r="AY23" s="1130"/>
      <c r="AZ23" s="1130"/>
      <c r="BA23" s="1130"/>
      <c r="BB23" s="1130"/>
      <c r="BC23" s="1130"/>
      <c r="BD23" s="1130"/>
      <c r="BE23" s="1130"/>
      <c r="BF23" s="1130"/>
      <c r="BG23" s="1130"/>
      <c r="BH23" s="1130"/>
      <c r="BI23" s="1130"/>
      <c r="BJ23" s="1130"/>
      <c r="BK23" s="1130"/>
      <c r="BL23" s="1130"/>
      <c r="BM23" s="1130"/>
      <c r="BN23" s="1130"/>
      <c r="BO23" s="1130"/>
      <c r="BP23" s="1130"/>
      <c r="BQ23" s="1130"/>
      <c r="BR23" s="1130"/>
      <c r="BS23" s="1130"/>
      <c r="BT23" s="1131"/>
      <c r="BU23" s="1131"/>
      <c r="BV23" s="1131"/>
      <c r="BW23" s="1131"/>
      <c r="BX23" s="1131"/>
      <c r="BY23" s="1131"/>
      <c r="BZ23" s="1131"/>
      <c r="CA23" s="1131"/>
      <c r="CB23" s="1131"/>
      <c r="CC23" s="1131"/>
      <c r="CD23" s="1131"/>
      <c r="CE23" s="1131"/>
      <c r="CF23" s="1131"/>
      <c r="CG23" s="1131"/>
      <c r="CH23" s="1131"/>
      <c r="CI23" s="1131"/>
      <c r="CJ23" s="1131"/>
      <c r="CK23" s="1131"/>
      <c r="CL23" s="1131"/>
      <c r="CM23" s="1131"/>
      <c r="CN23" s="1131"/>
      <c r="CO23" s="1131"/>
      <c r="CP23" s="1131"/>
      <c r="CQ23" s="1131"/>
      <c r="CR23" s="1131"/>
      <c r="CS23" s="1131"/>
      <c r="CT23" s="1131"/>
      <c r="CU23" s="1131"/>
      <c r="CV23" s="1131"/>
      <c r="CW23" s="1131"/>
      <c r="CX23" s="1131"/>
      <c r="CY23" s="1131"/>
      <c r="CZ23" s="1131"/>
      <c r="DA23" s="1131"/>
      <c r="DB23" s="1131"/>
      <c r="DC23" s="1131"/>
      <c r="DD23" s="1131"/>
      <c r="DE23" s="1131"/>
      <c r="DF23" s="1131"/>
      <c r="DG23" s="1131"/>
      <c r="DH23" s="1131"/>
      <c r="DI23" s="1131"/>
      <c r="DJ23" s="1131"/>
      <c r="DK23" s="1131"/>
      <c r="DL23" s="1131"/>
      <c r="DM23" s="1131"/>
      <c r="DN23" s="1131"/>
      <c r="DO23" s="1131"/>
      <c r="DP23" s="1131"/>
      <c r="DQ23" s="1131"/>
      <c r="DR23" s="1131"/>
      <c r="DS23" s="1131"/>
      <c r="DT23" s="1131"/>
      <c r="DU23" s="1131"/>
      <c r="DV23" s="1131"/>
      <c r="DW23" s="1131"/>
      <c r="DX23" s="1131"/>
      <c r="FX23" s="1128"/>
      <c r="FY23" s="1128"/>
      <c r="FZ23" s="1128"/>
      <c r="GA23" s="1128"/>
      <c r="GB23" s="1128"/>
      <c r="GC23" s="1129">
        <v>12</v>
      </c>
    </row>
    <row customHeight="1" ht="12.75">
      <c r="S24" s="1004"/>
      <c r="T24" s="1004"/>
      <c r="U24" s="1004"/>
      <c r="V24" s="1004"/>
      <c r="W24" s="1004"/>
      <c r="X24" s="1004"/>
      <c r="Y24" s="1004"/>
      <c r="Z24" s="1004"/>
      <c r="AA24" s="1004"/>
      <c r="AB24" s="1004"/>
      <c r="FX24" s="1004"/>
      <c r="FY24" s="1004"/>
      <c r="FZ24" s="1004"/>
      <c r="GA24" s="1004"/>
      <c r="GB24" s="1004"/>
      <c r="GC24" s="992">
        <v>12</v>
      </c>
    </row>
    <row customHeight="1" ht="12" hidden="1">
      <c r="A25" s="992" t="s">
        <v>87</v>
      </c>
      <c r="B25" s="1002">
        <v>0</v>
      </c>
      <c r="C25" s="992">
        <v>0</v>
      </c>
      <c r="D25" s="992">
        <v>0</v>
      </c>
      <c r="E25" s="992">
        <v>3</v>
      </c>
      <c r="F25" s="992">
        <v>6</v>
      </c>
      <c r="G25" s="992">
        <v>18</v>
      </c>
      <c r="H25" s="992">
        <v>27</v>
      </c>
      <c r="I25" s="992">
        <v>18</v>
      </c>
      <c r="J25" s="992">
        <v>0</v>
      </c>
      <c r="K25" s="992">
        <v>0</v>
      </c>
      <c r="L25" s="992">
        <v>0</v>
      </c>
      <c r="M25" s="992">
        <v>0</v>
      </c>
      <c r="N25" s="992">
        <v>0</v>
      </c>
      <c r="O25" s="992">
        <v>0</v>
      </c>
      <c r="P25" s="992">
        <v>0</v>
      </c>
      <c r="Q25" s="992">
        <v>0</v>
      </c>
      <c r="R25" s="992">
        <v>0</v>
      </c>
      <c r="S25" s="992">
        <v>0</v>
      </c>
      <c r="T25" s="992">
        <v>0</v>
      </c>
      <c r="U25" s="992">
        <v>0</v>
      </c>
      <c r="V25" s="992">
        <v>0</v>
      </c>
      <c r="W25" s="992">
        <v>0</v>
      </c>
      <c r="X25" s="992">
        <v>0</v>
      </c>
      <c r="Y25" s="992">
        <v>0</v>
      </c>
      <c r="Z25" s="992">
        <v>0</v>
      </c>
      <c r="AA25" s="992">
        <v>0</v>
      </c>
      <c r="AB25" s="992">
        <v>0</v>
      </c>
      <c r="AC25" s="992">
        <v>0</v>
      </c>
      <c r="AD25" s="992">
        <v>0</v>
      </c>
      <c r="AE25" s="992">
        <v>0</v>
      </c>
      <c r="AF25" s="992">
        <v>0</v>
      </c>
      <c r="AG25" s="992">
        <v>0</v>
      </c>
      <c r="AH25" s="992">
        <v>0</v>
      </c>
      <c r="AI25" s="992">
        <v>0</v>
      </c>
      <c r="AJ25" s="992">
        <v>0</v>
      </c>
      <c r="AK25" s="992">
        <v>0</v>
      </c>
      <c r="AL25" s="992">
        <v>0</v>
      </c>
      <c r="AM25" s="992">
        <v>0</v>
      </c>
      <c r="AN25" s="992">
        <v>0</v>
      </c>
      <c r="AO25" s="992">
        <v>0</v>
      </c>
      <c r="AP25" s="992">
        <v>0</v>
      </c>
      <c r="AQ25" s="992">
        <v>0</v>
      </c>
      <c r="AR25" s="992">
        <v>0</v>
      </c>
      <c r="AS25" s="992">
        <v>0</v>
      </c>
      <c r="AT25" s="992">
        <v>0</v>
      </c>
      <c r="AU25" s="992">
        <v>0</v>
      </c>
      <c r="AV25" s="992">
        <v>0</v>
      </c>
      <c r="AW25" s="992">
        <v>0</v>
      </c>
      <c r="AX25" s="992">
        <v>0</v>
      </c>
      <c r="AY25" s="992">
        <v>0</v>
      </c>
      <c r="AZ25" s="992">
        <v>0</v>
      </c>
      <c r="BA25" s="992">
        <v>0</v>
      </c>
      <c r="BB25" s="992">
        <v>0</v>
      </c>
      <c r="BC25" s="992">
        <v>0</v>
      </c>
      <c r="BD25" s="992">
        <v>0</v>
      </c>
      <c r="BE25" s="992">
        <v>0</v>
      </c>
      <c r="BF25" s="992">
        <v>0</v>
      </c>
      <c r="BG25" s="992">
        <v>0</v>
      </c>
      <c r="BH25" s="992">
        <v>0</v>
      </c>
      <c r="BI25" s="992">
        <v>0</v>
      </c>
      <c r="BJ25" s="992">
        <v>0</v>
      </c>
      <c r="BK25" s="992">
        <v>0</v>
      </c>
      <c r="BL25" s="992">
        <v>0</v>
      </c>
      <c r="BM25" s="992">
        <v>0</v>
      </c>
      <c r="BN25" s="992">
        <v>0</v>
      </c>
      <c r="BO25" s="992">
        <v>0</v>
      </c>
      <c r="BP25" s="992">
        <v>0</v>
      </c>
      <c r="BQ25" s="992">
        <v>0</v>
      </c>
      <c r="BR25" s="992">
        <v>0</v>
      </c>
      <c r="BS25" s="992">
        <v>0</v>
      </c>
      <c r="BT25" s="992">
        <v>0</v>
      </c>
      <c r="BU25" s="992">
        <v>0</v>
      </c>
      <c r="BV25" s="992">
        <v>0</v>
      </c>
      <c r="BW25" s="992">
        <v>0</v>
      </c>
      <c r="BX25" s="992">
        <v>0</v>
      </c>
      <c r="BY25" s="992">
        <v>0</v>
      </c>
      <c r="BZ25" s="992">
        <v>0</v>
      </c>
      <c r="CA25" s="992">
        <v>0</v>
      </c>
      <c r="CB25" s="992">
        <v>0</v>
      </c>
      <c r="CC25" s="992">
        <v>0</v>
      </c>
      <c r="CD25" s="992">
        <v>0</v>
      </c>
      <c r="CE25" s="992">
        <v>0</v>
      </c>
      <c r="CF25" s="992">
        <v>0</v>
      </c>
      <c r="CG25" s="992">
        <v>0</v>
      </c>
      <c r="CH25" s="992">
        <v>0</v>
      </c>
      <c r="CI25" s="992">
        <v>0</v>
      </c>
      <c r="CJ25" s="992">
        <v>0</v>
      </c>
      <c r="CK25" s="992">
        <v>0</v>
      </c>
      <c r="CL25" s="992">
        <v>0</v>
      </c>
      <c r="CM25" s="992">
        <v>0</v>
      </c>
      <c r="CN25" s="992">
        <v>0</v>
      </c>
      <c r="CO25" s="992">
        <v>0</v>
      </c>
      <c r="CP25" s="992">
        <v>0</v>
      </c>
      <c r="CQ25" s="992">
        <v>0</v>
      </c>
      <c r="CR25" s="992">
        <v>0</v>
      </c>
      <c r="CS25" s="992">
        <v>0</v>
      </c>
      <c r="CT25" s="992">
        <v>0</v>
      </c>
      <c r="CU25" s="992">
        <v>0</v>
      </c>
      <c r="CV25" s="992">
        <v>0</v>
      </c>
      <c r="CW25" s="992">
        <v>0</v>
      </c>
      <c r="CX25" s="992">
        <v>0</v>
      </c>
      <c r="CY25" s="992">
        <v>0</v>
      </c>
      <c r="CZ25" s="992">
        <v>0</v>
      </c>
      <c r="DA25" s="992">
        <v>0</v>
      </c>
      <c r="DB25" s="992">
        <v>0</v>
      </c>
      <c r="DC25" s="992">
        <v>0</v>
      </c>
      <c r="DD25" s="992">
        <v>0</v>
      </c>
      <c r="DE25" s="992">
        <v>0</v>
      </c>
      <c r="DF25" s="992">
        <v>0</v>
      </c>
      <c r="DG25" s="992">
        <v>0</v>
      </c>
      <c r="DH25" s="992">
        <v>0</v>
      </c>
      <c r="DI25" s="992">
        <v>0</v>
      </c>
      <c r="DJ25" s="992">
        <v>0</v>
      </c>
      <c r="DK25" s="992">
        <v>0</v>
      </c>
      <c r="DL25" s="992">
        <v>0</v>
      </c>
      <c r="DM25" s="992">
        <v>0</v>
      </c>
      <c r="DN25" s="992">
        <v>0</v>
      </c>
      <c r="DO25" s="992">
        <v>0</v>
      </c>
      <c r="DP25" s="992">
        <v>0</v>
      </c>
      <c r="DQ25" s="992">
        <v>0</v>
      </c>
      <c r="DR25" s="992">
        <v>0</v>
      </c>
      <c r="DS25" s="992">
        <v>0</v>
      </c>
      <c r="DT25" s="992">
        <v>0</v>
      </c>
      <c r="DU25" s="992">
        <v>0</v>
      </c>
      <c r="DV25" s="992">
        <v>0</v>
      </c>
      <c r="DW25" s="992">
        <v>0</v>
      </c>
      <c r="DX25" s="992">
        <v>0</v>
      </c>
      <c r="DY25" s="992">
        <v>0</v>
      </c>
      <c r="DZ25" s="992">
        <v>0</v>
      </c>
      <c r="EA25" s="992">
        <v>0</v>
      </c>
      <c r="EB25" s="992">
        <v>0</v>
      </c>
      <c r="EC25" s="992">
        <v>0</v>
      </c>
      <c r="ED25" s="992">
        <v>0</v>
      </c>
      <c r="EE25" s="992">
        <v>0</v>
      </c>
      <c r="EF25" s="992">
        <v>0</v>
      </c>
      <c r="EG25" s="992">
        <v>0</v>
      </c>
      <c r="EH25" s="992">
        <v>0</v>
      </c>
      <c r="EI25" s="992">
        <v>0</v>
      </c>
      <c r="EJ25" s="992">
        <v>0</v>
      </c>
      <c r="EK25" s="992">
        <v>0</v>
      </c>
      <c r="EL25" s="992">
        <v>0</v>
      </c>
      <c r="EM25" s="992">
        <v>0</v>
      </c>
      <c r="EN25" s="992">
        <v>0</v>
      </c>
      <c r="EO25" s="992">
        <v>0</v>
      </c>
      <c r="EP25" s="992">
        <v>0</v>
      </c>
      <c r="EQ25" s="992">
        <v>0</v>
      </c>
      <c r="ER25" s="992">
        <v>0</v>
      </c>
      <c r="ES25" s="992">
        <v>0</v>
      </c>
      <c r="ET25" s="992">
        <v>0</v>
      </c>
      <c r="EU25" s="992">
        <v>0</v>
      </c>
      <c r="EV25" s="992">
        <v>0</v>
      </c>
      <c r="EW25" s="992">
        <v>0</v>
      </c>
      <c r="EX25" s="992">
        <v>0</v>
      </c>
      <c r="EY25" s="992">
        <v>0</v>
      </c>
      <c r="EZ25" s="992">
        <v>0</v>
      </c>
      <c r="FA25" s="992">
        <v>0</v>
      </c>
      <c r="FB25" s="992">
        <v>0</v>
      </c>
      <c r="FC25" s="992">
        <v>0</v>
      </c>
      <c r="FD25" s="992">
        <v>0</v>
      </c>
      <c r="FE25" s="992">
        <v>0</v>
      </c>
      <c r="FF25" s="992">
        <v>0</v>
      </c>
      <c r="FG25" s="992">
        <v>0</v>
      </c>
      <c r="FH25" s="992">
        <v>0</v>
      </c>
      <c r="FI25" s="992">
        <v>0</v>
      </c>
      <c r="FJ25" s="992">
        <v>0</v>
      </c>
      <c r="FK25" s="992">
        <v>0</v>
      </c>
      <c r="FL25" s="992">
        <v>0</v>
      </c>
      <c r="FM25" s="992">
        <v>0</v>
      </c>
      <c r="FN25" s="992">
        <v>0</v>
      </c>
      <c r="FO25" s="992">
        <v>0</v>
      </c>
      <c r="FP25" s="992">
        <v>0</v>
      </c>
      <c r="FQ25" s="992">
        <v>0</v>
      </c>
      <c r="FR25" s="992">
        <v>0</v>
      </c>
      <c r="FS25" s="992">
        <v>0</v>
      </c>
      <c r="FT25" s="992">
        <v>0</v>
      </c>
      <c r="FU25" s="992">
        <v>0</v>
      </c>
      <c r="FV25" s="992">
        <v>0</v>
      </c>
      <c r="FW25" s="992">
        <v>0</v>
      </c>
      <c r="FX25" s="992">
        <v>8</v>
      </c>
      <c r="FY25" s="992">
        <v>8</v>
      </c>
      <c r="FZ25" s="992">
        <v>8</v>
      </c>
      <c r="GA25" s="992">
        <v>8</v>
      </c>
      <c r="GB25" s="992">
        <v>8</v>
      </c>
      <c r="GC25" s="99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46381-BCDD-1F56-0D0E-22EC6F89835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5297" width="9.140625" hidden="1" customWidth="1"/>
    <col min="2" max="2" style="5053" width="9.140625" hidden="1" customWidth="1"/>
    <col min="3" max="3" style="4965" width="4.00390625" customWidth="1"/>
    <col min="4" max="4" style="5053" width="6.00390625" customWidth="1"/>
    <col min="5" max="5" style="5053" width="36.00390625" customWidth="1"/>
    <col min="6" max="6" style="5053" width="9.00390625" customWidth="1"/>
    <col min="7" max="7" style="5053" width="42.421875" hidden="1" customWidth="1"/>
    <col min="8" max="8" style="5053" width="40.7109375" customWidth="1"/>
    <col min="9" max="9" style="5002" width="93.00390625" customWidth="1"/>
    <col min="10" max="17" style="5053" width="10.00390625" customWidth="1"/>
    <col min="18" max="18" style="5087" width="10.00390625" customWidth="1"/>
    <col min="19" max="19" style="5053" width="10.57421875" hidden="1"/>
  </cols>
  <sheetData>
    <row s="5002" customFormat="1" customHeight="1" ht="15" hidden="1">
      <c r="C1" s="738"/>
      <c r="H1" s="483">
        <v>4</v>
      </c>
      <c r="R1" s="486"/>
      <c r="S1" s="483" t="s">
        <v>14</v>
      </c>
    </row>
    <row customHeight="1" ht="22.5" hidden="1">
      <c r="C2" s="1994" t="s">
        <v>454</v>
      </c>
      <c r="D2" s="605"/>
      <c r="E2" s="729"/>
      <c r="F2" s="1827" t="str">
        <f>IF(TEMPLATE_SPHERE="HEAT","Гкал/час","тыс. куб. м/сутки")</f>
        <v>Гкал/час</v>
      </c>
      <c r="G2" s="746"/>
      <c r="H2" s="746"/>
      <c r="I2" s="355"/>
      <c r="S2" s="571">
        <v>0</v>
      </c>
    </row>
    <row s="5002" customFormat="1" customHeight="1" ht="15" hidden="1">
      <c r="C3" s="738"/>
      <c r="R3" s="486"/>
      <c r="S3" s="483">
        <v>0</v>
      </c>
    </row>
    <row customHeight="1" ht="15.75">
      <c r="C4" s="242"/>
      <c r="D4" s="575"/>
      <c r="E4" s="575"/>
      <c r="F4" s="575"/>
      <c r="G4" s="575"/>
      <c r="H4" s="575"/>
      <c r="S4" s="571">
        <v>15</v>
      </c>
    </row>
    <row customHeight="1" ht="39.75">
      <c r="C5" s="242"/>
      <c r="D5" s="230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3"/>
      <c r="F5" s="2303"/>
      <c r="G5" s="2303"/>
      <c r="H5" s="2303"/>
      <c r="I5" s="603"/>
      <c r="S5" s="571">
        <v>38</v>
      </c>
    </row>
    <row customHeight="1" ht="15.75">
      <c r="C6" s="242"/>
      <c r="D6" s="2242" t="str">
        <f>IF(org=0,"Не определено",org)</f>
        <v>Филиал "Уренгойская ГРЭС" АО "Интер РАО - Электрогенерация"</v>
      </c>
      <c r="E6" s="2242"/>
      <c r="F6" s="2242"/>
      <c r="G6" s="2242"/>
      <c r="H6" s="2242"/>
      <c r="I6" s="603"/>
      <c r="S6" s="571">
        <v>15</v>
      </c>
    </row>
    <row s="5053" customFormat="1" customHeight="1" ht="15.75">
      <c r="A7" s="825"/>
      <c r="C7" s="242"/>
      <c r="D7" s="742"/>
      <c r="E7" s="742"/>
      <c r="F7" s="742"/>
      <c r="G7" s="742"/>
      <c r="H7" s="818"/>
      <c r="I7" s="603"/>
      <c r="R7" s="741"/>
      <c r="S7" s="824">
        <v>15</v>
      </c>
    </row>
    <row customHeight="1" ht="1.05">
      <c r="C8" s="242"/>
      <c r="D8" s="575"/>
      <c r="E8" s="575"/>
      <c r="F8" s="575"/>
      <c r="G8" s="575"/>
      <c r="H8" s="603" t="s">
        <v>122</v>
      </c>
      <c r="S8" s="571">
        <v>1</v>
      </c>
    </row>
    <row customHeight="1" ht="15.75">
      <c r="C9" s="242"/>
      <c r="D9" s="777"/>
      <c r="E9" s="2433" t="s">
        <v>110</v>
      </c>
      <c r="F9" s="2434"/>
      <c r="G9" s="882" t="str">
        <f>IF(G8="","",INDEX(DIFFERENTIATION_UNMERGE_VD,MATCH(G8,DIFFERENTIATION_ID_DIFF,0)))</f>
        <v/>
      </c>
      <c r="H9" s="882">
        <f>IF(H8="","",INDEX(DIFFERENTIATION_UNMERGE_VD,MATCH(H8,DIFFERENTIATION_ID_DIFF,0)))</f>
        <v>0</v>
      </c>
      <c r="I9" s="2193" t="s">
        <v>310</v>
      </c>
      <c r="S9" s="571">
        <v>15</v>
      </c>
    </row>
    <row s="5053" customFormat="1" customHeight="1" ht="15.75">
      <c r="A10" s="825"/>
      <c r="C10" s="242"/>
      <c r="D10" s="777"/>
      <c r="E10" s="2433" t="s">
        <v>573</v>
      </c>
      <c r="F10" s="2434"/>
      <c r="G10" s="882" t="str">
        <f>IF(G8="","",INDEX(DIFFERENTIATION_UNMERGE_AREA,MATCH(G8,DIFFERENTIATION_ID_DIFF,0)))</f>
        <v/>
      </c>
      <c r="H10" s="882" t="str">
        <f>IF(H8="","",INDEX(DIFFERENTIATION_UNMERGE_AREA,MATCH(H8,DIFFERENTIATION_ID_DIFF,0)))</f>
        <v/>
      </c>
      <c r="I10" s="2193"/>
      <c r="R10" s="741"/>
      <c r="S10" s="824">
        <v>15</v>
      </c>
    </row>
    <row s="5053" customFormat="1" customHeight="1" ht="15.75">
      <c r="A11" s="825"/>
      <c r="C11" s="242"/>
      <c r="D11" s="777"/>
      <c r="E11" s="2433" t="s">
        <v>574</v>
      </c>
      <c r="F11" s="2434"/>
      <c r="G11" s="882" t="str">
        <f>IF(G8="","",INDEX(DIFFERENTIATION_UNMERGE_SYSTEM,MATCH(G8,DIFFERENTIATION_ID_DIFF,0)))</f>
        <v/>
      </c>
      <c r="H11" s="882" t="str">
        <f>IF(H8="","",INDEX(DIFFERENTIATION_UNMERGE_SYSTEM,MATCH(H8,DIFFERENTIATION_ID_DIFF,0)))</f>
        <v>без дифференциации</v>
      </c>
      <c r="I11" s="2193"/>
      <c r="R11" s="741"/>
      <c r="S11" s="824">
        <v>15</v>
      </c>
    </row>
    <row s="5053" customFormat="1" customHeight="1" ht="15.75">
      <c r="A12" s="825"/>
      <c r="C12" s="242"/>
      <c r="D12" s="2435" t="s">
        <v>309</v>
      </c>
      <c r="E12" s="2436"/>
      <c r="F12" s="2436"/>
      <c r="G12" s="953"/>
      <c r="H12" s="953"/>
      <c r="I12" s="2193"/>
      <c r="R12" s="741"/>
      <c r="S12" s="824">
        <v>15</v>
      </c>
    </row>
    <row customHeight="1" ht="35.699999999999996">
      <c r="C13" s="242"/>
      <c r="D13" s="827" t="s">
        <v>93</v>
      </c>
      <c r="E13" s="826" t="s">
        <v>311</v>
      </c>
      <c r="F13" s="826" t="s">
        <v>575</v>
      </c>
      <c r="G13" s="874" t="s">
        <v>312</v>
      </c>
      <c r="H13" s="820" t="s">
        <v>312</v>
      </c>
      <c r="I13" s="2193"/>
      <c r="S13" s="571">
        <v>34</v>
      </c>
    </row>
    <row customHeight="1" ht="15" hidden="1">
      <c r="C14" s="242"/>
      <c r="D14" s="659" t="s">
        <v>114</v>
      </c>
      <c r="E14" s="659" t="s">
        <v>115</v>
      </c>
      <c r="F14" s="659" t="s">
        <v>95</v>
      </c>
      <c r="G14" s="725" t="str">
        <f>G1&amp;".1"</f>
        <v>.1</v>
      </c>
      <c r="H14" s="725" t="str">
        <f>H1&amp;".1"</f>
        <v>4.1</v>
      </c>
      <c r="I14" s="355"/>
      <c r="S14" s="571">
        <v>0</v>
      </c>
    </row>
    <row customHeight="1" ht="15.75">
      <c r="A15" s="571"/>
      <c r="C15" s="592"/>
      <c r="D15" s="587">
        <v>1</v>
      </c>
      <c r="E15" s="1996" t="str">
        <f>TP_P_A</f>
        <v>Количество поданных заявок</v>
      </c>
      <c r="F15" s="587" t="s">
        <v>1123</v>
      </c>
      <c r="G15" s="751"/>
      <c r="H15" s="751"/>
      <c r="I15" s="27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1">
        <v>15</v>
      </c>
    </row>
    <row customHeight="1" ht="15.75">
      <c r="A16" s="571"/>
      <c r="C16" s="592"/>
      <c r="D16" s="587">
        <v>2</v>
      </c>
      <c r="E16" s="1996" t="str">
        <f>TP_P_B</f>
        <v>Количество рассмотренных заявок</v>
      </c>
      <c r="F16" s="587" t="s">
        <v>1123</v>
      </c>
      <c r="G16" s="751"/>
      <c r="H16" s="751"/>
      <c r="I16" s="27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1">
        <v>15</v>
      </c>
    </row>
    <row customHeight="1" ht="77.7">
      <c r="A17" s="571"/>
      <c r="C17" s="592"/>
      <c r="D17" s="587">
        <v>3</v>
      </c>
      <c r="E17" s="199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7" t="s">
        <v>1123</v>
      </c>
      <c r="G17" s="751"/>
      <c r="H17" s="751"/>
      <c r="I17" s="274" t="str">
        <f>TP_P_NOTE_V</f>
        <v>Указывается количество заявок с решением об отказе в течение отчетного квартала.</v>
      </c>
      <c r="S17" s="571">
        <v>74</v>
      </c>
    </row>
    <row customHeight="1" ht="54.75">
      <c r="A18" s="571"/>
      <c r="C18" s="592"/>
      <c r="D18" s="587">
        <v>4</v>
      </c>
      <c r="E18" s="1996" t="str">
        <f>TP_P_V_1</f>
        <v>Причины отказа в заключении договора о подключении (технологическом присоединении) к системе теплоснабжения</v>
      </c>
      <c r="F18" s="587" t="s">
        <v>315</v>
      </c>
      <c r="G18" s="752"/>
      <c r="H18" s="752"/>
      <c r="I18" s="90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1">
        <v>52</v>
      </c>
    </row>
    <row customHeight="1" ht="60">
      <c r="A19" s="571"/>
      <c r="C19" s="592"/>
      <c r="D19" s="587">
        <v>5</v>
      </c>
      <c r="E19" s="1996" t="str">
        <f>TP_P_G</f>
        <v>Резерв мощности источников тепловой энергии, входящих в систему теплоснабжения, в течение одного квартала, в том числе:</v>
      </c>
      <c r="F19" s="587" t="str">
        <f>IF(TEMPLATE_SPHERE="HEAT","Гкал/час","тыс. куб. м/сутки")</f>
        <v>Гкал/час</v>
      </c>
      <c r="G19" s="753">
        <f>SUM(G20:G22)</f>
        <v>0</v>
      </c>
      <c r="H19" s="753">
        <f>SUM(H20:H22)</f>
        <v>0</v>
      </c>
      <c r="I19" s="27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1">
        <v>57</v>
      </c>
    </row>
    <row customHeight="1" ht="15" hidden="1">
      <c r="D20" s="575" t="s">
        <v>1124</v>
      </c>
      <c r="E20" s="754"/>
      <c r="F20" s="575"/>
      <c r="G20" s="575"/>
      <c r="H20" s="575"/>
      <c r="I20" s="1829"/>
      <c r="S20" s="571">
        <v>0</v>
      </c>
    </row>
    <row customHeight="1" ht="29.25">
      <c r="C21" s="517"/>
      <c r="D21" s="605" t="s">
        <v>322</v>
      </c>
      <c r="E21" s="736"/>
      <c r="F21" s="1827" t="str">
        <f>IF(TEMPLATE_SPHERE="HEAT","Гкал/час","тыс. куб. м/сутки")</f>
        <v>Гкал/час</v>
      </c>
      <c r="G21" s="746"/>
      <c r="H21" s="746"/>
      <c r="I21" s="223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1">
        <v>28</v>
      </c>
    </row>
    <row customHeight="1" ht="15.75">
      <c r="A22" s="571"/>
      <c r="C22" s="571"/>
      <c r="D22" s="413"/>
      <c r="E22" s="646" t="s">
        <v>1125</v>
      </c>
      <c r="F22" s="638"/>
      <c r="G22" s="638"/>
      <c r="H22" s="638"/>
      <c r="I22" s="2237"/>
      <c r="R22" s="571"/>
      <c r="S22" s="571">
        <v>15</v>
      </c>
    </row>
    <row customHeight="1" ht="22.5" hidden="1">
      <c r="A23" s="515" t="s">
        <v>87</v>
      </c>
      <c r="B23" s="571">
        <v>0</v>
      </c>
      <c r="C23" s="749">
        <v>4</v>
      </c>
      <c r="D23" s="571">
        <v>6</v>
      </c>
      <c r="E23" s="571">
        <v>36</v>
      </c>
      <c r="F23" s="571">
        <v>9</v>
      </c>
      <c r="G23" s="824">
        <v>0</v>
      </c>
      <c r="H23" s="571">
        <v>40</v>
      </c>
      <c r="I23" s="483">
        <v>93</v>
      </c>
      <c r="J23" s="571">
        <v>10</v>
      </c>
      <c r="K23" s="571">
        <v>10</v>
      </c>
      <c r="L23" s="571">
        <v>10</v>
      </c>
      <c r="M23" s="571">
        <v>10</v>
      </c>
      <c r="N23" s="571">
        <v>10</v>
      </c>
      <c r="O23" s="571">
        <v>10</v>
      </c>
      <c r="P23" s="571">
        <v>10</v>
      </c>
      <c r="Q23" s="571">
        <v>10</v>
      </c>
      <c r="R23" s="741">
        <v>10</v>
      </c>
      <c r="S23" s="57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AB5A3-6FD9-AFCC-67DA-B9009F77EAC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737" width="9.140625" hidden="1" customWidth="1"/>
    <col min="2" max="2" style="5002" width="9.140625" hidden="1" customWidth="1"/>
    <col min="3" max="3" style="5023" width="3.00390625" customWidth="1"/>
    <col min="4" max="4" style="5053" width="6.00390625" customWidth="1"/>
    <col min="5" max="6" style="5053" width="64.00390625" customWidth="1"/>
    <col min="7" max="7" style="5053" width="140.00390625" customWidth="1"/>
    <col min="8" max="8" style="5053" width="10.00390625" customWidth="1"/>
    <col min="9" max="10" style="5005" width="10.00390625" customWidth="1"/>
    <col min="11" max="16" style="5053" width="10.00390625" customWidth="1"/>
    <col min="17" max="17" style="5053" width="10.57421875" hidden="1"/>
  </cols>
  <sheetData>
    <row customHeight="1" ht="22.5" hidden="1">
      <c r="M1" s="321"/>
      <c r="N1" s="321"/>
      <c r="P1" s="321"/>
      <c r="Q1" s="149" t="s">
        <v>14</v>
      </c>
    </row>
    <row customHeight="1" ht="14.25" hidden="1">
      <c r="Q2" s="149">
        <v>0</v>
      </c>
    </row>
    <row customHeight="1" ht="14.25" hidden="1">
      <c r="Q3" s="149">
        <v>0</v>
      </c>
    </row>
    <row customHeight="1" ht="3">
      <c r="C4" s="162"/>
      <c r="D4" s="150"/>
      <c r="E4" s="150"/>
      <c r="F4" s="151"/>
      <c r="G4" s="151"/>
      <c r="Q4" s="149">
        <v>3</v>
      </c>
    </row>
    <row customHeight="1" ht="29.25">
      <c r="C5" s="162"/>
      <c r="D5" s="252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1"/>
      <c r="F5" s="2521"/>
      <c r="G5" s="2522"/>
      <c r="Q5" s="149">
        <v>28</v>
      </c>
    </row>
    <row s="5053" customFormat="1" customHeight="1" ht="18.75">
      <c r="A6" s="948"/>
      <c r="B6" s="483"/>
      <c r="C6" s="442"/>
      <c r="D6" s="2523" t="str">
        <f>IF(org=0,"Не определено",org)</f>
        <v>Филиал "Уренгойская ГРЭС" АО "Интер РАО - Электрогенерация"</v>
      </c>
      <c r="E6" s="2524"/>
      <c r="F6" s="2524"/>
      <c r="G6" s="2525"/>
      <c r="I6" s="566"/>
      <c r="J6" s="566"/>
      <c r="Q6" s="824">
        <v>18</v>
      </c>
    </row>
    <row customHeight="1" ht="14.699999999999998">
      <c r="C7" s="162"/>
      <c r="D7" s="150"/>
      <c r="E7" s="161"/>
      <c r="F7" s="818"/>
      <c r="G7" s="259"/>
      <c r="Q7" s="149">
        <v>14</v>
      </c>
    </row>
    <row s="5053" customFormat="1" customHeight="1" ht="1.05">
      <c r="A8" s="1735"/>
      <c r="B8" s="1226"/>
      <c r="C8" s="442"/>
      <c r="D8" s="429"/>
      <c r="E8" s="455"/>
      <c r="F8" s="818"/>
      <c r="G8" s="259"/>
      <c r="I8" s="1690"/>
      <c r="J8" s="1690"/>
      <c r="Q8" s="1697">
        <v>1</v>
      </c>
    </row>
    <row customHeight="1" ht="14.699999999999998">
      <c r="C9" s="162"/>
      <c r="D9" s="2275" t="s">
        <v>309</v>
      </c>
      <c r="E9" s="2275"/>
      <c r="F9" s="2275"/>
      <c r="G9" s="2455" t="s">
        <v>310</v>
      </c>
      <c r="Q9" s="149">
        <v>14</v>
      </c>
    </row>
    <row customHeight="1" ht="24">
      <c r="C10" s="162"/>
      <c r="D10" s="171" t="s">
        <v>93</v>
      </c>
      <c r="E10" s="174" t="s">
        <v>311</v>
      </c>
      <c r="F10" s="174" t="s">
        <v>399</v>
      </c>
      <c r="G10" s="2455"/>
      <c r="Q10" s="149">
        <v>23</v>
      </c>
    </row>
    <row customHeight="1" ht="12" hidden="1">
      <c r="C11" s="162"/>
      <c r="D11" s="153"/>
      <c r="E11" s="153"/>
      <c r="F11" s="153"/>
      <c r="G11" s="153"/>
      <c r="Q11" s="149">
        <v>0</v>
      </c>
    </row>
    <row customHeight="1" ht="65.25">
      <c r="A12" s="258"/>
      <c r="C12" s="162"/>
      <c r="D12" s="213">
        <v>1</v>
      </c>
      <c r="E12" s="26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4" t="s">
        <v>315</v>
      </c>
      <c r="G12" s="217"/>
      <c r="Q12" s="149">
        <v>62</v>
      </c>
    </row>
    <row customHeight="1" ht="24">
      <c r="A13" s="258"/>
      <c r="C13" s="162"/>
      <c r="D13" s="213" t="s">
        <v>1030</v>
      </c>
      <c r="E13" s="26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4" t="s">
        <v>315</v>
      </c>
      <c r="G13" s="217"/>
      <c r="Q13" s="149">
        <v>23</v>
      </c>
    </row>
    <row customHeight="1" ht="14.699999999999998">
      <c r="A14" s="258"/>
      <c r="C14" s="162"/>
      <c r="D14" s="213" t="s">
        <v>1066</v>
      </c>
      <c r="E14" s="261"/>
      <c r="F14" s="279"/>
      <c r="G14" s="22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9">
        <v>14</v>
      </c>
    </row>
    <row customHeight="1" ht="15.75">
      <c r="A15" s="258"/>
      <c r="C15" s="162"/>
      <c r="D15" s="175"/>
      <c r="E15" s="415" t="s">
        <v>1126</v>
      </c>
      <c r="F15" s="267"/>
      <c r="G15" s="2237"/>
      <c r="Q15" s="149">
        <v>15</v>
      </c>
    </row>
    <row customHeight="1" ht="14.699999999999998">
      <c r="A16" s="258"/>
      <c r="C16" s="162"/>
      <c r="D16" s="213" t="s">
        <v>1032</v>
      </c>
      <c r="E16" s="26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4" t="s">
        <v>315</v>
      </c>
      <c r="G16" s="403"/>
      <c r="Q16" s="149">
        <v>14</v>
      </c>
    </row>
    <row customHeight="1" ht="14.699999999999998">
      <c r="A17" s="258"/>
      <c r="C17" s="162"/>
      <c r="D17" s="213" t="s">
        <v>1074</v>
      </c>
      <c r="E17" s="261"/>
      <c r="F17" s="451"/>
      <c r="G17" s="22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9">
        <v>14</v>
      </c>
    </row>
    <row s="5053" customFormat="1" customHeight="1" ht="22.049999999999997">
      <c r="A18" s="409"/>
      <c r="B18" s="212"/>
      <c r="C18" s="373"/>
      <c r="D18" s="413"/>
      <c r="E18" s="415" t="s">
        <v>1127</v>
      </c>
      <c r="F18" s="404"/>
      <c r="G18" s="2237"/>
      <c r="I18" s="416"/>
      <c r="J18" s="416"/>
      <c r="Q18" s="408">
        <v>21</v>
      </c>
    </row>
    <row s="5053" customFormat="1" customHeight="1" ht="256.5" hidden="1">
      <c r="A19" s="409"/>
      <c r="B19" s="483"/>
      <c r="C19" s="442"/>
      <c r="D19" s="950" t="s">
        <v>1034</v>
      </c>
      <c r="E19" s="949" t="s">
        <v>1128</v>
      </c>
      <c r="F19" s="451"/>
      <c r="G19" s="403" t="s">
        <v>1129</v>
      </c>
      <c r="I19" s="566"/>
      <c r="J19" s="566"/>
      <c r="Q19" s="824">
        <v>0</v>
      </c>
    </row>
    <row s="5053" customFormat="1" customHeight="1" ht="14.699999999999998">
      <c r="A20" s="409"/>
      <c r="B20" s="212"/>
      <c r="C20" s="373"/>
      <c r="D20" s="951">
        <v>2</v>
      </c>
      <c r="E20" s="396" t="s">
        <v>1130</v>
      </c>
      <c r="F20" s="264" t="s">
        <v>315</v>
      </c>
      <c r="G20" s="403"/>
      <c r="I20" s="416"/>
      <c r="J20" s="416"/>
      <c r="Q20" s="408">
        <v>14</v>
      </c>
    </row>
    <row s="5053" customFormat="1" customHeight="1" ht="18.75" hidden="1">
      <c r="A21" s="409"/>
      <c r="B21" s="212"/>
      <c r="C21" s="373"/>
      <c r="D21" s="399" t="s">
        <v>645</v>
      </c>
      <c r="E21" s="398"/>
      <c r="F21" s="397"/>
      <c r="G21" s="407"/>
      <c r="H21" s="400"/>
      <c r="I21" s="416"/>
      <c r="J21" s="416"/>
      <c r="Q21" s="408">
        <v>0</v>
      </c>
    </row>
    <row customHeight="1" ht="15.75">
      <c r="A22" s="258"/>
      <c r="C22" s="162"/>
      <c r="D22" s="175"/>
      <c r="E22" s="269" t="s">
        <v>331</v>
      </c>
      <c r="F22" s="404"/>
      <c r="G22" s="405"/>
      <c r="Q22" s="149">
        <v>15</v>
      </c>
    </row>
    <row s="5053" customFormat="1" customHeight="1" ht="22.5" hidden="1">
      <c r="A23" s="409"/>
      <c r="B23" s="1226"/>
      <c r="C23" s="442"/>
      <c r="D23" s="1739" t="s">
        <v>115</v>
      </c>
      <c r="E23" s="263" t="s">
        <v>1131</v>
      </c>
      <c r="F23" s="1736" t="s">
        <v>315</v>
      </c>
      <c r="G23" s="411"/>
      <c r="I23" s="1690"/>
      <c r="J23" s="1690"/>
      <c r="Q23" s="1697">
        <v>0</v>
      </c>
    </row>
    <row s="5053" customFormat="1" customHeight="1" ht="14.25" hidden="1">
      <c r="A24" s="409"/>
      <c r="B24" s="1226"/>
      <c r="C24" s="442"/>
      <c r="D24" s="1739" t="s">
        <v>717</v>
      </c>
      <c r="E24" s="1738" t="s">
        <v>1132</v>
      </c>
      <c r="F24" s="1736" t="s">
        <v>315</v>
      </c>
      <c r="G24" s="403"/>
      <c r="I24" s="1690"/>
      <c r="J24" s="1690"/>
      <c r="Q24" s="1697">
        <v>0</v>
      </c>
    </row>
    <row s="5053" customFormat="1" customHeight="1" ht="14.25" hidden="1">
      <c r="A25" s="409"/>
      <c r="B25" s="1226"/>
      <c r="C25" s="442"/>
      <c r="D25" s="1739" t="s">
        <v>720</v>
      </c>
      <c r="E25" s="261"/>
      <c r="F25" s="451"/>
      <c r="G25" s="2235" t="s">
        <v>1133</v>
      </c>
      <c r="I25" s="1690"/>
      <c r="J25" s="1690"/>
      <c r="Q25" s="1697">
        <v>0</v>
      </c>
    </row>
    <row s="5053" customFormat="1" customHeight="1" ht="22.5" hidden="1">
      <c r="A26" s="409"/>
      <c r="B26" s="1226"/>
      <c r="C26" s="442"/>
      <c r="D26" s="413"/>
      <c r="E26" s="415" t="s">
        <v>1134</v>
      </c>
      <c r="F26" s="404"/>
      <c r="G26" s="2237"/>
      <c r="I26" s="1690"/>
      <c r="J26" s="1690"/>
      <c r="Q26" s="1697">
        <v>0</v>
      </c>
    </row>
    <row customHeight="1" ht="3">
      <c r="Q27" s="149">
        <v>3</v>
      </c>
    </row>
    <row customHeight="1" ht="14.699999999999998">
      <c r="D28" s="402"/>
      <c r="E28" s="401"/>
      <c r="F28" s="381"/>
      <c r="G28" s="381"/>
      <c r="H28" s="381"/>
      <c r="I28" s="381"/>
      <c r="J28" s="381"/>
      <c r="K28" s="381"/>
      <c r="L28" s="381"/>
      <c r="M28" s="381"/>
      <c r="N28" s="381"/>
      <c r="O28" s="381"/>
      <c r="P28" s="381"/>
      <c r="Q28" s="149">
        <v>14</v>
      </c>
    </row>
    <row customHeight="1" ht="14.699999999999998">
      <c r="D29" s="402"/>
      <c r="E29" s="648"/>
      <c r="Q29" s="149">
        <v>14</v>
      </c>
    </row>
    <row customHeight="1" ht="14.699999999999998">
      <c r="Q30" s="149">
        <v>14</v>
      </c>
    </row>
    <row customHeight="1" ht="14.699999999999998">
      <c r="E31" s="824"/>
      <c r="Q31" s="149">
        <v>14</v>
      </c>
    </row>
    <row customHeight="1" ht="22.5" hidden="1">
      <c r="A32" s="167" t="s">
        <v>87</v>
      </c>
      <c r="B32" s="212">
        <v>0</v>
      </c>
      <c r="C32" s="163">
        <v>3</v>
      </c>
      <c r="D32" s="149">
        <v>6</v>
      </c>
      <c r="E32" s="149">
        <v>64</v>
      </c>
      <c r="F32" s="149">
        <v>64</v>
      </c>
      <c r="G32" s="149">
        <v>140</v>
      </c>
      <c r="H32" s="149">
        <v>10</v>
      </c>
      <c r="I32" s="221">
        <v>10</v>
      </c>
      <c r="J32" s="221">
        <v>10</v>
      </c>
      <c r="K32" s="149">
        <v>10</v>
      </c>
      <c r="L32" s="149">
        <v>10</v>
      </c>
      <c r="M32" s="149">
        <v>10</v>
      </c>
      <c r="N32" s="149">
        <v>10</v>
      </c>
      <c r="O32" s="149">
        <v>10</v>
      </c>
      <c r="P32" s="149">
        <v>10</v>
      </c>
      <c r="Q32" s="14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13194-C8C3-273C-959C-7A2C93DD4C3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4246" width="9.140625" hidden="1" customWidth="1"/>
    <col min="2" max="2" style="5002" width="9.140625" hidden="1" customWidth="1"/>
    <col min="3" max="3" style="5023" width="3.00390625" customWidth="1"/>
    <col min="4" max="4" style="5053" width="6.00390625" customWidth="1"/>
    <col min="5" max="5" style="5053" width="63.00390625" customWidth="1"/>
    <col min="6" max="6" style="5053" width="1.7109375" hidden="1" customWidth="1"/>
    <col min="7" max="8" style="5053" width="35.00390625" customWidth="1"/>
    <col min="9" max="9" style="5053" width="91.00390625" customWidth="1"/>
    <col min="10" max="10" style="5053" width="68.00390625" customWidth="1"/>
    <col min="11" max="12" style="5005" width="10.00390625" customWidth="1"/>
    <col min="13" max="13" style="5053" width="10.57421875" hidden="1"/>
  </cols>
  <sheetData>
    <row customHeight="1" ht="22.5" hidden="1">
      <c r="M1" s="149" t="s">
        <v>14</v>
      </c>
    </row>
    <row s="5053" customFormat="1" customHeight="1" ht="18.75" hidden="1">
      <c r="A2" s="1749"/>
      <c r="B2" s="1226"/>
      <c r="C2" s="1796" t="s">
        <v>454</v>
      </c>
      <c r="D2" s="1739"/>
      <c r="E2" s="265"/>
      <c r="F2" s="1736"/>
      <c r="G2" s="1736" t="s">
        <v>315</v>
      </c>
      <c r="H2" s="1227"/>
      <c r="K2" s="1690"/>
      <c r="L2" s="1690"/>
      <c r="M2" s="1697">
        <v>0</v>
      </c>
    </row>
    <row s="5053" customFormat="1" customHeight="1" ht="14.25" hidden="1">
      <c r="A3" s="1428"/>
      <c r="B3" s="1226"/>
      <c r="C3" s="410"/>
      <c r="K3" s="1690"/>
      <c r="L3" s="1690"/>
      <c r="M3" s="1697">
        <v>0</v>
      </c>
    </row>
    <row s="5053" customFormat="1" customHeight="1" ht="18.75" hidden="1">
      <c r="A4" s="1749"/>
      <c r="B4" s="1226"/>
      <c r="C4" s="1796" t="s">
        <v>454</v>
      </c>
      <c r="D4" s="1739"/>
      <c r="E4" s="271" t="s">
        <v>1135</v>
      </c>
      <c r="F4" s="1736"/>
      <c r="G4" s="323"/>
      <c r="H4" s="1736" t="s">
        <v>315</v>
      </c>
      <c r="K4" s="1690"/>
      <c r="L4" s="1690"/>
      <c r="M4" s="1697">
        <v>0</v>
      </c>
    </row>
    <row s="5053" customFormat="1" customHeight="1" ht="14.25" hidden="1">
      <c r="A5" s="1428"/>
      <c r="B5" s="1226"/>
      <c r="C5" s="410"/>
      <c r="K5" s="1690"/>
      <c r="L5" s="1690"/>
      <c r="M5" s="1697">
        <v>0</v>
      </c>
    </row>
    <row s="5053" customFormat="1" customHeight="1" ht="18.75" hidden="1">
      <c r="A6" s="1749"/>
      <c r="B6" s="1226"/>
      <c r="C6" s="1796" t="s">
        <v>454</v>
      </c>
      <c r="D6" s="1739"/>
      <c r="E6" s="272" t="s">
        <v>1136</v>
      </c>
      <c r="F6" s="1736"/>
      <c r="G6" s="323"/>
      <c r="H6" s="1736" t="s">
        <v>315</v>
      </c>
      <c r="K6" s="1690"/>
      <c r="L6" s="1690"/>
      <c r="M6" s="1697">
        <v>0</v>
      </c>
    </row>
    <row s="5053" customFormat="1" customHeight="1" ht="14.25" hidden="1">
      <c r="A7" s="1428"/>
      <c r="B7" s="1226"/>
      <c r="C7" s="410"/>
      <c r="K7" s="1690"/>
      <c r="L7" s="1690"/>
      <c r="M7" s="1697">
        <v>0</v>
      </c>
    </row>
    <row s="5053" customFormat="1" customHeight="1" ht="18.75" hidden="1">
      <c r="A8" s="1749"/>
      <c r="B8" s="1226"/>
      <c r="C8" s="1796" t="s">
        <v>454</v>
      </c>
      <c r="D8" s="1739"/>
      <c r="E8" s="272" t="s">
        <v>1137</v>
      </c>
      <c r="F8" s="1736"/>
      <c r="G8" s="323"/>
      <c r="H8" s="1736" t="s">
        <v>315</v>
      </c>
      <c r="K8" s="1690"/>
      <c r="L8" s="1690"/>
      <c r="M8" s="1697">
        <v>0</v>
      </c>
    </row>
    <row s="5053" customFormat="1" customHeight="1" ht="14.25" hidden="1">
      <c r="A9" s="1428"/>
      <c r="B9" s="1226"/>
      <c r="C9" s="410"/>
      <c r="K9" s="1690"/>
      <c r="L9" s="1690"/>
      <c r="M9" s="1697">
        <v>0</v>
      </c>
    </row>
    <row s="5053" customFormat="1" customHeight="1" ht="18.75" hidden="1">
      <c r="A10" s="1749"/>
      <c r="B10" s="1226"/>
      <c r="C10" s="1796" t="s">
        <v>454</v>
      </c>
      <c r="D10" s="1739"/>
      <c r="E10" s="272" t="s">
        <v>1138</v>
      </c>
      <c r="F10" s="1736"/>
      <c r="G10" s="1740"/>
      <c r="H10" s="1736" t="s">
        <v>315</v>
      </c>
      <c r="K10" s="1690"/>
      <c r="L10" s="1690" t="s">
        <v>1139</v>
      </c>
      <c r="M10" s="1697">
        <v>0</v>
      </c>
    </row>
    <row customHeight="1" ht="14.25" hidden="1">
      <c r="M11" s="149">
        <v>0</v>
      </c>
    </row>
    <row customHeight="1" ht="14.25" hidden="1">
      <c r="M12" s="149">
        <v>0</v>
      </c>
    </row>
    <row customHeight="1" ht="14.699999999999998">
      <c r="C13" s="162"/>
      <c r="D13" s="150"/>
      <c r="E13" s="150"/>
      <c r="F13" s="150"/>
      <c r="G13" s="150"/>
      <c r="H13" s="151"/>
      <c r="I13" s="151"/>
      <c r="M13" s="149">
        <v>14</v>
      </c>
    </row>
    <row customHeight="1" ht="29.25">
      <c r="C14" s="162"/>
      <c r="D14" s="252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1"/>
      <c r="F14" s="2521"/>
      <c r="G14" s="2521"/>
      <c r="H14" s="2522"/>
      <c r="J14" s="1697"/>
      <c r="M14" s="149">
        <v>28</v>
      </c>
    </row>
    <row s="5053" customFormat="1" customHeight="1" ht="14.699999999999998">
      <c r="A15" s="1428"/>
      <c r="B15" s="1226"/>
      <c r="C15" s="442"/>
      <c r="D15" s="2523" t="str">
        <f>IF(org=0,"Не определено",org)</f>
        <v>Филиал "Уренгойская ГРЭС" АО "Интер РАО - Электрогенерация"</v>
      </c>
      <c r="E15" s="2524"/>
      <c r="F15" s="2524"/>
      <c r="G15" s="2524"/>
      <c r="H15" s="2525"/>
      <c r="J15" s="918"/>
      <c r="K15" s="1690"/>
      <c r="L15" s="1690"/>
      <c r="M15" s="1697">
        <v>14</v>
      </c>
    </row>
    <row customHeight="1" ht="14.699999999999998">
      <c r="C16" s="162"/>
      <c r="D16" s="150"/>
      <c r="E16" s="161"/>
      <c r="F16" s="161"/>
      <c r="G16" s="161"/>
      <c r="H16" s="818"/>
      <c r="I16" s="259"/>
      <c r="M16" s="149">
        <v>14</v>
      </c>
    </row>
    <row s="5053" customFormat="1" customHeight="1" ht="14.25" hidden="1">
      <c r="A17" s="1428"/>
      <c r="B17" s="1226"/>
      <c r="C17" s="442"/>
      <c r="D17" s="429"/>
      <c r="E17" s="455"/>
      <c r="F17" s="455"/>
      <c r="G17" s="455"/>
      <c r="H17" s="818"/>
      <c r="I17" s="259"/>
      <c r="K17" s="1690"/>
      <c r="L17" s="1690"/>
      <c r="M17" s="1697">
        <v>0</v>
      </c>
    </row>
    <row customHeight="1" ht="22.049999999999997">
      <c r="C18" s="162"/>
      <c r="D18" s="2275" t="s">
        <v>309</v>
      </c>
      <c r="E18" s="2275"/>
      <c r="F18" s="2275"/>
      <c r="G18" s="2275"/>
      <c r="H18" s="2275"/>
      <c r="I18" s="2455" t="s">
        <v>310</v>
      </c>
      <c r="M18" s="149">
        <v>21</v>
      </c>
    </row>
    <row customHeight="1" ht="22.049999999999997">
      <c r="C19" s="162"/>
      <c r="D19" s="171" t="s">
        <v>93</v>
      </c>
      <c r="E19" s="174" t="s">
        <v>311</v>
      </c>
      <c r="F19" s="174"/>
      <c r="G19" s="174" t="s">
        <v>312</v>
      </c>
      <c r="H19" s="174" t="s">
        <v>399</v>
      </c>
      <c r="I19" s="2455"/>
      <c r="M19" s="149">
        <v>21</v>
      </c>
    </row>
    <row customHeight="1" ht="12" hidden="1">
      <c r="C20" s="162"/>
      <c r="D20" s="153"/>
      <c r="E20" s="153"/>
      <c r="F20" s="153"/>
      <c r="G20" s="153"/>
      <c r="H20" s="153"/>
      <c r="I20" s="153"/>
      <c r="M20" s="149">
        <v>0</v>
      </c>
    </row>
    <row customHeight="1" ht="14.699999999999998">
      <c r="A21" s="1749"/>
      <c r="C21" s="162"/>
      <c r="D21" s="213">
        <v>1</v>
      </c>
      <c r="E21" s="2527" t="s">
        <v>1140</v>
      </c>
      <c r="F21" s="2527"/>
      <c r="G21" s="2527"/>
      <c r="H21" s="2527"/>
      <c r="I21" s="274"/>
      <c r="M21" s="149">
        <v>14</v>
      </c>
    </row>
    <row customHeight="1" ht="21">
      <c r="A22" s="1749"/>
      <c r="C22" s="162"/>
      <c r="D22" s="213" t="s">
        <v>1030</v>
      </c>
      <c r="E22" s="260" t="s">
        <v>1141</v>
      </c>
      <c r="F22" s="264"/>
      <c r="G22" s="1803"/>
      <c r="H22" s="264" t="s">
        <v>315</v>
      </c>
      <c r="I22" s="217" t="s">
        <v>1142</v>
      </c>
      <c r="M22" s="149">
        <v>20</v>
      </c>
    </row>
    <row customHeight="1" ht="60">
      <c r="A23" s="1749"/>
      <c r="C23" s="162"/>
      <c r="D23" s="213" t="s">
        <v>1032</v>
      </c>
      <c r="E23" s="260" t="s">
        <v>1143</v>
      </c>
      <c r="F23" s="264"/>
      <c r="G23" s="323"/>
      <c r="H23" s="279"/>
      <c r="I23" s="324" t="s">
        <v>1144</v>
      </c>
      <c r="M23" s="149">
        <v>57</v>
      </c>
    </row>
    <row customHeight="1" ht="14.699999999999998">
      <c r="A24" s="1749"/>
      <c r="B24" s="212">
        <v>3</v>
      </c>
      <c r="C24" s="162"/>
      <c r="D24" s="213">
        <v>2</v>
      </c>
      <c r="E24" s="28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4"/>
      <c r="G24" s="264" t="s">
        <v>315</v>
      </c>
      <c r="H24" s="279"/>
      <c r="I24" s="325" t="s">
        <v>640</v>
      </c>
      <c r="M24" s="149">
        <v>14</v>
      </c>
    </row>
    <row customHeight="1" ht="48.29999999999999">
      <c r="A25" s="1749"/>
      <c r="C25" s="162"/>
      <c r="D25" s="213">
        <v>3</v>
      </c>
      <c r="E25" s="25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6"/>
      <c r="G25" s="2526"/>
      <c r="H25" s="2526"/>
      <c r="I25" s="322"/>
      <c r="M25" s="149">
        <v>46</v>
      </c>
    </row>
    <row customHeight="1" ht="14.699999999999998">
      <c r="A26" s="1749"/>
      <c r="C26" s="162"/>
      <c r="D26" s="213" t="s">
        <v>333</v>
      </c>
      <c r="E26" s="265"/>
      <c r="F26" s="264"/>
      <c r="G26" s="264" t="s">
        <v>315</v>
      </c>
      <c r="H26" s="279"/>
      <c r="I26" s="2235" t="s">
        <v>1145</v>
      </c>
      <c r="M26" s="149">
        <v>14</v>
      </c>
    </row>
    <row customHeight="1" ht="15.75">
      <c r="A27" s="1749" t="s">
        <v>114</v>
      </c>
      <c r="C27" s="162"/>
      <c r="D27" s="175"/>
      <c r="E27" s="269" t="s">
        <v>331</v>
      </c>
      <c r="F27" s="270"/>
      <c r="G27" s="270"/>
      <c r="H27" s="267"/>
      <c r="I27" s="2237"/>
      <c r="M27" s="149">
        <v>15</v>
      </c>
    </row>
    <row customHeight="1" ht="39.75">
      <c r="A28" s="1749"/>
      <c r="B28" s="212">
        <v>3</v>
      </c>
      <c r="C28" s="162"/>
      <c r="D28" s="213">
        <v>4</v>
      </c>
      <c r="E28" s="25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6"/>
      <c r="G28" s="2526"/>
      <c r="H28" s="2526"/>
      <c r="I28" s="322"/>
      <c r="M28" s="149">
        <v>38</v>
      </c>
    </row>
    <row customHeight="1" ht="21">
      <c r="A29" s="1749"/>
      <c r="C29" s="162"/>
      <c r="D29" s="213" t="s">
        <v>762</v>
      </c>
      <c r="E29" s="271" t="s">
        <v>1135</v>
      </c>
      <c r="F29" s="264"/>
      <c r="G29" s="323"/>
      <c r="H29" s="264" t="s">
        <v>315</v>
      </c>
      <c r="I29" s="2235" t="s">
        <v>1146</v>
      </c>
      <c r="M29" s="149">
        <v>20</v>
      </c>
    </row>
    <row customHeight="1" ht="15.75">
      <c r="A30" s="1749" t="s">
        <v>115</v>
      </c>
      <c r="C30" s="162"/>
      <c r="D30" s="175"/>
      <c r="E30" s="269" t="s">
        <v>331</v>
      </c>
      <c r="F30" s="270"/>
      <c r="G30" s="270"/>
      <c r="H30" s="267"/>
      <c r="I30" s="2237"/>
      <c r="M30" s="149">
        <v>15</v>
      </c>
    </row>
    <row customHeight="1" ht="31.5">
      <c r="A31" s="1749"/>
      <c r="B31" s="212">
        <v>3</v>
      </c>
      <c r="C31" s="162"/>
      <c r="D31" s="213">
        <v>5</v>
      </c>
      <c r="E31" s="25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6"/>
      <c r="G31" s="2526"/>
      <c r="H31" s="2526"/>
      <c r="I31" s="322"/>
      <c r="M31" s="149">
        <v>30</v>
      </c>
    </row>
    <row customHeight="1" ht="27.299999999999997">
      <c r="A32" s="1749"/>
      <c r="C32" s="162"/>
      <c r="D32" s="213" t="s">
        <v>322</v>
      </c>
      <c r="E32" s="24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9"/>
      <c r="G32" s="2469"/>
      <c r="H32" s="2469"/>
      <c r="I32" s="322"/>
      <c r="M32" s="149">
        <v>26</v>
      </c>
    </row>
    <row customHeight="1" ht="14.699999999999998">
      <c r="A33" s="1749"/>
      <c r="C33" s="162"/>
      <c r="D33" s="213" t="s">
        <v>1147</v>
      </c>
      <c r="E33" s="272" t="s">
        <v>1136</v>
      </c>
      <c r="F33" s="264"/>
      <c r="G33" s="323"/>
      <c r="H33" s="264" t="s">
        <v>315</v>
      </c>
      <c r="I33" s="2235" t="s">
        <v>1148</v>
      </c>
      <c r="M33" s="149">
        <v>14</v>
      </c>
    </row>
    <row customHeight="1" ht="15.75">
      <c r="A34" s="1749" t="s">
        <v>95</v>
      </c>
      <c r="C34" s="162"/>
      <c r="D34" s="175"/>
      <c r="E34" s="270" t="s">
        <v>331</v>
      </c>
      <c r="F34" s="266"/>
      <c r="G34" s="266"/>
      <c r="H34" s="267"/>
      <c r="I34" s="2237"/>
      <c r="M34" s="149">
        <v>15</v>
      </c>
    </row>
    <row customHeight="1" ht="25.2">
      <c r="A35" s="1749"/>
      <c r="C35" s="162"/>
      <c r="D35" s="213" t="s">
        <v>890</v>
      </c>
      <c r="E35" s="24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9"/>
      <c r="G35" s="2469"/>
      <c r="H35" s="2469"/>
      <c r="I35" s="322"/>
      <c r="M35" s="149">
        <v>24</v>
      </c>
    </row>
    <row customHeight="1" ht="14.699999999999998">
      <c r="A36" s="1749"/>
      <c r="C36" s="162"/>
      <c r="D36" s="213" t="s">
        <v>1149</v>
      </c>
      <c r="E36" s="272" t="s">
        <v>1137</v>
      </c>
      <c r="F36" s="264"/>
      <c r="G36" s="323"/>
      <c r="H36" s="264" t="s">
        <v>315</v>
      </c>
      <c r="I36" s="2209" t="s">
        <v>1150</v>
      </c>
      <c r="M36" s="149">
        <v>14</v>
      </c>
    </row>
    <row customHeight="1" ht="15.75">
      <c r="A37" s="1749" t="s">
        <v>96</v>
      </c>
      <c r="C37" s="162"/>
      <c r="D37" s="175"/>
      <c r="E37" s="270" t="s">
        <v>331</v>
      </c>
      <c r="F37" s="266"/>
      <c r="G37" s="266"/>
      <c r="H37" s="267"/>
      <c r="I37" s="2209"/>
      <c r="M37" s="149">
        <v>15</v>
      </c>
    </row>
    <row customHeight="1" ht="27.299999999999997">
      <c r="A38" s="1749"/>
      <c r="C38" s="162"/>
      <c r="D38" s="213" t="s">
        <v>891</v>
      </c>
      <c r="E38" s="24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9"/>
      <c r="G38" s="2469"/>
      <c r="H38" s="2469"/>
      <c r="I38" s="322"/>
      <c r="M38" s="149">
        <v>26</v>
      </c>
    </row>
    <row customHeight="1" ht="14.699999999999998">
      <c r="A39" s="1749"/>
      <c r="C39" s="162"/>
      <c r="D39" s="213" t="s">
        <v>892</v>
      </c>
      <c r="E39" s="272" t="s">
        <v>1138</v>
      </c>
      <c r="F39" s="264"/>
      <c r="G39" s="273"/>
      <c r="H39" s="264" t="s">
        <v>315</v>
      </c>
      <c r="I39" s="2235" t="s">
        <v>1151</v>
      </c>
      <c r="L39" s="221" t="s">
        <v>1139</v>
      </c>
      <c r="M39" s="149">
        <v>14</v>
      </c>
    </row>
    <row customHeight="1" ht="15.75">
      <c r="A40" s="1749" t="s">
        <v>116</v>
      </c>
      <c r="C40" s="162"/>
      <c r="D40" s="175"/>
      <c r="E40" s="270" t="s">
        <v>331</v>
      </c>
      <c r="F40" s="266"/>
      <c r="G40" s="266"/>
      <c r="H40" s="267"/>
      <c r="I40" s="2237"/>
      <c r="M40" s="149">
        <v>15</v>
      </c>
    </row>
    <row s="5516" customFormat="1" customHeight="1" ht="3">
      <c r="A41" s="1749"/>
      <c r="K41" s="262"/>
      <c r="L41" s="262"/>
      <c r="M41" s="206">
        <v>3</v>
      </c>
    </row>
    <row customHeight="1" ht="26.25">
      <c r="D42" s="1747" t="s">
        <v>812</v>
      </c>
      <c r="E42" s="23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1"/>
      <c r="G42" s="2351"/>
      <c r="H42" s="2351"/>
      <c r="I42" s="2351"/>
      <c r="M42" s="149">
        <v>25</v>
      </c>
    </row>
    <row customHeight="1" ht="22.5" hidden="1">
      <c r="A43" s="1428" t="s">
        <v>87</v>
      </c>
      <c r="B43" s="212">
        <v>0</v>
      </c>
      <c r="C43" s="163">
        <v>3</v>
      </c>
      <c r="D43" s="149">
        <v>6</v>
      </c>
      <c r="E43" s="149">
        <v>63</v>
      </c>
      <c r="F43" s="149">
        <v>0</v>
      </c>
      <c r="G43" s="149">
        <v>35</v>
      </c>
      <c r="H43" s="149">
        <v>35</v>
      </c>
      <c r="I43" s="149">
        <v>91</v>
      </c>
      <c r="J43" s="149">
        <v>68</v>
      </c>
      <c r="K43" s="221">
        <v>10</v>
      </c>
      <c r="L43" s="221">
        <v>10</v>
      </c>
      <c r="M43" s="14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EB093-8D21-03F5-A229-1D6855D944F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5044" width="25.140625" hidden="1" customWidth="1"/>
    <col min="3" max="3" style="5021" width="9.140625" hidden="1" customWidth="1"/>
    <col min="4" max="4" style="5023" width="3.00390625" customWidth="1"/>
    <col min="5" max="5" style="5053" width="6.00390625" customWidth="1"/>
    <col min="6" max="6" style="5053" width="46.7109375" customWidth="1"/>
    <col min="7" max="7" style="5053" width="35.00390625" customWidth="1"/>
    <col min="8" max="8" style="5053" width="3.00390625" customWidth="1"/>
    <col min="9" max="10" style="5053" width="11.00390625" customWidth="1"/>
    <col min="11" max="12" style="5053" width="35.00390625" customWidth="1"/>
    <col min="13" max="13" style="5053" width="84.00390625" customWidth="1"/>
    <col min="14" max="14" style="5053" width="10.00390625" customWidth="1"/>
    <col min="15" max="16" style="5005" width="10.00390625" customWidth="1"/>
    <col min="17" max="33" style="5053" width="10.00390625" customWidth="1"/>
    <col min="34" max="34" style="5053" width="10.57421875" hidden="1"/>
  </cols>
  <sheetData>
    <row s="5053" customFormat="1" customHeight="1" ht="22.5" hidden="1">
      <c r="A1" s="1845"/>
      <c r="B1" s="1845"/>
      <c r="C1" s="435"/>
      <c r="D1" s="410"/>
      <c r="N1" s="1702">
        <f>_xlfn.IFERROR(MATCH("метод экономически обоснованных расходов (затрат)",OFFER_METHOD,0),0)</f>
        <v>0</v>
      </c>
      <c r="O1" s="1690"/>
      <c r="P1" s="1690"/>
      <c r="T1" s="897"/>
      <c r="AG1" s="321"/>
      <c r="AH1" s="1697" t="s">
        <v>14</v>
      </c>
    </row>
    <row s="5053" customFormat="1" customHeight="1" ht="18.75" hidden="1">
      <c r="A2" s="1846" t="s">
        <v>159</v>
      </c>
      <c r="B2" s="1846" t="s">
        <v>160</v>
      </c>
      <c r="C2" s="435"/>
      <c r="D2" s="410"/>
      <c r="E2" s="1097"/>
      <c r="F2" s="1097"/>
      <c r="G2" s="2493" t="str">
        <f>INDEX(PT_DIFFERENTIATION_NTAR,MATCH(B2,PT_DIFFERENTIATION_NTAR_ID,0))</f>
        <v/>
      </c>
      <c r="H2" s="1930"/>
      <c r="I2" s="1805"/>
      <c r="J2" s="1839"/>
      <c r="K2" s="1931"/>
      <c r="L2" s="1930" t="s">
        <v>315</v>
      </c>
      <c r="M2" s="1941"/>
      <c r="N2" s="400"/>
      <c r="O2" s="1690"/>
      <c r="P2" s="1690"/>
      <c r="AH2" s="1697">
        <v>0</v>
      </c>
    </row>
    <row s="5053" customFormat="1" customHeight="1" ht="18.75" hidden="1">
      <c r="A3" s="1846"/>
      <c r="B3" s="1846"/>
      <c r="C3" s="435" t="s">
        <v>1152</v>
      </c>
      <c r="D3" s="410"/>
      <c r="E3" s="1097"/>
      <c r="F3" s="1097"/>
      <c r="G3" s="2493"/>
      <c r="H3" s="1566"/>
      <c r="I3" s="717" t="s">
        <v>1153</v>
      </c>
      <c r="J3" s="637"/>
      <c r="K3" s="1566"/>
      <c r="L3" s="280"/>
      <c r="M3" s="1941"/>
      <c r="N3" s="400"/>
      <c r="O3" s="1690"/>
      <c r="P3" s="1690"/>
      <c r="AH3" s="1697">
        <v>0</v>
      </c>
    </row>
    <row s="5053" customFormat="1" customHeight="1" ht="14.25" hidden="1">
      <c r="A4" s="1845"/>
      <c r="B4" s="1845"/>
      <c r="C4" s="435"/>
      <c r="D4" s="410"/>
      <c r="N4" s="1702">
        <f>_xlfn.IFERROR(MATCH("метод экономически обоснованных расходов (затрат)",OFFER_METHOD,0),0)</f>
        <v>0</v>
      </c>
      <c r="O4" s="1690"/>
      <c r="P4" s="1690"/>
      <c r="T4" s="897"/>
      <c r="AG4" s="321"/>
      <c r="AH4" s="1697">
        <v>0</v>
      </c>
    </row>
    <row s="5053" customFormat="1" customHeight="1" ht="18.75" hidden="1">
      <c r="A5" s="1846" t="s">
        <v>159</v>
      </c>
      <c r="B5" s="1846" t="s">
        <v>160</v>
      </c>
      <c r="C5" s="435"/>
      <c r="D5" s="410"/>
      <c r="E5" s="1097"/>
      <c r="F5" s="1097"/>
      <c r="G5" s="2493" t="str">
        <f>INDEX(PT_DIFFERENTIATION_NTAR,MATCH(B5,PT_DIFFERENTIATION_NTAR_ID,0))</f>
        <v/>
      </c>
      <c r="H5" s="1930"/>
      <c r="I5" s="1805"/>
      <c r="J5" s="1839"/>
      <c r="K5" s="1844"/>
      <c r="L5" s="1930" t="s">
        <v>315</v>
      </c>
      <c r="M5" s="1941"/>
      <c r="N5" s="400"/>
      <c r="O5" s="1690"/>
      <c r="P5" s="1690"/>
      <c r="AH5" s="1697">
        <v>0</v>
      </c>
    </row>
    <row s="5053" customFormat="1" customHeight="1" ht="18.75" hidden="1">
      <c r="A6" s="1846"/>
      <c r="B6" s="1846"/>
      <c r="C6" s="435" t="s">
        <v>1154</v>
      </c>
      <c r="D6" s="410"/>
      <c r="E6" s="1097"/>
      <c r="F6" s="1097"/>
      <c r="G6" s="2493"/>
      <c r="H6" s="1566"/>
      <c r="I6" s="717" t="s">
        <v>1153</v>
      </c>
      <c r="J6" s="637"/>
      <c r="K6" s="1566"/>
      <c r="L6" s="280"/>
      <c r="M6" s="1941"/>
      <c r="N6" s="400"/>
      <c r="O6" s="1690"/>
      <c r="P6" s="1690"/>
      <c r="AH6" s="1697">
        <v>0</v>
      </c>
    </row>
    <row s="5053" customFormat="1" customHeight="1" ht="14.25" hidden="1">
      <c r="A7" s="1845"/>
      <c r="B7" s="1845"/>
      <c r="C7" s="435"/>
      <c r="D7" s="410"/>
      <c r="N7" s="1702">
        <f>_xlfn.IFERROR(MATCH("метод экономически обоснованных расходов (затрат)",OFFER_METHOD,0),0)</f>
        <v>0</v>
      </c>
      <c r="O7" s="1690"/>
      <c r="P7" s="1690"/>
      <c r="T7" s="897"/>
      <c r="AG7" s="321"/>
      <c r="AH7" s="1697">
        <v>0</v>
      </c>
    </row>
    <row s="5053" customFormat="1" customHeight="1" ht="56.25" hidden="1">
      <c r="A8" s="1846"/>
      <c r="B8" s="1846"/>
      <c r="C8" s="435"/>
      <c r="D8" s="410"/>
      <c r="E8" s="1097"/>
      <c r="F8" s="1097"/>
      <c r="G8" s="1097"/>
      <c r="H8" s="1837"/>
      <c r="I8" s="1805"/>
      <c r="J8" s="1839"/>
      <c r="K8" s="1931"/>
      <c r="L8" s="1837" t="s">
        <v>315</v>
      </c>
      <c r="M8" s="1941"/>
      <c r="N8" s="400"/>
      <c r="O8" s="1690"/>
      <c r="P8" s="1690"/>
      <c r="AH8" s="1697">
        <v>0</v>
      </c>
    </row>
    <row customHeight="1" ht="14.25" hidden="1">
      <c r="T9" s="463"/>
      <c r="AG9" s="321"/>
      <c r="AH9" s="440">
        <v>0</v>
      </c>
    </row>
    <row s="5053" customFormat="1" customHeight="1" ht="56.25" hidden="1">
      <c r="A10" s="1846"/>
      <c r="B10" s="1846"/>
      <c r="C10" s="435"/>
      <c r="D10" s="410"/>
      <c r="E10" s="1097"/>
      <c r="F10" s="1097"/>
      <c r="G10" s="1097"/>
      <c r="H10" s="1836"/>
      <c r="I10" s="1805"/>
      <c r="J10" s="1839"/>
      <c r="K10" s="1844"/>
      <c r="L10" s="1837" t="s">
        <v>315</v>
      </c>
      <c r="M10" s="1941"/>
      <c r="N10" s="400"/>
      <c r="O10" s="1690"/>
      <c r="P10" s="1690"/>
      <c r="AH10" s="1697">
        <v>0</v>
      </c>
    </row>
    <row customHeight="1" ht="14.25" hidden="1">
      <c r="AH11" s="440">
        <v>0</v>
      </c>
    </row>
    <row customHeight="1" ht="14.25" hidden="1">
      <c r="AH12" s="440">
        <v>0</v>
      </c>
    </row>
    <row customHeight="1" ht="6.3">
      <c r="D13" s="442"/>
      <c r="E13" s="429"/>
      <c r="F13" s="429"/>
      <c r="G13" s="429"/>
      <c r="H13" s="429"/>
      <c r="I13" s="429"/>
      <c r="J13" s="429"/>
      <c r="K13" s="429"/>
      <c r="L13" s="151"/>
      <c r="M13" s="151"/>
      <c r="AH13" s="440">
        <v>6</v>
      </c>
    </row>
    <row customHeight="1" ht="14.699999999999998">
      <c r="D14" s="442"/>
      <c r="E14" s="25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1"/>
      <c r="G14" s="2531"/>
      <c r="H14" s="2531"/>
      <c r="I14" s="2531"/>
      <c r="J14" s="2531"/>
      <c r="K14" s="2531"/>
      <c r="L14" s="2531"/>
      <c r="M14" s="286"/>
      <c r="AH14" s="440">
        <v>14</v>
      </c>
    </row>
    <row customHeight="1" ht="6.3">
      <c r="D15" s="442"/>
      <c r="E15" s="429"/>
      <c r="F15" s="455"/>
      <c r="G15" s="455"/>
      <c r="H15" s="455"/>
      <c r="I15" s="455"/>
      <c r="J15" s="455"/>
      <c r="K15" s="455"/>
      <c r="L15" s="388"/>
      <c r="M15" s="259"/>
      <c r="AH15" s="440">
        <v>6</v>
      </c>
    </row>
    <row customHeight="1" ht="24">
      <c r="D16" s="442"/>
      <c r="E16" s="429"/>
      <c r="F16" s="371" t="str">
        <f>"Дата подачи заявления об "&amp;IF(TITLE_DATE_PR_CHANGE="","утверждении","изменении")&amp;" тарифов"</f>
        <v>Дата подачи заявления об изменении тарифов</v>
      </c>
      <c r="G16" s="2330" t="str">
        <f>IF(TITLE_DATE_PR_CHANGE="",IF(TITLE_DATE_PR="","",TITLE_DATE_PR),TITLE_DATE_PR_CHANGE)</f>
        <v>45631.41619212963</v>
      </c>
      <c r="H16" s="2330"/>
      <c r="I16" s="2330"/>
      <c r="J16" s="2330"/>
      <c r="K16" s="2330"/>
      <c r="L16" s="2330"/>
      <c r="M16" s="464"/>
      <c r="N16" s="392"/>
      <c r="AH16" s="440">
        <v>23</v>
      </c>
    </row>
    <row customHeight="1" ht="24">
      <c r="D17" s="442"/>
      <c r="E17" s="429"/>
      <c r="F17" s="371" t="str">
        <f>"Номер подачи заявления об "&amp;IF(TITLE_DATE_PR_CHANGE="","утверждении","изменении")&amp;" тарифов"</f>
        <v>Номер подачи заявления об изменении тарифов</v>
      </c>
      <c r="G17" s="2317" t="str">
        <f>IF(TITLE_NUMBER_PR_CHANGE="",IF(TITLE_NUMBER_PR="","",TITLE_NUMBER_PR),TITLE_NUMBER_PR_CHANGE)</f>
        <v>447-т</v>
      </c>
      <c r="H17" s="2317"/>
      <c r="I17" s="2317"/>
      <c r="J17" s="2317"/>
      <c r="K17" s="2317"/>
      <c r="L17" s="2317"/>
      <c r="M17" s="464"/>
      <c r="N17" s="392"/>
      <c r="AH17" s="440">
        <v>23</v>
      </c>
    </row>
    <row customHeight="1" ht="14.699999999999998">
      <c r="D18" s="442"/>
      <c r="E18" s="429"/>
      <c r="F18" s="455"/>
      <c r="G18" s="455"/>
      <c r="H18" s="455"/>
      <c r="I18" s="455"/>
      <c r="J18" s="455"/>
      <c r="K18" s="455"/>
      <c r="L18" s="818"/>
      <c r="M18" s="259"/>
      <c r="AH18" s="440">
        <v>14</v>
      </c>
    </row>
    <row customHeight="1" ht="22.049999999999997">
      <c r="D19" s="442"/>
      <c r="E19" s="2275" t="s">
        <v>309</v>
      </c>
      <c r="F19" s="2275"/>
      <c r="G19" s="2275"/>
      <c r="H19" s="2275"/>
      <c r="I19" s="2275"/>
      <c r="J19" s="2275"/>
      <c r="K19" s="2275"/>
      <c r="L19" s="2275"/>
      <c r="M19" s="2455" t="s">
        <v>310</v>
      </c>
      <c r="AH19" s="440">
        <v>21</v>
      </c>
    </row>
    <row customHeight="1" ht="22.049999999999997">
      <c r="D20" s="442"/>
      <c r="E20" s="2343" t="s">
        <v>93</v>
      </c>
      <c r="F20" s="2290" t="s">
        <v>127</v>
      </c>
      <c r="G20" s="2290" t="s">
        <v>128</v>
      </c>
      <c r="H20" s="2452" t="s">
        <v>1155</v>
      </c>
      <c r="I20" s="2453"/>
      <c r="J20" s="2499"/>
      <c r="K20" s="2290" t="s">
        <v>312</v>
      </c>
      <c r="L20" s="2290" t="s">
        <v>399</v>
      </c>
      <c r="M20" s="2455"/>
      <c r="AH20" s="440">
        <v>21</v>
      </c>
    </row>
    <row customHeight="1" ht="22.049999999999997">
      <c r="D21" s="442"/>
      <c r="E21" s="2345"/>
      <c r="F21" s="2291"/>
      <c r="G21" s="2291"/>
      <c r="H21" s="2284" t="s">
        <v>1156</v>
      </c>
      <c r="I21" s="2286"/>
      <c r="J21" s="174" t="s">
        <v>1157</v>
      </c>
      <c r="K21" s="2291"/>
      <c r="L21" s="2291"/>
      <c r="M21" s="2455"/>
      <c r="AH21" s="440">
        <v>21</v>
      </c>
    </row>
    <row customHeight="1" ht="12.75">
      <c r="D22" s="442"/>
      <c r="E22" s="347"/>
      <c r="F22" s="347"/>
      <c r="G22" s="347"/>
      <c r="H22" s="2533"/>
      <c r="I22" s="2533"/>
      <c r="J22" s="347"/>
      <c r="K22" s="347"/>
      <c r="L22" s="347"/>
      <c r="M22" s="347"/>
      <c r="AH22" s="440">
        <v>12</v>
      </c>
    </row>
    <row customHeight="1" ht="19.95">
      <c r="A23" s="1846"/>
      <c r="B23" s="1846"/>
      <c r="D23" s="442"/>
      <c r="E23" s="1932" t="s">
        <v>114</v>
      </c>
      <c r="F23" s="2534" t="str">
        <f>"Предлагаемый метод регулирования"&amp;IF(TEMPLATE_SPHERE="HEAT"," в сфере "&amp;TEMPLATE_SPHERE_RUS,"")</f>
        <v>Предлагаемый метод регулирования в сфере теплоснабжения</v>
      </c>
      <c r="G23" s="2535"/>
      <c r="H23" s="2527"/>
      <c r="I23" s="2527"/>
      <c r="J23" s="2527"/>
      <c r="K23" s="2535" t="s">
        <v>315</v>
      </c>
      <c r="L23" s="2527"/>
      <c r="M23" s="1835"/>
      <c r="N23" s="400"/>
      <c r="AH23" s="440">
        <v>19</v>
      </c>
    </row>
    <row customHeight="1" ht="60.75" hidden="1">
      <c r="A24" s="1846" t="s">
        <v>159</v>
      </c>
      <c r="B24" s="1846" t="s">
        <v>160</v>
      </c>
      <c r="D24" s="2532"/>
      <c r="E24" s="2270"/>
      <c r="F24" s="25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3" t="str">
        <f>INDEX(PT_DIFFERENTIATION_NTAR,MATCH(B24,PT_DIFFERENTIATION_NTAR_ID,0))</f>
        <v/>
      </c>
      <c r="H24" s="1928"/>
      <c r="I24" s="1805"/>
      <c r="J24" s="1839"/>
      <c r="K24" s="1931"/>
      <c r="L24" s="1834" t="s">
        <v>315</v>
      </c>
      <c r="M2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0"/>
      <c r="AH24" s="440">
        <v>0</v>
      </c>
    </row>
    <row s="5053" customFormat="1" customHeight="1" ht="18.75" hidden="1">
      <c r="A25" s="1846"/>
      <c r="B25" s="1846"/>
      <c r="C25" s="435" t="s">
        <v>1152</v>
      </c>
      <c r="D25" s="2532"/>
      <c r="E25" s="2270"/>
      <c r="F25" s="2536"/>
      <c r="G25" s="2493"/>
      <c r="H25" s="1566"/>
      <c r="I25" s="717" t="s">
        <v>1153</v>
      </c>
      <c r="J25" s="637"/>
      <c r="K25" s="1566"/>
      <c r="L25" s="280"/>
      <c r="M25" s="2236"/>
      <c r="N25" s="400"/>
      <c r="O25" s="1690"/>
      <c r="P25" s="1690"/>
      <c r="AH25" s="1697">
        <v>0</v>
      </c>
    </row>
    <row customHeight="1" ht="0.75" hidden="1">
      <c r="A26" s="1846"/>
      <c r="B26" s="1846"/>
      <c r="C26" s="435" t="s">
        <v>1158</v>
      </c>
      <c r="D26" s="2532"/>
      <c r="E26" s="2270"/>
      <c r="F26" s="2449"/>
      <c r="G26" s="466"/>
      <c r="H26" s="1566"/>
      <c r="I26" s="461"/>
      <c r="J26" s="415"/>
      <c r="K26" s="1566"/>
      <c r="L26" s="267"/>
      <c r="M26" s="2236"/>
      <c r="N26" s="400"/>
      <c r="AH26" s="440">
        <v>0</v>
      </c>
    </row>
    <row s="5053" customFormat="1" customHeight="1" ht="45" hidden="1">
      <c r="A27" s="1846" t="s">
        <v>168</v>
      </c>
      <c r="B27" s="1846" t="s">
        <v>169</v>
      </c>
      <c r="C27" s="435"/>
      <c r="D27" s="2528"/>
      <c r="E27" s="2529"/>
      <c r="F27" s="253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3" t="str">
        <f>INDEX(PT_DIFFERENTIATION_NTAR,MATCH(B27,PT_DIFFERENTIATION_NTAR_ID,0))</f>
        <v>Тариф на т/э (мощность), поставляемую АО "Уренгойтеплогенерация-1", приобретающему т/э с целью компенсации потерь т/э</v>
      </c>
      <c r="H27" s="1928"/>
      <c r="I27" s="1805"/>
      <c r="J27" s="1839"/>
      <c r="K27" s="1931"/>
      <c r="L27" s="1928" t="s">
        <v>315</v>
      </c>
      <c r="M27" s="2236"/>
      <c r="N27" s="400"/>
      <c r="O27" s="1690"/>
      <c r="P27" s="1690"/>
      <c r="AH27" s="1697">
        <v>0</v>
      </c>
    </row>
    <row s="5053" customFormat="1" customHeight="1" ht="18.75" hidden="1">
      <c r="A28" s="1846"/>
      <c r="B28" s="1846"/>
      <c r="C28" s="435" t="s">
        <v>1152</v>
      </c>
      <c r="D28" s="2528"/>
      <c r="E28" s="2529"/>
      <c r="F28" s="2530"/>
      <c r="G28" s="2493"/>
      <c r="H28" s="1566"/>
      <c r="I28" s="717" t="s">
        <v>1153</v>
      </c>
      <c r="J28" s="637"/>
      <c r="K28" s="1566"/>
      <c r="L28" s="280"/>
      <c r="M28" s="2236"/>
      <c r="N28" s="400"/>
      <c r="O28" s="1690"/>
      <c r="P28" s="1690"/>
      <c r="AH28" s="1697">
        <v>0</v>
      </c>
    </row>
    <row s="5053" customFormat="1" customHeight="1" ht="0.75" hidden="1">
      <c r="A29" s="1846"/>
      <c r="B29" s="1846"/>
      <c r="C29" s="435" t="s">
        <v>1158</v>
      </c>
      <c r="D29" s="2528"/>
      <c r="E29" s="2270"/>
      <c r="F29" s="2449"/>
      <c r="G29" s="466"/>
      <c r="H29" s="1566"/>
      <c r="I29" s="717"/>
      <c r="J29" s="637"/>
      <c r="K29" s="1566"/>
      <c r="L29" s="280"/>
      <c r="M29" s="2236"/>
      <c r="N29" s="400"/>
      <c r="O29" s="1690"/>
      <c r="P29" s="1690"/>
      <c r="AH29" s="1697">
        <v>0</v>
      </c>
    </row>
    <row s="5053" customFormat="1" customHeight="1" ht="45" hidden="1">
      <c r="A30" s="1846" t="s">
        <v>178</v>
      </c>
      <c r="B30" s="1846" t="s">
        <v>179</v>
      </c>
      <c r="C30" s="435"/>
      <c r="D30" s="2528"/>
      <c r="E30" s="2270"/>
      <c r="F30" s="244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3" t="str">
        <f>INDEX(PT_DIFFERENTIATION_NTAR,MATCH(B30,PT_DIFFERENTIATION_NTAR_ID,0))</f>
        <v/>
      </c>
      <c r="H30" s="1928"/>
      <c r="I30" s="1805"/>
      <c r="J30" s="1839"/>
      <c r="K30" s="1931"/>
      <c r="L30" s="1928" t="s">
        <v>315</v>
      </c>
      <c r="M30" s="2236"/>
      <c r="N30" s="400"/>
      <c r="O30" s="1690"/>
      <c r="P30" s="1690"/>
      <c r="AH30" s="1697">
        <v>0</v>
      </c>
    </row>
    <row s="5053" customFormat="1" customHeight="1" ht="18.75" hidden="1">
      <c r="A31" s="1846"/>
      <c r="B31" s="1846"/>
      <c r="C31" s="435" t="s">
        <v>1152</v>
      </c>
      <c r="D31" s="2528"/>
      <c r="E31" s="2270"/>
      <c r="F31" s="2449"/>
      <c r="G31" s="2493"/>
      <c r="H31" s="1566"/>
      <c r="I31" s="717" t="s">
        <v>1153</v>
      </c>
      <c r="J31" s="637"/>
      <c r="K31" s="1566"/>
      <c r="L31" s="280"/>
      <c r="M31" s="2236"/>
      <c r="N31" s="400"/>
      <c r="O31" s="1690"/>
      <c r="P31" s="1690"/>
      <c r="AH31" s="1697">
        <v>0</v>
      </c>
    </row>
    <row s="5053" customFormat="1" customHeight="1" ht="0.75" hidden="1">
      <c r="A32" s="1846"/>
      <c r="B32" s="1846"/>
      <c r="C32" s="435" t="s">
        <v>1158</v>
      </c>
      <c r="D32" s="2528"/>
      <c r="E32" s="2270"/>
      <c r="F32" s="2449"/>
      <c r="G32" s="466"/>
      <c r="H32" s="1566"/>
      <c r="I32" s="717"/>
      <c r="J32" s="637"/>
      <c r="K32" s="1566"/>
      <c r="L32" s="280"/>
      <c r="M32" s="2236"/>
      <c r="N32" s="400"/>
      <c r="O32" s="1690"/>
      <c r="P32" s="1690"/>
      <c r="AH32" s="1697">
        <v>0</v>
      </c>
    </row>
    <row s="5053" customFormat="1" customHeight="1" ht="45" hidden="1">
      <c r="A33" s="1846" t="s">
        <v>184</v>
      </c>
      <c r="B33" s="1846" t="s">
        <v>185</v>
      </c>
      <c r="C33" s="435"/>
      <c r="D33" s="2528"/>
      <c r="E33" s="2270"/>
      <c r="F33" s="244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3" t="str">
        <f>INDEX(PT_DIFFERENTIATION_NTAR,MATCH(B33,PT_DIFFERENTIATION_NTAR_ID,0))</f>
        <v/>
      </c>
      <c r="H33" s="1928"/>
      <c r="I33" s="1805"/>
      <c r="J33" s="1839"/>
      <c r="K33" s="1931"/>
      <c r="L33" s="1928" t="s">
        <v>315</v>
      </c>
      <c r="M33" s="2236"/>
      <c r="N33" s="400"/>
      <c r="O33" s="1690"/>
      <c r="P33" s="1690"/>
      <c r="AH33" s="1697">
        <v>0</v>
      </c>
    </row>
    <row s="5053" customFormat="1" customHeight="1" ht="18.75" hidden="1">
      <c r="A34" s="1846"/>
      <c r="B34" s="1846"/>
      <c r="C34" s="435" t="s">
        <v>1152</v>
      </c>
      <c r="D34" s="2528"/>
      <c r="E34" s="2270"/>
      <c r="F34" s="2449"/>
      <c r="G34" s="2493"/>
      <c r="H34" s="1566"/>
      <c r="I34" s="717" t="s">
        <v>1153</v>
      </c>
      <c r="J34" s="637"/>
      <c r="K34" s="1566"/>
      <c r="L34" s="280"/>
      <c r="M34" s="2236"/>
      <c r="N34" s="400"/>
      <c r="O34" s="1690"/>
      <c r="P34" s="1690"/>
      <c r="AH34" s="1697">
        <v>0</v>
      </c>
    </row>
    <row s="5053" customFormat="1" customHeight="1" ht="0.75" hidden="1">
      <c r="A35" s="1846"/>
      <c r="B35" s="1846"/>
      <c r="C35" s="435" t="s">
        <v>1158</v>
      </c>
      <c r="D35" s="2528"/>
      <c r="E35" s="2270"/>
      <c r="F35" s="2449"/>
      <c r="G35" s="466"/>
      <c r="H35" s="1566"/>
      <c r="I35" s="717"/>
      <c r="J35" s="637"/>
      <c r="K35" s="1566"/>
      <c r="L35" s="280"/>
      <c r="M35" s="2236"/>
      <c r="N35" s="400"/>
      <c r="O35" s="1690"/>
      <c r="P35" s="1690"/>
      <c r="AH35" s="1697">
        <v>0</v>
      </c>
    </row>
    <row s="5053" customFormat="1" customHeight="1" ht="18.75" hidden="1">
      <c r="A36" s="1846" t="s">
        <v>190</v>
      </c>
      <c r="B36" s="1846" t="s">
        <v>191</v>
      </c>
      <c r="C36" s="435"/>
      <c r="D36" s="2528"/>
      <c r="E36" s="2270"/>
      <c r="F36" s="2449" t="str">
        <f>INDEX(PT_DIFFERENTIATION_VTAR,MATCH(A36,PT_DIFFERENTIATION_VTAR_ID,0))</f>
        <v>Тарифы на услуги по передаче тепловой энергии</v>
      </c>
      <c r="G36" s="2493" t="str">
        <f>INDEX(PT_DIFFERENTIATION_NTAR,MATCH(B36,PT_DIFFERENTIATION_NTAR_ID,0))</f>
        <v/>
      </c>
      <c r="H36" s="1928"/>
      <c r="I36" s="1805"/>
      <c r="J36" s="1839"/>
      <c r="K36" s="1931"/>
      <c r="L36" s="1928" t="s">
        <v>315</v>
      </c>
      <c r="M36" s="2236"/>
      <c r="N36" s="400"/>
      <c r="O36" s="1690"/>
      <c r="P36" s="1690"/>
      <c r="AH36" s="1697">
        <v>0</v>
      </c>
    </row>
    <row s="5053" customFormat="1" customHeight="1" ht="18.75" hidden="1">
      <c r="A37" s="1846"/>
      <c r="B37" s="1846"/>
      <c r="C37" s="435" t="s">
        <v>1152</v>
      </c>
      <c r="D37" s="2528"/>
      <c r="E37" s="2270"/>
      <c r="F37" s="2449"/>
      <c r="G37" s="2493"/>
      <c r="H37" s="1566"/>
      <c r="I37" s="717" t="s">
        <v>1153</v>
      </c>
      <c r="J37" s="637"/>
      <c r="K37" s="1566"/>
      <c r="L37" s="280"/>
      <c r="M37" s="2236"/>
      <c r="N37" s="400"/>
      <c r="O37" s="1690"/>
      <c r="P37" s="1690"/>
      <c r="AH37" s="1697">
        <v>0</v>
      </c>
    </row>
    <row s="5053" customFormat="1" customHeight="1" ht="0.75" hidden="1">
      <c r="A38" s="1846"/>
      <c r="B38" s="1846"/>
      <c r="C38" s="435" t="s">
        <v>1158</v>
      </c>
      <c r="D38" s="2528"/>
      <c r="E38" s="2270"/>
      <c r="F38" s="2449"/>
      <c r="G38" s="466"/>
      <c r="H38" s="1566"/>
      <c r="I38" s="717"/>
      <c r="J38" s="637"/>
      <c r="K38" s="1566"/>
      <c r="L38" s="280"/>
      <c r="M38" s="2236"/>
      <c r="N38" s="400"/>
      <c r="O38" s="1690"/>
      <c r="P38" s="1690"/>
      <c r="AH38" s="1697">
        <v>0</v>
      </c>
    </row>
    <row s="5053" customFormat="1" customHeight="1" ht="18.75" hidden="1">
      <c r="A39" s="1846" t="s">
        <v>196</v>
      </c>
      <c r="B39" s="1846" t="s">
        <v>197</v>
      </c>
      <c r="C39" s="435"/>
      <c r="D39" s="2528"/>
      <c r="E39" s="2270"/>
      <c r="F39" s="2449" t="str">
        <f>INDEX(PT_DIFFERENTIATION_VTAR,MATCH(A39,PT_DIFFERENTIATION_VTAR_ID,0))</f>
        <v>Тарифы на услуги по передаче теплоносителя</v>
      </c>
      <c r="G39" s="2493" t="str">
        <f>INDEX(PT_DIFFERENTIATION_NTAR,MATCH(B39,PT_DIFFERENTIATION_NTAR_ID,0))</f>
        <v/>
      </c>
      <c r="H39" s="1928"/>
      <c r="I39" s="1805"/>
      <c r="J39" s="1839"/>
      <c r="K39" s="1931"/>
      <c r="L39" s="1928" t="s">
        <v>315</v>
      </c>
      <c r="M39" s="2236"/>
      <c r="N39" s="400"/>
      <c r="O39" s="1690"/>
      <c r="P39" s="1690"/>
      <c r="AH39" s="1697">
        <v>0</v>
      </c>
    </row>
    <row s="5053" customFormat="1" customHeight="1" ht="18.75" hidden="1">
      <c r="A40" s="1846"/>
      <c r="B40" s="1846"/>
      <c r="C40" s="435" t="s">
        <v>1152</v>
      </c>
      <c r="D40" s="2528"/>
      <c r="E40" s="2270"/>
      <c r="F40" s="2449"/>
      <c r="G40" s="2493"/>
      <c r="H40" s="1566"/>
      <c r="I40" s="717" t="s">
        <v>1153</v>
      </c>
      <c r="J40" s="637"/>
      <c r="K40" s="1566"/>
      <c r="L40" s="280"/>
      <c r="M40" s="2236"/>
      <c r="N40" s="400"/>
      <c r="O40" s="1690"/>
      <c r="P40" s="1690"/>
      <c r="AH40" s="1697">
        <v>0</v>
      </c>
    </row>
    <row s="5053" customFormat="1" customHeight="1" ht="0.75" hidden="1">
      <c r="A41" s="1846"/>
      <c r="B41" s="1846"/>
      <c r="C41" s="435" t="s">
        <v>1158</v>
      </c>
      <c r="D41" s="2528"/>
      <c r="E41" s="2270"/>
      <c r="F41" s="2449"/>
      <c r="G41" s="466"/>
      <c r="H41" s="1566"/>
      <c r="I41" s="717"/>
      <c r="J41" s="637"/>
      <c r="K41" s="1566"/>
      <c r="L41" s="280"/>
      <c r="M41" s="2236"/>
      <c r="N41" s="400"/>
      <c r="O41" s="1690"/>
      <c r="P41" s="1690"/>
      <c r="AH41" s="1697">
        <v>0</v>
      </c>
    </row>
    <row s="5053" customFormat="1" customHeight="1" ht="18.75" hidden="1">
      <c r="A42" s="1846" t="s">
        <v>202</v>
      </c>
      <c r="B42" s="1846" t="s">
        <v>203</v>
      </c>
      <c r="C42" s="435"/>
      <c r="D42" s="2528"/>
      <c r="E42" s="2270"/>
      <c r="F42" s="244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3" t="str">
        <f>INDEX(PT_DIFFERENTIATION_NTAR,MATCH(B42,PT_DIFFERENTIATION_NTAR_ID,0))</f>
        <v/>
      </c>
      <c r="H42" s="1928"/>
      <c r="I42" s="1805"/>
      <c r="J42" s="1839"/>
      <c r="K42" s="1931"/>
      <c r="L42" s="1928" t="s">
        <v>315</v>
      </c>
      <c r="M42" s="2236"/>
      <c r="N42" s="400"/>
      <c r="O42" s="1690"/>
      <c r="P42" s="1690"/>
      <c r="AH42" s="1697">
        <v>0</v>
      </c>
    </row>
    <row s="5053" customFormat="1" customHeight="1" ht="18.75" hidden="1">
      <c r="A43" s="1846"/>
      <c r="B43" s="1846"/>
      <c r="C43" s="435" t="s">
        <v>1152</v>
      </c>
      <c r="D43" s="2528"/>
      <c r="E43" s="2270"/>
      <c r="F43" s="2449"/>
      <c r="G43" s="2493"/>
      <c r="H43" s="1566"/>
      <c r="I43" s="717" t="s">
        <v>1153</v>
      </c>
      <c r="J43" s="637"/>
      <c r="K43" s="1566"/>
      <c r="L43" s="280"/>
      <c r="M43" s="2236"/>
      <c r="N43" s="400"/>
      <c r="O43" s="1690"/>
      <c r="P43" s="1690"/>
      <c r="AH43" s="1697">
        <v>0</v>
      </c>
    </row>
    <row s="5053" customFormat="1" customHeight="1" ht="0.75" hidden="1">
      <c r="A44" s="1846"/>
      <c r="B44" s="1846"/>
      <c r="C44" s="435" t="s">
        <v>1158</v>
      </c>
      <c r="D44" s="2528"/>
      <c r="E44" s="2270"/>
      <c r="F44" s="2449"/>
      <c r="G44" s="466"/>
      <c r="H44" s="1566"/>
      <c r="I44" s="717"/>
      <c r="J44" s="637"/>
      <c r="K44" s="1566"/>
      <c r="L44" s="280"/>
      <c r="M44" s="2236"/>
      <c r="N44" s="400"/>
      <c r="O44" s="1690"/>
      <c r="P44" s="1690"/>
      <c r="AH44" s="1697">
        <v>0</v>
      </c>
    </row>
    <row s="5053" customFormat="1" customHeight="1" ht="18.75" hidden="1">
      <c r="A45" s="1846" t="s">
        <v>208</v>
      </c>
      <c r="B45" s="1846" t="s">
        <v>209</v>
      </c>
      <c r="C45" s="435"/>
      <c r="D45" s="2528"/>
      <c r="E45" s="2270"/>
      <c r="F45" s="2449" t="str">
        <f>INDEX(PT_DIFFERENTIATION_VTAR,MATCH(A45,PT_DIFFERENTIATION_VTAR_ID,0))</f>
        <v>Плата за подключение (технологическое присоединение) к системе теплоснабжения</v>
      </c>
      <c r="G45" s="2493" t="str">
        <f>INDEX(PT_DIFFERENTIATION_NTAR,MATCH(B45,PT_DIFFERENTIATION_NTAR_ID,0))</f>
        <v/>
      </c>
      <c r="H45" s="1928"/>
      <c r="I45" s="1805"/>
      <c r="J45" s="1839"/>
      <c r="K45" s="1931"/>
      <c r="L45" s="1928" t="s">
        <v>315</v>
      </c>
      <c r="M45" s="2236"/>
      <c r="N45" s="400"/>
      <c r="O45" s="1690"/>
      <c r="P45" s="1690"/>
      <c r="AH45" s="1697">
        <v>0</v>
      </c>
    </row>
    <row s="5053" customFormat="1" customHeight="1" ht="18.75" hidden="1">
      <c r="A46" s="1846"/>
      <c r="B46" s="1846"/>
      <c r="C46" s="435" t="s">
        <v>1152</v>
      </c>
      <c r="D46" s="2528"/>
      <c r="E46" s="2270"/>
      <c r="F46" s="2449"/>
      <c r="G46" s="2493"/>
      <c r="H46" s="1566"/>
      <c r="I46" s="717" t="s">
        <v>1153</v>
      </c>
      <c r="J46" s="637"/>
      <c r="K46" s="1566"/>
      <c r="L46" s="280"/>
      <c r="M46" s="2236"/>
      <c r="N46" s="400"/>
      <c r="O46" s="1690"/>
      <c r="P46" s="1690"/>
      <c r="AH46" s="1697">
        <v>0</v>
      </c>
    </row>
    <row s="5053" customFormat="1" customHeight="1" ht="0.75" hidden="1">
      <c r="A47" s="1846"/>
      <c r="B47" s="1846"/>
      <c r="C47" s="435" t="s">
        <v>1158</v>
      </c>
      <c r="D47" s="2528"/>
      <c r="E47" s="2270"/>
      <c r="F47" s="2449"/>
      <c r="G47" s="466"/>
      <c r="H47" s="1566"/>
      <c r="I47" s="717"/>
      <c r="J47" s="637"/>
      <c r="K47" s="1566"/>
      <c r="L47" s="280"/>
      <c r="M47" s="2236"/>
      <c r="N47" s="400"/>
      <c r="O47" s="1690"/>
      <c r="P47" s="1690"/>
      <c r="AH47" s="1697">
        <v>0</v>
      </c>
    </row>
    <row s="5053" customFormat="1" customHeight="1" ht="18.75" hidden="1">
      <c r="A48" s="1846" t="s">
        <v>214</v>
      </c>
      <c r="B48" s="1846" t="s">
        <v>215</v>
      </c>
      <c r="C48" s="435"/>
      <c r="D48" s="2528"/>
      <c r="E48" s="2270"/>
      <c r="F48" s="2449" t="str">
        <f>INDEX(PT_DIFFERENTIATION_VTAR,MATCH(A48,PT_DIFFERENTIATION_VTAR_ID,0))</f>
        <v>Плата за подключение (технологическое присоединение) к системе теплоснабжения (индивидуальная)</v>
      </c>
      <c r="G48" s="2493" t="str">
        <f>INDEX(PT_DIFFERENTIATION_NTAR,MATCH(B48,PT_DIFFERENTIATION_NTAR_ID,0))</f>
        <v/>
      </c>
      <c r="H48" s="2055"/>
      <c r="I48" s="1805"/>
      <c r="J48" s="1839"/>
      <c r="K48" s="1931"/>
      <c r="L48" s="2055" t="s">
        <v>315</v>
      </c>
      <c r="M48" s="2236"/>
      <c r="N48" s="400"/>
      <c r="O48" s="1690"/>
      <c r="P48" s="1690"/>
      <c r="AH48" s="1697">
        <v>0</v>
      </c>
    </row>
    <row s="5053" customFormat="1" customHeight="1" ht="18.75" hidden="1">
      <c r="A49" s="1846"/>
      <c r="B49" s="1846"/>
      <c r="C49" s="435" t="s">
        <v>1152</v>
      </c>
      <c r="D49" s="2528"/>
      <c r="E49" s="2270"/>
      <c r="F49" s="2449"/>
      <c r="G49" s="2493"/>
      <c r="H49" s="1566"/>
      <c r="I49" s="717" t="s">
        <v>1153</v>
      </c>
      <c r="J49" s="637"/>
      <c r="K49" s="1566"/>
      <c r="L49" s="280"/>
      <c r="M49" s="2236"/>
      <c r="N49" s="400"/>
      <c r="O49" s="1690"/>
      <c r="P49" s="1690"/>
      <c r="AH49" s="1697">
        <v>0</v>
      </c>
    </row>
    <row s="5053" customFormat="1" customHeight="1" ht="0.75" hidden="1">
      <c r="A50" s="1846"/>
      <c r="B50" s="1846"/>
      <c r="C50" s="435" t="s">
        <v>1158</v>
      </c>
      <c r="D50" s="2528"/>
      <c r="E50" s="2270"/>
      <c r="F50" s="2449"/>
      <c r="G50" s="466"/>
      <c r="H50" s="1566"/>
      <c r="I50" s="717"/>
      <c r="J50" s="637"/>
      <c r="K50" s="1566"/>
      <c r="L50" s="280"/>
      <c r="M50" s="2236"/>
      <c r="N50" s="400"/>
      <c r="O50" s="1690"/>
      <c r="P50" s="1690"/>
      <c r="AH50" s="1697">
        <v>0</v>
      </c>
    </row>
    <row s="5053" customFormat="1" customHeight="1" ht="18.75" hidden="1">
      <c r="A51" s="1846" t="s">
        <v>234</v>
      </c>
      <c r="B51" s="1846" t="s">
        <v>235</v>
      </c>
      <c r="C51" s="435"/>
      <c r="D51" s="2528"/>
      <c r="E51" s="2270"/>
      <c r="F51" s="2449" t="str">
        <f>INDEX(PT_DIFFERENTIATION_VTAR,MATCH(A51,PT_DIFFERENTIATION_VTAR_ID,0))</f>
        <v>Тариф на питьевую воду (питьевое водоснабжение)</v>
      </c>
      <c r="G51" s="2493" t="str">
        <f>INDEX(PT_DIFFERENTIATION_NTAR,MATCH(B51,PT_DIFFERENTIATION_NTAR_ID,0))</f>
        <v/>
      </c>
      <c r="H51" s="1928"/>
      <c r="I51" s="1805"/>
      <c r="J51" s="1839"/>
      <c r="K51" s="1931"/>
      <c r="L51" s="1928" t="s">
        <v>315</v>
      </c>
      <c r="M51" s="2236"/>
      <c r="N51" s="400"/>
      <c r="O51" s="1690"/>
      <c r="P51" s="1690"/>
      <c r="AH51" s="1697">
        <v>0</v>
      </c>
    </row>
    <row s="5053" customFormat="1" customHeight="1" ht="18.75" hidden="1">
      <c r="A52" s="1846"/>
      <c r="B52" s="1846"/>
      <c r="C52" s="435" t="s">
        <v>1152</v>
      </c>
      <c r="D52" s="2528"/>
      <c r="E52" s="2270"/>
      <c r="F52" s="2449"/>
      <c r="G52" s="2493"/>
      <c r="H52" s="1566"/>
      <c r="I52" s="717" t="s">
        <v>1153</v>
      </c>
      <c r="J52" s="637"/>
      <c r="K52" s="1566"/>
      <c r="L52" s="280"/>
      <c r="M52" s="2236"/>
      <c r="N52" s="400"/>
      <c r="O52" s="1690"/>
      <c r="P52" s="1690"/>
      <c r="AH52" s="1697">
        <v>0</v>
      </c>
    </row>
    <row s="5053" customFormat="1" customHeight="1" ht="0.75" hidden="1">
      <c r="A53" s="1846"/>
      <c r="B53" s="1846"/>
      <c r="C53" s="435" t="s">
        <v>1158</v>
      </c>
      <c r="D53" s="2528"/>
      <c r="E53" s="2270"/>
      <c r="F53" s="2449"/>
      <c r="G53" s="466"/>
      <c r="H53" s="1566"/>
      <c r="I53" s="717"/>
      <c r="J53" s="637"/>
      <c r="K53" s="1566"/>
      <c r="L53" s="280"/>
      <c r="M53" s="2236"/>
      <c r="N53" s="400"/>
      <c r="O53" s="1690"/>
      <c r="P53" s="1690"/>
      <c r="AH53" s="1697">
        <v>0</v>
      </c>
    </row>
    <row s="5053" customFormat="1" customHeight="1" ht="18.75" hidden="1">
      <c r="A54" s="1846" t="s">
        <v>239</v>
      </c>
      <c r="B54" s="1846" t="s">
        <v>240</v>
      </c>
      <c r="C54" s="435"/>
      <c r="D54" s="2528"/>
      <c r="E54" s="2270"/>
      <c r="F54" s="2449" t="str">
        <f>INDEX(PT_DIFFERENTIATION_VTAR,MATCH(A54,PT_DIFFERENTIATION_VTAR_ID,0))</f>
        <v>Тариф на техническую воду</v>
      </c>
      <c r="G54" s="2493" t="str">
        <f>INDEX(PT_DIFFERENTIATION_NTAR,MATCH(B54,PT_DIFFERENTIATION_NTAR_ID,0))</f>
        <v/>
      </c>
      <c r="H54" s="1928"/>
      <c r="I54" s="1805"/>
      <c r="J54" s="1839"/>
      <c r="K54" s="1931"/>
      <c r="L54" s="1928" t="s">
        <v>315</v>
      </c>
      <c r="M54" s="2236"/>
      <c r="N54" s="400"/>
      <c r="O54" s="1690"/>
      <c r="P54" s="1690"/>
      <c r="AH54" s="1697">
        <v>0</v>
      </c>
    </row>
    <row s="5053" customFormat="1" customHeight="1" ht="18.75" hidden="1">
      <c r="A55" s="1846"/>
      <c r="B55" s="1846"/>
      <c r="C55" s="435" t="s">
        <v>1152</v>
      </c>
      <c r="D55" s="2528"/>
      <c r="E55" s="2270"/>
      <c r="F55" s="2449"/>
      <c r="G55" s="2493"/>
      <c r="H55" s="1566"/>
      <c r="I55" s="717" t="s">
        <v>1153</v>
      </c>
      <c r="J55" s="637"/>
      <c r="K55" s="1566"/>
      <c r="L55" s="280"/>
      <c r="M55" s="2236"/>
      <c r="N55" s="400"/>
      <c r="O55" s="1690"/>
      <c r="P55" s="1690"/>
      <c r="AH55" s="1697">
        <v>0</v>
      </c>
    </row>
    <row s="5053" customFormat="1" customHeight="1" ht="0.75" hidden="1">
      <c r="A56" s="1846"/>
      <c r="B56" s="1846"/>
      <c r="C56" s="435" t="s">
        <v>1158</v>
      </c>
      <c r="D56" s="2528"/>
      <c r="E56" s="2270"/>
      <c r="F56" s="2449"/>
      <c r="G56" s="466"/>
      <c r="H56" s="1566"/>
      <c r="I56" s="717"/>
      <c r="J56" s="637"/>
      <c r="K56" s="1566"/>
      <c r="L56" s="280"/>
      <c r="M56" s="2236"/>
      <c r="N56" s="400"/>
      <c r="O56" s="1690"/>
      <c r="P56" s="1690"/>
      <c r="AH56" s="1697">
        <v>0</v>
      </c>
    </row>
    <row s="5053" customFormat="1" customHeight="1" ht="18.75" hidden="1">
      <c r="A57" s="1846" t="s">
        <v>244</v>
      </c>
      <c r="B57" s="1846" t="s">
        <v>245</v>
      </c>
      <c r="C57" s="435"/>
      <c r="D57" s="2528"/>
      <c r="E57" s="2270"/>
      <c r="F57" s="2449" t="str">
        <f>INDEX(PT_DIFFERENTIATION_VTAR,MATCH(A57,PT_DIFFERENTIATION_VTAR_ID,0))</f>
        <v>Тариф на транспортировку воды</v>
      </c>
      <c r="G57" s="2493" t="str">
        <f>INDEX(PT_DIFFERENTIATION_NTAR,MATCH(B57,PT_DIFFERENTIATION_NTAR_ID,0))</f>
        <v/>
      </c>
      <c r="H57" s="1928"/>
      <c r="I57" s="1805"/>
      <c r="J57" s="1839"/>
      <c r="K57" s="1931"/>
      <c r="L57" s="1928" t="s">
        <v>315</v>
      </c>
      <c r="M57" s="2236"/>
      <c r="N57" s="400"/>
      <c r="O57" s="1690"/>
      <c r="P57" s="1690"/>
      <c r="AH57" s="1697">
        <v>0</v>
      </c>
    </row>
    <row s="5053" customFormat="1" customHeight="1" ht="18.75" hidden="1">
      <c r="A58" s="1846"/>
      <c r="B58" s="1846"/>
      <c r="C58" s="435" t="s">
        <v>1152</v>
      </c>
      <c r="D58" s="2528"/>
      <c r="E58" s="2270"/>
      <c r="F58" s="2449"/>
      <c r="G58" s="2493"/>
      <c r="H58" s="1566"/>
      <c r="I58" s="717" t="s">
        <v>1153</v>
      </c>
      <c r="J58" s="637"/>
      <c r="K58" s="1566"/>
      <c r="L58" s="280"/>
      <c r="M58" s="2236"/>
      <c r="N58" s="400"/>
      <c r="O58" s="1690"/>
      <c r="P58" s="1690"/>
      <c r="AH58" s="1697">
        <v>0</v>
      </c>
    </row>
    <row s="5053" customFormat="1" customHeight="1" ht="0.75" hidden="1">
      <c r="A59" s="1846"/>
      <c r="B59" s="1846"/>
      <c r="C59" s="435" t="s">
        <v>1158</v>
      </c>
      <c r="D59" s="2528"/>
      <c r="E59" s="2270"/>
      <c r="F59" s="2449"/>
      <c r="G59" s="466"/>
      <c r="H59" s="1566"/>
      <c r="I59" s="717"/>
      <c r="J59" s="637"/>
      <c r="K59" s="1566"/>
      <c r="L59" s="280"/>
      <c r="M59" s="2236"/>
      <c r="N59" s="400"/>
      <c r="O59" s="1690"/>
      <c r="P59" s="1690"/>
      <c r="AH59" s="1697">
        <v>0</v>
      </c>
    </row>
    <row s="5053" customFormat="1" customHeight="1" ht="18.75" hidden="1">
      <c r="A60" s="1846" t="s">
        <v>249</v>
      </c>
      <c r="B60" s="1846" t="s">
        <v>250</v>
      </c>
      <c r="C60" s="435"/>
      <c r="D60" s="2528"/>
      <c r="E60" s="2270"/>
      <c r="F60" s="2449" t="str">
        <f>INDEX(PT_DIFFERENTIATION_VTAR,MATCH(A60,PT_DIFFERENTIATION_VTAR_ID,0))</f>
        <v>Тариф на подвоз воды</v>
      </c>
      <c r="G60" s="2493" t="str">
        <f>INDEX(PT_DIFFERENTIATION_NTAR,MATCH(B60,PT_DIFFERENTIATION_NTAR_ID,0))</f>
        <v/>
      </c>
      <c r="H60" s="1928"/>
      <c r="I60" s="1805"/>
      <c r="J60" s="1839"/>
      <c r="K60" s="1931"/>
      <c r="L60" s="1928" t="s">
        <v>315</v>
      </c>
      <c r="M60" s="2236"/>
      <c r="N60" s="400"/>
      <c r="O60" s="1690"/>
      <c r="P60" s="1690"/>
      <c r="AH60" s="1697">
        <v>0</v>
      </c>
    </row>
    <row s="5053" customFormat="1" customHeight="1" ht="18.75" hidden="1">
      <c r="A61" s="1846"/>
      <c r="B61" s="1846"/>
      <c r="C61" s="435" t="s">
        <v>1152</v>
      </c>
      <c r="D61" s="2528"/>
      <c r="E61" s="2270"/>
      <c r="F61" s="2449"/>
      <c r="G61" s="2493"/>
      <c r="H61" s="1566"/>
      <c r="I61" s="717" t="s">
        <v>1153</v>
      </c>
      <c r="J61" s="637"/>
      <c r="K61" s="1566"/>
      <c r="L61" s="280"/>
      <c r="M61" s="2236"/>
      <c r="N61" s="400"/>
      <c r="O61" s="1690"/>
      <c r="P61" s="1690"/>
      <c r="AH61" s="1697">
        <v>0</v>
      </c>
    </row>
    <row s="5053" customFormat="1" customHeight="1" ht="0.75" hidden="1">
      <c r="A62" s="1846"/>
      <c r="B62" s="1846"/>
      <c r="C62" s="435" t="s">
        <v>1158</v>
      </c>
      <c r="D62" s="2528"/>
      <c r="E62" s="2270"/>
      <c r="F62" s="2449"/>
      <c r="G62" s="466"/>
      <c r="H62" s="1566"/>
      <c r="I62" s="717"/>
      <c r="J62" s="637"/>
      <c r="K62" s="1566"/>
      <c r="L62" s="280"/>
      <c r="M62" s="2236"/>
      <c r="N62" s="400"/>
      <c r="O62" s="1690"/>
      <c r="P62" s="1690"/>
      <c r="AH62" s="1697">
        <v>0</v>
      </c>
    </row>
    <row s="5053" customFormat="1" customHeight="1" ht="18.75" hidden="1">
      <c r="A63" s="1846" t="s">
        <v>254</v>
      </c>
      <c r="B63" s="1846" t="s">
        <v>255</v>
      </c>
      <c r="C63" s="435"/>
      <c r="D63" s="2528"/>
      <c r="E63" s="2270"/>
      <c r="F63" s="244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3" t="str">
        <f>INDEX(PT_DIFFERENTIATION_NTAR,MATCH(B63,PT_DIFFERENTIATION_NTAR_ID,0))</f>
        <v/>
      </c>
      <c r="H63" s="1928"/>
      <c r="I63" s="1805"/>
      <c r="J63" s="1839"/>
      <c r="K63" s="1931"/>
      <c r="L63" s="1928" t="s">
        <v>315</v>
      </c>
      <c r="M63" s="2236"/>
      <c r="N63" s="400"/>
      <c r="O63" s="1690"/>
      <c r="P63" s="1690"/>
      <c r="AH63" s="1697">
        <v>0</v>
      </c>
    </row>
    <row s="5053" customFormat="1" customHeight="1" ht="18.75" hidden="1">
      <c r="A64" s="1846"/>
      <c r="B64" s="1846"/>
      <c r="C64" s="435" t="s">
        <v>1152</v>
      </c>
      <c r="D64" s="2528"/>
      <c r="E64" s="2270"/>
      <c r="F64" s="2449"/>
      <c r="G64" s="2493"/>
      <c r="H64" s="1566"/>
      <c r="I64" s="717" t="s">
        <v>1153</v>
      </c>
      <c r="J64" s="637"/>
      <c r="K64" s="1566"/>
      <c r="L64" s="280"/>
      <c r="M64" s="2236"/>
      <c r="N64" s="400"/>
      <c r="O64" s="1690"/>
      <c r="P64" s="1690"/>
      <c r="AH64" s="1697">
        <v>0</v>
      </c>
    </row>
    <row s="5053" customFormat="1" customHeight="1" ht="0.75" hidden="1">
      <c r="A65" s="1846"/>
      <c r="B65" s="1846"/>
      <c r="C65" s="435" t="s">
        <v>1158</v>
      </c>
      <c r="D65" s="2528"/>
      <c r="E65" s="2270"/>
      <c r="F65" s="2449"/>
      <c r="G65" s="466"/>
      <c r="H65" s="1566"/>
      <c r="I65" s="717"/>
      <c r="J65" s="637"/>
      <c r="K65" s="1566"/>
      <c r="L65" s="280"/>
      <c r="M65" s="2236"/>
      <c r="N65" s="400"/>
      <c r="O65" s="1690"/>
      <c r="P65" s="1690"/>
      <c r="AH65" s="1697">
        <v>0</v>
      </c>
    </row>
    <row s="5053" customFormat="1" customHeight="1" ht="18.75" hidden="1">
      <c r="A66" s="1846" t="s">
        <v>259</v>
      </c>
      <c r="B66" s="1846" t="s">
        <v>260</v>
      </c>
      <c r="C66" s="435"/>
      <c r="D66" s="2528"/>
      <c r="E66" s="2270"/>
      <c r="F66" s="2449" t="str">
        <f>INDEX(PT_DIFFERENTIATION_VTAR,MATCH(A66,PT_DIFFERENTIATION_VTAR_ID,0))</f>
        <v>Тариф на горячую воду (горячее водоснабжение)</v>
      </c>
      <c r="G66" s="2493" t="str">
        <f>INDEX(PT_DIFFERENTIATION_NTAR,MATCH(B66,PT_DIFFERENTIATION_NTAR_ID,0))</f>
        <v/>
      </c>
      <c r="H66" s="1928"/>
      <c r="I66" s="1805"/>
      <c r="J66" s="1839"/>
      <c r="K66" s="1931"/>
      <c r="L66" s="1928" t="s">
        <v>315</v>
      </c>
      <c r="M66" s="2236"/>
      <c r="N66" s="400"/>
      <c r="O66" s="1690"/>
      <c r="P66" s="1690"/>
      <c r="AH66" s="1697">
        <v>0</v>
      </c>
    </row>
    <row s="5053" customFormat="1" customHeight="1" ht="18.75" hidden="1">
      <c r="A67" s="1846"/>
      <c r="B67" s="1846"/>
      <c r="C67" s="435" t="s">
        <v>1152</v>
      </c>
      <c r="D67" s="2528"/>
      <c r="E67" s="2270"/>
      <c r="F67" s="2449"/>
      <c r="G67" s="2493"/>
      <c r="H67" s="1566"/>
      <c r="I67" s="717" t="s">
        <v>1153</v>
      </c>
      <c r="J67" s="637"/>
      <c r="K67" s="1566"/>
      <c r="L67" s="280"/>
      <c r="M67" s="2236"/>
      <c r="N67" s="400"/>
      <c r="O67" s="1690"/>
      <c r="P67" s="1690"/>
      <c r="AH67" s="1697">
        <v>0</v>
      </c>
    </row>
    <row s="5053" customFormat="1" customHeight="1" ht="0.75" hidden="1">
      <c r="A68" s="1846"/>
      <c r="B68" s="1846"/>
      <c r="C68" s="435" t="s">
        <v>1158</v>
      </c>
      <c r="D68" s="2528"/>
      <c r="E68" s="2270"/>
      <c r="F68" s="2449"/>
      <c r="G68" s="466"/>
      <c r="H68" s="1566"/>
      <c r="I68" s="717"/>
      <c r="J68" s="637"/>
      <c r="K68" s="1566"/>
      <c r="L68" s="280"/>
      <c r="M68" s="2236"/>
      <c r="N68" s="400"/>
      <c r="O68" s="1690"/>
      <c r="P68" s="1690"/>
      <c r="AH68" s="1697">
        <v>0</v>
      </c>
    </row>
    <row s="5053" customFormat="1" customHeight="1" ht="18.75" hidden="1">
      <c r="A69" s="1846" t="s">
        <v>264</v>
      </c>
      <c r="B69" s="1846" t="s">
        <v>265</v>
      </c>
      <c r="C69" s="435"/>
      <c r="D69" s="2528"/>
      <c r="E69" s="2270"/>
      <c r="F69" s="2449" t="str">
        <f>INDEX(PT_DIFFERENTIATION_VTAR,MATCH(A69,PT_DIFFERENTIATION_VTAR_ID,0))</f>
        <v>Тариф на транспортировку горячей воды</v>
      </c>
      <c r="G69" s="2493" t="str">
        <f>INDEX(PT_DIFFERENTIATION_NTAR,MATCH(B69,PT_DIFFERENTIATION_NTAR_ID,0))</f>
        <v/>
      </c>
      <c r="H69" s="1928"/>
      <c r="I69" s="1805"/>
      <c r="J69" s="1839"/>
      <c r="K69" s="1931"/>
      <c r="L69" s="1928" t="s">
        <v>315</v>
      </c>
      <c r="M69" s="2236"/>
      <c r="N69" s="400"/>
      <c r="O69" s="1690"/>
      <c r="P69" s="1690"/>
      <c r="AH69" s="1697">
        <v>0</v>
      </c>
    </row>
    <row s="5053" customFormat="1" customHeight="1" ht="18.75" hidden="1">
      <c r="A70" s="1846"/>
      <c r="B70" s="1846"/>
      <c r="C70" s="435" t="s">
        <v>1152</v>
      </c>
      <c r="D70" s="2528"/>
      <c r="E70" s="2270"/>
      <c r="F70" s="2449"/>
      <c r="G70" s="2493"/>
      <c r="H70" s="1566"/>
      <c r="I70" s="717" t="s">
        <v>1153</v>
      </c>
      <c r="J70" s="637"/>
      <c r="K70" s="1566"/>
      <c r="L70" s="280"/>
      <c r="M70" s="2236"/>
      <c r="N70" s="400"/>
      <c r="O70" s="1690"/>
      <c r="P70" s="1690"/>
      <c r="AH70" s="1697">
        <v>0</v>
      </c>
    </row>
    <row s="5053" customFormat="1" customHeight="1" ht="0.75" hidden="1">
      <c r="A71" s="1846"/>
      <c r="B71" s="1846"/>
      <c r="C71" s="435" t="s">
        <v>1158</v>
      </c>
      <c r="D71" s="2528"/>
      <c r="E71" s="2270"/>
      <c r="F71" s="2449"/>
      <c r="G71" s="466"/>
      <c r="H71" s="1566"/>
      <c r="I71" s="717"/>
      <c r="J71" s="637"/>
      <c r="K71" s="1566"/>
      <c r="L71" s="280"/>
      <c r="M71" s="2236"/>
      <c r="N71" s="400"/>
      <c r="O71" s="1690"/>
      <c r="P71" s="1690"/>
      <c r="AH71" s="1697">
        <v>0</v>
      </c>
    </row>
    <row s="5053" customFormat="1" customHeight="1" ht="18.75" hidden="1">
      <c r="A72" s="1846" t="s">
        <v>269</v>
      </c>
      <c r="B72" s="1846" t="s">
        <v>270</v>
      </c>
      <c r="C72" s="435"/>
      <c r="D72" s="2528"/>
      <c r="E72" s="2270"/>
      <c r="F72" s="2449" t="str">
        <f>INDEX(PT_DIFFERENTIATION_VTAR,MATCH(A72,PT_DIFFERENTIATION_VTAR_ID,0))</f>
        <v>Тариф на подключение (технологическое присоединение) к централизованной системе горячего водоснабжения</v>
      </c>
      <c r="G72" s="2493" t="str">
        <f>INDEX(PT_DIFFERENTIATION_NTAR,MATCH(B72,PT_DIFFERENTIATION_NTAR_ID,0))</f>
        <v/>
      </c>
      <c r="H72" s="1928"/>
      <c r="I72" s="1805"/>
      <c r="J72" s="1839"/>
      <c r="K72" s="1931"/>
      <c r="L72" s="1928" t="s">
        <v>315</v>
      </c>
      <c r="M72" s="2236"/>
      <c r="N72" s="400"/>
      <c r="O72" s="1690"/>
      <c r="P72" s="1690"/>
      <c r="AH72" s="1697">
        <v>0</v>
      </c>
    </row>
    <row s="5053" customFormat="1" customHeight="1" ht="18.75" hidden="1">
      <c r="A73" s="1846"/>
      <c r="B73" s="1846"/>
      <c r="C73" s="435" t="s">
        <v>1152</v>
      </c>
      <c r="D73" s="2528"/>
      <c r="E73" s="2270"/>
      <c r="F73" s="2449"/>
      <c r="G73" s="2493"/>
      <c r="H73" s="1566"/>
      <c r="I73" s="717" t="s">
        <v>1153</v>
      </c>
      <c r="J73" s="637"/>
      <c r="K73" s="1566"/>
      <c r="L73" s="280"/>
      <c r="M73" s="2236"/>
      <c r="N73" s="400"/>
      <c r="O73" s="1690"/>
      <c r="P73" s="1690"/>
      <c r="AH73" s="1697">
        <v>0</v>
      </c>
    </row>
    <row s="5053" customFormat="1" customHeight="1" ht="0.75" hidden="1">
      <c r="A74" s="1846"/>
      <c r="B74" s="1846"/>
      <c r="C74" s="435" t="s">
        <v>1158</v>
      </c>
      <c r="D74" s="2528"/>
      <c r="E74" s="2270"/>
      <c r="F74" s="2449"/>
      <c r="G74" s="466"/>
      <c r="H74" s="1566"/>
      <c r="I74" s="717"/>
      <c r="J74" s="637"/>
      <c r="K74" s="1566"/>
      <c r="L74" s="280"/>
      <c r="M74" s="2236"/>
      <c r="N74" s="400"/>
      <c r="O74" s="1690"/>
      <c r="P74" s="1690"/>
      <c r="AH74" s="1697">
        <v>0</v>
      </c>
    </row>
    <row s="5053" customFormat="1" customHeight="1" ht="18.75" hidden="1">
      <c r="A75" s="1846" t="s">
        <v>274</v>
      </c>
      <c r="B75" s="1846" t="s">
        <v>275</v>
      </c>
      <c r="C75" s="435"/>
      <c r="D75" s="2528"/>
      <c r="E75" s="2270"/>
      <c r="F75" s="2449" t="str">
        <f>INDEX(PT_DIFFERENTIATION_VTAR,MATCH(A75,PT_DIFFERENTIATION_VTAR_ID,0))</f>
        <v>Тариф на водоотведение</v>
      </c>
      <c r="G75" s="2493" t="str">
        <f>INDEX(PT_DIFFERENTIATION_NTAR,MATCH(B75,PT_DIFFERENTIATION_NTAR_ID,0))</f>
        <v/>
      </c>
      <c r="H75" s="1928"/>
      <c r="I75" s="1805"/>
      <c r="J75" s="1839"/>
      <c r="K75" s="1931"/>
      <c r="L75" s="1928" t="s">
        <v>315</v>
      </c>
      <c r="M75" s="2236"/>
      <c r="N75" s="400"/>
      <c r="O75" s="1690"/>
      <c r="P75" s="1690"/>
      <c r="AH75" s="1697">
        <v>0</v>
      </c>
    </row>
    <row s="5053" customFormat="1" customHeight="1" ht="18.75" hidden="1">
      <c r="A76" s="1846"/>
      <c r="B76" s="1846"/>
      <c r="C76" s="435" t="s">
        <v>1152</v>
      </c>
      <c r="D76" s="2528"/>
      <c r="E76" s="2270"/>
      <c r="F76" s="2449"/>
      <c r="G76" s="2493"/>
      <c r="H76" s="1566"/>
      <c r="I76" s="717" t="s">
        <v>1153</v>
      </c>
      <c r="J76" s="637"/>
      <c r="K76" s="1566"/>
      <c r="L76" s="280"/>
      <c r="M76" s="2236"/>
      <c r="N76" s="400"/>
      <c r="O76" s="1690"/>
      <c r="P76" s="1690"/>
      <c r="AH76" s="1697">
        <v>0</v>
      </c>
    </row>
    <row s="5053" customFormat="1" customHeight="1" ht="0.75" hidden="1">
      <c r="A77" s="1846"/>
      <c r="B77" s="1846"/>
      <c r="C77" s="435" t="s">
        <v>1158</v>
      </c>
      <c r="D77" s="2528"/>
      <c r="E77" s="2270"/>
      <c r="F77" s="2449"/>
      <c r="G77" s="466"/>
      <c r="H77" s="1566"/>
      <c r="I77" s="717"/>
      <c r="J77" s="637"/>
      <c r="K77" s="1566"/>
      <c r="L77" s="280"/>
      <c r="M77" s="2236"/>
      <c r="N77" s="400"/>
      <c r="O77" s="1690"/>
      <c r="P77" s="1690"/>
      <c r="AH77" s="1697">
        <v>0</v>
      </c>
    </row>
    <row s="5053" customFormat="1" customHeight="1" ht="18.75" hidden="1">
      <c r="A78" s="1846" t="s">
        <v>279</v>
      </c>
      <c r="B78" s="1846" t="s">
        <v>280</v>
      </c>
      <c r="C78" s="435"/>
      <c r="D78" s="2528"/>
      <c r="E78" s="2270"/>
      <c r="F78" s="2449" t="str">
        <f>INDEX(PT_DIFFERENTIATION_VTAR,MATCH(A78,PT_DIFFERENTIATION_VTAR_ID,0))</f>
        <v>Тариф на транспортировку сточных вод</v>
      </c>
      <c r="G78" s="2493" t="str">
        <f>INDEX(PT_DIFFERENTIATION_NTAR,MATCH(B78,PT_DIFFERENTIATION_NTAR_ID,0))</f>
        <v/>
      </c>
      <c r="H78" s="1928"/>
      <c r="I78" s="1805"/>
      <c r="J78" s="1839"/>
      <c r="K78" s="1931"/>
      <c r="L78" s="1928" t="s">
        <v>315</v>
      </c>
      <c r="M78" s="2236"/>
      <c r="N78" s="400"/>
      <c r="O78" s="1690"/>
      <c r="P78" s="1690"/>
      <c r="AH78" s="1697">
        <v>0</v>
      </c>
    </row>
    <row s="5053" customFormat="1" customHeight="1" ht="18.75" hidden="1">
      <c r="A79" s="1846"/>
      <c r="B79" s="1846"/>
      <c r="C79" s="435" t="s">
        <v>1152</v>
      </c>
      <c r="D79" s="2528"/>
      <c r="E79" s="2270"/>
      <c r="F79" s="2449"/>
      <c r="G79" s="2493"/>
      <c r="H79" s="1566"/>
      <c r="I79" s="717" t="s">
        <v>1153</v>
      </c>
      <c r="J79" s="637"/>
      <c r="K79" s="1566"/>
      <c r="L79" s="280"/>
      <c r="M79" s="2236"/>
      <c r="N79" s="400"/>
      <c r="O79" s="1690"/>
      <c r="P79" s="1690"/>
      <c r="AH79" s="1697">
        <v>0</v>
      </c>
    </row>
    <row s="5053" customFormat="1" customHeight="1" ht="0.75" hidden="1">
      <c r="A80" s="1846"/>
      <c r="B80" s="1846"/>
      <c r="C80" s="435" t="s">
        <v>1158</v>
      </c>
      <c r="D80" s="2528"/>
      <c r="E80" s="2270"/>
      <c r="F80" s="2449"/>
      <c r="G80" s="466"/>
      <c r="H80" s="1566"/>
      <c r="I80" s="717"/>
      <c r="J80" s="637"/>
      <c r="K80" s="1566"/>
      <c r="L80" s="280"/>
      <c r="M80" s="2236"/>
      <c r="N80" s="400"/>
      <c r="O80" s="1690"/>
      <c r="P80" s="1690"/>
      <c r="AH80" s="1697">
        <v>0</v>
      </c>
    </row>
    <row s="5053" customFormat="1" customHeight="1" ht="18.75" hidden="1">
      <c r="A81" s="1846" t="s">
        <v>284</v>
      </c>
      <c r="B81" s="1846" t="s">
        <v>285</v>
      </c>
      <c r="C81" s="435"/>
      <c r="D81" s="2528"/>
      <c r="E81" s="2270"/>
      <c r="F81" s="2449" t="str">
        <f>INDEX(PT_DIFFERENTIATION_VTAR,MATCH(A81,PT_DIFFERENTIATION_VTAR_ID,0))</f>
        <v>Тариф на подключение (технологическое присоединение) к централизованной системе водоотведения</v>
      </c>
      <c r="G81" s="2493" t="str">
        <f>INDEX(PT_DIFFERENTIATION_NTAR,MATCH(B81,PT_DIFFERENTIATION_NTAR_ID,0))</f>
        <v/>
      </c>
      <c r="H81" s="1928"/>
      <c r="I81" s="1805"/>
      <c r="J81" s="1839"/>
      <c r="K81" s="1931"/>
      <c r="L81" s="1928" t="s">
        <v>315</v>
      </c>
      <c r="M81" s="2236"/>
      <c r="N81" s="400"/>
      <c r="O81" s="1690"/>
      <c r="P81" s="1690"/>
      <c r="AH81" s="1697">
        <v>0</v>
      </c>
    </row>
    <row s="5053" customFormat="1" customHeight="1" ht="18.75" hidden="1">
      <c r="A82" s="1846"/>
      <c r="B82" s="1846"/>
      <c r="C82" s="435" t="s">
        <v>1152</v>
      </c>
      <c r="D82" s="2528"/>
      <c r="E82" s="2270"/>
      <c r="F82" s="2449"/>
      <c r="G82" s="2493"/>
      <c r="H82" s="1566"/>
      <c r="I82" s="717" t="s">
        <v>1153</v>
      </c>
      <c r="J82" s="637"/>
      <c r="K82" s="1566"/>
      <c r="L82" s="280"/>
      <c r="M82" s="2236"/>
      <c r="N82" s="400"/>
      <c r="O82" s="1690"/>
      <c r="P82" s="1690"/>
      <c r="AH82" s="1697">
        <v>0</v>
      </c>
    </row>
    <row s="5053" customFormat="1" customHeight="1" ht="1.05">
      <c r="A83" s="1846"/>
      <c r="B83" s="1846"/>
      <c r="C83" s="435" t="s">
        <v>1158</v>
      </c>
      <c r="D83" s="2528"/>
      <c r="E83" s="2270"/>
      <c r="F83" s="2449"/>
      <c r="G83" s="466"/>
      <c r="H83" s="1566"/>
      <c r="I83" s="717"/>
      <c r="J83" s="637"/>
      <c r="K83" s="1566"/>
      <c r="L83" s="280"/>
      <c r="M83" s="2236"/>
      <c r="N83" s="400"/>
      <c r="O83" s="1690"/>
      <c r="P83" s="1690"/>
      <c r="AH83" s="1697">
        <v>1</v>
      </c>
    </row>
    <row customHeight="1" ht="19.95">
      <c r="A84" s="1846"/>
      <c r="B84" s="1846"/>
      <c r="D84" s="442"/>
      <c r="E84" s="213" t="s">
        <v>115</v>
      </c>
      <c r="F84" s="25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6"/>
      <c r="H84" s="2526"/>
      <c r="I84" s="2526"/>
      <c r="J84" s="2526"/>
      <c r="K84" s="2526"/>
      <c r="L84" s="2526"/>
      <c r="M84" s="363"/>
      <c r="N84" s="400"/>
      <c r="AH84" s="440">
        <v>19</v>
      </c>
    </row>
    <row customHeight="1" ht="35.699999999999996">
      <c r="A85" s="1846"/>
      <c r="B85" s="1846"/>
      <c r="D85" s="442"/>
      <c r="E85" s="465"/>
      <c r="F85" s="264" t="s">
        <v>315</v>
      </c>
      <c r="G85" s="264" t="s">
        <v>315</v>
      </c>
      <c r="H85" s="2284" t="s">
        <v>315</v>
      </c>
      <c r="I85" s="2286"/>
      <c r="J85" s="264" t="s">
        <v>315</v>
      </c>
      <c r="K85" s="264" t="s">
        <v>315</v>
      </c>
      <c r="L85" s="467"/>
      <c r="M85" s="411" t="s">
        <v>1159</v>
      </c>
      <c r="N85" s="400"/>
      <c r="AH85" s="440">
        <v>34</v>
      </c>
    </row>
    <row customHeight="1" ht="19.95">
      <c r="A86" s="1846"/>
      <c r="B86" s="1846"/>
      <c r="D86" s="442"/>
      <c r="E86" s="213" t="s">
        <v>95</v>
      </c>
      <c r="F86" s="2526" t="s">
        <v>1160</v>
      </c>
      <c r="G86" s="2526"/>
      <c r="H86" s="2526"/>
      <c r="I86" s="2526"/>
      <c r="J86" s="2526"/>
      <c r="K86" s="2526"/>
      <c r="L86" s="2526"/>
      <c r="M86" s="363"/>
      <c r="N86" s="400"/>
      <c r="AH86" s="440">
        <v>19</v>
      </c>
    </row>
    <row s="5053" customFormat="1" customHeight="1" ht="60.75" hidden="1">
      <c r="A87" s="1846" t="s">
        <v>159</v>
      </c>
      <c r="B87" s="1846" t="s">
        <v>160</v>
      </c>
      <c r="C87" s="435"/>
      <c r="D87" s="2528"/>
      <c r="E87" s="2270"/>
      <c r="F87" s="244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3" t="str">
        <f>INDEX(PT_DIFFERENTIATION_NTAR,MATCH(B87,PT_DIFFERENTIATION_NTAR_ID,0))</f>
        <v/>
      </c>
      <c r="H87" s="1928"/>
      <c r="I87" s="1805"/>
      <c r="J87" s="1839"/>
      <c r="K87" s="1844"/>
      <c r="L87" s="1928" t="s">
        <v>315</v>
      </c>
      <c r="M87"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0"/>
      <c r="O87" s="1690"/>
      <c r="P87" s="1690"/>
      <c r="AH87" s="1697">
        <v>0</v>
      </c>
    </row>
    <row s="5053" customFormat="1" customHeight="1" ht="18.75" hidden="1">
      <c r="A88" s="1846"/>
      <c r="B88" s="1846"/>
      <c r="C88" s="435" t="s">
        <v>1154</v>
      </c>
      <c r="D88" s="2528"/>
      <c r="E88" s="2270"/>
      <c r="F88" s="2449"/>
      <c r="G88" s="2493"/>
      <c r="H88" s="1566"/>
      <c r="I88" s="717" t="s">
        <v>1153</v>
      </c>
      <c r="J88" s="637"/>
      <c r="K88" s="1566"/>
      <c r="L88" s="280"/>
      <c r="M88" s="2236"/>
      <c r="N88" s="400"/>
      <c r="O88" s="1690"/>
      <c r="P88" s="1690"/>
      <c r="AH88" s="1697">
        <v>0</v>
      </c>
    </row>
    <row s="5053" customFormat="1" customHeight="1" ht="0.75" hidden="1">
      <c r="A89" s="1846"/>
      <c r="B89" s="1846"/>
      <c r="C89" s="435" t="s">
        <v>1161</v>
      </c>
      <c r="D89" s="2528"/>
      <c r="E89" s="2270"/>
      <c r="F89" s="2449"/>
      <c r="G89" s="466"/>
      <c r="H89" s="1566"/>
      <c r="I89" s="717"/>
      <c r="J89" s="637"/>
      <c r="K89" s="1566"/>
      <c r="L89" s="280"/>
      <c r="M89" s="2236"/>
      <c r="N89" s="400"/>
      <c r="O89" s="1690"/>
      <c r="P89" s="1690"/>
      <c r="AH89" s="1697">
        <v>0</v>
      </c>
    </row>
    <row s="5053" customFormat="1" customHeight="1" ht="45" hidden="1">
      <c r="A90" s="1846" t="s">
        <v>168</v>
      </c>
      <c r="B90" s="1846" t="s">
        <v>169</v>
      </c>
      <c r="C90" s="435"/>
      <c r="D90" s="2528"/>
      <c r="E90" s="2270"/>
      <c r="F90" s="244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93" t="str">
        <f>INDEX(PT_DIFFERENTIATION_NTAR,MATCH(B90,PT_DIFFERENTIATION_NTAR_ID,0))</f>
        <v>Тариф на т/э (мощность), поставляемую АО "Уренгойтеплогенерация-1", приобретающему т/э с целью компенсации потерь т/э</v>
      </c>
      <c r="H90" s="1928"/>
      <c r="I90" s="1805"/>
      <c r="J90" s="1839"/>
      <c r="K90" s="1844"/>
      <c r="L90" s="1928" t="s">
        <v>315</v>
      </c>
      <c r="M90" s="2237"/>
      <c r="N90" s="400"/>
      <c r="O90" s="1690"/>
      <c r="P90" s="1690"/>
      <c r="AH90" s="1697">
        <v>0</v>
      </c>
    </row>
    <row s="5053" customFormat="1" customHeight="1" ht="18.75" hidden="1">
      <c r="A91" s="1846"/>
      <c r="B91" s="1846"/>
      <c r="C91" s="435" t="s">
        <v>1154</v>
      </c>
      <c r="D91" s="2528"/>
      <c r="E91" s="2270"/>
      <c r="F91" s="2449"/>
      <c r="G91" s="2493"/>
      <c r="H91" s="1566"/>
      <c r="I91" s="717" t="s">
        <v>1153</v>
      </c>
      <c r="J91" s="637"/>
      <c r="K91" s="1566"/>
      <c r="L91" s="280"/>
      <c r="M91" s="1927"/>
      <c r="N91" s="400"/>
      <c r="O91" s="1690"/>
      <c r="P91" s="1690"/>
      <c r="AH91" s="1697">
        <v>0</v>
      </c>
    </row>
    <row s="5053" customFormat="1" customHeight="1" ht="0.75" hidden="1">
      <c r="A92" s="1846"/>
      <c r="B92" s="1846"/>
      <c r="C92" s="435" t="s">
        <v>1161</v>
      </c>
      <c r="D92" s="2528"/>
      <c r="E92" s="2270"/>
      <c r="F92" s="2449"/>
      <c r="G92" s="466"/>
      <c r="H92" s="1566"/>
      <c r="I92" s="717"/>
      <c r="J92" s="637"/>
      <c r="K92" s="1566"/>
      <c r="L92" s="280"/>
      <c r="M92" s="407"/>
      <c r="N92" s="400"/>
      <c r="O92" s="1690"/>
      <c r="P92" s="1690"/>
      <c r="AH92" s="1697">
        <v>0</v>
      </c>
    </row>
    <row s="5053" customFormat="1" customHeight="1" ht="45" hidden="1">
      <c r="A93" s="1846" t="s">
        <v>178</v>
      </c>
      <c r="B93" s="1846" t="s">
        <v>179</v>
      </c>
      <c r="C93" s="435"/>
      <c r="D93" s="2528"/>
      <c r="E93" s="2270"/>
      <c r="F93" s="244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3" t="str">
        <f>INDEX(PT_DIFFERENTIATION_NTAR,MATCH(B93,PT_DIFFERENTIATION_NTAR_ID,0))</f>
        <v/>
      </c>
      <c r="H93" s="1928"/>
      <c r="I93" s="1805"/>
      <c r="J93" s="1839"/>
      <c r="K93" s="1844"/>
      <c r="L93" s="1928" t="s">
        <v>315</v>
      </c>
      <c r="M93" s="407"/>
      <c r="N93" s="400"/>
      <c r="O93" s="1690"/>
      <c r="P93" s="1690"/>
      <c r="AH93" s="1697">
        <v>0</v>
      </c>
    </row>
    <row s="5053" customFormat="1" customHeight="1" ht="18.75" hidden="1">
      <c r="A94" s="1846"/>
      <c r="B94" s="1846"/>
      <c r="C94" s="435" t="s">
        <v>1154</v>
      </c>
      <c r="D94" s="2528"/>
      <c r="E94" s="2270"/>
      <c r="F94" s="2449"/>
      <c r="G94" s="2493"/>
      <c r="H94" s="1566"/>
      <c r="I94" s="717" t="s">
        <v>1153</v>
      </c>
      <c r="J94" s="637"/>
      <c r="K94" s="1566"/>
      <c r="L94" s="280"/>
      <c r="M94" s="407"/>
      <c r="N94" s="400"/>
      <c r="O94" s="1690"/>
      <c r="P94" s="1690"/>
      <c r="AH94" s="1697">
        <v>0</v>
      </c>
    </row>
    <row s="5053" customFormat="1" customHeight="1" ht="0.75" hidden="1">
      <c r="A95" s="1846"/>
      <c r="B95" s="1846"/>
      <c r="C95" s="435" t="s">
        <v>1161</v>
      </c>
      <c r="D95" s="2528"/>
      <c r="E95" s="2270"/>
      <c r="F95" s="2449"/>
      <c r="G95" s="466"/>
      <c r="H95" s="1566"/>
      <c r="I95" s="717"/>
      <c r="J95" s="637"/>
      <c r="K95" s="1566"/>
      <c r="L95" s="280"/>
      <c r="M95" s="407"/>
      <c r="N95" s="400"/>
      <c r="O95" s="1690"/>
      <c r="P95" s="1690"/>
      <c r="AH95" s="1697">
        <v>0</v>
      </c>
    </row>
    <row s="5053" customFormat="1" customHeight="1" ht="45" hidden="1">
      <c r="A96" s="1846" t="s">
        <v>184</v>
      </c>
      <c r="B96" s="1846" t="s">
        <v>185</v>
      </c>
      <c r="C96" s="435"/>
      <c r="D96" s="2528"/>
      <c r="E96" s="2270"/>
      <c r="F96" s="244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3" t="str">
        <f>INDEX(PT_DIFFERENTIATION_NTAR,MATCH(B96,PT_DIFFERENTIATION_NTAR_ID,0))</f>
        <v/>
      </c>
      <c r="H96" s="1928"/>
      <c r="I96" s="1805"/>
      <c r="J96" s="1839"/>
      <c r="K96" s="1844"/>
      <c r="L96" s="1928" t="s">
        <v>315</v>
      </c>
      <c r="M96" s="407"/>
      <c r="N96" s="400"/>
      <c r="O96" s="1690"/>
      <c r="P96" s="1690"/>
      <c r="AH96" s="1697">
        <v>0</v>
      </c>
    </row>
    <row s="5053" customFormat="1" customHeight="1" ht="18.75" hidden="1">
      <c r="A97" s="1846"/>
      <c r="B97" s="1846"/>
      <c r="C97" s="435" t="s">
        <v>1154</v>
      </c>
      <c r="D97" s="2528"/>
      <c r="E97" s="2270"/>
      <c r="F97" s="2449"/>
      <c r="G97" s="2493"/>
      <c r="H97" s="1566"/>
      <c r="I97" s="717" t="s">
        <v>1153</v>
      </c>
      <c r="J97" s="637"/>
      <c r="K97" s="1566"/>
      <c r="L97" s="280"/>
      <c r="M97" s="407"/>
      <c r="N97" s="400"/>
      <c r="O97" s="1690"/>
      <c r="P97" s="1690"/>
      <c r="AH97" s="1697">
        <v>0</v>
      </c>
    </row>
    <row s="5053" customFormat="1" customHeight="1" ht="0.75" hidden="1">
      <c r="A98" s="1846"/>
      <c r="B98" s="1846"/>
      <c r="C98" s="435" t="s">
        <v>1161</v>
      </c>
      <c r="D98" s="2528"/>
      <c r="E98" s="2270"/>
      <c r="F98" s="2449"/>
      <c r="G98" s="466"/>
      <c r="H98" s="1566"/>
      <c r="I98" s="717"/>
      <c r="J98" s="637"/>
      <c r="K98" s="1566"/>
      <c r="L98" s="280"/>
      <c r="M98" s="407"/>
      <c r="N98" s="400"/>
      <c r="O98" s="1690"/>
      <c r="P98" s="1690"/>
      <c r="AH98" s="1697">
        <v>0</v>
      </c>
    </row>
    <row s="5053" customFormat="1" customHeight="1" ht="18.75" hidden="1">
      <c r="A99" s="1846" t="s">
        <v>190</v>
      </c>
      <c r="B99" s="1846" t="s">
        <v>191</v>
      </c>
      <c r="C99" s="435"/>
      <c r="D99" s="2528"/>
      <c r="E99" s="2270"/>
      <c r="F99" s="2449" t="str">
        <f>INDEX(PT_DIFFERENTIATION_VTAR,MATCH(A99,PT_DIFFERENTIATION_VTAR_ID,0))</f>
        <v>Тарифы на услуги по передаче тепловой энергии</v>
      </c>
      <c r="G99" s="2493" t="str">
        <f>INDEX(PT_DIFFERENTIATION_NTAR,MATCH(B99,PT_DIFFERENTIATION_NTAR_ID,0))</f>
        <v/>
      </c>
      <c r="H99" s="1928"/>
      <c r="I99" s="1805"/>
      <c r="J99" s="1839"/>
      <c r="K99" s="1844"/>
      <c r="L99" s="1928" t="s">
        <v>315</v>
      </c>
      <c r="M99" s="407"/>
      <c r="N99" s="400"/>
      <c r="O99" s="1690"/>
      <c r="P99" s="1690"/>
      <c r="AH99" s="1697">
        <v>0</v>
      </c>
    </row>
    <row s="5053" customFormat="1" customHeight="1" ht="18.75" hidden="1">
      <c r="A100" s="1846"/>
      <c r="B100" s="1846"/>
      <c r="C100" s="435" t="s">
        <v>1154</v>
      </c>
      <c r="D100" s="2528"/>
      <c r="E100" s="2270"/>
      <c r="F100" s="2449"/>
      <c r="G100" s="2493"/>
      <c r="H100" s="1566"/>
      <c r="I100" s="717" t="s">
        <v>1153</v>
      </c>
      <c r="J100" s="637"/>
      <c r="K100" s="1566"/>
      <c r="L100" s="280"/>
      <c r="M100" s="407"/>
      <c r="N100" s="400"/>
      <c r="O100" s="1690"/>
      <c r="P100" s="1690"/>
      <c r="AH100" s="1697">
        <v>0</v>
      </c>
    </row>
    <row s="5053" customFormat="1" customHeight="1" ht="0.75" hidden="1">
      <c r="A101" s="1846"/>
      <c r="B101" s="1846"/>
      <c r="C101" s="435" t="s">
        <v>1161</v>
      </c>
      <c r="D101" s="2528"/>
      <c r="E101" s="2270"/>
      <c r="F101" s="2449"/>
      <c r="G101" s="466"/>
      <c r="H101" s="1566"/>
      <c r="I101" s="717"/>
      <c r="J101" s="637"/>
      <c r="K101" s="1566"/>
      <c r="L101" s="280"/>
      <c r="M101" s="407"/>
      <c r="N101" s="400"/>
      <c r="O101" s="1690"/>
      <c r="P101" s="1690"/>
      <c r="AH101" s="1697">
        <v>0</v>
      </c>
    </row>
    <row s="5053" customFormat="1" customHeight="1" ht="18.75" hidden="1">
      <c r="A102" s="1846" t="s">
        <v>196</v>
      </c>
      <c r="B102" s="1846" t="s">
        <v>197</v>
      </c>
      <c r="C102" s="435"/>
      <c r="D102" s="2528"/>
      <c r="E102" s="2270"/>
      <c r="F102" s="2449" t="str">
        <f>INDEX(PT_DIFFERENTIATION_VTAR,MATCH(A102,PT_DIFFERENTIATION_VTAR_ID,0))</f>
        <v>Тарифы на услуги по передаче теплоносителя</v>
      </c>
      <c r="G102" s="2493" t="str">
        <f>INDEX(PT_DIFFERENTIATION_NTAR,MATCH(B102,PT_DIFFERENTIATION_NTAR_ID,0))</f>
        <v/>
      </c>
      <c r="H102" s="1928"/>
      <c r="I102" s="1805"/>
      <c r="J102" s="1839"/>
      <c r="K102" s="1844"/>
      <c r="L102" s="1928" t="s">
        <v>315</v>
      </c>
      <c r="M102" s="407"/>
      <c r="N102" s="400"/>
      <c r="O102" s="1690"/>
      <c r="P102" s="1690"/>
      <c r="AH102" s="1697">
        <v>0</v>
      </c>
    </row>
    <row s="5053" customFormat="1" customHeight="1" ht="18.75" hidden="1">
      <c r="A103" s="1846"/>
      <c r="B103" s="1846"/>
      <c r="C103" s="435" t="s">
        <v>1154</v>
      </c>
      <c r="D103" s="2528"/>
      <c r="E103" s="2270"/>
      <c r="F103" s="2449"/>
      <c r="G103" s="2493"/>
      <c r="H103" s="1566"/>
      <c r="I103" s="717" t="s">
        <v>1153</v>
      </c>
      <c r="J103" s="637"/>
      <c r="K103" s="1566"/>
      <c r="L103" s="280"/>
      <c r="M103" s="407"/>
      <c r="N103" s="400"/>
      <c r="O103" s="1690"/>
      <c r="P103" s="1690"/>
      <c r="AH103" s="1697">
        <v>0</v>
      </c>
    </row>
    <row s="5053" customFormat="1" customHeight="1" ht="0.75" hidden="1">
      <c r="A104" s="1846"/>
      <c r="B104" s="1846"/>
      <c r="C104" s="435" t="s">
        <v>1161</v>
      </c>
      <c r="D104" s="2528"/>
      <c r="E104" s="2270"/>
      <c r="F104" s="2449"/>
      <c r="G104" s="466"/>
      <c r="H104" s="1566"/>
      <c r="I104" s="717"/>
      <c r="J104" s="637"/>
      <c r="K104" s="1566"/>
      <c r="L104" s="280"/>
      <c r="M104" s="407"/>
      <c r="N104" s="400"/>
      <c r="O104" s="1690"/>
      <c r="P104" s="1690"/>
      <c r="AH104" s="1697">
        <v>0</v>
      </c>
    </row>
    <row s="5053" customFormat="1" customHeight="1" ht="18.75" hidden="1">
      <c r="A105" s="1846" t="s">
        <v>202</v>
      </c>
      <c r="B105" s="1846" t="s">
        <v>203</v>
      </c>
      <c r="C105" s="435"/>
      <c r="D105" s="2528"/>
      <c r="E105" s="2270"/>
      <c r="F105" s="244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3" t="str">
        <f>INDEX(PT_DIFFERENTIATION_NTAR,MATCH(B105,PT_DIFFERENTIATION_NTAR_ID,0))</f>
        <v/>
      </c>
      <c r="H105" s="1928"/>
      <c r="I105" s="1805"/>
      <c r="J105" s="1839"/>
      <c r="K105" s="1844"/>
      <c r="L105" s="1928" t="s">
        <v>315</v>
      </c>
      <c r="M105" s="407"/>
      <c r="N105" s="400"/>
      <c r="O105" s="1690"/>
      <c r="P105" s="1690"/>
      <c r="AH105" s="1697">
        <v>0</v>
      </c>
    </row>
    <row s="5053" customFormat="1" customHeight="1" ht="18.75" hidden="1">
      <c r="A106" s="1846"/>
      <c r="B106" s="1846"/>
      <c r="C106" s="435" t="s">
        <v>1154</v>
      </c>
      <c r="D106" s="2528"/>
      <c r="E106" s="2270"/>
      <c r="F106" s="2449"/>
      <c r="G106" s="2493"/>
      <c r="H106" s="1566"/>
      <c r="I106" s="717" t="s">
        <v>1153</v>
      </c>
      <c r="J106" s="637"/>
      <c r="K106" s="1566"/>
      <c r="L106" s="280"/>
      <c r="M106" s="407"/>
      <c r="N106" s="400"/>
      <c r="O106" s="1690"/>
      <c r="P106" s="1690"/>
      <c r="AH106" s="1697">
        <v>0</v>
      </c>
    </row>
    <row s="5053" customFormat="1" customHeight="1" ht="0.75" hidden="1">
      <c r="A107" s="1846"/>
      <c r="B107" s="1846"/>
      <c r="C107" s="435" t="s">
        <v>1161</v>
      </c>
      <c r="D107" s="2528"/>
      <c r="E107" s="2270"/>
      <c r="F107" s="2449"/>
      <c r="G107" s="466"/>
      <c r="H107" s="1566"/>
      <c r="I107" s="717"/>
      <c r="J107" s="637"/>
      <c r="K107" s="1566"/>
      <c r="L107" s="280"/>
      <c r="M107" s="407"/>
      <c r="N107" s="400"/>
      <c r="O107" s="1690"/>
      <c r="P107" s="1690"/>
      <c r="AH107" s="1697">
        <v>0</v>
      </c>
    </row>
    <row s="5053" customFormat="1" customHeight="1" ht="18.75" hidden="1">
      <c r="A108" s="1846" t="s">
        <v>208</v>
      </c>
      <c r="B108" s="1846" t="s">
        <v>209</v>
      </c>
      <c r="C108" s="435"/>
      <c r="D108" s="2528"/>
      <c r="E108" s="2270"/>
      <c r="F108" s="2449" t="str">
        <f>INDEX(PT_DIFFERENTIATION_VTAR,MATCH(A108,PT_DIFFERENTIATION_VTAR_ID,0))</f>
        <v>Плата за подключение (технологическое присоединение) к системе теплоснабжения</v>
      </c>
      <c r="G108" s="2493" t="str">
        <f>INDEX(PT_DIFFERENTIATION_NTAR,MATCH(B108,PT_DIFFERENTIATION_NTAR_ID,0))</f>
        <v/>
      </c>
      <c r="H108" s="1928"/>
      <c r="I108" s="1805"/>
      <c r="J108" s="1839"/>
      <c r="K108" s="1844"/>
      <c r="L108" s="1928" t="s">
        <v>315</v>
      </c>
      <c r="M108" s="407"/>
      <c r="N108" s="400"/>
      <c r="O108" s="1690"/>
      <c r="P108" s="1690"/>
      <c r="AH108" s="1697">
        <v>0</v>
      </c>
    </row>
    <row s="5053" customFormat="1" customHeight="1" ht="18.75" hidden="1">
      <c r="A109" s="1846"/>
      <c r="B109" s="1846"/>
      <c r="C109" s="435" t="s">
        <v>1154</v>
      </c>
      <c r="D109" s="2528"/>
      <c r="E109" s="2270"/>
      <c r="F109" s="2449"/>
      <c r="G109" s="2493"/>
      <c r="H109" s="1566"/>
      <c r="I109" s="717" t="s">
        <v>1153</v>
      </c>
      <c r="J109" s="637"/>
      <c r="K109" s="1566"/>
      <c r="L109" s="280"/>
      <c r="M109" s="407"/>
      <c r="N109" s="400"/>
      <c r="O109" s="1690"/>
      <c r="P109" s="1690"/>
      <c r="AH109" s="1697">
        <v>0</v>
      </c>
    </row>
    <row s="5053" customFormat="1" customHeight="1" ht="0.75" hidden="1">
      <c r="A110" s="1846"/>
      <c r="B110" s="1846"/>
      <c r="C110" s="435" t="s">
        <v>1161</v>
      </c>
      <c r="D110" s="2528"/>
      <c r="E110" s="2270"/>
      <c r="F110" s="2449"/>
      <c r="G110" s="466"/>
      <c r="H110" s="1566"/>
      <c r="I110" s="717"/>
      <c r="J110" s="637"/>
      <c r="K110" s="1566"/>
      <c r="L110" s="280"/>
      <c r="M110" s="407"/>
      <c r="N110" s="400"/>
      <c r="O110" s="1690"/>
      <c r="P110" s="1690"/>
      <c r="AH110" s="1697">
        <v>0</v>
      </c>
    </row>
    <row s="5053" customFormat="1" customHeight="1" ht="18.75" hidden="1">
      <c r="A111" s="1846" t="s">
        <v>214</v>
      </c>
      <c r="B111" s="1846" t="s">
        <v>215</v>
      </c>
      <c r="C111" s="435"/>
      <c r="D111" s="2528"/>
      <c r="E111" s="2270"/>
      <c r="F111" s="2449" t="str">
        <f>INDEX(PT_DIFFERENTIATION_VTAR,MATCH(A111,PT_DIFFERENTIATION_VTAR_ID,0))</f>
        <v>Плата за подключение (технологическое присоединение) к системе теплоснабжения (индивидуальная)</v>
      </c>
      <c r="G111" s="2493" t="str">
        <f>INDEX(PT_DIFFERENTIATION_NTAR,MATCH(B111,PT_DIFFERENTIATION_NTAR_ID,0))</f>
        <v/>
      </c>
      <c r="H111" s="2055"/>
      <c r="I111" s="1805"/>
      <c r="J111" s="1839"/>
      <c r="K111" s="1844"/>
      <c r="L111" s="2055" t="s">
        <v>315</v>
      </c>
      <c r="M111" s="407"/>
      <c r="N111" s="400"/>
      <c r="O111" s="1690"/>
      <c r="P111" s="1690"/>
      <c r="AH111" s="1697">
        <v>0</v>
      </c>
    </row>
    <row s="5053" customFormat="1" customHeight="1" ht="18.75" hidden="1">
      <c r="A112" s="1846"/>
      <c r="B112" s="1846"/>
      <c r="C112" s="435" t="s">
        <v>1154</v>
      </c>
      <c r="D112" s="2528"/>
      <c r="E112" s="2270"/>
      <c r="F112" s="2449"/>
      <c r="G112" s="2493"/>
      <c r="H112" s="1566"/>
      <c r="I112" s="717" t="s">
        <v>1153</v>
      </c>
      <c r="J112" s="637"/>
      <c r="K112" s="1566"/>
      <c r="L112" s="280"/>
      <c r="M112" s="407"/>
      <c r="N112" s="400"/>
      <c r="O112" s="1690"/>
      <c r="P112" s="1690"/>
      <c r="AH112" s="1697">
        <v>0</v>
      </c>
    </row>
    <row s="5053" customFormat="1" customHeight="1" ht="0.75" hidden="1">
      <c r="A113" s="1846"/>
      <c r="B113" s="1846"/>
      <c r="C113" s="435" t="s">
        <v>1161</v>
      </c>
      <c r="D113" s="2528"/>
      <c r="E113" s="2270"/>
      <c r="F113" s="2449"/>
      <c r="G113" s="466"/>
      <c r="H113" s="1566"/>
      <c r="I113" s="717"/>
      <c r="J113" s="637"/>
      <c r="K113" s="1566"/>
      <c r="L113" s="280"/>
      <c r="M113" s="407"/>
      <c r="N113" s="400"/>
      <c r="O113" s="1690"/>
      <c r="P113" s="1690"/>
      <c r="AH113" s="1697">
        <v>0</v>
      </c>
    </row>
    <row s="5053" customFormat="1" customHeight="1" ht="18.75" hidden="1">
      <c r="A114" s="1846" t="s">
        <v>234</v>
      </c>
      <c r="B114" s="1846" t="s">
        <v>235</v>
      </c>
      <c r="C114" s="435"/>
      <c r="D114" s="2528"/>
      <c r="E114" s="2270"/>
      <c r="F114" s="2449" t="str">
        <f>INDEX(PT_DIFFERENTIATION_VTAR,MATCH(A114,PT_DIFFERENTIATION_VTAR_ID,0))</f>
        <v>Тариф на питьевую воду (питьевое водоснабжение)</v>
      </c>
      <c r="G114" s="2493" t="str">
        <f>INDEX(PT_DIFFERENTIATION_NTAR,MATCH(B114,PT_DIFFERENTIATION_NTAR_ID,0))</f>
        <v/>
      </c>
      <c r="H114" s="1928"/>
      <c r="I114" s="1805"/>
      <c r="J114" s="1839"/>
      <c r="K114" s="1844"/>
      <c r="L114" s="1928" t="s">
        <v>315</v>
      </c>
      <c r="M114" s="407"/>
      <c r="N114" s="400"/>
      <c r="O114" s="1690"/>
      <c r="P114" s="1690"/>
      <c r="AH114" s="1697">
        <v>0</v>
      </c>
    </row>
    <row s="5053" customFormat="1" customHeight="1" ht="18.75" hidden="1">
      <c r="A115" s="1846"/>
      <c r="B115" s="1846"/>
      <c r="C115" s="435" t="s">
        <v>1154</v>
      </c>
      <c r="D115" s="2528"/>
      <c r="E115" s="2270"/>
      <c r="F115" s="2449"/>
      <c r="G115" s="2493"/>
      <c r="H115" s="1566"/>
      <c r="I115" s="717" t="s">
        <v>1153</v>
      </c>
      <c r="J115" s="637"/>
      <c r="K115" s="1566"/>
      <c r="L115" s="280"/>
      <c r="M115" s="407"/>
      <c r="N115" s="400"/>
      <c r="O115" s="1690"/>
      <c r="P115" s="1690"/>
      <c r="AH115" s="1697">
        <v>0</v>
      </c>
    </row>
    <row s="5053" customFormat="1" customHeight="1" ht="0.75" hidden="1">
      <c r="A116" s="1846"/>
      <c r="B116" s="1846"/>
      <c r="C116" s="435" t="s">
        <v>1161</v>
      </c>
      <c r="D116" s="2528"/>
      <c r="E116" s="2270"/>
      <c r="F116" s="2449"/>
      <c r="G116" s="466"/>
      <c r="H116" s="1566"/>
      <c r="I116" s="717"/>
      <c r="J116" s="637"/>
      <c r="K116" s="1566"/>
      <c r="L116" s="280"/>
      <c r="M116" s="407"/>
      <c r="N116" s="400"/>
      <c r="O116" s="1690"/>
      <c r="P116" s="1690"/>
      <c r="AH116" s="1697">
        <v>0</v>
      </c>
    </row>
    <row s="5053" customFormat="1" customHeight="1" ht="18.75" hidden="1">
      <c r="A117" s="1846" t="s">
        <v>239</v>
      </c>
      <c r="B117" s="1846" t="s">
        <v>240</v>
      </c>
      <c r="C117" s="435"/>
      <c r="D117" s="2528"/>
      <c r="E117" s="2270"/>
      <c r="F117" s="2449" t="str">
        <f>INDEX(PT_DIFFERENTIATION_VTAR,MATCH(A117,PT_DIFFERENTIATION_VTAR_ID,0))</f>
        <v>Тариф на техническую воду</v>
      </c>
      <c r="G117" s="2493" t="str">
        <f>INDEX(PT_DIFFERENTIATION_NTAR,MATCH(B117,PT_DIFFERENTIATION_NTAR_ID,0))</f>
        <v/>
      </c>
      <c r="H117" s="1928"/>
      <c r="I117" s="1805"/>
      <c r="J117" s="1839"/>
      <c r="K117" s="1844"/>
      <c r="L117" s="1928" t="s">
        <v>315</v>
      </c>
      <c r="M117" s="407"/>
      <c r="N117" s="400"/>
      <c r="O117" s="1690"/>
      <c r="P117" s="1690"/>
      <c r="AH117" s="1697">
        <v>0</v>
      </c>
    </row>
    <row s="5053" customFormat="1" customHeight="1" ht="18.75" hidden="1">
      <c r="A118" s="1846"/>
      <c r="B118" s="1846"/>
      <c r="C118" s="435" t="s">
        <v>1154</v>
      </c>
      <c r="D118" s="2528"/>
      <c r="E118" s="2270"/>
      <c r="F118" s="2449"/>
      <c r="G118" s="2493"/>
      <c r="H118" s="1566"/>
      <c r="I118" s="717" t="s">
        <v>1153</v>
      </c>
      <c r="J118" s="637"/>
      <c r="K118" s="1566"/>
      <c r="L118" s="280"/>
      <c r="M118" s="407"/>
      <c r="N118" s="400"/>
      <c r="O118" s="1690"/>
      <c r="P118" s="1690"/>
      <c r="AH118" s="1697">
        <v>0</v>
      </c>
    </row>
    <row s="5053" customFormat="1" customHeight="1" ht="0.75" hidden="1">
      <c r="A119" s="1846"/>
      <c r="B119" s="1846"/>
      <c r="C119" s="435" t="s">
        <v>1161</v>
      </c>
      <c r="D119" s="2528"/>
      <c r="E119" s="2270"/>
      <c r="F119" s="2449"/>
      <c r="G119" s="466"/>
      <c r="H119" s="1566"/>
      <c r="I119" s="717"/>
      <c r="J119" s="637"/>
      <c r="K119" s="1566"/>
      <c r="L119" s="280"/>
      <c r="M119" s="407"/>
      <c r="N119" s="400"/>
      <c r="O119" s="1690"/>
      <c r="P119" s="1690"/>
      <c r="AH119" s="1697">
        <v>0</v>
      </c>
    </row>
    <row s="5053" customFormat="1" customHeight="1" ht="18.75" hidden="1">
      <c r="A120" s="1846" t="s">
        <v>244</v>
      </c>
      <c r="B120" s="1846" t="s">
        <v>245</v>
      </c>
      <c r="C120" s="435"/>
      <c r="D120" s="2528"/>
      <c r="E120" s="2270"/>
      <c r="F120" s="2449" t="str">
        <f>INDEX(PT_DIFFERENTIATION_VTAR,MATCH(A120,PT_DIFFERENTIATION_VTAR_ID,0))</f>
        <v>Тариф на транспортировку воды</v>
      </c>
      <c r="G120" s="2493" t="str">
        <f>INDEX(PT_DIFFERENTIATION_NTAR,MATCH(B120,PT_DIFFERENTIATION_NTAR_ID,0))</f>
        <v/>
      </c>
      <c r="H120" s="1928"/>
      <c r="I120" s="1805"/>
      <c r="J120" s="1839"/>
      <c r="K120" s="1844"/>
      <c r="L120" s="1928" t="s">
        <v>315</v>
      </c>
      <c r="M120" s="407"/>
      <c r="N120" s="400"/>
      <c r="O120" s="1690"/>
      <c r="P120" s="1690"/>
      <c r="AH120" s="1697">
        <v>0</v>
      </c>
    </row>
    <row s="5053" customFormat="1" customHeight="1" ht="18.75" hidden="1">
      <c r="A121" s="1846"/>
      <c r="B121" s="1846"/>
      <c r="C121" s="435" t="s">
        <v>1154</v>
      </c>
      <c r="D121" s="2528"/>
      <c r="E121" s="2270"/>
      <c r="F121" s="2449"/>
      <c r="G121" s="2493"/>
      <c r="H121" s="1566"/>
      <c r="I121" s="717" t="s">
        <v>1153</v>
      </c>
      <c r="J121" s="637"/>
      <c r="K121" s="1566"/>
      <c r="L121" s="280"/>
      <c r="M121" s="407"/>
      <c r="N121" s="400"/>
      <c r="O121" s="1690"/>
      <c r="P121" s="1690"/>
      <c r="AH121" s="1697">
        <v>0</v>
      </c>
    </row>
    <row s="5053" customFormat="1" customHeight="1" ht="0.75" hidden="1">
      <c r="A122" s="1846"/>
      <c r="B122" s="1846"/>
      <c r="C122" s="435" t="s">
        <v>1161</v>
      </c>
      <c r="D122" s="2528"/>
      <c r="E122" s="2270"/>
      <c r="F122" s="2449"/>
      <c r="G122" s="466"/>
      <c r="H122" s="1566"/>
      <c r="I122" s="717"/>
      <c r="J122" s="637"/>
      <c r="K122" s="1566"/>
      <c r="L122" s="280"/>
      <c r="M122" s="407"/>
      <c r="N122" s="400"/>
      <c r="O122" s="1690"/>
      <c r="P122" s="1690"/>
      <c r="AH122" s="1697">
        <v>0</v>
      </c>
    </row>
    <row s="5053" customFormat="1" customHeight="1" ht="18.75" hidden="1">
      <c r="A123" s="1846" t="s">
        <v>249</v>
      </c>
      <c r="B123" s="1846" t="s">
        <v>250</v>
      </c>
      <c r="C123" s="435"/>
      <c r="D123" s="2528"/>
      <c r="E123" s="2270"/>
      <c r="F123" s="2449" t="str">
        <f>INDEX(PT_DIFFERENTIATION_VTAR,MATCH(A123,PT_DIFFERENTIATION_VTAR_ID,0))</f>
        <v>Тариф на подвоз воды</v>
      </c>
      <c r="G123" s="2493" t="str">
        <f>INDEX(PT_DIFFERENTIATION_NTAR,MATCH(B123,PT_DIFFERENTIATION_NTAR_ID,0))</f>
        <v/>
      </c>
      <c r="H123" s="1928"/>
      <c r="I123" s="1805"/>
      <c r="J123" s="1839"/>
      <c r="K123" s="1844"/>
      <c r="L123" s="1928" t="s">
        <v>315</v>
      </c>
      <c r="M123" s="407"/>
      <c r="N123" s="400"/>
      <c r="O123" s="1690"/>
      <c r="P123" s="1690"/>
      <c r="AH123" s="1697">
        <v>0</v>
      </c>
    </row>
    <row s="5053" customFormat="1" customHeight="1" ht="18.75" hidden="1">
      <c r="A124" s="1846"/>
      <c r="B124" s="1846"/>
      <c r="C124" s="435" t="s">
        <v>1154</v>
      </c>
      <c r="D124" s="2528"/>
      <c r="E124" s="2270"/>
      <c r="F124" s="2449"/>
      <c r="G124" s="2493"/>
      <c r="H124" s="1566"/>
      <c r="I124" s="717" t="s">
        <v>1153</v>
      </c>
      <c r="J124" s="637"/>
      <c r="K124" s="1566"/>
      <c r="L124" s="280"/>
      <c r="M124" s="407"/>
      <c r="N124" s="400"/>
      <c r="O124" s="1690"/>
      <c r="P124" s="1690"/>
      <c r="AH124" s="1697">
        <v>0</v>
      </c>
    </row>
    <row s="5053" customFormat="1" customHeight="1" ht="0.75" hidden="1">
      <c r="A125" s="1846"/>
      <c r="B125" s="1846"/>
      <c r="C125" s="435" t="s">
        <v>1161</v>
      </c>
      <c r="D125" s="2528"/>
      <c r="E125" s="2270"/>
      <c r="F125" s="2449"/>
      <c r="G125" s="466"/>
      <c r="H125" s="1566"/>
      <c r="I125" s="717"/>
      <c r="J125" s="637"/>
      <c r="K125" s="1566"/>
      <c r="L125" s="280"/>
      <c r="M125" s="407"/>
      <c r="N125" s="400"/>
      <c r="O125" s="1690"/>
      <c r="P125" s="1690"/>
      <c r="AH125" s="1697">
        <v>0</v>
      </c>
    </row>
    <row s="5053" customFormat="1" customHeight="1" ht="18.75" hidden="1">
      <c r="A126" s="1846" t="s">
        <v>254</v>
      </c>
      <c r="B126" s="1846" t="s">
        <v>255</v>
      </c>
      <c r="C126" s="435"/>
      <c r="D126" s="2528"/>
      <c r="E126" s="2270"/>
      <c r="F126" s="244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3" t="str">
        <f>INDEX(PT_DIFFERENTIATION_NTAR,MATCH(B126,PT_DIFFERENTIATION_NTAR_ID,0))</f>
        <v/>
      </c>
      <c r="H126" s="1928"/>
      <c r="I126" s="1805"/>
      <c r="J126" s="1839"/>
      <c r="K126" s="1844"/>
      <c r="L126" s="1928" t="s">
        <v>315</v>
      </c>
      <c r="M126" s="407"/>
      <c r="N126" s="400"/>
      <c r="O126" s="1690"/>
      <c r="P126" s="1690"/>
      <c r="AH126" s="1697">
        <v>0</v>
      </c>
    </row>
    <row s="5053" customFormat="1" customHeight="1" ht="18.75" hidden="1">
      <c r="A127" s="1846"/>
      <c r="B127" s="1846"/>
      <c r="C127" s="435" t="s">
        <v>1154</v>
      </c>
      <c r="D127" s="2528"/>
      <c r="E127" s="2270"/>
      <c r="F127" s="2449"/>
      <c r="G127" s="2493"/>
      <c r="H127" s="1566"/>
      <c r="I127" s="717" t="s">
        <v>1153</v>
      </c>
      <c r="J127" s="637"/>
      <c r="K127" s="1566"/>
      <c r="L127" s="280"/>
      <c r="M127" s="407"/>
      <c r="N127" s="400"/>
      <c r="O127" s="1690"/>
      <c r="P127" s="1690"/>
      <c r="AH127" s="1697">
        <v>0</v>
      </c>
    </row>
    <row s="5053" customFormat="1" customHeight="1" ht="0.75" hidden="1">
      <c r="A128" s="1846"/>
      <c r="B128" s="1846"/>
      <c r="C128" s="435" t="s">
        <v>1161</v>
      </c>
      <c r="D128" s="2528"/>
      <c r="E128" s="2270"/>
      <c r="F128" s="2449"/>
      <c r="G128" s="466"/>
      <c r="H128" s="1566"/>
      <c r="I128" s="717"/>
      <c r="J128" s="637"/>
      <c r="K128" s="1566"/>
      <c r="L128" s="280"/>
      <c r="M128" s="407"/>
      <c r="N128" s="400"/>
      <c r="O128" s="1690"/>
      <c r="P128" s="1690"/>
      <c r="AH128" s="1697">
        <v>0</v>
      </c>
    </row>
    <row s="5053" customFormat="1" customHeight="1" ht="18.75" hidden="1">
      <c r="A129" s="1846" t="s">
        <v>259</v>
      </c>
      <c r="B129" s="1846" t="s">
        <v>260</v>
      </c>
      <c r="C129" s="435"/>
      <c r="D129" s="2528"/>
      <c r="E129" s="2270"/>
      <c r="F129" s="2449" t="str">
        <f>INDEX(PT_DIFFERENTIATION_VTAR,MATCH(A129,PT_DIFFERENTIATION_VTAR_ID,0))</f>
        <v>Тариф на горячую воду (горячее водоснабжение)</v>
      </c>
      <c r="G129" s="2493" t="str">
        <f>INDEX(PT_DIFFERENTIATION_NTAR,MATCH(B129,PT_DIFFERENTIATION_NTAR_ID,0))</f>
        <v/>
      </c>
      <c r="H129" s="1928"/>
      <c r="I129" s="1805"/>
      <c r="J129" s="1839"/>
      <c r="K129" s="1844"/>
      <c r="L129" s="1928" t="s">
        <v>315</v>
      </c>
      <c r="M129" s="407"/>
      <c r="N129" s="400"/>
      <c r="O129" s="1690"/>
      <c r="P129" s="1690"/>
      <c r="AH129" s="1697">
        <v>0</v>
      </c>
    </row>
    <row s="5053" customFormat="1" customHeight="1" ht="18.75" hidden="1">
      <c r="A130" s="1846"/>
      <c r="B130" s="1846"/>
      <c r="C130" s="435" t="s">
        <v>1154</v>
      </c>
      <c r="D130" s="2528"/>
      <c r="E130" s="2270"/>
      <c r="F130" s="2449"/>
      <c r="G130" s="2493"/>
      <c r="H130" s="1566"/>
      <c r="I130" s="717" t="s">
        <v>1153</v>
      </c>
      <c r="J130" s="637"/>
      <c r="K130" s="1566"/>
      <c r="L130" s="280"/>
      <c r="M130" s="407"/>
      <c r="N130" s="400"/>
      <c r="O130" s="1690"/>
      <c r="P130" s="1690"/>
      <c r="AH130" s="1697">
        <v>0</v>
      </c>
    </row>
    <row s="5053" customFormat="1" customHeight="1" ht="0.75" hidden="1">
      <c r="A131" s="1846"/>
      <c r="B131" s="1846"/>
      <c r="C131" s="435" t="s">
        <v>1161</v>
      </c>
      <c r="D131" s="2528"/>
      <c r="E131" s="2270"/>
      <c r="F131" s="2449"/>
      <c r="G131" s="466"/>
      <c r="H131" s="1566"/>
      <c r="I131" s="717"/>
      <c r="J131" s="637"/>
      <c r="K131" s="1566"/>
      <c r="L131" s="280"/>
      <c r="M131" s="407"/>
      <c r="N131" s="400"/>
      <c r="O131" s="1690"/>
      <c r="P131" s="1690"/>
      <c r="AH131" s="1697">
        <v>0</v>
      </c>
    </row>
    <row s="5053" customFormat="1" customHeight="1" ht="18.75" hidden="1">
      <c r="A132" s="1846" t="s">
        <v>264</v>
      </c>
      <c r="B132" s="1846" t="s">
        <v>265</v>
      </c>
      <c r="C132" s="435"/>
      <c r="D132" s="2528"/>
      <c r="E132" s="2270"/>
      <c r="F132" s="2449" t="str">
        <f>INDEX(PT_DIFFERENTIATION_VTAR,MATCH(A132,PT_DIFFERENTIATION_VTAR_ID,0))</f>
        <v>Тариф на транспортировку горячей воды</v>
      </c>
      <c r="G132" s="2493" t="str">
        <f>INDEX(PT_DIFFERENTIATION_NTAR,MATCH(B132,PT_DIFFERENTIATION_NTAR_ID,0))</f>
        <v/>
      </c>
      <c r="H132" s="1928"/>
      <c r="I132" s="1805"/>
      <c r="J132" s="1839"/>
      <c r="K132" s="1844"/>
      <c r="L132" s="1928" t="s">
        <v>315</v>
      </c>
      <c r="M132" s="407"/>
      <c r="N132" s="400"/>
      <c r="O132" s="1690"/>
      <c r="P132" s="1690"/>
      <c r="AH132" s="1697">
        <v>0</v>
      </c>
    </row>
    <row s="5053" customFormat="1" customHeight="1" ht="18.75" hidden="1">
      <c r="A133" s="1846"/>
      <c r="B133" s="1846"/>
      <c r="C133" s="435" t="s">
        <v>1154</v>
      </c>
      <c r="D133" s="2528"/>
      <c r="E133" s="2270"/>
      <c r="F133" s="2449"/>
      <c r="G133" s="2493"/>
      <c r="H133" s="1566"/>
      <c r="I133" s="717" t="s">
        <v>1153</v>
      </c>
      <c r="J133" s="637"/>
      <c r="K133" s="1566"/>
      <c r="L133" s="280"/>
      <c r="M133" s="407"/>
      <c r="N133" s="400"/>
      <c r="O133" s="1690"/>
      <c r="P133" s="1690"/>
      <c r="AH133" s="1697">
        <v>0</v>
      </c>
    </row>
    <row s="5053" customFormat="1" customHeight="1" ht="0.75" hidden="1">
      <c r="A134" s="1846"/>
      <c r="B134" s="1846"/>
      <c r="C134" s="435" t="s">
        <v>1161</v>
      </c>
      <c r="D134" s="2528"/>
      <c r="E134" s="2270"/>
      <c r="F134" s="2449"/>
      <c r="G134" s="466"/>
      <c r="H134" s="1566"/>
      <c r="I134" s="717"/>
      <c r="J134" s="637"/>
      <c r="K134" s="1566"/>
      <c r="L134" s="280"/>
      <c r="M134" s="407"/>
      <c r="N134" s="400"/>
      <c r="O134" s="1690"/>
      <c r="P134" s="1690"/>
      <c r="AH134" s="1697">
        <v>0</v>
      </c>
    </row>
    <row s="5053" customFormat="1" customHeight="1" ht="18.75" hidden="1">
      <c r="A135" s="1846" t="s">
        <v>269</v>
      </c>
      <c r="B135" s="1846" t="s">
        <v>270</v>
      </c>
      <c r="C135" s="435"/>
      <c r="D135" s="2528"/>
      <c r="E135" s="2270"/>
      <c r="F135" s="244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3" t="str">
        <f>INDEX(PT_DIFFERENTIATION_NTAR,MATCH(B135,PT_DIFFERENTIATION_NTAR_ID,0))</f>
        <v/>
      </c>
      <c r="H135" s="1928"/>
      <c r="I135" s="1805"/>
      <c r="J135" s="1839"/>
      <c r="K135" s="1844"/>
      <c r="L135" s="1928" t="s">
        <v>315</v>
      </c>
      <c r="M135" s="407"/>
      <c r="N135" s="400"/>
      <c r="O135" s="1690"/>
      <c r="P135" s="1690"/>
      <c r="AH135" s="1697">
        <v>0</v>
      </c>
    </row>
    <row s="5053" customFormat="1" customHeight="1" ht="18.75" hidden="1">
      <c r="A136" s="1846"/>
      <c r="B136" s="1846"/>
      <c r="C136" s="435" t="s">
        <v>1154</v>
      </c>
      <c r="D136" s="2528"/>
      <c r="E136" s="2270"/>
      <c r="F136" s="2449"/>
      <c r="G136" s="2493"/>
      <c r="H136" s="1566"/>
      <c r="I136" s="717" t="s">
        <v>1153</v>
      </c>
      <c r="J136" s="637"/>
      <c r="K136" s="1566"/>
      <c r="L136" s="280"/>
      <c r="M136" s="407"/>
      <c r="N136" s="400"/>
      <c r="O136" s="1690"/>
      <c r="P136" s="1690"/>
      <c r="AH136" s="1697">
        <v>0</v>
      </c>
    </row>
    <row s="5053" customFormat="1" customHeight="1" ht="0.75" hidden="1">
      <c r="A137" s="1846"/>
      <c r="B137" s="1846"/>
      <c r="C137" s="435" t="s">
        <v>1161</v>
      </c>
      <c r="D137" s="2528"/>
      <c r="E137" s="2270"/>
      <c r="F137" s="2449"/>
      <c r="G137" s="466"/>
      <c r="H137" s="1566"/>
      <c r="I137" s="717"/>
      <c r="J137" s="637"/>
      <c r="K137" s="1566"/>
      <c r="L137" s="280"/>
      <c r="M137" s="407"/>
      <c r="N137" s="400"/>
      <c r="O137" s="1690"/>
      <c r="P137" s="1690"/>
      <c r="AH137" s="1697">
        <v>0</v>
      </c>
    </row>
    <row s="5053" customFormat="1" customHeight="1" ht="18.75" hidden="1">
      <c r="A138" s="1846" t="s">
        <v>274</v>
      </c>
      <c r="B138" s="1846" t="s">
        <v>275</v>
      </c>
      <c r="C138" s="435"/>
      <c r="D138" s="2528"/>
      <c r="E138" s="2270"/>
      <c r="F138" s="2449" t="str">
        <f>INDEX(PT_DIFFERENTIATION_VTAR,MATCH(A138,PT_DIFFERENTIATION_VTAR_ID,0))</f>
        <v>Тариф на водоотведение</v>
      </c>
      <c r="G138" s="2493" t="str">
        <f>INDEX(PT_DIFFERENTIATION_NTAR,MATCH(B138,PT_DIFFERENTIATION_NTAR_ID,0))</f>
        <v/>
      </c>
      <c r="H138" s="1928"/>
      <c r="I138" s="1805"/>
      <c r="J138" s="1839"/>
      <c r="K138" s="1844"/>
      <c r="L138" s="1928" t="s">
        <v>315</v>
      </c>
      <c r="M138" s="407"/>
      <c r="N138" s="400"/>
      <c r="O138" s="1690"/>
      <c r="P138" s="1690"/>
      <c r="AH138" s="1697">
        <v>0</v>
      </c>
    </row>
    <row s="5053" customFormat="1" customHeight="1" ht="18.75" hidden="1">
      <c r="A139" s="1846"/>
      <c r="B139" s="1846"/>
      <c r="C139" s="435" t="s">
        <v>1154</v>
      </c>
      <c r="D139" s="2528"/>
      <c r="E139" s="2270"/>
      <c r="F139" s="2449"/>
      <c r="G139" s="2493"/>
      <c r="H139" s="1566"/>
      <c r="I139" s="717" t="s">
        <v>1153</v>
      </c>
      <c r="J139" s="637"/>
      <c r="K139" s="1566"/>
      <c r="L139" s="280"/>
      <c r="M139" s="407"/>
      <c r="N139" s="400"/>
      <c r="O139" s="1690"/>
      <c r="P139" s="1690"/>
      <c r="AH139" s="1697">
        <v>0</v>
      </c>
    </row>
    <row s="5053" customFormat="1" customHeight="1" ht="0.75" hidden="1">
      <c r="A140" s="1846"/>
      <c r="B140" s="1846"/>
      <c r="C140" s="435" t="s">
        <v>1161</v>
      </c>
      <c r="D140" s="2528"/>
      <c r="E140" s="2270"/>
      <c r="F140" s="2449"/>
      <c r="G140" s="466"/>
      <c r="H140" s="1566"/>
      <c r="I140" s="717"/>
      <c r="J140" s="637"/>
      <c r="K140" s="1566"/>
      <c r="L140" s="280"/>
      <c r="M140" s="407"/>
      <c r="N140" s="400"/>
      <c r="O140" s="1690"/>
      <c r="P140" s="1690"/>
      <c r="AH140" s="1697">
        <v>0</v>
      </c>
    </row>
    <row s="5053" customFormat="1" customHeight="1" ht="18.75" hidden="1">
      <c r="A141" s="1846" t="s">
        <v>279</v>
      </c>
      <c r="B141" s="1846" t="s">
        <v>280</v>
      </c>
      <c r="C141" s="435"/>
      <c r="D141" s="2528"/>
      <c r="E141" s="2270"/>
      <c r="F141" s="2449" t="str">
        <f>INDEX(PT_DIFFERENTIATION_VTAR,MATCH(A141,PT_DIFFERENTIATION_VTAR_ID,0))</f>
        <v>Тариф на транспортировку сточных вод</v>
      </c>
      <c r="G141" s="2493" t="str">
        <f>INDEX(PT_DIFFERENTIATION_NTAR,MATCH(B141,PT_DIFFERENTIATION_NTAR_ID,0))</f>
        <v/>
      </c>
      <c r="H141" s="1928"/>
      <c r="I141" s="1805"/>
      <c r="J141" s="1839"/>
      <c r="K141" s="1844"/>
      <c r="L141" s="1928" t="s">
        <v>315</v>
      </c>
      <c r="M141" s="407"/>
      <c r="N141" s="400"/>
      <c r="O141" s="1690"/>
      <c r="P141" s="1690"/>
      <c r="AH141" s="1697">
        <v>0</v>
      </c>
    </row>
    <row s="5053" customFormat="1" customHeight="1" ht="18.75" hidden="1">
      <c r="A142" s="1846"/>
      <c r="B142" s="1846"/>
      <c r="C142" s="435" t="s">
        <v>1154</v>
      </c>
      <c r="D142" s="2528"/>
      <c r="E142" s="2270"/>
      <c r="F142" s="2449"/>
      <c r="G142" s="2493"/>
      <c r="H142" s="1566"/>
      <c r="I142" s="717" t="s">
        <v>1153</v>
      </c>
      <c r="J142" s="637"/>
      <c r="K142" s="1566"/>
      <c r="L142" s="280"/>
      <c r="M142" s="407"/>
      <c r="N142" s="400"/>
      <c r="O142" s="1690"/>
      <c r="P142" s="1690"/>
      <c r="AH142" s="1697">
        <v>0</v>
      </c>
    </row>
    <row s="5053" customFormat="1" customHeight="1" ht="0.75" hidden="1">
      <c r="A143" s="1846"/>
      <c r="B143" s="1846"/>
      <c r="C143" s="435" t="s">
        <v>1161</v>
      </c>
      <c r="D143" s="2528"/>
      <c r="E143" s="2270"/>
      <c r="F143" s="2449"/>
      <c r="G143" s="466"/>
      <c r="H143" s="1566"/>
      <c r="I143" s="717"/>
      <c r="J143" s="637"/>
      <c r="K143" s="1566"/>
      <c r="L143" s="280"/>
      <c r="M143" s="407"/>
      <c r="N143" s="400"/>
      <c r="O143" s="1690"/>
      <c r="P143" s="1690"/>
      <c r="AH143" s="1697">
        <v>0</v>
      </c>
    </row>
    <row s="5053" customFormat="1" customHeight="1" ht="18.75" hidden="1">
      <c r="A144" s="1846" t="s">
        <v>284</v>
      </c>
      <c r="B144" s="1846" t="s">
        <v>285</v>
      </c>
      <c r="C144" s="435"/>
      <c r="D144" s="2528"/>
      <c r="E144" s="2270"/>
      <c r="F144" s="2449" t="str">
        <f>INDEX(PT_DIFFERENTIATION_VTAR,MATCH(A144,PT_DIFFERENTIATION_VTAR_ID,0))</f>
        <v>Тариф на подключение (технологическое присоединение) к централизованной системе водоотведения</v>
      </c>
      <c r="G144" s="2493" t="str">
        <f>INDEX(PT_DIFFERENTIATION_NTAR,MATCH(B144,PT_DIFFERENTIATION_NTAR_ID,0))</f>
        <v/>
      </c>
      <c r="H144" s="1928"/>
      <c r="I144" s="1805"/>
      <c r="J144" s="1839"/>
      <c r="K144" s="1844"/>
      <c r="L144" s="1928" t="s">
        <v>315</v>
      </c>
      <c r="M144" s="407"/>
      <c r="N144" s="400"/>
      <c r="O144" s="1690"/>
      <c r="P144" s="1690"/>
      <c r="AH144" s="1697">
        <v>0</v>
      </c>
    </row>
    <row s="5053" customFormat="1" customHeight="1" ht="18.75" hidden="1">
      <c r="A145" s="1846"/>
      <c r="B145" s="1846"/>
      <c r="C145" s="435" t="s">
        <v>1154</v>
      </c>
      <c r="D145" s="2528"/>
      <c r="E145" s="2270"/>
      <c r="F145" s="2449"/>
      <c r="G145" s="2493"/>
      <c r="H145" s="1566"/>
      <c r="I145" s="717" t="s">
        <v>1153</v>
      </c>
      <c r="J145" s="637"/>
      <c r="K145" s="1566"/>
      <c r="L145" s="280"/>
      <c r="M145" s="407"/>
      <c r="N145" s="400"/>
      <c r="O145" s="1690"/>
      <c r="P145" s="1690"/>
      <c r="AH145" s="1697">
        <v>0</v>
      </c>
    </row>
    <row s="5053" customFormat="1" customHeight="1" ht="1.05">
      <c r="A146" s="1846"/>
      <c r="B146" s="1846"/>
      <c r="C146" s="435" t="s">
        <v>1161</v>
      </c>
      <c r="D146" s="2528"/>
      <c r="E146" s="2270"/>
      <c r="F146" s="2449"/>
      <c r="G146" s="466"/>
      <c r="H146" s="1566"/>
      <c r="I146" s="717"/>
      <c r="J146" s="637"/>
      <c r="K146" s="1566"/>
      <c r="L146" s="280"/>
      <c r="M146" s="407"/>
      <c r="N146" s="400"/>
      <c r="O146" s="1690"/>
      <c r="P146" s="1690"/>
      <c r="AH146" s="1697">
        <v>1</v>
      </c>
    </row>
    <row customHeight="1" ht="19.95">
      <c r="A147" s="1846"/>
      <c r="B147" s="1846"/>
      <c r="D147" s="442"/>
      <c r="E147" s="213" t="s">
        <v>96</v>
      </c>
      <c r="F147" s="25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6"/>
      <c r="H147" s="2526"/>
      <c r="I147" s="2526"/>
      <c r="J147" s="2526"/>
      <c r="K147" s="2526"/>
      <c r="L147" s="2526"/>
      <c r="M147" s="363"/>
      <c r="N147" s="400"/>
      <c r="AH147" s="440">
        <v>19</v>
      </c>
    </row>
    <row s="5053" customFormat="1" customHeight="1" ht="60.75" hidden="1">
      <c r="A148" s="1846" t="s">
        <v>159</v>
      </c>
      <c r="B148" s="1846" t="s">
        <v>160</v>
      </c>
      <c r="C148" s="435"/>
      <c r="D148" s="2528"/>
      <c r="E148" s="2270"/>
      <c r="F148" s="244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3" t="str">
        <f>INDEX(PT_DIFFERENTIATION_NTAR,MATCH(B148,PT_DIFFERENTIATION_NTAR_ID,0))</f>
        <v/>
      </c>
      <c r="H148" s="1928"/>
      <c r="I148" s="1805"/>
      <c r="J148" s="1839"/>
      <c r="K148" s="1844"/>
      <c r="L148" s="1928" t="s">
        <v>315</v>
      </c>
      <c r="M148"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0"/>
      <c r="O148" s="1690"/>
      <c r="P148" s="1690"/>
      <c r="AH148" s="1697">
        <v>0</v>
      </c>
    </row>
    <row s="5053" customFormat="1" customHeight="1" ht="18.75" hidden="1">
      <c r="A149" s="1846"/>
      <c r="B149" s="1846"/>
      <c r="C149" s="435" t="s">
        <v>1154</v>
      </c>
      <c r="D149" s="2528"/>
      <c r="E149" s="2270"/>
      <c r="F149" s="2449"/>
      <c r="G149" s="2493"/>
      <c r="H149" s="1566"/>
      <c r="I149" s="717" t="s">
        <v>1153</v>
      </c>
      <c r="J149" s="637"/>
      <c r="K149" s="1566"/>
      <c r="L149" s="280"/>
      <c r="M149" s="2236"/>
      <c r="N149" s="400"/>
      <c r="O149" s="1690"/>
      <c r="P149" s="1690"/>
      <c r="AH149" s="1697">
        <v>0</v>
      </c>
    </row>
    <row s="5053" customFormat="1" customHeight="1" ht="0.75" hidden="1">
      <c r="A150" s="1846"/>
      <c r="B150" s="1846"/>
      <c r="C150" s="435" t="s">
        <v>1161</v>
      </c>
      <c r="D150" s="2528"/>
      <c r="E150" s="2270"/>
      <c r="F150" s="2449"/>
      <c r="G150" s="466"/>
      <c r="H150" s="1566"/>
      <c r="I150" s="717"/>
      <c r="J150" s="637"/>
      <c r="K150" s="1566"/>
      <c r="L150" s="280"/>
      <c r="M150" s="2236"/>
      <c r="N150" s="400"/>
      <c r="O150" s="1690"/>
      <c r="P150" s="1690"/>
      <c r="AH150" s="1697">
        <v>0</v>
      </c>
    </row>
    <row s="5053" customFormat="1" customHeight="1" ht="45" hidden="1">
      <c r="A151" s="1846" t="s">
        <v>168</v>
      </c>
      <c r="B151" s="1846" t="s">
        <v>169</v>
      </c>
      <c r="C151" s="435"/>
      <c r="D151" s="2528"/>
      <c r="E151" s="2270"/>
      <c r="F151" s="2449"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93" t="str">
        <f>INDEX(PT_DIFFERENTIATION_NTAR,MATCH(B151,PT_DIFFERENTIATION_NTAR_ID,0))</f>
        <v>Тариф на т/э (мощность), поставляемую АО "Уренгойтеплогенерация-1", приобретающему т/э с целью компенсации потерь т/э</v>
      </c>
      <c r="H151" s="1928"/>
      <c r="I151" s="1805"/>
      <c r="J151" s="1839"/>
      <c r="K151" s="1844"/>
      <c r="L151" s="1928" t="s">
        <v>315</v>
      </c>
      <c r="M151" s="2237"/>
      <c r="N151" s="400"/>
      <c r="O151" s="1690"/>
      <c r="P151" s="1690"/>
      <c r="AH151" s="1697">
        <v>0</v>
      </c>
    </row>
    <row s="5053" customFormat="1" customHeight="1" ht="18.75" hidden="1">
      <c r="A152" s="1846"/>
      <c r="B152" s="1846"/>
      <c r="C152" s="435" t="s">
        <v>1154</v>
      </c>
      <c r="D152" s="2528"/>
      <c r="E152" s="2270"/>
      <c r="F152" s="2449"/>
      <c r="G152" s="2493"/>
      <c r="H152" s="1566"/>
      <c r="I152" s="717" t="s">
        <v>1153</v>
      </c>
      <c r="J152" s="637"/>
      <c r="K152" s="1566"/>
      <c r="L152" s="280"/>
      <c r="M152" s="1927"/>
      <c r="N152" s="400"/>
      <c r="O152" s="1690"/>
      <c r="P152" s="1690"/>
      <c r="AH152" s="1697">
        <v>0</v>
      </c>
    </row>
    <row s="5053" customFormat="1" customHeight="1" ht="0.75" hidden="1">
      <c r="A153" s="1846"/>
      <c r="B153" s="1846"/>
      <c r="C153" s="435" t="s">
        <v>1161</v>
      </c>
      <c r="D153" s="2528"/>
      <c r="E153" s="2270"/>
      <c r="F153" s="2449"/>
      <c r="G153" s="466"/>
      <c r="H153" s="1566"/>
      <c r="I153" s="717"/>
      <c r="J153" s="637"/>
      <c r="K153" s="1566"/>
      <c r="L153" s="280"/>
      <c r="M153" s="407"/>
      <c r="N153" s="400"/>
      <c r="O153" s="1690"/>
      <c r="P153" s="1690"/>
      <c r="AH153" s="1697">
        <v>0</v>
      </c>
    </row>
    <row s="5053" customFormat="1" customHeight="1" ht="45" hidden="1">
      <c r="A154" s="1846" t="s">
        <v>178</v>
      </c>
      <c r="B154" s="1846" t="s">
        <v>179</v>
      </c>
      <c r="C154" s="435"/>
      <c r="D154" s="2528"/>
      <c r="E154" s="2270"/>
      <c r="F154" s="244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3" t="str">
        <f>INDEX(PT_DIFFERENTIATION_NTAR,MATCH(B154,PT_DIFFERENTIATION_NTAR_ID,0))</f>
        <v/>
      </c>
      <c r="H154" s="1928"/>
      <c r="I154" s="1805"/>
      <c r="J154" s="1839"/>
      <c r="K154" s="1844"/>
      <c r="L154" s="1928" t="s">
        <v>315</v>
      </c>
      <c r="M154" s="407"/>
      <c r="N154" s="400"/>
      <c r="O154" s="1690"/>
      <c r="P154" s="1690"/>
      <c r="AH154" s="1697">
        <v>0</v>
      </c>
    </row>
    <row s="5053" customFormat="1" customHeight="1" ht="18.75" hidden="1">
      <c r="A155" s="1846"/>
      <c r="B155" s="1846"/>
      <c r="C155" s="435" t="s">
        <v>1154</v>
      </c>
      <c r="D155" s="2528"/>
      <c r="E155" s="2270"/>
      <c r="F155" s="2449"/>
      <c r="G155" s="2493"/>
      <c r="H155" s="1566"/>
      <c r="I155" s="717" t="s">
        <v>1153</v>
      </c>
      <c r="J155" s="637"/>
      <c r="K155" s="1566"/>
      <c r="L155" s="280"/>
      <c r="M155" s="407"/>
      <c r="N155" s="400"/>
      <c r="O155" s="1690"/>
      <c r="P155" s="1690"/>
      <c r="AH155" s="1697">
        <v>0</v>
      </c>
    </row>
    <row s="5053" customFormat="1" customHeight="1" ht="0.75" hidden="1">
      <c r="A156" s="1846"/>
      <c r="B156" s="1846"/>
      <c r="C156" s="435" t="s">
        <v>1161</v>
      </c>
      <c r="D156" s="2528"/>
      <c r="E156" s="2270"/>
      <c r="F156" s="2449"/>
      <c r="G156" s="466"/>
      <c r="H156" s="1566"/>
      <c r="I156" s="717"/>
      <c r="J156" s="637"/>
      <c r="K156" s="1566"/>
      <c r="L156" s="280"/>
      <c r="M156" s="407"/>
      <c r="N156" s="400"/>
      <c r="O156" s="1690"/>
      <c r="P156" s="1690"/>
      <c r="AH156" s="1697">
        <v>0</v>
      </c>
    </row>
    <row s="5053" customFormat="1" customHeight="1" ht="45" hidden="1">
      <c r="A157" s="1846" t="s">
        <v>184</v>
      </c>
      <c r="B157" s="1846" t="s">
        <v>185</v>
      </c>
      <c r="C157" s="435"/>
      <c r="D157" s="2528"/>
      <c r="E157" s="2270"/>
      <c r="F157" s="244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3" t="str">
        <f>INDEX(PT_DIFFERENTIATION_NTAR,MATCH(B157,PT_DIFFERENTIATION_NTAR_ID,0))</f>
        <v/>
      </c>
      <c r="H157" s="1928"/>
      <c r="I157" s="1805"/>
      <c r="J157" s="1839"/>
      <c r="K157" s="1844"/>
      <c r="L157" s="1928" t="s">
        <v>315</v>
      </c>
      <c r="M157" s="407"/>
      <c r="N157" s="400"/>
      <c r="O157" s="1690"/>
      <c r="P157" s="1690"/>
      <c r="AH157" s="1697">
        <v>0</v>
      </c>
    </row>
    <row s="5053" customFormat="1" customHeight="1" ht="18.75" hidden="1">
      <c r="A158" s="1846"/>
      <c r="B158" s="1846"/>
      <c r="C158" s="435" t="s">
        <v>1154</v>
      </c>
      <c r="D158" s="2528"/>
      <c r="E158" s="2270"/>
      <c r="F158" s="2449"/>
      <c r="G158" s="2493"/>
      <c r="H158" s="1566"/>
      <c r="I158" s="717" t="s">
        <v>1153</v>
      </c>
      <c r="J158" s="637"/>
      <c r="K158" s="1566"/>
      <c r="L158" s="280"/>
      <c r="M158" s="407"/>
      <c r="N158" s="400"/>
      <c r="O158" s="1690"/>
      <c r="P158" s="1690"/>
      <c r="AH158" s="1697">
        <v>0</v>
      </c>
    </row>
    <row s="5053" customFormat="1" customHeight="1" ht="0.75" hidden="1">
      <c r="A159" s="1846"/>
      <c r="B159" s="1846"/>
      <c r="C159" s="435" t="s">
        <v>1161</v>
      </c>
      <c r="D159" s="2528"/>
      <c r="E159" s="2270"/>
      <c r="F159" s="2449"/>
      <c r="G159" s="466"/>
      <c r="H159" s="1566"/>
      <c r="I159" s="717"/>
      <c r="J159" s="637"/>
      <c r="K159" s="1566"/>
      <c r="L159" s="280"/>
      <c r="M159" s="407"/>
      <c r="N159" s="400"/>
      <c r="O159" s="1690"/>
      <c r="P159" s="1690"/>
      <c r="AH159" s="1697">
        <v>0</v>
      </c>
    </row>
    <row s="5053" customFormat="1" customHeight="1" ht="18.75" hidden="1">
      <c r="A160" s="1846" t="s">
        <v>190</v>
      </c>
      <c r="B160" s="1846" t="s">
        <v>191</v>
      </c>
      <c r="C160" s="435"/>
      <c r="D160" s="2528"/>
      <c r="E160" s="2270"/>
      <c r="F160" s="2449" t="str">
        <f>INDEX(PT_DIFFERENTIATION_VTAR,MATCH(A160,PT_DIFFERENTIATION_VTAR_ID,0))</f>
        <v>Тарифы на услуги по передаче тепловой энергии</v>
      </c>
      <c r="G160" s="2493" t="str">
        <f>INDEX(PT_DIFFERENTIATION_NTAR,MATCH(B160,PT_DIFFERENTIATION_NTAR_ID,0))</f>
        <v/>
      </c>
      <c r="H160" s="1928"/>
      <c r="I160" s="1805"/>
      <c r="J160" s="1839"/>
      <c r="K160" s="1844"/>
      <c r="L160" s="1928" t="s">
        <v>315</v>
      </c>
      <c r="M160" s="407"/>
      <c r="N160" s="400"/>
      <c r="O160" s="1690"/>
      <c r="P160" s="1690"/>
      <c r="AH160" s="1697">
        <v>0</v>
      </c>
    </row>
    <row s="5053" customFormat="1" customHeight="1" ht="18.75" hidden="1">
      <c r="A161" s="1846"/>
      <c r="B161" s="1846"/>
      <c r="C161" s="435" t="s">
        <v>1154</v>
      </c>
      <c r="D161" s="2528"/>
      <c r="E161" s="2270"/>
      <c r="F161" s="2449"/>
      <c r="G161" s="2493"/>
      <c r="H161" s="1566"/>
      <c r="I161" s="717" t="s">
        <v>1153</v>
      </c>
      <c r="J161" s="637"/>
      <c r="K161" s="1566"/>
      <c r="L161" s="280"/>
      <c r="M161" s="407"/>
      <c r="N161" s="400"/>
      <c r="O161" s="1690"/>
      <c r="P161" s="1690"/>
      <c r="AH161" s="1697">
        <v>0</v>
      </c>
    </row>
    <row s="5053" customFormat="1" customHeight="1" ht="0.75" hidden="1">
      <c r="A162" s="1846"/>
      <c r="B162" s="1846"/>
      <c r="C162" s="435" t="s">
        <v>1161</v>
      </c>
      <c r="D162" s="2528"/>
      <c r="E162" s="2270"/>
      <c r="F162" s="2449"/>
      <c r="G162" s="466"/>
      <c r="H162" s="1566"/>
      <c r="I162" s="717"/>
      <c r="J162" s="637"/>
      <c r="K162" s="1566"/>
      <c r="L162" s="280"/>
      <c r="M162" s="407"/>
      <c r="N162" s="400"/>
      <c r="O162" s="1690"/>
      <c r="P162" s="1690"/>
      <c r="AH162" s="1697">
        <v>0</v>
      </c>
    </row>
    <row s="5053" customFormat="1" customHeight="1" ht="18.75" hidden="1">
      <c r="A163" s="1846" t="s">
        <v>196</v>
      </c>
      <c r="B163" s="1846" t="s">
        <v>197</v>
      </c>
      <c r="C163" s="435"/>
      <c r="D163" s="2528"/>
      <c r="E163" s="2270"/>
      <c r="F163" s="2449" t="str">
        <f>INDEX(PT_DIFFERENTIATION_VTAR,MATCH(A163,PT_DIFFERENTIATION_VTAR_ID,0))</f>
        <v>Тарифы на услуги по передаче теплоносителя</v>
      </c>
      <c r="G163" s="2493" t="str">
        <f>INDEX(PT_DIFFERENTIATION_NTAR,MATCH(B163,PT_DIFFERENTIATION_NTAR_ID,0))</f>
        <v/>
      </c>
      <c r="H163" s="1928"/>
      <c r="I163" s="1805"/>
      <c r="J163" s="1839"/>
      <c r="K163" s="1844"/>
      <c r="L163" s="1928" t="s">
        <v>315</v>
      </c>
      <c r="M163" s="407"/>
      <c r="N163" s="400"/>
      <c r="O163" s="1690"/>
      <c r="P163" s="1690"/>
      <c r="AH163" s="1697">
        <v>0</v>
      </c>
    </row>
    <row s="5053" customFormat="1" customHeight="1" ht="18.75" hidden="1">
      <c r="A164" s="1846"/>
      <c r="B164" s="1846"/>
      <c r="C164" s="435" t="s">
        <v>1154</v>
      </c>
      <c r="D164" s="2528"/>
      <c r="E164" s="2270"/>
      <c r="F164" s="2449"/>
      <c r="G164" s="2493"/>
      <c r="H164" s="1566"/>
      <c r="I164" s="717" t="s">
        <v>1153</v>
      </c>
      <c r="J164" s="637"/>
      <c r="K164" s="1566"/>
      <c r="L164" s="280"/>
      <c r="M164" s="407"/>
      <c r="N164" s="400"/>
      <c r="O164" s="1690"/>
      <c r="P164" s="1690"/>
      <c r="AH164" s="1697">
        <v>0</v>
      </c>
    </row>
    <row s="5053" customFormat="1" customHeight="1" ht="0.75" hidden="1">
      <c r="A165" s="1846"/>
      <c r="B165" s="1846"/>
      <c r="C165" s="435" t="s">
        <v>1161</v>
      </c>
      <c r="D165" s="2528"/>
      <c r="E165" s="2270"/>
      <c r="F165" s="2449"/>
      <c r="G165" s="466"/>
      <c r="H165" s="1566"/>
      <c r="I165" s="717"/>
      <c r="J165" s="637"/>
      <c r="K165" s="1566"/>
      <c r="L165" s="280"/>
      <c r="M165" s="407"/>
      <c r="N165" s="400"/>
      <c r="O165" s="1690"/>
      <c r="P165" s="1690"/>
      <c r="AH165" s="1697">
        <v>0</v>
      </c>
    </row>
    <row s="5053" customFormat="1" customHeight="1" ht="18.75" hidden="1">
      <c r="A166" s="1846" t="s">
        <v>202</v>
      </c>
      <c r="B166" s="1846" t="s">
        <v>203</v>
      </c>
      <c r="C166" s="435"/>
      <c r="D166" s="2528"/>
      <c r="E166" s="2270"/>
      <c r="F166" s="244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3" t="str">
        <f>INDEX(PT_DIFFERENTIATION_NTAR,MATCH(B166,PT_DIFFERENTIATION_NTAR_ID,0))</f>
        <v/>
      </c>
      <c r="H166" s="1928"/>
      <c r="I166" s="1805"/>
      <c r="J166" s="1839"/>
      <c r="K166" s="1844"/>
      <c r="L166" s="1928" t="s">
        <v>315</v>
      </c>
      <c r="M166" s="407"/>
      <c r="N166" s="400"/>
      <c r="O166" s="1690"/>
      <c r="P166" s="1690"/>
      <c r="AH166" s="1697">
        <v>0</v>
      </c>
    </row>
    <row s="5053" customFormat="1" customHeight="1" ht="18.75" hidden="1">
      <c r="A167" s="1846"/>
      <c r="B167" s="1846"/>
      <c r="C167" s="435" t="s">
        <v>1154</v>
      </c>
      <c r="D167" s="2528"/>
      <c r="E167" s="2270"/>
      <c r="F167" s="2449"/>
      <c r="G167" s="2493"/>
      <c r="H167" s="1566"/>
      <c r="I167" s="717" t="s">
        <v>1153</v>
      </c>
      <c r="J167" s="637"/>
      <c r="K167" s="1566"/>
      <c r="L167" s="280"/>
      <c r="M167" s="407"/>
      <c r="N167" s="400"/>
      <c r="O167" s="1690"/>
      <c r="P167" s="1690"/>
      <c r="AH167" s="1697">
        <v>0</v>
      </c>
    </row>
    <row s="5053" customFormat="1" customHeight="1" ht="0.75" hidden="1">
      <c r="A168" s="1846"/>
      <c r="B168" s="1846"/>
      <c r="C168" s="435" t="s">
        <v>1161</v>
      </c>
      <c r="D168" s="2528"/>
      <c r="E168" s="2270"/>
      <c r="F168" s="2449"/>
      <c r="G168" s="466"/>
      <c r="H168" s="1566"/>
      <c r="I168" s="717"/>
      <c r="J168" s="637"/>
      <c r="K168" s="1566"/>
      <c r="L168" s="280"/>
      <c r="M168" s="407"/>
      <c r="N168" s="400"/>
      <c r="O168" s="1690"/>
      <c r="P168" s="1690"/>
      <c r="AH168" s="1697">
        <v>0</v>
      </c>
    </row>
    <row s="5053" customFormat="1" customHeight="1" ht="18.75" hidden="1">
      <c r="A169" s="1846" t="s">
        <v>208</v>
      </c>
      <c r="B169" s="1846" t="s">
        <v>209</v>
      </c>
      <c r="C169" s="435"/>
      <c r="D169" s="2528"/>
      <c r="E169" s="2270"/>
      <c r="F169" s="2449" t="str">
        <f>INDEX(PT_DIFFERENTIATION_VTAR,MATCH(A169,PT_DIFFERENTIATION_VTAR_ID,0))</f>
        <v>Плата за подключение (технологическое присоединение) к системе теплоснабжения</v>
      </c>
      <c r="G169" s="2493" t="str">
        <f>INDEX(PT_DIFFERENTIATION_NTAR,MATCH(B169,PT_DIFFERENTIATION_NTAR_ID,0))</f>
        <v/>
      </c>
      <c r="H169" s="1928"/>
      <c r="I169" s="1805"/>
      <c r="J169" s="1839"/>
      <c r="K169" s="1844"/>
      <c r="L169" s="1928" t="s">
        <v>315</v>
      </c>
      <c r="M169" s="407"/>
      <c r="N169" s="400"/>
      <c r="O169" s="1690"/>
      <c r="P169" s="1690"/>
      <c r="AH169" s="1697">
        <v>0</v>
      </c>
    </row>
    <row s="5053" customFormat="1" customHeight="1" ht="18.75" hidden="1">
      <c r="A170" s="1846"/>
      <c r="B170" s="1846"/>
      <c r="C170" s="435" t="s">
        <v>1154</v>
      </c>
      <c r="D170" s="2528"/>
      <c r="E170" s="2270"/>
      <c r="F170" s="2449"/>
      <c r="G170" s="2493"/>
      <c r="H170" s="1566"/>
      <c r="I170" s="717" t="s">
        <v>1153</v>
      </c>
      <c r="J170" s="637"/>
      <c r="K170" s="1566"/>
      <c r="L170" s="280"/>
      <c r="M170" s="407"/>
      <c r="N170" s="400"/>
      <c r="O170" s="1690"/>
      <c r="P170" s="1690"/>
      <c r="AH170" s="1697">
        <v>0</v>
      </c>
    </row>
    <row s="5053" customFormat="1" customHeight="1" ht="0.75" hidden="1">
      <c r="A171" s="1846"/>
      <c r="B171" s="1846"/>
      <c r="C171" s="435" t="s">
        <v>1161</v>
      </c>
      <c r="D171" s="2528"/>
      <c r="E171" s="2270"/>
      <c r="F171" s="2449"/>
      <c r="G171" s="466"/>
      <c r="H171" s="1566"/>
      <c r="I171" s="717"/>
      <c r="J171" s="637"/>
      <c r="K171" s="1566"/>
      <c r="L171" s="280"/>
      <c r="M171" s="407"/>
      <c r="N171" s="400"/>
      <c r="O171" s="1690"/>
      <c r="P171" s="1690"/>
      <c r="AH171" s="1697">
        <v>0</v>
      </c>
    </row>
    <row s="5053" customFormat="1" customHeight="1" ht="18.75" hidden="1">
      <c r="A172" s="1846" t="s">
        <v>214</v>
      </c>
      <c r="B172" s="1846" t="s">
        <v>215</v>
      </c>
      <c r="C172" s="435"/>
      <c r="D172" s="2528"/>
      <c r="E172" s="2270"/>
      <c r="F172" s="2449" t="str">
        <f>INDEX(PT_DIFFERENTIATION_VTAR,MATCH(A172,PT_DIFFERENTIATION_VTAR_ID,0))</f>
        <v>Плата за подключение (технологическое присоединение) к системе теплоснабжения (индивидуальная)</v>
      </c>
      <c r="G172" s="2493" t="str">
        <f>INDEX(PT_DIFFERENTIATION_NTAR,MATCH(B172,PT_DIFFERENTIATION_NTAR_ID,0))</f>
        <v/>
      </c>
      <c r="H172" s="2055"/>
      <c r="I172" s="1805"/>
      <c r="J172" s="1839"/>
      <c r="K172" s="1844"/>
      <c r="L172" s="2055" t="s">
        <v>315</v>
      </c>
      <c r="M172" s="407"/>
      <c r="N172" s="400"/>
      <c r="O172" s="1690"/>
      <c r="P172" s="1690"/>
      <c r="AH172" s="1697">
        <v>0</v>
      </c>
    </row>
    <row s="5053" customFormat="1" customHeight="1" ht="18.75" hidden="1">
      <c r="A173" s="1846"/>
      <c r="B173" s="1846"/>
      <c r="C173" s="435" t="s">
        <v>1154</v>
      </c>
      <c r="D173" s="2528"/>
      <c r="E173" s="2270"/>
      <c r="F173" s="2449"/>
      <c r="G173" s="2493"/>
      <c r="H173" s="1566"/>
      <c r="I173" s="717" t="s">
        <v>1153</v>
      </c>
      <c r="J173" s="637"/>
      <c r="K173" s="1566"/>
      <c r="L173" s="280"/>
      <c r="M173" s="407"/>
      <c r="N173" s="400"/>
      <c r="O173" s="1690"/>
      <c r="P173" s="1690"/>
      <c r="AH173" s="1697">
        <v>0</v>
      </c>
    </row>
    <row s="5053" customFormat="1" customHeight="1" ht="0.75" hidden="1">
      <c r="A174" s="1846"/>
      <c r="B174" s="1846"/>
      <c r="C174" s="435" t="s">
        <v>1161</v>
      </c>
      <c r="D174" s="2528"/>
      <c r="E174" s="2270"/>
      <c r="F174" s="2449"/>
      <c r="G174" s="466"/>
      <c r="H174" s="1566"/>
      <c r="I174" s="717"/>
      <c r="J174" s="637"/>
      <c r="K174" s="1566"/>
      <c r="L174" s="280"/>
      <c r="M174" s="407"/>
      <c r="N174" s="400"/>
      <c r="O174" s="1690"/>
      <c r="P174" s="1690"/>
      <c r="AH174" s="1697">
        <v>0</v>
      </c>
    </row>
    <row s="5053" customFormat="1" customHeight="1" ht="18.75" hidden="1">
      <c r="A175" s="1846" t="s">
        <v>234</v>
      </c>
      <c r="B175" s="1846" t="s">
        <v>235</v>
      </c>
      <c r="C175" s="435"/>
      <c r="D175" s="2528"/>
      <c r="E175" s="2270"/>
      <c r="F175" s="2449" t="str">
        <f>INDEX(PT_DIFFERENTIATION_VTAR,MATCH(A175,PT_DIFFERENTIATION_VTAR_ID,0))</f>
        <v>Тариф на питьевую воду (питьевое водоснабжение)</v>
      </c>
      <c r="G175" s="2493" t="str">
        <f>INDEX(PT_DIFFERENTIATION_NTAR,MATCH(B175,PT_DIFFERENTIATION_NTAR_ID,0))</f>
        <v/>
      </c>
      <c r="H175" s="1928"/>
      <c r="I175" s="1805"/>
      <c r="J175" s="1839"/>
      <c r="K175" s="1844"/>
      <c r="L175" s="1928" t="s">
        <v>315</v>
      </c>
      <c r="M175" s="407"/>
      <c r="N175" s="400"/>
      <c r="O175" s="1690"/>
      <c r="P175" s="1690"/>
      <c r="AH175" s="1697">
        <v>0</v>
      </c>
    </row>
    <row s="5053" customFormat="1" customHeight="1" ht="18.75" hidden="1">
      <c r="A176" s="1846"/>
      <c r="B176" s="1846"/>
      <c r="C176" s="435" t="s">
        <v>1154</v>
      </c>
      <c r="D176" s="2528"/>
      <c r="E176" s="2270"/>
      <c r="F176" s="2449"/>
      <c r="G176" s="2493"/>
      <c r="H176" s="1566"/>
      <c r="I176" s="717" t="s">
        <v>1153</v>
      </c>
      <c r="J176" s="637"/>
      <c r="K176" s="1566"/>
      <c r="L176" s="280"/>
      <c r="M176" s="407"/>
      <c r="N176" s="400"/>
      <c r="O176" s="1690"/>
      <c r="P176" s="1690"/>
      <c r="AH176" s="1697">
        <v>0</v>
      </c>
    </row>
    <row s="5053" customFormat="1" customHeight="1" ht="0.75" hidden="1">
      <c r="A177" s="1846"/>
      <c r="B177" s="1846"/>
      <c r="C177" s="435" t="s">
        <v>1161</v>
      </c>
      <c r="D177" s="2528"/>
      <c r="E177" s="2270"/>
      <c r="F177" s="2449"/>
      <c r="G177" s="466"/>
      <c r="H177" s="1566"/>
      <c r="I177" s="717"/>
      <c r="J177" s="637"/>
      <c r="K177" s="1566"/>
      <c r="L177" s="280"/>
      <c r="M177" s="407"/>
      <c r="N177" s="400"/>
      <c r="O177" s="1690"/>
      <c r="P177" s="1690"/>
      <c r="AH177" s="1697">
        <v>0</v>
      </c>
    </row>
    <row s="5053" customFormat="1" customHeight="1" ht="18.75" hidden="1">
      <c r="A178" s="1846" t="s">
        <v>239</v>
      </c>
      <c r="B178" s="1846" t="s">
        <v>240</v>
      </c>
      <c r="C178" s="435"/>
      <c r="D178" s="2528"/>
      <c r="E178" s="2270"/>
      <c r="F178" s="2449" t="str">
        <f>INDEX(PT_DIFFERENTIATION_VTAR,MATCH(A178,PT_DIFFERENTIATION_VTAR_ID,0))</f>
        <v>Тариф на техническую воду</v>
      </c>
      <c r="G178" s="2493" t="str">
        <f>INDEX(PT_DIFFERENTIATION_NTAR,MATCH(B178,PT_DIFFERENTIATION_NTAR_ID,0))</f>
        <v/>
      </c>
      <c r="H178" s="1928"/>
      <c r="I178" s="1805"/>
      <c r="J178" s="1839"/>
      <c r="K178" s="1844"/>
      <c r="L178" s="1928" t="s">
        <v>315</v>
      </c>
      <c r="M178" s="407"/>
      <c r="N178" s="400"/>
      <c r="O178" s="1690"/>
      <c r="P178" s="1690"/>
      <c r="AH178" s="1697">
        <v>0</v>
      </c>
    </row>
    <row s="5053" customFormat="1" customHeight="1" ht="18.75" hidden="1">
      <c r="A179" s="1846"/>
      <c r="B179" s="1846"/>
      <c r="C179" s="435" t="s">
        <v>1154</v>
      </c>
      <c r="D179" s="2528"/>
      <c r="E179" s="2270"/>
      <c r="F179" s="2449"/>
      <c r="G179" s="2493"/>
      <c r="H179" s="1566"/>
      <c r="I179" s="717" t="s">
        <v>1153</v>
      </c>
      <c r="J179" s="637"/>
      <c r="K179" s="1566"/>
      <c r="L179" s="280"/>
      <c r="M179" s="407"/>
      <c r="N179" s="400"/>
      <c r="O179" s="1690"/>
      <c r="P179" s="1690"/>
      <c r="AH179" s="1697">
        <v>0</v>
      </c>
    </row>
    <row s="5053" customFormat="1" customHeight="1" ht="0.75" hidden="1">
      <c r="A180" s="1846"/>
      <c r="B180" s="1846"/>
      <c r="C180" s="435" t="s">
        <v>1161</v>
      </c>
      <c r="D180" s="2528"/>
      <c r="E180" s="2270"/>
      <c r="F180" s="2449"/>
      <c r="G180" s="466"/>
      <c r="H180" s="1566"/>
      <c r="I180" s="717"/>
      <c r="J180" s="637"/>
      <c r="K180" s="1566"/>
      <c r="L180" s="280"/>
      <c r="M180" s="407"/>
      <c r="N180" s="400"/>
      <c r="O180" s="1690"/>
      <c r="P180" s="1690"/>
      <c r="AH180" s="1697">
        <v>0</v>
      </c>
    </row>
    <row s="5053" customFormat="1" customHeight="1" ht="18.75" hidden="1">
      <c r="A181" s="1846" t="s">
        <v>244</v>
      </c>
      <c r="B181" s="1846" t="s">
        <v>245</v>
      </c>
      <c r="C181" s="435"/>
      <c r="D181" s="2528"/>
      <c r="E181" s="2270"/>
      <c r="F181" s="2449" t="str">
        <f>INDEX(PT_DIFFERENTIATION_VTAR,MATCH(A181,PT_DIFFERENTIATION_VTAR_ID,0))</f>
        <v>Тариф на транспортировку воды</v>
      </c>
      <c r="G181" s="2493" t="str">
        <f>INDEX(PT_DIFFERENTIATION_NTAR,MATCH(B181,PT_DIFFERENTIATION_NTAR_ID,0))</f>
        <v/>
      </c>
      <c r="H181" s="1928"/>
      <c r="I181" s="1805"/>
      <c r="J181" s="1839"/>
      <c r="K181" s="1844"/>
      <c r="L181" s="1928" t="s">
        <v>315</v>
      </c>
      <c r="M181" s="407"/>
      <c r="N181" s="400"/>
      <c r="O181" s="1690"/>
      <c r="P181" s="1690"/>
      <c r="AH181" s="1697">
        <v>0</v>
      </c>
    </row>
    <row s="5053" customFormat="1" customHeight="1" ht="18.75" hidden="1">
      <c r="A182" s="1846"/>
      <c r="B182" s="1846"/>
      <c r="C182" s="435" t="s">
        <v>1154</v>
      </c>
      <c r="D182" s="2528"/>
      <c r="E182" s="2270"/>
      <c r="F182" s="2449"/>
      <c r="G182" s="2493"/>
      <c r="H182" s="1566"/>
      <c r="I182" s="717" t="s">
        <v>1153</v>
      </c>
      <c r="J182" s="637"/>
      <c r="K182" s="1566"/>
      <c r="L182" s="280"/>
      <c r="M182" s="407"/>
      <c r="N182" s="400"/>
      <c r="O182" s="1690"/>
      <c r="P182" s="1690"/>
      <c r="AH182" s="1697">
        <v>0</v>
      </c>
    </row>
    <row s="5053" customFormat="1" customHeight="1" ht="0.75" hidden="1">
      <c r="A183" s="1846"/>
      <c r="B183" s="1846"/>
      <c r="C183" s="435" t="s">
        <v>1161</v>
      </c>
      <c r="D183" s="2528"/>
      <c r="E183" s="2270"/>
      <c r="F183" s="2449"/>
      <c r="G183" s="466"/>
      <c r="H183" s="1566"/>
      <c r="I183" s="717"/>
      <c r="J183" s="637"/>
      <c r="K183" s="1566"/>
      <c r="L183" s="280"/>
      <c r="M183" s="407"/>
      <c r="N183" s="400"/>
      <c r="O183" s="1690"/>
      <c r="P183" s="1690"/>
      <c r="AH183" s="1697">
        <v>0</v>
      </c>
    </row>
    <row s="5053" customFormat="1" customHeight="1" ht="18.75" hidden="1">
      <c r="A184" s="1846" t="s">
        <v>249</v>
      </c>
      <c r="B184" s="1846" t="s">
        <v>250</v>
      </c>
      <c r="C184" s="435"/>
      <c r="D184" s="2528"/>
      <c r="E184" s="2270"/>
      <c r="F184" s="2449" t="str">
        <f>INDEX(PT_DIFFERENTIATION_VTAR,MATCH(A184,PT_DIFFERENTIATION_VTAR_ID,0))</f>
        <v>Тариф на подвоз воды</v>
      </c>
      <c r="G184" s="2493" t="str">
        <f>INDEX(PT_DIFFERENTIATION_NTAR,MATCH(B184,PT_DIFFERENTIATION_NTAR_ID,0))</f>
        <v/>
      </c>
      <c r="H184" s="1928"/>
      <c r="I184" s="1805"/>
      <c r="J184" s="1839"/>
      <c r="K184" s="1844"/>
      <c r="L184" s="1928" t="s">
        <v>315</v>
      </c>
      <c r="M184" s="407"/>
      <c r="N184" s="400"/>
      <c r="O184" s="1690"/>
      <c r="P184" s="1690"/>
      <c r="AH184" s="1697">
        <v>0</v>
      </c>
    </row>
    <row s="5053" customFormat="1" customHeight="1" ht="18.75" hidden="1">
      <c r="A185" s="1846"/>
      <c r="B185" s="1846"/>
      <c r="C185" s="435" t="s">
        <v>1154</v>
      </c>
      <c r="D185" s="2528"/>
      <c r="E185" s="2270"/>
      <c r="F185" s="2449"/>
      <c r="G185" s="2493"/>
      <c r="H185" s="1566"/>
      <c r="I185" s="717" t="s">
        <v>1153</v>
      </c>
      <c r="J185" s="637"/>
      <c r="K185" s="1566"/>
      <c r="L185" s="280"/>
      <c r="M185" s="407"/>
      <c r="N185" s="400"/>
      <c r="O185" s="1690"/>
      <c r="P185" s="1690"/>
      <c r="AH185" s="1697">
        <v>0</v>
      </c>
    </row>
    <row s="5053" customFormat="1" customHeight="1" ht="0.75" hidden="1">
      <c r="A186" s="1846"/>
      <c r="B186" s="1846"/>
      <c r="C186" s="435" t="s">
        <v>1161</v>
      </c>
      <c r="D186" s="2528"/>
      <c r="E186" s="2270"/>
      <c r="F186" s="2449"/>
      <c r="G186" s="466"/>
      <c r="H186" s="1566"/>
      <c r="I186" s="717"/>
      <c r="J186" s="637"/>
      <c r="K186" s="1566"/>
      <c r="L186" s="280"/>
      <c r="M186" s="407"/>
      <c r="N186" s="400"/>
      <c r="O186" s="1690"/>
      <c r="P186" s="1690"/>
      <c r="AH186" s="1697">
        <v>0</v>
      </c>
    </row>
    <row s="5053" customFormat="1" customHeight="1" ht="18.75" hidden="1">
      <c r="A187" s="1846" t="s">
        <v>254</v>
      </c>
      <c r="B187" s="1846" t="s">
        <v>255</v>
      </c>
      <c r="C187" s="435"/>
      <c r="D187" s="2528"/>
      <c r="E187" s="2270"/>
      <c r="F187" s="244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3" t="str">
        <f>INDEX(PT_DIFFERENTIATION_NTAR,MATCH(B187,PT_DIFFERENTIATION_NTAR_ID,0))</f>
        <v/>
      </c>
      <c r="H187" s="1928"/>
      <c r="I187" s="1805"/>
      <c r="J187" s="1839"/>
      <c r="K187" s="1844"/>
      <c r="L187" s="1928" t="s">
        <v>315</v>
      </c>
      <c r="M187" s="407"/>
      <c r="N187" s="400"/>
      <c r="O187" s="1690"/>
      <c r="P187" s="1690"/>
      <c r="AH187" s="1697">
        <v>0</v>
      </c>
    </row>
    <row s="5053" customFormat="1" customHeight="1" ht="18.75" hidden="1">
      <c r="A188" s="1846"/>
      <c r="B188" s="1846"/>
      <c r="C188" s="435" t="s">
        <v>1154</v>
      </c>
      <c r="D188" s="2528"/>
      <c r="E188" s="2270"/>
      <c r="F188" s="2449"/>
      <c r="G188" s="2493"/>
      <c r="H188" s="1566"/>
      <c r="I188" s="717" t="s">
        <v>1153</v>
      </c>
      <c r="J188" s="637"/>
      <c r="K188" s="1566"/>
      <c r="L188" s="280"/>
      <c r="M188" s="407"/>
      <c r="N188" s="400"/>
      <c r="O188" s="1690"/>
      <c r="P188" s="1690"/>
      <c r="AH188" s="1697">
        <v>0</v>
      </c>
    </row>
    <row s="5053" customFormat="1" customHeight="1" ht="0.75" hidden="1">
      <c r="A189" s="1846"/>
      <c r="B189" s="1846"/>
      <c r="C189" s="435" t="s">
        <v>1161</v>
      </c>
      <c r="D189" s="2528"/>
      <c r="E189" s="2270"/>
      <c r="F189" s="2449"/>
      <c r="G189" s="466"/>
      <c r="H189" s="1566"/>
      <c r="I189" s="717"/>
      <c r="J189" s="637"/>
      <c r="K189" s="1566"/>
      <c r="L189" s="280"/>
      <c r="M189" s="407"/>
      <c r="N189" s="400"/>
      <c r="O189" s="1690"/>
      <c r="P189" s="1690"/>
      <c r="AH189" s="1697">
        <v>0</v>
      </c>
    </row>
    <row s="5053" customFormat="1" customHeight="1" ht="18.75" hidden="1">
      <c r="A190" s="1846" t="s">
        <v>259</v>
      </c>
      <c r="B190" s="1846" t="s">
        <v>260</v>
      </c>
      <c r="C190" s="435"/>
      <c r="D190" s="2528"/>
      <c r="E190" s="2270"/>
      <c r="F190" s="2449" t="str">
        <f>INDEX(PT_DIFFERENTIATION_VTAR,MATCH(A190,PT_DIFFERENTIATION_VTAR_ID,0))</f>
        <v>Тариф на горячую воду (горячее водоснабжение)</v>
      </c>
      <c r="G190" s="2493" t="str">
        <f>INDEX(PT_DIFFERENTIATION_NTAR,MATCH(B190,PT_DIFFERENTIATION_NTAR_ID,0))</f>
        <v/>
      </c>
      <c r="H190" s="1928"/>
      <c r="I190" s="1805"/>
      <c r="J190" s="1839"/>
      <c r="K190" s="1844"/>
      <c r="L190" s="1928" t="s">
        <v>315</v>
      </c>
      <c r="M190" s="407"/>
      <c r="N190" s="400"/>
      <c r="O190" s="1690"/>
      <c r="P190" s="1690"/>
      <c r="AH190" s="1697">
        <v>0</v>
      </c>
    </row>
    <row s="5053" customFormat="1" customHeight="1" ht="18.75" hidden="1">
      <c r="A191" s="1846"/>
      <c r="B191" s="1846"/>
      <c r="C191" s="435" t="s">
        <v>1154</v>
      </c>
      <c r="D191" s="2528"/>
      <c r="E191" s="2270"/>
      <c r="F191" s="2449"/>
      <c r="G191" s="2493"/>
      <c r="H191" s="1566"/>
      <c r="I191" s="717" t="s">
        <v>1153</v>
      </c>
      <c r="J191" s="637"/>
      <c r="K191" s="1566"/>
      <c r="L191" s="280"/>
      <c r="M191" s="407"/>
      <c r="N191" s="400"/>
      <c r="O191" s="1690"/>
      <c r="P191" s="1690"/>
      <c r="AH191" s="1697">
        <v>0</v>
      </c>
    </row>
    <row s="5053" customFormat="1" customHeight="1" ht="0.75" hidden="1">
      <c r="A192" s="1846"/>
      <c r="B192" s="1846"/>
      <c r="C192" s="435" t="s">
        <v>1161</v>
      </c>
      <c r="D192" s="2528"/>
      <c r="E192" s="2270"/>
      <c r="F192" s="2449"/>
      <c r="G192" s="466"/>
      <c r="H192" s="1566"/>
      <c r="I192" s="717"/>
      <c r="J192" s="637"/>
      <c r="K192" s="1566"/>
      <c r="L192" s="280"/>
      <c r="M192" s="407"/>
      <c r="N192" s="400"/>
      <c r="O192" s="1690"/>
      <c r="P192" s="1690"/>
      <c r="AH192" s="1697">
        <v>0</v>
      </c>
    </row>
    <row s="5053" customFormat="1" customHeight="1" ht="18.75" hidden="1">
      <c r="A193" s="1846" t="s">
        <v>264</v>
      </c>
      <c r="B193" s="1846" t="s">
        <v>265</v>
      </c>
      <c r="C193" s="435"/>
      <c r="D193" s="2528"/>
      <c r="E193" s="2270"/>
      <c r="F193" s="2449" t="str">
        <f>INDEX(PT_DIFFERENTIATION_VTAR,MATCH(A193,PT_DIFFERENTIATION_VTAR_ID,0))</f>
        <v>Тариф на транспортировку горячей воды</v>
      </c>
      <c r="G193" s="2493" t="str">
        <f>INDEX(PT_DIFFERENTIATION_NTAR,MATCH(B193,PT_DIFFERENTIATION_NTAR_ID,0))</f>
        <v/>
      </c>
      <c r="H193" s="1928"/>
      <c r="I193" s="1805"/>
      <c r="J193" s="1839"/>
      <c r="K193" s="1844"/>
      <c r="L193" s="1928" t="s">
        <v>315</v>
      </c>
      <c r="M193" s="407"/>
      <c r="N193" s="400"/>
      <c r="O193" s="1690"/>
      <c r="P193" s="1690"/>
      <c r="AH193" s="1697">
        <v>0</v>
      </c>
    </row>
    <row s="5053" customFormat="1" customHeight="1" ht="18.75" hidden="1">
      <c r="A194" s="1846"/>
      <c r="B194" s="1846"/>
      <c r="C194" s="435" t="s">
        <v>1154</v>
      </c>
      <c r="D194" s="2528"/>
      <c r="E194" s="2270"/>
      <c r="F194" s="2449"/>
      <c r="G194" s="2493"/>
      <c r="H194" s="1566"/>
      <c r="I194" s="717" t="s">
        <v>1153</v>
      </c>
      <c r="J194" s="637"/>
      <c r="K194" s="1566"/>
      <c r="L194" s="280"/>
      <c r="M194" s="407"/>
      <c r="N194" s="400"/>
      <c r="O194" s="1690"/>
      <c r="P194" s="1690"/>
      <c r="AH194" s="1697">
        <v>0</v>
      </c>
    </row>
    <row s="5053" customFormat="1" customHeight="1" ht="0.75" hidden="1">
      <c r="A195" s="1846"/>
      <c r="B195" s="1846"/>
      <c r="C195" s="435" t="s">
        <v>1161</v>
      </c>
      <c r="D195" s="2528"/>
      <c r="E195" s="2270"/>
      <c r="F195" s="2449"/>
      <c r="G195" s="466"/>
      <c r="H195" s="1566"/>
      <c r="I195" s="717"/>
      <c r="J195" s="637"/>
      <c r="K195" s="1566"/>
      <c r="L195" s="280"/>
      <c r="M195" s="407"/>
      <c r="N195" s="400"/>
      <c r="O195" s="1690"/>
      <c r="P195" s="1690"/>
      <c r="AH195" s="1697">
        <v>0</v>
      </c>
    </row>
    <row s="5053" customFormat="1" customHeight="1" ht="18.75" hidden="1">
      <c r="A196" s="1846" t="s">
        <v>269</v>
      </c>
      <c r="B196" s="1846" t="s">
        <v>270</v>
      </c>
      <c r="C196" s="435"/>
      <c r="D196" s="2528"/>
      <c r="E196" s="2270"/>
      <c r="F196" s="244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3" t="str">
        <f>INDEX(PT_DIFFERENTIATION_NTAR,MATCH(B196,PT_DIFFERENTIATION_NTAR_ID,0))</f>
        <v/>
      </c>
      <c r="H196" s="1928"/>
      <c r="I196" s="1805"/>
      <c r="J196" s="1839"/>
      <c r="K196" s="1844"/>
      <c r="L196" s="1928" t="s">
        <v>315</v>
      </c>
      <c r="M196" s="407"/>
      <c r="N196" s="400"/>
      <c r="O196" s="1690"/>
      <c r="P196" s="1690"/>
      <c r="AH196" s="1697">
        <v>0</v>
      </c>
    </row>
    <row s="5053" customFormat="1" customHeight="1" ht="18.75" hidden="1">
      <c r="A197" s="1846"/>
      <c r="B197" s="1846"/>
      <c r="C197" s="435" t="s">
        <v>1154</v>
      </c>
      <c r="D197" s="2528"/>
      <c r="E197" s="2270"/>
      <c r="F197" s="2449"/>
      <c r="G197" s="2493"/>
      <c r="H197" s="1566"/>
      <c r="I197" s="717" t="s">
        <v>1153</v>
      </c>
      <c r="J197" s="637"/>
      <c r="K197" s="1566"/>
      <c r="L197" s="280"/>
      <c r="M197" s="407"/>
      <c r="N197" s="400"/>
      <c r="O197" s="1690"/>
      <c r="P197" s="1690"/>
      <c r="AH197" s="1697">
        <v>0</v>
      </c>
    </row>
    <row s="5053" customFormat="1" customHeight="1" ht="0.75" hidden="1">
      <c r="A198" s="1846"/>
      <c r="B198" s="1846"/>
      <c r="C198" s="435" t="s">
        <v>1161</v>
      </c>
      <c r="D198" s="2528"/>
      <c r="E198" s="2270"/>
      <c r="F198" s="2449"/>
      <c r="G198" s="466"/>
      <c r="H198" s="1566"/>
      <c r="I198" s="717"/>
      <c r="J198" s="637"/>
      <c r="K198" s="1566"/>
      <c r="L198" s="280"/>
      <c r="M198" s="407"/>
      <c r="N198" s="400"/>
      <c r="O198" s="1690"/>
      <c r="P198" s="1690"/>
      <c r="AH198" s="1697">
        <v>0</v>
      </c>
    </row>
    <row s="5053" customFormat="1" customHeight="1" ht="18.75" hidden="1">
      <c r="A199" s="1846" t="s">
        <v>274</v>
      </c>
      <c r="B199" s="1846" t="s">
        <v>275</v>
      </c>
      <c r="C199" s="435"/>
      <c r="D199" s="2528"/>
      <c r="E199" s="2270"/>
      <c r="F199" s="2449" t="str">
        <f>INDEX(PT_DIFFERENTIATION_VTAR,MATCH(A199,PT_DIFFERENTIATION_VTAR_ID,0))</f>
        <v>Тариф на водоотведение</v>
      </c>
      <c r="G199" s="2493" t="str">
        <f>INDEX(PT_DIFFERENTIATION_NTAR,MATCH(B199,PT_DIFFERENTIATION_NTAR_ID,0))</f>
        <v/>
      </c>
      <c r="H199" s="1928"/>
      <c r="I199" s="1805"/>
      <c r="J199" s="1839"/>
      <c r="K199" s="1844"/>
      <c r="L199" s="1928" t="s">
        <v>315</v>
      </c>
      <c r="M199" s="407"/>
      <c r="N199" s="400"/>
      <c r="O199" s="1690"/>
      <c r="P199" s="1690"/>
      <c r="AH199" s="1697">
        <v>0</v>
      </c>
    </row>
    <row s="5053" customFormat="1" customHeight="1" ht="18.75" hidden="1">
      <c r="A200" s="1846"/>
      <c r="B200" s="1846"/>
      <c r="C200" s="435" t="s">
        <v>1154</v>
      </c>
      <c r="D200" s="2528"/>
      <c r="E200" s="2270"/>
      <c r="F200" s="2449"/>
      <c r="G200" s="2493"/>
      <c r="H200" s="1566"/>
      <c r="I200" s="717" t="s">
        <v>1153</v>
      </c>
      <c r="J200" s="637"/>
      <c r="K200" s="1566"/>
      <c r="L200" s="280"/>
      <c r="M200" s="407"/>
      <c r="N200" s="400"/>
      <c r="O200" s="1690"/>
      <c r="P200" s="1690"/>
      <c r="AH200" s="1697">
        <v>0</v>
      </c>
    </row>
    <row s="5053" customFormat="1" customHeight="1" ht="0.75" hidden="1">
      <c r="A201" s="1846"/>
      <c r="B201" s="1846"/>
      <c r="C201" s="435" t="s">
        <v>1161</v>
      </c>
      <c r="D201" s="2528"/>
      <c r="E201" s="2270"/>
      <c r="F201" s="2449"/>
      <c r="G201" s="466"/>
      <c r="H201" s="1566"/>
      <c r="I201" s="717"/>
      <c r="J201" s="637"/>
      <c r="K201" s="1566"/>
      <c r="L201" s="280"/>
      <c r="M201" s="407"/>
      <c r="N201" s="400"/>
      <c r="O201" s="1690"/>
      <c r="P201" s="1690"/>
      <c r="AH201" s="1697">
        <v>0</v>
      </c>
    </row>
    <row s="5053" customFormat="1" customHeight="1" ht="18.75" hidden="1">
      <c r="A202" s="1846" t="s">
        <v>279</v>
      </c>
      <c r="B202" s="1846" t="s">
        <v>280</v>
      </c>
      <c r="C202" s="435"/>
      <c r="D202" s="2528"/>
      <c r="E202" s="2270"/>
      <c r="F202" s="2449" t="str">
        <f>INDEX(PT_DIFFERENTIATION_VTAR,MATCH(A202,PT_DIFFERENTIATION_VTAR_ID,0))</f>
        <v>Тариф на транспортировку сточных вод</v>
      </c>
      <c r="G202" s="2493" t="str">
        <f>INDEX(PT_DIFFERENTIATION_NTAR,MATCH(B202,PT_DIFFERENTIATION_NTAR_ID,0))</f>
        <v/>
      </c>
      <c r="H202" s="1928"/>
      <c r="I202" s="1805"/>
      <c r="J202" s="1839"/>
      <c r="K202" s="1844"/>
      <c r="L202" s="1928" t="s">
        <v>315</v>
      </c>
      <c r="M202" s="407"/>
      <c r="N202" s="400"/>
      <c r="O202" s="1690"/>
      <c r="P202" s="1690"/>
      <c r="AH202" s="1697">
        <v>0</v>
      </c>
    </row>
    <row s="5053" customFormat="1" customHeight="1" ht="18.75" hidden="1">
      <c r="A203" s="1846"/>
      <c r="B203" s="1846"/>
      <c r="C203" s="435" t="s">
        <v>1154</v>
      </c>
      <c r="D203" s="2528"/>
      <c r="E203" s="2270"/>
      <c r="F203" s="2449"/>
      <c r="G203" s="2493"/>
      <c r="H203" s="1566"/>
      <c r="I203" s="717" t="s">
        <v>1153</v>
      </c>
      <c r="J203" s="637"/>
      <c r="K203" s="1566"/>
      <c r="L203" s="280"/>
      <c r="M203" s="407"/>
      <c r="N203" s="400"/>
      <c r="O203" s="1690"/>
      <c r="P203" s="1690"/>
      <c r="AH203" s="1697">
        <v>0</v>
      </c>
    </row>
    <row s="5053" customFormat="1" customHeight="1" ht="0.75" hidden="1">
      <c r="A204" s="1846"/>
      <c r="B204" s="1846"/>
      <c r="C204" s="435" t="s">
        <v>1161</v>
      </c>
      <c r="D204" s="2528"/>
      <c r="E204" s="2270"/>
      <c r="F204" s="2449"/>
      <c r="G204" s="466"/>
      <c r="H204" s="1566"/>
      <c r="I204" s="717"/>
      <c r="J204" s="637"/>
      <c r="K204" s="1566"/>
      <c r="L204" s="280"/>
      <c r="M204" s="407"/>
      <c r="N204" s="400"/>
      <c r="O204" s="1690"/>
      <c r="P204" s="1690"/>
      <c r="AH204" s="1697">
        <v>0</v>
      </c>
    </row>
    <row s="5053" customFormat="1" customHeight="1" ht="18.75" hidden="1">
      <c r="A205" s="1846" t="s">
        <v>284</v>
      </c>
      <c r="B205" s="1846" t="s">
        <v>285</v>
      </c>
      <c r="C205" s="435"/>
      <c r="D205" s="2528"/>
      <c r="E205" s="2270"/>
      <c r="F205" s="2449" t="str">
        <f>INDEX(PT_DIFFERENTIATION_VTAR,MATCH(A205,PT_DIFFERENTIATION_VTAR_ID,0))</f>
        <v>Тариф на подключение (технологическое присоединение) к централизованной системе водоотведения</v>
      </c>
      <c r="G205" s="2493" t="str">
        <f>INDEX(PT_DIFFERENTIATION_NTAR,MATCH(B205,PT_DIFFERENTIATION_NTAR_ID,0))</f>
        <v/>
      </c>
      <c r="H205" s="1928"/>
      <c r="I205" s="1805"/>
      <c r="J205" s="1839"/>
      <c r="K205" s="1844"/>
      <c r="L205" s="1928" t="s">
        <v>315</v>
      </c>
      <c r="M205" s="407"/>
      <c r="N205" s="400"/>
      <c r="O205" s="1690"/>
      <c r="P205" s="1690"/>
      <c r="AH205" s="1697">
        <v>0</v>
      </c>
    </row>
    <row s="5053" customFormat="1" customHeight="1" ht="18.75" hidden="1">
      <c r="A206" s="1846"/>
      <c r="B206" s="1846"/>
      <c r="C206" s="435" t="s">
        <v>1154</v>
      </c>
      <c r="D206" s="2528"/>
      <c r="E206" s="2270"/>
      <c r="F206" s="2449"/>
      <c r="G206" s="2493"/>
      <c r="H206" s="1566"/>
      <c r="I206" s="717" t="s">
        <v>1153</v>
      </c>
      <c r="J206" s="637"/>
      <c r="K206" s="1566"/>
      <c r="L206" s="280"/>
      <c r="M206" s="407"/>
      <c r="N206" s="400"/>
      <c r="O206" s="1690"/>
      <c r="P206" s="1690"/>
      <c r="AH206" s="1697">
        <v>0</v>
      </c>
    </row>
    <row s="5053" customFormat="1" customHeight="1" ht="1.05">
      <c r="A207" s="1846"/>
      <c r="B207" s="1846"/>
      <c r="C207" s="435" t="s">
        <v>1161</v>
      </c>
      <c r="D207" s="2528"/>
      <c r="E207" s="2270"/>
      <c r="F207" s="2449"/>
      <c r="G207" s="466"/>
      <c r="H207" s="1566"/>
      <c r="I207" s="717"/>
      <c r="J207" s="637"/>
      <c r="K207" s="1566"/>
      <c r="L207" s="280"/>
      <c r="M207" s="407"/>
      <c r="N207" s="400"/>
      <c r="O207" s="1690"/>
      <c r="P207" s="1690"/>
      <c r="AH207" s="1697">
        <v>1</v>
      </c>
    </row>
    <row customHeight="1" ht="27.299999999999997">
      <c r="A208" s="1846"/>
      <c r="B208" s="1846"/>
      <c r="D208" s="442"/>
      <c r="E208" s="213" t="s">
        <v>116</v>
      </c>
      <c r="F208" s="25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6"/>
      <c r="H208" s="2526"/>
      <c r="I208" s="2526"/>
      <c r="J208" s="2526"/>
      <c r="K208" s="2526"/>
      <c r="L208" s="2526"/>
      <c r="M208" s="363"/>
      <c r="N208" s="400"/>
      <c r="AH208" s="440">
        <v>26</v>
      </c>
    </row>
    <row s="5053" customFormat="1" customHeight="1" ht="60.75" hidden="1">
      <c r="A209" s="1846" t="s">
        <v>159</v>
      </c>
      <c r="B209" s="1846" t="s">
        <v>160</v>
      </c>
      <c r="C209" s="435"/>
      <c r="D209" s="2528"/>
      <c r="E209" s="2270"/>
      <c r="F209" s="244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3" t="str">
        <f>INDEX(PT_DIFFERENTIATION_NTAR,MATCH(B209,PT_DIFFERENTIATION_NTAR_ID,0))</f>
        <v/>
      </c>
      <c r="H209" s="1928"/>
      <c r="I209" s="1805"/>
      <c r="J209" s="1839"/>
      <c r="K209" s="1844"/>
      <c r="L209" s="1928" t="s">
        <v>315</v>
      </c>
      <c r="M209"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0"/>
      <c r="O209" s="1690"/>
      <c r="P209" s="1690"/>
      <c r="AH209" s="1697">
        <v>0</v>
      </c>
    </row>
    <row s="5053" customFormat="1" customHeight="1" ht="18.75" hidden="1">
      <c r="A210" s="1846"/>
      <c r="B210" s="1846"/>
      <c r="C210" s="435" t="s">
        <v>1154</v>
      </c>
      <c r="D210" s="2528"/>
      <c r="E210" s="2270"/>
      <c r="F210" s="2449"/>
      <c r="G210" s="2493"/>
      <c r="H210" s="1566"/>
      <c r="I210" s="717" t="s">
        <v>1153</v>
      </c>
      <c r="J210" s="637"/>
      <c r="K210" s="1566"/>
      <c r="L210" s="280"/>
      <c r="M210" s="2236"/>
      <c r="N210" s="400"/>
      <c r="O210" s="1690"/>
      <c r="P210" s="1690"/>
      <c r="AH210" s="1697">
        <v>0</v>
      </c>
    </row>
    <row s="5053" customFormat="1" customHeight="1" ht="0.75" hidden="1">
      <c r="A211" s="1846"/>
      <c r="B211" s="1846"/>
      <c r="C211" s="435" t="s">
        <v>1161</v>
      </c>
      <c r="D211" s="2528"/>
      <c r="E211" s="2270"/>
      <c r="F211" s="2449"/>
      <c r="G211" s="466"/>
      <c r="H211" s="1566"/>
      <c r="I211" s="717"/>
      <c r="J211" s="637"/>
      <c r="K211" s="1566"/>
      <c r="L211" s="280"/>
      <c r="M211" s="2236"/>
      <c r="N211" s="400"/>
      <c r="O211" s="1690"/>
      <c r="P211" s="1690"/>
      <c r="AH211" s="1697">
        <v>0</v>
      </c>
    </row>
    <row s="5053" customFormat="1" customHeight="1" ht="45" hidden="1">
      <c r="A212" s="1846" t="s">
        <v>168</v>
      </c>
      <c r="B212" s="1846" t="s">
        <v>169</v>
      </c>
      <c r="C212" s="435"/>
      <c r="D212" s="2528"/>
      <c r="E212" s="2270"/>
      <c r="F212" s="2449"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93" t="str">
        <f>INDEX(PT_DIFFERENTIATION_NTAR,MATCH(B212,PT_DIFFERENTIATION_NTAR_ID,0))</f>
        <v>Тариф на т/э (мощность), поставляемую АО "Уренгойтеплогенерация-1", приобретающему т/э с целью компенсации потерь т/э</v>
      </c>
      <c r="H212" s="1928"/>
      <c r="I212" s="1805"/>
      <c r="J212" s="1839"/>
      <c r="K212" s="1844"/>
      <c r="L212" s="1928" t="s">
        <v>315</v>
      </c>
      <c r="M212" s="2237"/>
      <c r="N212" s="400"/>
      <c r="O212" s="1690"/>
      <c r="P212" s="1690"/>
      <c r="AH212" s="1697">
        <v>0</v>
      </c>
    </row>
    <row s="5053" customFormat="1" customHeight="1" ht="18.75" hidden="1">
      <c r="A213" s="1846"/>
      <c r="B213" s="1846"/>
      <c r="C213" s="435" t="s">
        <v>1154</v>
      </c>
      <c r="D213" s="2528"/>
      <c r="E213" s="2270"/>
      <c r="F213" s="2449"/>
      <c r="G213" s="2493"/>
      <c r="H213" s="1566"/>
      <c r="I213" s="717" t="s">
        <v>1153</v>
      </c>
      <c r="J213" s="637"/>
      <c r="K213" s="1566"/>
      <c r="L213" s="280"/>
      <c r="M213" s="1927"/>
      <c r="N213" s="400"/>
      <c r="O213" s="1690"/>
      <c r="P213" s="1690"/>
      <c r="AH213" s="1697">
        <v>0</v>
      </c>
    </row>
    <row s="5053" customFormat="1" customHeight="1" ht="0.75" hidden="1">
      <c r="A214" s="1846"/>
      <c r="B214" s="1846"/>
      <c r="C214" s="435" t="s">
        <v>1161</v>
      </c>
      <c r="D214" s="2528"/>
      <c r="E214" s="2270"/>
      <c r="F214" s="2449"/>
      <c r="G214" s="466"/>
      <c r="H214" s="1566"/>
      <c r="I214" s="717"/>
      <c r="J214" s="637"/>
      <c r="K214" s="1566"/>
      <c r="L214" s="280"/>
      <c r="M214" s="407"/>
      <c r="N214" s="400"/>
      <c r="O214" s="1690"/>
      <c r="P214" s="1690"/>
      <c r="AH214" s="1697">
        <v>0</v>
      </c>
    </row>
    <row s="5053" customFormat="1" customHeight="1" ht="45" hidden="1">
      <c r="A215" s="1846" t="s">
        <v>178</v>
      </c>
      <c r="B215" s="1846" t="s">
        <v>179</v>
      </c>
      <c r="C215" s="435"/>
      <c r="D215" s="2528"/>
      <c r="E215" s="2270"/>
      <c r="F215" s="244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3" t="str">
        <f>INDEX(PT_DIFFERENTIATION_NTAR,MATCH(B215,PT_DIFFERENTIATION_NTAR_ID,0))</f>
        <v/>
      </c>
      <c r="H215" s="1928"/>
      <c r="I215" s="1805"/>
      <c r="J215" s="1839"/>
      <c r="K215" s="1844"/>
      <c r="L215" s="1928" t="s">
        <v>315</v>
      </c>
      <c r="M215" s="407"/>
      <c r="N215" s="400"/>
      <c r="O215" s="1690"/>
      <c r="P215" s="1690"/>
      <c r="AH215" s="1697">
        <v>0</v>
      </c>
    </row>
    <row s="5053" customFormat="1" customHeight="1" ht="18.75" hidden="1">
      <c r="A216" s="1846"/>
      <c r="B216" s="1846"/>
      <c r="C216" s="435" t="s">
        <v>1154</v>
      </c>
      <c r="D216" s="2528"/>
      <c r="E216" s="2270"/>
      <c r="F216" s="2449"/>
      <c r="G216" s="2493"/>
      <c r="H216" s="1566"/>
      <c r="I216" s="717" t="s">
        <v>1153</v>
      </c>
      <c r="J216" s="637"/>
      <c r="K216" s="1566"/>
      <c r="L216" s="280"/>
      <c r="M216" s="407"/>
      <c r="N216" s="400"/>
      <c r="O216" s="1690"/>
      <c r="P216" s="1690"/>
      <c r="AH216" s="1697">
        <v>0</v>
      </c>
    </row>
    <row s="5053" customFormat="1" customHeight="1" ht="0.75" hidden="1">
      <c r="A217" s="1846"/>
      <c r="B217" s="1846"/>
      <c r="C217" s="435" t="s">
        <v>1161</v>
      </c>
      <c r="D217" s="2528"/>
      <c r="E217" s="2270"/>
      <c r="F217" s="2449"/>
      <c r="G217" s="466"/>
      <c r="H217" s="1566"/>
      <c r="I217" s="717"/>
      <c r="J217" s="637"/>
      <c r="K217" s="1566"/>
      <c r="L217" s="280"/>
      <c r="M217" s="407"/>
      <c r="N217" s="400"/>
      <c r="O217" s="1690"/>
      <c r="P217" s="1690"/>
      <c r="AH217" s="1697">
        <v>0</v>
      </c>
    </row>
    <row s="5053" customFormat="1" customHeight="1" ht="45" hidden="1">
      <c r="A218" s="1846" t="s">
        <v>184</v>
      </c>
      <c r="B218" s="1846" t="s">
        <v>185</v>
      </c>
      <c r="C218" s="435"/>
      <c r="D218" s="2528"/>
      <c r="E218" s="2270"/>
      <c r="F218" s="244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3" t="str">
        <f>INDEX(PT_DIFFERENTIATION_NTAR,MATCH(B218,PT_DIFFERENTIATION_NTAR_ID,0))</f>
        <v/>
      </c>
      <c r="H218" s="1928"/>
      <c r="I218" s="1805"/>
      <c r="J218" s="1839"/>
      <c r="K218" s="1844"/>
      <c r="L218" s="1928" t="s">
        <v>315</v>
      </c>
      <c r="M218" s="407"/>
      <c r="N218" s="400"/>
      <c r="O218" s="1690"/>
      <c r="P218" s="1690"/>
      <c r="AH218" s="1697">
        <v>0</v>
      </c>
    </row>
    <row s="5053" customFormat="1" customHeight="1" ht="18.75" hidden="1">
      <c r="A219" s="1846"/>
      <c r="B219" s="1846"/>
      <c r="C219" s="435" t="s">
        <v>1154</v>
      </c>
      <c r="D219" s="2528"/>
      <c r="E219" s="2270"/>
      <c r="F219" s="2449"/>
      <c r="G219" s="2493"/>
      <c r="H219" s="1566"/>
      <c r="I219" s="717" t="s">
        <v>1153</v>
      </c>
      <c r="J219" s="637"/>
      <c r="K219" s="1566"/>
      <c r="L219" s="280"/>
      <c r="M219" s="407"/>
      <c r="N219" s="400"/>
      <c r="O219" s="1690"/>
      <c r="P219" s="1690"/>
      <c r="AH219" s="1697">
        <v>0</v>
      </c>
    </row>
    <row s="5053" customFormat="1" customHeight="1" ht="0.75" hidden="1">
      <c r="A220" s="1846"/>
      <c r="B220" s="1846"/>
      <c r="C220" s="435" t="s">
        <v>1161</v>
      </c>
      <c r="D220" s="2528"/>
      <c r="E220" s="2270"/>
      <c r="F220" s="2449"/>
      <c r="G220" s="466"/>
      <c r="H220" s="1566"/>
      <c r="I220" s="717"/>
      <c r="J220" s="637"/>
      <c r="K220" s="1566"/>
      <c r="L220" s="280"/>
      <c r="M220" s="407"/>
      <c r="N220" s="400"/>
      <c r="O220" s="1690"/>
      <c r="P220" s="1690"/>
      <c r="AH220" s="1697">
        <v>0</v>
      </c>
    </row>
    <row s="5053" customFormat="1" customHeight="1" ht="18.75" hidden="1">
      <c r="A221" s="1846" t="s">
        <v>190</v>
      </c>
      <c r="B221" s="1846" t="s">
        <v>191</v>
      </c>
      <c r="C221" s="435"/>
      <c r="D221" s="2528"/>
      <c r="E221" s="2270"/>
      <c r="F221" s="2449" t="str">
        <f>INDEX(PT_DIFFERENTIATION_VTAR,MATCH(A221,PT_DIFFERENTIATION_VTAR_ID,0))</f>
        <v>Тарифы на услуги по передаче тепловой энергии</v>
      </c>
      <c r="G221" s="2493" t="str">
        <f>INDEX(PT_DIFFERENTIATION_NTAR,MATCH(B221,PT_DIFFERENTIATION_NTAR_ID,0))</f>
        <v/>
      </c>
      <c r="H221" s="1928"/>
      <c r="I221" s="1805"/>
      <c r="J221" s="1839"/>
      <c r="K221" s="1844"/>
      <c r="L221" s="1928" t="s">
        <v>315</v>
      </c>
      <c r="M221" s="407"/>
      <c r="N221" s="400"/>
      <c r="O221" s="1690"/>
      <c r="P221" s="1690"/>
      <c r="AH221" s="1697">
        <v>0</v>
      </c>
    </row>
    <row s="5053" customFormat="1" customHeight="1" ht="18.75" hidden="1">
      <c r="A222" s="1846"/>
      <c r="B222" s="1846"/>
      <c r="C222" s="435" t="s">
        <v>1154</v>
      </c>
      <c r="D222" s="2528"/>
      <c r="E222" s="2270"/>
      <c r="F222" s="2449"/>
      <c r="G222" s="2493"/>
      <c r="H222" s="1566"/>
      <c r="I222" s="717" t="s">
        <v>1153</v>
      </c>
      <c r="J222" s="637"/>
      <c r="K222" s="1566"/>
      <c r="L222" s="280"/>
      <c r="M222" s="407"/>
      <c r="N222" s="400"/>
      <c r="O222" s="1690"/>
      <c r="P222" s="1690"/>
      <c r="AH222" s="1697">
        <v>0</v>
      </c>
    </row>
    <row s="5053" customFormat="1" customHeight="1" ht="0.75" hidden="1">
      <c r="A223" s="1846"/>
      <c r="B223" s="1846"/>
      <c r="C223" s="435" t="s">
        <v>1161</v>
      </c>
      <c r="D223" s="2528"/>
      <c r="E223" s="2270"/>
      <c r="F223" s="2449"/>
      <c r="G223" s="466"/>
      <c r="H223" s="1566"/>
      <c r="I223" s="717"/>
      <c r="J223" s="637"/>
      <c r="K223" s="1566"/>
      <c r="L223" s="280"/>
      <c r="M223" s="407"/>
      <c r="N223" s="400"/>
      <c r="O223" s="1690"/>
      <c r="P223" s="1690"/>
      <c r="AH223" s="1697">
        <v>0</v>
      </c>
    </row>
    <row s="5053" customFormat="1" customHeight="1" ht="18.75" hidden="1">
      <c r="A224" s="1846" t="s">
        <v>196</v>
      </c>
      <c r="B224" s="1846" t="s">
        <v>197</v>
      </c>
      <c r="C224" s="435"/>
      <c r="D224" s="2528"/>
      <c r="E224" s="2270"/>
      <c r="F224" s="2449" t="str">
        <f>INDEX(PT_DIFFERENTIATION_VTAR,MATCH(A224,PT_DIFFERENTIATION_VTAR_ID,0))</f>
        <v>Тарифы на услуги по передаче теплоносителя</v>
      </c>
      <c r="G224" s="2493" t="str">
        <f>INDEX(PT_DIFFERENTIATION_NTAR,MATCH(B224,PT_DIFFERENTIATION_NTAR_ID,0))</f>
        <v/>
      </c>
      <c r="H224" s="1928"/>
      <c r="I224" s="1805"/>
      <c r="J224" s="1839"/>
      <c r="K224" s="1844"/>
      <c r="L224" s="1928" t="s">
        <v>315</v>
      </c>
      <c r="M224" s="407"/>
      <c r="N224" s="400"/>
      <c r="O224" s="1690"/>
      <c r="P224" s="1690"/>
      <c r="AH224" s="1697">
        <v>0</v>
      </c>
    </row>
    <row s="5053" customFormat="1" customHeight="1" ht="18.75" hidden="1">
      <c r="A225" s="1846"/>
      <c r="B225" s="1846"/>
      <c r="C225" s="435" t="s">
        <v>1154</v>
      </c>
      <c r="D225" s="2528"/>
      <c r="E225" s="2270"/>
      <c r="F225" s="2449"/>
      <c r="G225" s="2493"/>
      <c r="H225" s="1566"/>
      <c r="I225" s="717" t="s">
        <v>1153</v>
      </c>
      <c r="J225" s="637"/>
      <c r="K225" s="1566"/>
      <c r="L225" s="280"/>
      <c r="M225" s="407"/>
      <c r="N225" s="400"/>
      <c r="O225" s="1690"/>
      <c r="P225" s="1690"/>
      <c r="AH225" s="1697">
        <v>0</v>
      </c>
    </row>
    <row s="5053" customFormat="1" customHeight="1" ht="0.75" hidden="1">
      <c r="A226" s="1846"/>
      <c r="B226" s="1846"/>
      <c r="C226" s="435" t="s">
        <v>1161</v>
      </c>
      <c r="D226" s="2528"/>
      <c r="E226" s="2270"/>
      <c r="F226" s="2449"/>
      <c r="G226" s="466"/>
      <c r="H226" s="1566"/>
      <c r="I226" s="717"/>
      <c r="J226" s="637"/>
      <c r="K226" s="1566"/>
      <c r="L226" s="280"/>
      <c r="M226" s="407"/>
      <c r="N226" s="400"/>
      <c r="O226" s="1690"/>
      <c r="P226" s="1690"/>
      <c r="AH226" s="1697">
        <v>0</v>
      </c>
    </row>
    <row s="5053" customFormat="1" customHeight="1" ht="18.75" hidden="1">
      <c r="A227" s="1846" t="s">
        <v>202</v>
      </c>
      <c r="B227" s="1846" t="s">
        <v>203</v>
      </c>
      <c r="C227" s="435"/>
      <c r="D227" s="2528"/>
      <c r="E227" s="2270"/>
      <c r="F227" s="244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3" t="str">
        <f>INDEX(PT_DIFFERENTIATION_NTAR,MATCH(B227,PT_DIFFERENTIATION_NTAR_ID,0))</f>
        <v/>
      </c>
      <c r="H227" s="1928"/>
      <c r="I227" s="1805"/>
      <c r="J227" s="1839"/>
      <c r="K227" s="1844"/>
      <c r="L227" s="1928" t="s">
        <v>315</v>
      </c>
      <c r="M227" s="407"/>
      <c r="N227" s="400"/>
      <c r="O227" s="1690"/>
      <c r="P227" s="1690"/>
      <c r="AH227" s="1697">
        <v>0</v>
      </c>
    </row>
    <row s="5053" customFormat="1" customHeight="1" ht="18.75" hidden="1">
      <c r="A228" s="1846"/>
      <c r="B228" s="1846"/>
      <c r="C228" s="435" t="s">
        <v>1154</v>
      </c>
      <c r="D228" s="2528"/>
      <c r="E228" s="2270"/>
      <c r="F228" s="2449"/>
      <c r="G228" s="2493"/>
      <c r="H228" s="1566"/>
      <c r="I228" s="717" t="s">
        <v>1153</v>
      </c>
      <c r="J228" s="637"/>
      <c r="K228" s="1566"/>
      <c r="L228" s="280"/>
      <c r="M228" s="407"/>
      <c r="N228" s="400"/>
      <c r="O228" s="1690"/>
      <c r="P228" s="1690"/>
      <c r="AH228" s="1697">
        <v>0</v>
      </c>
    </row>
    <row s="5053" customFormat="1" customHeight="1" ht="0.75" hidden="1">
      <c r="A229" s="1846"/>
      <c r="B229" s="1846"/>
      <c r="C229" s="435" t="s">
        <v>1161</v>
      </c>
      <c r="D229" s="2528"/>
      <c r="E229" s="2270"/>
      <c r="F229" s="2449"/>
      <c r="G229" s="466"/>
      <c r="H229" s="1566"/>
      <c r="I229" s="717"/>
      <c r="J229" s="637"/>
      <c r="K229" s="1566"/>
      <c r="L229" s="280"/>
      <c r="M229" s="407"/>
      <c r="N229" s="400"/>
      <c r="O229" s="1690"/>
      <c r="P229" s="1690"/>
      <c r="AH229" s="1697">
        <v>0</v>
      </c>
    </row>
    <row s="5053" customFormat="1" customHeight="1" ht="18.75" hidden="1">
      <c r="A230" s="1846" t="s">
        <v>208</v>
      </c>
      <c r="B230" s="1846" t="s">
        <v>209</v>
      </c>
      <c r="C230" s="435"/>
      <c r="D230" s="2528"/>
      <c r="E230" s="2270"/>
      <c r="F230" s="2449" t="str">
        <f>INDEX(PT_DIFFERENTIATION_VTAR,MATCH(A230,PT_DIFFERENTIATION_VTAR_ID,0))</f>
        <v>Плата за подключение (технологическое присоединение) к системе теплоснабжения</v>
      </c>
      <c r="G230" s="2493" t="str">
        <f>INDEX(PT_DIFFERENTIATION_NTAR,MATCH(B230,PT_DIFFERENTIATION_NTAR_ID,0))</f>
        <v/>
      </c>
      <c r="H230" s="1928"/>
      <c r="I230" s="1805"/>
      <c r="J230" s="1839"/>
      <c r="K230" s="1844"/>
      <c r="L230" s="1928" t="s">
        <v>315</v>
      </c>
      <c r="M230" s="407"/>
      <c r="N230" s="400"/>
      <c r="O230" s="1690"/>
      <c r="P230" s="1690"/>
      <c r="AH230" s="1697">
        <v>0</v>
      </c>
    </row>
    <row s="5053" customFormat="1" customHeight="1" ht="18.75" hidden="1">
      <c r="A231" s="1846"/>
      <c r="B231" s="1846"/>
      <c r="C231" s="435" t="s">
        <v>1154</v>
      </c>
      <c r="D231" s="2528"/>
      <c r="E231" s="2270"/>
      <c r="F231" s="2449"/>
      <c r="G231" s="2493"/>
      <c r="H231" s="1566"/>
      <c r="I231" s="717" t="s">
        <v>1153</v>
      </c>
      <c r="J231" s="637"/>
      <c r="K231" s="1566"/>
      <c r="L231" s="280"/>
      <c r="M231" s="407"/>
      <c r="N231" s="400"/>
      <c r="O231" s="1690"/>
      <c r="P231" s="1690"/>
      <c r="AH231" s="1697">
        <v>0</v>
      </c>
    </row>
    <row s="5053" customFormat="1" customHeight="1" ht="0.75" hidden="1">
      <c r="A232" s="1846"/>
      <c r="B232" s="1846"/>
      <c r="C232" s="435" t="s">
        <v>1161</v>
      </c>
      <c r="D232" s="2528"/>
      <c r="E232" s="2270"/>
      <c r="F232" s="2449"/>
      <c r="G232" s="466"/>
      <c r="H232" s="1566"/>
      <c r="I232" s="717"/>
      <c r="J232" s="637"/>
      <c r="K232" s="1566"/>
      <c r="L232" s="280"/>
      <c r="M232" s="407"/>
      <c r="N232" s="400"/>
      <c r="O232" s="1690"/>
      <c r="P232" s="1690"/>
      <c r="AH232" s="1697">
        <v>0</v>
      </c>
    </row>
    <row s="5053" customFormat="1" customHeight="1" ht="18.75" hidden="1">
      <c r="A233" s="1846" t="s">
        <v>214</v>
      </c>
      <c r="B233" s="1846" t="s">
        <v>215</v>
      </c>
      <c r="C233" s="435"/>
      <c r="D233" s="2528"/>
      <c r="E233" s="2270"/>
      <c r="F233" s="2449" t="str">
        <f>INDEX(PT_DIFFERENTIATION_VTAR,MATCH(A233,PT_DIFFERENTIATION_VTAR_ID,0))</f>
        <v>Плата за подключение (технологическое присоединение) к системе теплоснабжения (индивидуальная)</v>
      </c>
      <c r="G233" s="2493" t="str">
        <f>INDEX(PT_DIFFERENTIATION_NTAR,MATCH(B233,PT_DIFFERENTIATION_NTAR_ID,0))</f>
        <v/>
      </c>
      <c r="H233" s="2055"/>
      <c r="I233" s="1805"/>
      <c r="J233" s="1839"/>
      <c r="K233" s="1844"/>
      <c r="L233" s="2055" t="s">
        <v>315</v>
      </c>
      <c r="M233" s="407"/>
      <c r="N233" s="400"/>
      <c r="O233" s="1690"/>
      <c r="P233" s="1690"/>
      <c r="AH233" s="1697">
        <v>0</v>
      </c>
    </row>
    <row s="5053" customFormat="1" customHeight="1" ht="18.75" hidden="1">
      <c r="A234" s="1846"/>
      <c r="B234" s="1846"/>
      <c r="C234" s="435" t="s">
        <v>1154</v>
      </c>
      <c r="D234" s="2528"/>
      <c r="E234" s="2270"/>
      <c r="F234" s="2449"/>
      <c r="G234" s="2493"/>
      <c r="H234" s="1566"/>
      <c r="I234" s="717" t="s">
        <v>1153</v>
      </c>
      <c r="J234" s="637"/>
      <c r="K234" s="1566"/>
      <c r="L234" s="280"/>
      <c r="M234" s="407"/>
      <c r="N234" s="400"/>
      <c r="O234" s="1690"/>
      <c r="P234" s="1690"/>
      <c r="AH234" s="1697">
        <v>0</v>
      </c>
    </row>
    <row s="5053" customFormat="1" customHeight="1" ht="0.75" hidden="1">
      <c r="A235" s="1846"/>
      <c r="B235" s="1846"/>
      <c r="C235" s="435" t="s">
        <v>1161</v>
      </c>
      <c r="D235" s="2528"/>
      <c r="E235" s="2270"/>
      <c r="F235" s="2449"/>
      <c r="G235" s="466"/>
      <c r="H235" s="1566"/>
      <c r="I235" s="717"/>
      <c r="J235" s="637"/>
      <c r="K235" s="1566"/>
      <c r="L235" s="280"/>
      <c r="M235" s="407"/>
      <c r="N235" s="400"/>
      <c r="O235" s="1690"/>
      <c r="P235" s="1690"/>
      <c r="AH235" s="1697">
        <v>0</v>
      </c>
    </row>
    <row s="5053" customFormat="1" customHeight="1" ht="18.75" hidden="1">
      <c r="A236" s="1846" t="s">
        <v>234</v>
      </c>
      <c r="B236" s="1846" t="s">
        <v>235</v>
      </c>
      <c r="C236" s="435"/>
      <c r="D236" s="2528"/>
      <c r="E236" s="2270"/>
      <c r="F236" s="2449" t="str">
        <f>INDEX(PT_DIFFERENTIATION_VTAR,MATCH(A236,PT_DIFFERENTIATION_VTAR_ID,0))</f>
        <v>Тариф на питьевую воду (питьевое водоснабжение)</v>
      </c>
      <c r="G236" s="2493" t="str">
        <f>INDEX(PT_DIFFERENTIATION_NTAR,MATCH(B236,PT_DIFFERENTIATION_NTAR_ID,0))</f>
        <v/>
      </c>
      <c r="H236" s="1928"/>
      <c r="I236" s="1805"/>
      <c r="J236" s="1839"/>
      <c r="K236" s="1844"/>
      <c r="L236" s="1928" t="s">
        <v>315</v>
      </c>
      <c r="M236" s="407"/>
      <c r="N236" s="400"/>
      <c r="O236" s="1690"/>
      <c r="P236" s="1690"/>
      <c r="AH236" s="1697">
        <v>0</v>
      </c>
    </row>
    <row s="5053" customFormat="1" customHeight="1" ht="18.75" hidden="1">
      <c r="A237" s="1846"/>
      <c r="B237" s="1846"/>
      <c r="C237" s="435" t="s">
        <v>1154</v>
      </c>
      <c r="D237" s="2528"/>
      <c r="E237" s="2270"/>
      <c r="F237" s="2449"/>
      <c r="G237" s="2493"/>
      <c r="H237" s="1566"/>
      <c r="I237" s="717" t="s">
        <v>1153</v>
      </c>
      <c r="J237" s="637"/>
      <c r="K237" s="1566"/>
      <c r="L237" s="280"/>
      <c r="M237" s="407"/>
      <c r="N237" s="400"/>
      <c r="O237" s="1690"/>
      <c r="P237" s="1690"/>
      <c r="AH237" s="1697">
        <v>0</v>
      </c>
    </row>
    <row s="5053" customFormat="1" customHeight="1" ht="0.75" hidden="1">
      <c r="A238" s="1846"/>
      <c r="B238" s="1846"/>
      <c r="C238" s="435" t="s">
        <v>1161</v>
      </c>
      <c r="D238" s="2528"/>
      <c r="E238" s="2270"/>
      <c r="F238" s="2449"/>
      <c r="G238" s="466"/>
      <c r="H238" s="1566"/>
      <c r="I238" s="717"/>
      <c r="J238" s="637"/>
      <c r="K238" s="1566"/>
      <c r="L238" s="280"/>
      <c r="M238" s="407"/>
      <c r="N238" s="400"/>
      <c r="O238" s="1690"/>
      <c r="P238" s="1690"/>
      <c r="AH238" s="1697">
        <v>0</v>
      </c>
    </row>
    <row s="5053" customFormat="1" customHeight="1" ht="18.75" hidden="1">
      <c r="A239" s="1846" t="s">
        <v>239</v>
      </c>
      <c r="B239" s="1846" t="s">
        <v>240</v>
      </c>
      <c r="C239" s="435"/>
      <c r="D239" s="2528"/>
      <c r="E239" s="2270"/>
      <c r="F239" s="2449" t="str">
        <f>INDEX(PT_DIFFERENTIATION_VTAR,MATCH(A239,PT_DIFFERENTIATION_VTAR_ID,0))</f>
        <v>Тариф на техническую воду</v>
      </c>
      <c r="G239" s="2493" t="str">
        <f>INDEX(PT_DIFFERENTIATION_NTAR,MATCH(B239,PT_DIFFERENTIATION_NTAR_ID,0))</f>
        <v/>
      </c>
      <c r="H239" s="1928"/>
      <c r="I239" s="1805"/>
      <c r="J239" s="1839"/>
      <c r="K239" s="1844"/>
      <c r="L239" s="1928" t="s">
        <v>315</v>
      </c>
      <c r="M239" s="407"/>
      <c r="N239" s="400"/>
      <c r="O239" s="1690"/>
      <c r="P239" s="1690"/>
      <c r="AH239" s="1697">
        <v>0</v>
      </c>
    </row>
    <row s="5053" customFormat="1" customHeight="1" ht="18.75" hidden="1">
      <c r="A240" s="1846"/>
      <c r="B240" s="1846"/>
      <c r="C240" s="435" t="s">
        <v>1154</v>
      </c>
      <c r="D240" s="2528"/>
      <c r="E240" s="2270"/>
      <c r="F240" s="2449"/>
      <c r="G240" s="2493"/>
      <c r="H240" s="1566"/>
      <c r="I240" s="717" t="s">
        <v>1153</v>
      </c>
      <c r="J240" s="637"/>
      <c r="K240" s="1566"/>
      <c r="L240" s="280"/>
      <c r="M240" s="407"/>
      <c r="N240" s="400"/>
      <c r="O240" s="1690"/>
      <c r="P240" s="1690"/>
      <c r="AH240" s="1697">
        <v>0</v>
      </c>
    </row>
    <row s="5053" customFormat="1" customHeight="1" ht="0.75" hidden="1">
      <c r="A241" s="1846"/>
      <c r="B241" s="1846"/>
      <c r="C241" s="435" t="s">
        <v>1161</v>
      </c>
      <c r="D241" s="2528"/>
      <c r="E241" s="2270"/>
      <c r="F241" s="2449"/>
      <c r="G241" s="466"/>
      <c r="H241" s="1566"/>
      <c r="I241" s="717"/>
      <c r="J241" s="637"/>
      <c r="K241" s="1566"/>
      <c r="L241" s="280"/>
      <c r="M241" s="407"/>
      <c r="N241" s="400"/>
      <c r="O241" s="1690"/>
      <c r="P241" s="1690"/>
      <c r="AH241" s="1697">
        <v>0</v>
      </c>
    </row>
    <row s="5053" customFormat="1" customHeight="1" ht="18.75" hidden="1">
      <c r="A242" s="1846" t="s">
        <v>244</v>
      </c>
      <c r="B242" s="1846" t="s">
        <v>245</v>
      </c>
      <c r="C242" s="435"/>
      <c r="D242" s="2528"/>
      <c r="E242" s="2270"/>
      <c r="F242" s="2449" t="str">
        <f>INDEX(PT_DIFFERENTIATION_VTAR,MATCH(A242,PT_DIFFERENTIATION_VTAR_ID,0))</f>
        <v>Тариф на транспортировку воды</v>
      </c>
      <c r="G242" s="2493" t="str">
        <f>INDEX(PT_DIFFERENTIATION_NTAR,MATCH(B242,PT_DIFFERENTIATION_NTAR_ID,0))</f>
        <v/>
      </c>
      <c r="H242" s="1928"/>
      <c r="I242" s="1805"/>
      <c r="J242" s="1839"/>
      <c r="K242" s="1844"/>
      <c r="L242" s="1928" t="s">
        <v>315</v>
      </c>
      <c r="M242" s="407"/>
      <c r="N242" s="400"/>
      <c r="O242" s="1690"/>
      <c r="P242" s="1690"/>
      <c r="AH242" s="1697">
        <v>0</v>
      </c>
    </row>
    <row s="5053" customFormat="1" customHeight="1" ht="18.75" hidden="1">
      <c r="A243" s="1846"/>
      <c r="B243" s="1846"/>
      <c r="C243" s="435" t="s">
        <v>1154</v>
      </c>
      <c r="D243" s="2528"/>
      <c r="E243" s="2270"/>
      <c r="F243" s="2449"/>
      <c r="G243" s="2493"/>
      <c r="H243" s="1566"/>
      <c r="I243" s="717" t="s">
        <v>1153</v>
      </c>
      <c r="J243" s="637"/>
      <c r="K243" s="1566"/>
      <c r="L243" s="280"/>
      <c r="M243" s="407"/>
      <c r="N243" s="400"/>
      <c r="O243" s="1690"/>
      <c r="P243" s="1690"/>
      <c r="AH243" s="1697">
        <v>0</v>
      </c>
    </row>
    <row s="5053" customFormat="1" customHeight="1" ht="0.75" hidden="1">
      <c r="A244" s="1846"/>
      <c r="B244" s="1846"/>
      <c r="C244" s="435" t="s">
        <v>1161</v>
      </c>
      <c r="D244" s="2528"/>
      <c r="E244" s="2270"/>
      <c r="F244" s="2449"/>
      <c r="G244" s="466"/>
      <c r="H244" s="1566"/>
      <c r="I244" s="717"/>
      <c r="J244" s="637"/>
      <c r="K244" s="1566"/>
      <c r="L244" s="280"/>
      <c r="M244" s="407"/>
      <c r="N244" s="400"/>
      <c r="O244" s="1690"/>
      <c r="P244" s="1690"/>
      <c r="AH244" s="1697">
        <v>0</v>
      </c>
    </row>
    <row s="5053" customFormat="1" customHeight="1" ht="18.75" hidden="1">
      <c r="A245" s="1846" t="s">
        <v>249</v>
      </c>
      <c r="B245" s="1846" t="s">
        <v>250</v>
      </c>
      <c r="C245" s="435"/>
      <c r="D245" s="2528"/>
      <c r="E245" s="2270"/>
      <c r="F245" s="2449" t="str">
        <f>INDEX(PT_DIFFERENTIATION_VTAR,MATCH(A245,PT_DIFFERENTIATION_VTAR_ID,0))</f>
        <v>Тариф на подвоз воды</v>
      </c>
      <c r="G245" s="2493" t="str">
        <f>INDEX(PT_DIFFERENTIATION_NTAR,MATCH(B245,PT_DIFFERENTIATION_NTAR_ID,0))</f>
        <v/>
      </c>
      <c r="H245" s="1928"/>
      <c r="I245" s="1805"/>
      <c r="J245" s="1839"/>
      <c r="K245" s="1844"/>
      <c r="L245" s="1928" t="s">
        <v>315</v>
      </c>
      <c r="M245" s="407"/>
      <c r="N245" s="400"/>
      <c r="O245" s="1690"/>
      <c r="P245" s="1690"/>
      <c r="AH245" s="1697">
        <v>0</v>
      </c>
    </row>
    <row s="5053" customFormat="1" customHeight="1" ht="18.75" hidden="1">
      <c r="A246" s="1846"/>
      <c r="B246" s="1846"/>
      <c r="C246" s="435" t="s">
        <v>1154</v>
      </c>
      <c r="D246" s="2528"/>
      <c r="E246" s="2270"/>
      <c r="F246" s="2449"/>
      <c r="G246" s="2493"/>
      <c r="H246" s="1566"/>
      <c r="I246" s="717" t="s">
        <v>1153</v>
      </c>
      <c r="J246" s="637"/>
      <c r="K246" s="1566"/>
      <c r="L246" s="280"/>
      <c r="M246" s="407"/>
      <c r="N246" s="400"/>
      <c r="O246" s="1690"/>
      <c r="P246" s="1690"/>
      <c r="AH246" s="1697">
        <v>0</v>
      </c>
    </row>
    <row s="5053" customFormat="1" customHeight="1" ht="0.75" hidden="1">
      <c r="A247" s="1846"/>
      <c r="B247" s="1846"/>
      <c r="C247" s="435" t="s">
        <v>1161</v>
      </c>
      <c r="D247" s="2528"/>
      <c r="E247" s="2270"/>
      <c r="F247" s="2449"/>
      <c r="G247" s="466"/>
      <c r="H247" s="1566"/>
      <c r="I247" s="717"/>
      <c r="J247" s="637"/>
      <c r="K247" s="1566"/>
      <c r="L247" s="280"/>
      <c r="M247" s="407"/>
      <c r="N247" s="400"/>
      <c r="O247" s="1690"/>
      <c r="P247" s="1690"/>
      <c r="AH247" s="1697">
        <v>0</v>
      </c>
    </row>
    <row s="5053" customFormat="1" customHeight="1" ht="18.75" hidden="1">
      <c r="A248" s="1846" t="s">
        <v>254</v>
      </c>
      <c r="B248" s="1846" t="s">
        <v>255</v>
      </c>
      <c r="C248" s="435"/>
      <c r="D248" s="2528"/>
      <c r="E248" s="2270"/>
      <c r="F248" s="244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3" t="str">
        <f>INDEX(PT_DIFFERENTIATION_NTAR,MATCH(B248,PT_DIFFERENTIATION_NTAR_ID,0))</f>
        <v/>
      </c>
      <c r="H248" s="1928"/>
      <c r="I248" s="1805"/>
      <c r="J248" s="1839"/>
      <c r="K248" s="1844"/>
      <c r="L248" s="1928" t="s">
        <v>315</v>
      </c>
      <c r="M248" s="407"/>
      <c r="N248" s="400"/>
      <c r="O248" s="1690"/>
      <c r="P248" s="1690"/>
      <c r="AH248" s="1697">
        <v>0</v>
      </c>
    </row>
    <row s="5053" customFormat="1" customHeight="1" ht="18.75" hidden="1">
      <c r="A249" s="1846"/>
      <c r="B249" s="1846"/>
      <c r="C249" s="435" t="s">
        <v>1154</v>
      </c>
      <c r="D249" s="2528"/>
      <c r="E249" s="2270"/>
      <c r="F249" s="2449"/>
      <c r="G249" s="2493"/>
      <c r="H249" s="1566"/>
      <c r="I249" s="717" t="s">
        <v>1153</v>
      </c>
      <c r="J249" s="637"/>
      <c r="K249" s="1566"/>
      <c r="L249" s="280"/>
      <c r="M249" s="407"/>
      <c r="N249" s="400"/>
      <c r="O249" s="1690"/>
      <c r="P249" s="1690"/>
      <c r="AH249" s="1697">
        <v>0</v>
      </c>
    </row>
    <row s="5053" customFormat="1" customHeight="1" ht="0.75" hidden="1">
      <c r="A250" s="1846"/>
      <c r="B250" s="1846"/>
      <c r="C250" s="435" t="s">
        <v>1161</v>
      </c>
      <c r="D250" s="2528"/>
      <c r="E250" s="2270"/>
      <c r="F250" s="2449"/>
      <c r="G250" s="466"/>
      <c r="H250" s="1566"/>
      <c r="I250" s="717"/>
      <c r="J250" s="637"/>
      <c r="K250" s="1566"/>
      <c r="L250" s="280"/>
      <c r="M250" s="407"/>
      <c r="N250" s="400"/>
      <c r="O250" s="1690"/>
      <c r="P250" s="1690"/>
      <c r="AH250" s="1697">
        <v>0</v>
      </c>
    </row>
    <row s="5053" customFormat="1" customHeight="1" ht="18.75" hidden="1">
      <c r="A251" s="1846" t="s">
        <v>259</v>
      </c>
      <c r="B251" s="1846" t="s">
        <v>260</v>
      </c>
      <c r="C251" s="435"/>
      <c r="D251" s="2528"/>
      <c r="E251" s="2270"/>
      <c r="F251" s="2449" t="str">
        <f>INDEX(PT_DIFFERENTIATION_VTAR,MATCH(A251,PT_DIFFERENTIATION_VTAR_ID,0))</f>
        <v>Тариф на горячую воду (горячее водоснабжение)</v>
      </c>
      <c r="G251" s="2493" t="str">
        <f>INDEX(PT_DIFFERENTIATION_NTAR,MATCH(B251,PT_DIFFERENTIATION_NTAR_ID,0))</f>
        <v/>
      </c>
      <c r="H251" s="1928"/>
      <c r="I251" s="1805"/>
      <c r="J251" s="1839"/>
      <c r="K251" s="1844"/>
      <c r="L251" s="1928" t="s">
        <v>315</v>
      </c>
      <c r="M251" s="407"/>
      <c r="N251" s="400"/>
      <c r="O251" s="1690"/>
      <c r="P251" s="1690"/>
      <c r="AH251" s="1697">
        <v>0</v>
      </c>
    </row>
    <row s="5053" customFormat="1" customHeight="1" ht="18.75" hidden="1">
      <c r="A252" s="1846"/>
      <c r="B252" s="1846"/>
      <c r="C252" s="435" t="s">
        <v>1154</v>
      </c>
      <c r="D252" s="2528"/>
      <c r="E252" s="2270"/>
      <c r="F252" s="2449"/>
      <c r="G252" s="2493"/>
      <c r="H252" s="1566"/>
      <c r="I252" s="717" t="s">
        <v>1153</v>
      </c>
      <c r="J252" s="637"/>
      <c r="K252" s="1566"/>
      <c r="L252" s="280"/>
      <c r="M252" s="407"/>
      <c r="N252" s="400"/>
      <c r="O252" s="1690"/>
      <c r="P252" s="1690"/>
      <c r="AH252" s="1697">
        <v>0</v>
      </c>
    </row>
    <row s="5053" customFormat="1" customHeight="1" ht="0.75" hidden="1">
      <c r="A253" s="1846"/>
      <c r="B253" s="1846"/>
      <c r="C253" s="435" t="s">
        <v>1161</v>
      </c>
      <c r="D253" s="2528"/>
      <c r="E253" s="2270"/>
      <c r="F253" s="2449"/>
      <c r="G253" s="466"/>
      <c r="H253" s="1566"/>
      <c r="I253" s="717"/>
      <c r="J253" s="637"/>
      <c r="K253" s="1566"/>
      <c r="L253" s="280"/>
      <c r="M253" s="407"/>
      <c r="N253" s="400"/>
      <c r="O253" s="1690"/>
      <c r="P253" s="1690"/>
      <c r="AH253" s="1697">
        <v>0</v>
      </c>
    </row>
    <row s="5053" customFormat="1" customHeight="1" ht="18.75" hidden="1">
      <c r="A254" s="1846" t="s">
        <v>264</v>
      </c>
      <c r="B254" s="1846" t="s">
        <v>265</v>
      </c>
      <c r="C254" s="435"/>
      <c r="D254" s="2528"/>
      <c r="E254" s="2270"/>
      <c r="F254" s="2449" t="str">
        <f>INDEX(PT_DIFFERENTIATION_VTAR,MATCH(A254,PT_DIFFERENTIATION_VTAR_ID,0))</f>
        <v>Тариф на транспортировку горячей воды</v>
      </c>
      <c r="G254" s="2493" t="str">
        <f>INDEX(PT_DIFFERENTIATION_NTAR,MATCH(B254,PT_DIFFERENTIATION_NTAR_ID,0))</f>
        <v/>
      </c>
      <c r="H254" s="1928"/>
      <c r="I254" s="1805"/>
      <c r="J254" s="1839"/>
      <c r="K254" s="1844"/>
      <c r="L254" s="1928" t="s">
        <v>315</v>
      </c>
      <c r="M254" s="407"/>
      <c r="N254" s="400"/>
      <c r="O254" s="1690"/>
      <c r="P254" s="1690"/>
      <c r="AH254" s="1697">
        <v>0</v>
      </c>
    </row>
    <row s="5053" customFormat="1" customHeight="1" ht="18.75" hidden="1">
      <c r="A255" s="1846"/>
      <c r="B255" s="1846"/>
      <c r="C255" s="435" t="s">
        <v>1154</v>
      </c>
      <c r="D255" s="2528"/>
      <c r="E255" s="2270"/>
      <c r="F255" s="2449"/>
      <c r="G255" s="2493"/>
      <c r="H255" s="1566"/>
      <c r="I255" s="717" t="s">
        <v>1153</v>
      </c>
      <c r="J255" s="637"/>
      <c r="K255" s="1566"/>
      <c r="L255" s="280"/>
      <c r="M255" s="407"/>
      <c r="N255" s="400"/>
      <c r="O255" s="1690"/>
      <c r="P255" s="1690"/>
      <c r="AH255" s="1697">
        <v>0</v>
      </c>
    </row>
    <row s="5053" customFormat="1" customHeight="1" ht="0.75" hidden="1">
      <c r="A256" s="1846"/>
      <c r="B256" s="1846"/>
      <c r="C256" s="435" t="s">
        <v>1161</v>
      </c>
      <c r="D256" s="2528"/>
      <c r="E256" s="2270"/>
      <c r="F256" s="2449"/>
      <c r="G256" s="466"/>
      <c r="H256" s="1566"/>
      <c r="I256" s="717"/>
      <c r="J256" s="637"/>
      <c r="K256" s="1566"/>
      <c r="L256" s="280"/>
      <c r="M256" s="407"/>
      <c r="N256" s="400"/>
      <c r="O256" s="1690"/>
      <c r="P256" s="1690"/>
      <c r="AH256" s="1697">
        <v>0</v>
      </c>
    </row>
    <row s="5053" customFormat="1" customHeight="1" ht="18.75" hidden="1">
      <c r="A257" s="1846" t="s">
        <v>269</v>
      </c>
      <c r="B257" s="1846" t="s">
        <v>270</v>
      </c>
      <c r="C257" s="435"/>
      <c r="D257" s="2528"/>
      <c r="E257" s="2270"/>
      <c r="F257" s="244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3" t="str">
        <f>INDEX(PT_DIFFERENTIATION_NTAR,MATCH(B257,PT_DIFFERENTIATION_NTAR_ID,0))</f>
        <v/>
      </c>
      <c r="H257" s="1928"/>
      <c r="I257" s="1805"/>
      <c r="J257" s="1839"/>
      <c r="K257" s="1844"/>
      <c r="L257" s="1928" t="s">
        <v>315</v>
      </c>
      <c r="M257" s="407"/>
      <c r="N257" s="400"/>
      <c r="O257" s="1690"/>
      <c r="P257" s="1690"/>
      <c r="AH257" s="1697">
        <v>0</v>
      </c>
    </row>
    <row s="5053" customFormat="1" customHeight="1" ht="18.75" hidden="1">
      <c r="A258" s="1846"/>
      <c r="B258" s="1846"/>
      <c r="C258" s="435" t="s">
        <v>1154</v>
      </c>
      <c r="D258" s="2528"/>
      <c r="E258" s="2270"/>
      <c r="F258" s="2449"/>
      <c r="G258" s="2493"/>
      <c r="H258" s="1566"/>
      <c r="I258" s="717" t="s">
        <v>1153</v>
      </c>
      <c r="J258" s="637"/>
      <c r="K258" s="1566"/>
      <c r="L258" s="280"/>
      <c r="M258" s="407"/>
      <c r="N258" s="400"/>
      <c r="O258" s="1690"/>
      <c r="P258" s="1690"/>
      <c r="AH258" s="1697">
        <v>0</v>
      </c>
    </row>
    <row s="5053" customFormat="1" customHeight="1" ht="0.75" hidden="1">
      <c r="A259" s="1846"/>
      <c r="B259" s="1846"/>
      <c r="C259" s="435" t="s">
        <v>1161</v>
      </c>
      <c r="D259" s="2528"/>
      <c r="E259" s="2270"/>
      <c r="F259" s="2449"/>
      <c r="G259" s="466"/>
      <c r="H259" s="1566"/>
      <c r="I259" s="717"/>
      <c r="J259" s="637"/>
      <c r="K259" s="1566"/>
      <c r="L259" s="280"/>
      <c r="M259" s="407"/>
      <c r="N259" s="400"/>
      <c r="O259" s="1690"/>
      <c r="P259" s="1690"/>
      <c r="AH259" s="1697">
        <v>0</v>
      </c>
    </row>
    <row s="5053" customFormat="1" customHeight="1" ht="18.75" hidden="1">
      <c r="A260" s="1846" t="s">
        <v>274</v>
      </c>
      <c r="B260" s="1846" t="s">
        <v>275</v>
      </c>
      <c r="C260" s="435"/>
      <c r="D260" s="2528"/>
      <c r="E260" s="2270"/>
      <c r="F260" s="2449" t="str">
        <f>INDEX(PT_DIFFERENTIATION_VTAR,MATCH(A260,PT_DIFFERENTIATION_VTAR_ID,0))</f>
        <v>Тариф на водоотведение</v>
      </c>
      <c r="G260" s="2493" t="str">
        <f>INDEX(PT_DIFFERENTIATION_NTAR,MATCH(B260,PT_DIFFERENTIATION_NTAR_ID,0))</f>
        <v/>
      </c>
      <c r="H260" s="1928"/>
      <c r="I260" s="1805"/>
      <c r="J260" s="1839"/>
      <c r="K260" s="1844"/>
      <c r="L260" s="1928" t="s">
        <v>315</v>
      </c>
      <c r="M260" s="407"/>
      <c r="N260" s="400"/>
      <c r="O260" s="1690"/>
      <c r="P260" s="1690"/>
      <c r="AH260" s="1697">
        <v>0</v>
      </c>
    </row>
    <row s="5053" customFormat="1" customHeight="1" ht="18.75" hidden="1">
      <c r="A261" s="1846"/>
      <c r="B261" s="1846"/>
      <c r="C261" s="435" t="s">
        <v>1154</v>
      </c>
      <c r="D261" s="2528"/>
      <c r="E261" s="2270"/>
      <c r="F261" s="2449"/>
      <c r="G261" s="2493"/>
      <c r="H261" s="1566"/>
      <c r="I261" s="717" t="s">
        <v>1153</v>
      </c>
      <c r="J261" s="637"/>
      <c r="K261" s="1566"/>
      <c r="L261" s="280"/>
      <c r="M261" s="407"/>
      <c r="N261" s="400"/>
      <c r="O261" s="1690"/>
      <c r="P261" s="1690"/>
      <c r="AH261" s="1697">
        <v>0</v>
      </c>
    </row>
    <row s="5053" customFormat="1" customHeight="1" ht="0.75" hidden="1">
      <c r="A262" s="1846"/>
      <c r="B262" s="1846"/>
      <c r="C262" s="435" t="s">
        <v>1161</v>
      </c>
      <c r="D262" s="2528"/>
      <c r="E262" s="2270"/>
      <c r="F262" s="2449"/>
      <c r="G262" s="466"/>
      <c r="H262" s="1566"/>
      <c r="I262" s="717"/>
      <c r="J262" s="637"/>
      <c r="K262" s="1566"/>
      <c r="L262" s="280"/>
      <c r="M262" s="407"/>
      <c r="N262" s="400"/>
      <c r="O262" s="1690"/>
      <c r="P262" s="1690"/>
      <c r="AH262" s="1697">
        <v>0</v>
      </c>
    </row>
    <row s="5053" customFormat="1" customHeight="1" ht="18.75" hidden="1">
      <c r="A263" s="1846" t="s">
        <v>279</v>
      </c>
      <c r="B263" s="1846" t="s">
        <v>280</v>
      </c>
      <c r="C263" s="435"/>
      <c r="D263" s="2528"/>
      <c r="E263" s="2270"/>
      <c r="F263" s="2449" t="str">
        <f>INDEX(PT_DIFFERENTIATION_VTAR,MATCH(A263,PT_DIFFERENTIATION_VTAR_ID,0))</f>
        <v>Тариф на транспортировку сточных вод</v>
      </c>
      <c r="G263" s="2493" t="str">
        <f>INDEX(PT_DIFFERENTIATION_NTAR,MATCH(B263,PT_DIFFERENTIATION_NTAR_ID,0))</f>
        <v/>
      </c>
      <c r="H263" s="1928"/>
      <c r="I263" s="1805"/>
      <c r="J263" s="1839"/>
      <c r="K263" s="1844"/>
      <c r="L263" s="1928" t="s">
        <v>315</v>
      </c>
      <c r="M263" s="407"/>
      <c r="N263" s="400"/>
      <c r="O263" s="1690"/>
      <c r="P263" s="1690"/>
      <c r="AH263" s="1697">
        <v>0</v>
      </c>
    </row>
    <row s="5053" customFormat="1" customHeight="1" ht="18.75" hidden="1">
      <c r="A264" s="1846"/>
      <c r="B264" s="1846"/>
      <c r="C264" s="435" t="s">
        <v>1154</v>
      </c>
      <c r="D264" s="2528"/>
      <c r="E264" s="2270"/>
      <c r="F264" s="2449"/>
      <c r="G264" s="2493"/>
      <c r="H264" s="1566"/>
      <c r="I264" s="717" t="s">
        <v>1153</v>
      </c>
      <c r="J264" s="637"/>
      <c r="K264" s="1566"/>
      <c r="L264" s="280"/>
      <c r="M264" s="407"/>
      <c r="N264" s="400"/>
      <c r="O264" s="1690"/>
      <c r="P264" s="1690"/>
      <c r="AH264" s="1697">
        <v>0</v>
      </c>
    </row>
    <row s="5053" customFormat="1" customHeight="1" ht="0.75" hidden="1">
      <c r="A265" s="1846"/>
      <c r="B265" s="1846"/>
      <c r="C265" s="435" t="s">
        <v>1161</v>
      </c>
      <c r="D265" s="2528"/>
      <c r="E265" s="2270"/>
      <c r="F265" s="2449"/>
      <c r="G265" s="466"/>
      <c r="H265" s="1566"/>
      <c r="I265" s="717"/>
      <c r="J265" s="637"/>
      <c r="K265" s="1566"/>
      <c r="L265" s="280"/>
      <c r="M265" s="407"/>
      <c r="N265" s="400"/>
      <c r="O265" s="1690"/>
      <c r="P265" s="1690"/>
      <c r="AH265" s="1697">
        <v>0</v>
      </c>
    </row>
    <row s="5053" customFormat="1" customHeight="1" ht="18.75" hidden="1">
      <c r="A266" s="1846" t="s">
        <v>284</v>
      </c>
      <c r="B266" s="1846" t="s">
        <v>285</v>
      </c>
      <c r="C266" s="435"/>
      <c r="D266" s="2528"/>
      <c r="E266" s="2270"/>
      <c r="F266" s="2449" t="str">
        <f>INDEX(PT_DIFFERENTIATION_VTAR,MATCH(A266,PT_DIFFERENTIATION_VTAR_ID,0))</f>
        <v>Тариф на подключение (технологическое присоединение) к централизованной системе водоотведения</v>
      </c>
      <c r="G266" s="2493" t="str">
        <f>INDEX(PT_DIFFERENTIATION_NTAR,MATCH(B266,PT_DIFFERENTIATION_NTAR_ID,0))</f>
        <v/>
      </c>
      <c r="H266" s="1928"/>
      <c r="I266" s="1805"/>
      <c r="J266" s="1839"/>
      <c r="K266" s="1844"/>
      <c r="L266" s="1928" t="s">
        <v>315</v>
      </c>
      <c r="M266" s="407"/>
      <c r="N266" s="400"/>
      <c r="O266" s="1690"/>
      <c r="P266" s="1690"/>
      <c r="AH266" s="1697">
        <v>0</v>
      </c>
    </row>
    <row s="5053" customFormat="1" customHeight="1" ht="18.75" hidden="1">
      <c r="A267" s="1846"/>
      <c r="B267" s="1846"/>
      <c r="C267" s="435" t="s">
        <v>1154</v>
      </c>
      <c r="D267" s="2528"/>
      <c r="E267" s="2270"/>
      <c r="F267" s="2449"/>
      <c r="G267" s="2493"/>
      <c r="H267" s="1566"/>
      <c r="I267" s="717" t="s">
        <v>1153</v>
      </c>
      <c r="J267" s="637"/>
      <c r="K267" s="1566"/>
      <c r="L267" s="280"/>
      <c r="M267" s="407"/>
      <c r="N267" s="400"/>
      <c r="O267" s="1690"/>
      <c r="P267" s="1690"/>
      <c r="AH267" s="1697">
        <v>0</v>
      </c>
    </row>
    <row s="5053" customFormat="1" customHeight="1" ht="1.05">
      <c r="A268" s="1846"/>
      <c r="B268" s="1846"/>
      <c r="C268" s="435" t="s">
        <v>1161</v>
      </c>
      <c r="D268" s="2528"/>
      <c r="E268" s="2270"/>
      <c r="F268" s="2449"/>
      <c r="G268" s="466"/>
      <c r="H268" s="1566"/>
      <c r="I268" s="717"/>
      <c r="J268" s="637"/>
      <c r="K268" s="1566"/>
      <c r="L268" s="280"/>
      <c r="M268" s="407"/>
      <c r="N268" s="400"/>
      <c r="O268" s="1690"/>
      <c r="P268" s="1690"/>
      <c r="AH268" s="1697">
        <v>1</v>
      </c>
    </row>
    <row customHeight="1" ht="27.299999999999997">
      <c r="A269" s="1846"/>
      <c r="B269" s="1846"/>
      <c r="D269" s="442"/>
      <c r="E269" s="213" t="s">
        <v>97</v>
      </c>
      <c r="F269" s="25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6"/>
      <c r="H269" s="2526"/>
      <c r="I269" s="2526"/>
      <c r="J269" s="2526"/>
      <c r="K269" s="2526"/>
      <c r="L269" s="2526"/>
      <c r="M269" s="363"/>
      <c r="N269" s="400"/>
      <c r="AH269" s="440">
        <v>26</v>
      </c>
    </row>
    <row s="5053" customFormat="1" customHeight="1" ht="60.75" hidden="1">
      <c r="A270" s="1846" t="s">
        <v>159</v>
      </c>
      <c r="B270" s="1846" t="s">
        <v>160</v>
      </c>
      <c r="C270" s="435"/>
      <c r="D270" s="2528"/>
      <c r="E270" s="2270"/>
      <c r="F270" s="244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3" t="str">
        <f>INDEX(PT_DIFFERENTIATION_NTAR,MATCH(B270,PT_DIFFERENTIATION_NTAR_ID,0))</f>
        <v/>
      </c>
      <c r="H270" s="1928"/>
      <c r="I270" s="1805"/>
      <c r="J270" s="1839"/>
      <c r="K270" s="1844"/>
      <c r="L270" s="1928" t="s">
        <v>315</v>
      </c>
      <c r="M270"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0"/>
      <c r="O270" s="1690"/>
      <c r="P270" s="1690"/>
      <c r="AH270" s="1697">
        <v>0</v>
      </c>
    </row>
    <row s="5053" customFormat="1" customHeight="1" ht="18.75" hidden="1">
      <c r="A271" s="1846"/>
      <c r="B271" s="1846"/>
      <c r="C271" s="435" t="s">
        <v>1154</v>
      </c>
      <c r="D271" s="2528"/>
      <c r="E271" s="2270"/>
      <c r="F271" s="2449"/>
      <c r="G271" s="2493"/>
      <c r="H271" s="1566"/>
      <c r="I271" s="717" t="s">
        <v>1153</v>
      </c>
      <c r="J271" s="637"/>
      <c r="K271" s="1566"/>
      <c r="L271" s="280"/>
      <c r="M271" s="2236"/>
      <c r="N271" s="400"/>
      <c r="O271" s="1690"/>
      <c r="P271" s="1690"/>
      <c r="AH271" s="1697">
        <v>0</v>
      </c>
    </row>
    <row s="5053" customFormat="1" customHeight="1" ht="0.75" hidden="1">
      <c r="A272" s="1846"/>
      <c r="B272" s="1846"/>
      <c r="C272" s="435" t="s">
        <v>1161</v>
      </c>
      <c r="D272" s="2528"/>
      <c r="E272" s="2270"/>
      <c r="F272" s="2449"/>
      <c r="G272" s="466"/>
      <c r="H272" s="1566"/>
      <c r="I272" s="717"/>
      <c r="J272" s="637"/>
      <c r="K272" s="1566"/>
      <c r="L272" s="280"/>
      <c r="M272" s="2236"/>
      <c r="N272" s="400"/>
      <c r="O272" s="1690"/>
      <c r="P272" s="1690"/>
      <c r="AH272" s="1697">
        <v>0</v>
      </c>
    </row>
    <row s="5053" customFormat="1" customHeight="1" ht="45" hidden="1">
      <c r="A273" s="1846" t="s">
        <v>168</v>
      </c>
      <c r="B273" s="1846" t="s">
        <v>169</v>
      </c>
      <c r="C273" s="435"/>
      <c r="D273" s="2528"/>
      <c r="E273" s="2270"/>
      <c r="F273" s="2449"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93" t="str">
        <f>INDEX(PT_DIFFERENTIATION_NTAR,MATCH(B273,PT_DIFFERENTIATION_NTAR_ID,0))</f>
        <v>Тариф на т/э (мощность), поставляемую АО "Уренгойтеплогенерация-1", приобретающему т/э с целью компенсации потерь т/э</v>
      </c>
      <c r="H273" s="1928"/>
      <c r="I273" s="1805"/>
      <c r="J273" s="1839"/>
      <c r="K273" s="1844"/>
      <c r="L273" s="1928" t="s">
        <v>315</v>
      </c>
      <c r="M273" s="2237"/>
      <c r="N273" s="400"/>
      <c r="O273" s="1690"/>
      <c r="P273" s="1690"/>
      <c r="AH273" s="1697">
        <v>0</v>
      </c>
    </row>
    <row s="5053" customFormat="1" customHeight="1" ht="18.75" hidden="1">
      <c r="A274" s="1846"/>
      <c r="B274" s="1846"/>
      <c r="C274" s="435" t="s">
        <v>1154</v>
      </c>
      <c r="D274" s="2528"/>
      <c r="E274" s="2270"/>
      <c r="F274" s="2449"/>
      <c r="G274" s="2493"/>
      <c r="H274" s="1566"/>
      <c r="I274" s="717" t="s">
        <v>1153</v>
      </c>
      <c r="J274" s="637"/>
      <c r="K274" s="1566"/>
      <c r="L274" s="280"/>
      <c r="M274" s="1927"/>
      <c r="N274" s="400"/>
      <c r="O274" s="1690"/>
      <c r="P274" s="1690"/>
      <c r="AH274" s="1697">
        <v>0</v>
      </c>
    </row>
    <row s="5053" customFormat="1" customHeight="1" ht="0.75" hidden="1">
      <c r="A275" s="1846"/>
      <c r="B275" s="1846"/>
      <c r="C275" s="435" t="s">
        <v>1161</v>
      </c>
      <c r="D275" s="2528"/>
      <c r="E275" s="2270"/>
      <c r="F275" s="2449"/>
      <c r="G275" s="466"/>
      <c r="H275" s="1566"/>
      <c r="I275" s="717"/>
      <c r="J275" s="637"/>
      <c r="K275" s="1566"/>
      <c r="L275" s="280"/>
      <c r="M275" s="407"/>
      <c r="N275" s="400"/>
      <c r="O275" s="1690"/>
      <c r="P275" s="1690"/>
      <c r="AH275" s="1697">
        <v>0</v>
      </c>
    </row>
    <row s="5053" customFormat="1" customHeight="1" ht="45" hidden="1">
      <c r="A276" s="1846" t="s">
        <v>178</v>
      </c>
      <c r="B276" s="1846" t="s">
        <v>179</v>
      </c>
      <c r="C276" s="435"/>
      <c r="D276" s="2528"/>
      <c r="E276" s="2270"/>
      <c r="F276" s="244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3" t="str">
        <f>INDEX(PT_DIFFERENTIATION_NTAR,MATCH(B276,PT_DIFFERENTIATION_NTAR_ID,0))</f>
        <v/>
      </c>
      <c r="H276" s="1928"/>
      <c r="I276" s="1805"/>
      <c r="J276" s="1839"/>
      <c r="K276" s="1844"/>
      <c r="L276" s="1928" t="s">
        <v>315</v>
      </c>
      <c r="M276" s="407"/>
      <c r="N276" s="400"/>
      <c r="O276" s="1690"/>
      <c r="P276" s="1690"/>
      <c r="AH276" s="1697">
        <v>0</v>
      </c>
    </row>
    <row s="5053" customFormat="1" customHeight="1" ht="18.75" hidden="1">
      <c r="A277" s="1846"/>
      <c r="B277" s="1846"/>
      <c r="C277" s="435" t="s">
        <v>1154</v>
      </c>
      <c r="D277" s="2528"/>
      <c r="E277" s="2270"/>
      <c r="F277" s="2449"/>
      <c r="G277" s="2493"/>
      <c r="H277" s="1566"/>
      <c r="I277" s="717" t="s">
        <v>1153</v>
      </c>
      <c r="J277" s="637"/>
      <c r="K277" s="1566"/>
      <c r="L277" s="280"/>
      <c r="M277" s="407"/>
      <c r="N277" s="400"/>
      <c r="O277" s="1690"/>
      <c r="P277" s="1690"/>
      <c r="AH277" s="1697">
        <v>0</v>
      </c>
    </row>
    <row s="5053" customFormat="1" customHeight="1" ht="0.75" hidden="1">
      <c r="A278" s="1846"/>
      <c r="B278" s="1846"/>
      <c r="C278" s="435" t="s">
        <v>1161</v>
      </c>
      <c r="D278" s="2528"/>
      <c r="E278" s="2270"/>
      <c r="F278" s="2449"/>
      <c r="G278" s="466"/>
      <c r="H278" s="1566"/>
      <c r="I278" s="717"/>
      <c r="J278" s="637"/>
      <c r="K278" s="1566"/>
      <c r="L278" s="280"/>
      <c r="M278" s="407"/>
      <c r="N278" s="400"/>
      <c r="O278" s="1690"/>
      <c r="P278" s="1690"/>
      <c r="AH278" s="1697">
        <v>0</v>
      </c>
    </row>
    <row s="5053" customFormat="1" customHeight="1" ht="45" hidden="1">
      <c r="A279" s="1846" t="s">
        <v>184</v>
      </c>
      <c r="B279" s="1846" t="s">
        <v>185</v>
      </c>
      <c r="C279" s="435"/>
      <c r="D279" s="2528"/>
      <c r="E279" s="2270"/>
      <c r="F279" s="244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3" t="str">
        <f>INDEX(PT_DIFFERENTIATION_NTAR,MATCH(B279,PT_DIFFERENTIATION_NTAR_ID,0))</f>
        <v/>
      </c>
      <c r="H279" s="1928"/>
      <c r="I279" s="1805"/>
      <c r="J279" s="1839"/>
      <c r="K279" s="1844"/>
      <c r="L279" s="1928" t="s">
        <v>315</v>
      </c>
      <c r="M279" s="407"/>
      <c r="N279" s="400"/>
      <c r="O279" s="1690"/>
      <c r="P279" s="1690"/>
      <c r="AH279" s="1697">
        <v>0</v>
      </c>
    </row>
    <row s="5053" customFormat="1" customHeight="1" ht="18.75" hidden="1">
      <c r="A280" s="1846"/>
      <c r="B280" s="1846"/>
      <c r="C280" s="435" t="s">
        <v>1154</v>
      </c>
      <c r="D280" s="2528"/>
      <c r="E280" s="2270"/>
      <c r="F280" s="2449"/>
      <c r="G280" s="2493"/>
      <c r="H280" s="1566"/>
      <c r="I280" s="717" t="s">
        <v>1153</v>
      </c>
      <c r="J280" s="637"/>
      <c r="K280" s="1566"/>
      <c r="L280" s="280"/>
      <c r="M280" s="407"/>
      <c r="N280" s="400"/>
      <c r="O280" s="1690"/>
      <c r="P280" s="1690"/>
      <c r="AH280" s="1697">
        <v>0</v>
      </c>
    </row>
    <row s="5053" customFormat="1" customHeight="1" ht="0.75" hidden="1">
      <c r="A281" s="1846"/>
      <c r="B281" s="1846"/>
      <c r="C281" s="435" t="s">
        <v>1161</v>
      </c>
      <c r="D281" s="2528"/>
      <c r="E281" s="2270"/>
      <c r="F281" s="2449"/>
      <c r="G281" s="466"/>
      <c r="H281" s="1566"/>
      <c r="I281" s="717"/>
      <c r="J281" s="637"/>
      <c r="K281" s="1566"/>
      <c r="L281" s="280"/>
      <c r="M281" s="407"/>
      <c r="N281" s="400"/>
      <c r="O281" s="1690"/>
      <c r="P281" s="1690"/>
      <c r="AH281" s="1697">
        <v>0</v>
      </c>
    </row>
    <row s="5053" customFormat="1" customHeight="1" ht="18.75" hidden="1">
      <c r="A282" s="1846" t="s">
        <v>190</v>
      </c>
      <c r="B282" s="1846" t="s">
        <v>191</v>
      </c>
      <c r="C282" s="435"/>
      <c r="D282" s="2528"/>
      <c r="E282" s="2270"/>
      <c r="F282" s="2449" t="str">
        <f>INDEX(PT_DIFFERENTIATION_VTAR,MATCH(A282,PT_DIFFERENTIATION_VTAR_ID,0))</f>
        <v>Тарифы на услуги по передаче тепловой энергии</v>
      </c>
      <c r="G282" s="2493" t="str">
        <f>INDEX(PT_DIFFERENTIATION_NTAR,MATCH(B282,PT_DIFFERENTIATION_NTAR_ID,0))</f>
        <v/>
      </c>
      <c r="H282" s="1928"/>
      <c r="I282" s="1805"/>
      <c r="J282" s="1839"/>
      <c r="K282" s="1844"/>
      <c r="L282" s="1928" t="s">
        <v>315</v>
      </c>
      <c r="M282" s="407"/>
      <c r="N282" s="400"/>
      <c r="O282" s="1690"/>
      <c r="P282" s="1690"/>
      <c r="AH282" s="1697">
        <v>0</v>
      </c>
    </row>
    <row s="5053" customFormat="1" customHeight="1" ht="18.75" hidden="1">
      <c r="A283" s="1846"/>
      <c r="B283" s="1846"/>
      <c r="C283" s="435" t="s">
        <v>1154</v>
      </c>
      <c r="D283" s="2528"/>
      <c r="E283" s="2270"/>
      <c r="F283" s="2449"/>
      <c r="G283" s="2493"/>
      <c r="H283" s="1566"/>
      <c r="I283" s="717" t="s">
        <v>1153</v>
      </c>
      <c r="J283" s="637"/>
      <c r="K283" s="1566"/>
      <c r="L283" s="280"/>
      <c r="M283" s="407"/>
      <c r="N283" s="400"/>
      <c r="O283" s="1690"/>
      <c r="P283" s="1690"/>
      <c r="AH283" s="1697">
        <v>0</v>
      </c>
    </row>
    <row s="5053" customFormat="1" customHeight="1" ht="0.75" hidden="1">
      <c r="A284" s="1846"/>
      <c r="B284" s="1846"/>
      <c r="C284" s="435" t="s">
        <v>1161</v>
      </c>
      <c r="D284" s="2528"/>
      <c r="E284" s="2270"/>
      <c r="F284" s="2449"/>
      <c r="G284" s="466"/>
      <c r="H284" s="1566"/>
      <c r="I284" s="717"/>
      <c r="J284" s="637"/>
      <c r="K284" s="1566"/>
      <c r="L284" s="280"/>
      <c r="M284" s="407"/>
      <c r="N284" s="400"/>
      <c r="O284" s="1690"/>
      <c r="P284" s="1690"/>
      <c r="AH284" s="1697">
        <v>0</v>
      </c>
    </row>
    <row s="5053" customFormat="1" customHeight="1" ht="18.75" hidden="1">
      <c r="A285" s="1846" t="s">
        <v>196</v>
      </c>
      <c r="B285" s="1846" t="s">
        <v>197</v>
      </c>
      <c r="C285" s="435"/>
      <c r="D285" s="2528"/>
      <c r="E285" s="2270"/>
      <c r="F285" s="2449" t="str">
        <f>INDEX(PT_DIFFERENTIATION_VTAR,MATCH(A285,PT_DIFFERENTIATION_VTAR_ID,0))</f>
        <v>Тарифы на услуги по передаче теплоносителя</v>
      </c>
      <c r="G285" s="2493" t="str">
        <f>INDEX(PT_DIFFERENTIATION_NTAR,MATCH(B285,PT_DIFFERENTIATION_NTAR_ID,0))</f>
        <v/>
      </c>
      <c r="H285" s="1928"/>
      <c r="I285" s="1805"/>
      <c r="J285" s="1839"/>
      <c r="K285" s="1844"/>
      <c r="L285" s="1928" t="s">
        <v>315</v>
      </c>
      <c r="M285" s="407"/>
      <c r="N285" s="400"/>
      <c r="O285" s="1690"/>
      <c r="P285" s="1690"/>
      <c r="AH285" s="1697">
        <v>0</v>
      </c>
    </row>
    <row s="5053" customFormat="1" customHeight="1" ht="18.75" hidden="1">
      <c r="A286" s="1846"/>
      <c r="B286" s="1846"/>
      <c r="C286" s="435" t="s">
        <v>1154</v>
      </c>
      <c r="D286" s="2528"/>
      <c r="E286" s="2270"/>
      <c r="F286" s="2449"/>
      <c r="G286" s="2493"/>
      <c r="H286" s="1566"/>
      <c r="I286" s="717" t="s">
        <v>1153</v>
      </c>
      <c r="J286" s="637"/>
      <c r="K286" s="1566"/>
      <c r="L286" s="280"/>
      <c r="M286" s="407"/>
      <c r="N286" s="400"/>
      <c r="O286" s="1690"/>
      <c r="P286" s="1690"/>
      <c r="AH286" s="1697">
        <v>0</v>
      </c>
    </row>
    <row s="5053" customFormat="1" customHeight="1" ht="0.75" hidden="1">
      <c r="A287" s="1846"/>
      <c r="B287" s="1846"/>
      <c r="C287" s="435" t="s">
        <v>1161</v>
      </c>
      <c r="D287" s="2528"/>
      <c r="E287" s="2270"/>
      <c r="F287" s="2449"/>
      <c r="G287" s="466"/>
      <c r="H287" s="1566"/>
      <c r="I287" s="717"/>
      <c r="J287" s="637"/>
      <c r="K287" s="1566"/>
      <c r="L287" s="280"/>
      <c r="M287" s="407"/>
      <c r="N287" s="400"/>
      <c r="O287" s="1690"/>
      <c r="P287" s="1690"/>
      <c r="AH287" s="1697">
        <v>0</v>
      </c>
    </row>
    <row s="5053" customFormat="1" customHeight="1" ht="18.75" hidden="1">
      <c r="A288" s="1846" t="s">
        <v>202</v>
      </c>
      <c r="B288" s="1846" t="s">
        <v>203</v>
      </c>
      <c r="C288" s="435"/>
      <c r="D288" s="2528"/>
      <c r="E288" s="2270"/>
      <c r="F288" s="244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3" t="str">
        <f>INDEX(PT_DIFFERENTIATION_NTAR,MATCH(B288,PT_DIFFERENTIATION_NTAR_ID,0))</f>
        <v/>
      </c>
      <c r="H288" s="1928"/>
      <c r="I288" s="1805"/>
      <c r="J288" s="1839"/>
      <c r="K288" s="1844"/>
      <c r="L288" s="1928" t="s">
        <v>315</v>
      </c>
      <c r="M288" s="407"/>
      <c r="N288" s="400"/>
      <c r="O288" s="1690"/>
      <c r="P288" s="1690"/>
      <c r="AH288" s="1697">
        <v>0</v>
      </c>
    </row>
    <row s="5053" customFormat="1" customHeight="1" ht="18.75" hidden="1">
      <c r="A289" s="1846"/>
      <c r="B289" s="1846"/>
      <c r="C289" s="435" t="s">
        <v>1154</v>
      </c>
      <c r="D289" s="2528"/>
      <c r="E289" s="2270"/>
      <c r="F289" s="2449"/>
      <c r="G289" s="2493"/>
      <c r="H289" s="1566"/>
      <c r="I289" s="717" t="s">
        <v>1153</v>
      </c>
      <c r="J289" s="637"/>
      <c r="K289" s="1566"/>
      <c r="L289" s="280"/>
      <c r="M289" s="407"/>
      <c r="N289" s="400"/>
      <c r="O289" s="1690"/>
      <c r="P289" s="1690"/>
      <c r="AH289" s="1697">
        <v>0</v>
      </c>
    </row>
    <row s="5053" customFormat="1" customHeight="1" ht="0.75" hidden="1">
      <c r="A290" s="1846"/>
      <c r="B290" s="1846"/>
      <c r="C290" s="435" t="s">
        <v>1161</v>
      </c>
      <c r="D290" s="2528"/>
      <c r="E290" s="2270"/>
      <c r="F290" s="2449"/>
      <c r="G290" s="466"/>
      <c r="H290" s="1566"/>
      <c r="I290" s="717"/>
      <c r="J290" s="637"/>
      <c r="K290" s="1566"/>
      <c r="L290" s="280"/>
      <c r="M290" s="407"/>
      <c r="N290" s="400"/>
      <c r="O290" s="1690"/>
      <c r="P290" s="1690"/>
      <c r="AH290" s="1697">
        <v>0</v>
      </c>
    </row>
    <row s="5053" customFormat="1" customHeight="1" ht="18.75" hidden="1">
      <c r="A291" s="1846" t="s">
        <v>208</v>
      </c>
      <c r="B291" s="1846" t="s">
        <v>209</v>
      </c>
      <c r="C291" s="435"/>
      <c r="D291" s="2528"/>
      <c r="E291" s="2270"/>
      <c r="F291" s="2449" t="str">
        <f>INDEX(PT_DIFFERENTIATION_VTAR,MATCH(A291,PT_DIFFERENTIATION_VTAR_ID,0))</f>
        <v>Плата за подключение (технологическое присоединение) к системе теплоснабжения</v>
      </c>
      <c r="G291" s="2493" t="str">
        <f>INDEX(PT_DIFFERENTIATION_NTAR,MATCH(B291,PT_DIFFERENTIATION_NTAR_ID,0))</f>
        <v/>
      </c>
      <c r="H291" s="1928"/>
      <c r="I291" s="1805"/>
      <c r="J291" s="1839"/>
      <c r="K291" s="1844"/>
      <c r="L291" s="1928" t="s">
        <v>315</v>
      </c>
      <c r="M291" s="407"/>
      <c r="N291" s="400"/>
      <c r="O291" s="1690"/>
      <c r="P291" s="1690"/>
      <c r="AH291" s="1697">
        <v>0</v>
      </c>
    </row>
    <row s="5053" customFormat="1" customHeight="1" ht="18.75" hidden="1">
      <c r="A292" s="1846"/>
      <c r="B292" s="1846"/>
      <c r="C292" s="435" t="s">
        <v>1154</v>
      </c>
      <c r="D292" s="2528"/>
      <c r="E292" s="2270"/>
      <c r="F292" s="2449"/>
      <c r="G292" s="2493"/>
      <c r="H292" s="1566"/>
      <c r="I292" s="717" t="s">
        <v>1153</v>
      </c>
      <c r="J292" s="637"/>
      <c r="K292" s="1566"/>
      <c r="L292" s="280"/>
      <c r="M292" s="407"/>
      <c r="N292" s="400"/>
      <c r="O292" s="1690"/>
      <c r="P292" s="1690"/>
      <c r="AH292" s="1697">
        <v>0</v>
      </c>
    </row>
    <row s="5053" customFormat="1" customHeight="1" ht="0.75" hidden="1">
      <c r="A293" s="1846"/>
      <c r="B293" s="1846"/>
      <c r="C293" s="435" t="s">
        <v>1161</v>
      </c>
      <c r="D293" s="2528"/>
      <c r="E293" s="2270"/>
      <c r="F293" s="2449"/>
      <c r="G293" s="466"/>
      <c r="H293" s="1566"/>
      <c r="I293" s="717"/>
      <c r="J293" s="637"/>
      <c r="K293" s="1566"/>
      <c r="L293" s="280"/>
      <c r="M293" s="407"/>
      <c r="N293" s="400"/>
      <c r="O293" s="1690"/>
      <c r="P293" s="1690"/>
      <c r="AH293" s="1697">
        <v>0</v>
      </c>
    </row>
    <row s="5053" customFormat="1" customHeight="1" ht="18.75" hidden="1">
      <c r="A294" s="1846" t="s">
        <v>214</v>
      </c>
      <c r="B294" s="1846" t="s">
        <v>215</v>
      </c>
      <c r="C294" s="435"/>
      <c r="D294" s="2528"/>
      <c r="E294" s="2270"/>
      <c r="F294" s="2449" t="str">
        <f>INDEX(PT_DIFFERENTIATION_VTAR,MATCH(A294,PT_DIFFERENTIATION_VTAR_ID,0))</f>
        <v>Плата за подключение (технологическое присоединение) к системе теплоснабжения (индивидуальная)</v>
      </c>
      <c r="G294" s="2493" t="str">
        <f>INDEX(PT_DIFFERENTIATION_NTAR,MATCH(B294,PT_DIFFERENTIATION_NTAR_ID,0))</f>
        <v/>
      </c>
      <c r="H294" s="2055"/>
      <c r="I294" s="1805"/>
      <c r="J294" s="1839"/>
      <c r="K294" s="1844"/>
      <c r="L294" s="2055" t="s">
        <v>315</v>
      </c>
      <c r="M294" s="407"/>
      <c r="N294" s="400"/>
      <c r="O294" s="1690"/>
      <c r="P294" s="1690"/>
      <c r="AH294" s="1697">
        <v>0</v>
      </c>
    </row>
    <row s="5053" customFormat="1" customHeight="1" ht="18.75" hidden="1">
      <c r="A295" s="1846"/>
      <c r="B295" s="1846"/>
      <c r="C295" s="435" t="s">
        <v>1154</v>
      </c>
      <c r="D295" s="2528"/>
      <c r="E295" s="2270"/>
      <c r="F295" s="2449"/>
      <c r="G295" s="2493"/>
      <c r="H295" s="1566"/>
      <c r="I295" s="717" t="s">
        <v>1153</v>
      </c>
      <c r="J295" s="637"/>
      <c r="K295" s="1566"/>
      <c r="L295" s="280"/>
      <c r="M295" s="407"/>
      <c r="N295" s="400"/>
      <c r="O295" s="1690"/>
      <c r="P295" s="1690"/>
      <c r="AH295" s="1697">
        <v>0</v>
      </c>
    </row>
    <row s="5053" customFormat="1" customHeight="1" ht="0.75" hidden="1">
      <c r="A296" s="1846"/>
      <c r="B296" s="1846"/>
      <c r="C296" s="435" t="s">
        <v>1161</v>
      </c>
      <c r="D296" s="2528"/>
      <c r="E296" s="2270"/>
      <c r="F296" s="2449"/>
      <c r="G296" s="466"/>
      <c r="H296" s="1566"/>
      <c r="I296" s="717"/>
      <c r="J296" s="637"/>
      <c r="K296" s="1566"/>
      <c r="L296" s="280"/>
      <c r="M296" s="407"/>
      <c r="N296" s="400"/>
      <c r="O296" s="1690"/>
      <c r="P296" s="1690"/>
      <c r="AH296" s="1697">
        <v>0</v>
      </c>
    </row>
    <row s="5053" customFormat="1" customHeight="1" ht="18.75" hidden="1">
      <c r="A297" s="1846" t="s">
        <v>234</v>
      </c>
      <c r="B297" s="1846" t="s">
        <v>235</v>
      </c>
      <c r="C297" s="435"/>
      <c r="D297" s="2528"/>
      <c r="E297" s="2270"/>
      <c r="F297" s="2449" t="str">
        <f>INDEX(PT_DIFFERENTIATION_VTAR,MATCH(A297,PT_DIFFERENTIATION_VTAR_ID,0))</f>
        <v>Тариф на питьевую воду (питьевое водоснабжение)</v>
      </c>
      <c r="G297" s="2493" t="str">
        <f>INDEX(PT_DIFFERENTIATION_NTAR,MATCH(B297,PT_DIFFERENTIATION_NTAR_ID,0))</f>
        <v/>
      </c>
      <c r="H297" s="1928"/>
      <c r="I297" s="1805"/>
      <c r="J297" s="1839"/>
      <c r="K297" s="1844"/>
      <c r="L297" s="1928" t="s">
        <v>315</v>
      </c>
      <c r="M297" s="407"/>
      <c r="N297" s="400"/>
      <c r="O297" s="1690"/>
      <c r="P297" s="1690"/>
      <c r="AH297" s="1697">
        <v>0</v>
      </c>
    </row>
    <row s="5053" customFormat="1" customHeight="1" ht="18.75" hidden="1">
      <c r="A298" s="1846"/>
      <c r="B298" s="1846"/>
      <c r="C298" s="435" t="s">
        <v>1154</v>
      </c>
      <c r="D298" s="2528"/>
      <c r="E298" s="2270"/>
      <c r="F298" s="2449"/>
      <c r="G298" s="2493"/>
      <c r="H298" s="1566"/>
      <c r="I298" s="717" t="s">
        <v>1153</v>
      </c>
      <c r="J298" s="637"/>
      <c r="K298" s="1566"/>
      <c r="L298" s="280"/>
      <c r="M298" s="407"/>
      <c r="N298" s="400"/>
      <c r="O298" s="1690"/>
      <c r="P298" s="1690"/>
      <c r="AH298" s="1697">
        <v>0</v>
      </c>
    </row>
    <row s="5053" customFormat="1" customHeight="1" ht="0.75" hidden="1">
      <c r="A299" s="1846"/>
      <c r="B299" s="1846"/>
      <c r="C299" s="435" t="s">
        <v>1161</v>
      </c>
      <c r="D299" s="2528"/>
      <c r="E299" s="2270"/>
      <c r="F299" s="2449"/>
      <c r="G299" s="466"/>
      <c r="H299" s="1566"/>
      <c r="I299" s="717"/>
      <c r="J299" s="637"/>
      <c r="K299" s="1566"/>
      <c r="L299" s="280"/>
      <c r="M299" s="407"/>
      <c r="N299" s="400"/>
      <c r="O299" s="1690"/>
      <c r="P299" s="1690"/>
      <c r="AH299" s="1697">
        <v>0</v>
      </c>
    </row>
    <row s="5053" customFormat="1" customHeight="1" ht="18.75" hidden="1">
      <c r="A300" s="1846" t="s">
        <v>239</v>
      </c>
      <c r="B300" s="1846" t="s">
        <v>240</v>
      </c>
      <c r="C300" s="435"/>
      <c r="D300" s="2528"/>
      <c r="E300" s="2270"/>
      <c r="F300" s="2449" t="str">
        <f>INDEX(PT_DIFFERENTIATION_VTAR,MATCH(A300,PT_DIFFERENTIATION_VTAR_ID,0))</f>
        <v>Тариф на техническую воду</v>
      </c>
      <c r="G300" s="2493" t="str">
        <f>INDEX(PT_DIFFERENTIATION_NTAR,MATCH(B300,PT_DIFFERENTIATION_NTAR_ID,0))</f>
        <v/>
      </c>
      <c r="H300" s="1928"/>
      <c r="I300" s="1805"/>
      <c r="J300" s="1839"/>
      <c r="K300" s="1844"/>
      <c r="L300" s="1928" t="s">
        <v>315</v>
      </c>
      <c r="M300" s="407"/>
      <c r="N300" s="400"/>
      <c r="O300" s="1690"/>
      <c r="P300" s="1690"/>
      <c r="AH300" s="1697">
        <v>0</v>
      </c>
    </row>
    <row s="5053" customFormat="1" customHeight="1" ht="18.75" hidden="1">
      <c r="A301" s="1846"/>
      <c r="B301" s="1846"/>
      <c r="C301" s="435" t="s">
        <v>1154</v>
      </c>
      <c r="D301" s="2528"/>
      <c r="E301" s="2270"/>
      <c r="F301" s="2449"/>
      <c r="G301" s="2493"/>
      <c r="H301" s="1566"/>
      <c r="I301" s="717" t="s">
        <v>1153</v>
      </c>
      <c r="J301" s="637"/>
      <c r="K301" s="1566"/>
      <c r="L301" s="280"/>
      <c r="M301" s="407"/>
      <c r="N301" s="400"/>
      <c r="O301" s="1690"/>
      <c r="P301" s="1690"/>
      <c r="AH301" s="1697">
        <v>0</v>
      </c>
    </row>
    <row s="5053" customFormat="1" customHeight="1" ht="0.75" hidden="1">
      <c r="A302" s="1846"/>
      <c r="B302" s="1846"/>
      <c r="C302" s="435" t="s">
        <v>1161</v>
      </c>
      <c r="D302" s="2528"/>
      <c r="E302" s="2270"/>
      <c r="F302" s="2449"/>
      <c r="G302" s="466"/>
      <c r="H302" s="1566"/>
      <c r="I302" s="717"/>
      <c r="J302" s="637"/>
      <c r="K302" s="1566"/>
      <c r="L302" s="280"/>
      <c r="M302" s="407"/>
      <c r="N302" s="400"/>
      <c r="O302" s="1690"/>
      <c r="P302" s="1690"/>
      <c r="AH302" s="1697">
        <v>0</v>
      </c>
    </row>
    <row s="5053" customFormat="1" customHeight="1" ht="18.75" hidden="1">
      <c r="A303" s="1846" t="s">
        <v>244</v>
      </c>
      <c r="B303" s="1846" t="s">
        <v>245</v>
      </c>
      <c r="C303" s="435"/>
      <c r="D303" s="2528"/>
      <c r="E303" s="2270"/>
      <c r="F303" s="2449" t="str">
        <f>INDEX(PT_DIFFERENTIATION_VTAR,MATCH(A303,PT_DIFFERENTIATION_VTAR_ID,0))</f>
        <v>Тариф на транспортировку воды</v>
      </c>
      <c r="G303" s="2493" t="str">
        <f>INDEX(PT_DIFFERENTIATION_NTAR,MATCH(B303,PT_DIFFERENTIATION_NTAR_ID,0))</f>
        <v/>
      </c>
      <c r="H303" s="1928"/>
      <c r="I303" s="1805"/>
      <c r="J303" s="1839"/>
      <c r="K303" s="1844"/>
      <c r="L303" s="1928" t="s">
        <v>315</v>
      </c>
      <c r="M303" s="407"/>
      <c r="N303" s="400"/>
      <c r="O303" s="1690"/>
      <c r="P303" s="1690"/>
      <c r="AH303" s="1697">
        <v>0</v>
      </c>
    </row>
    <row s="5053" customFormat="1" customHeight="1" ht="18.75" hidden="1">
      <c r="A304" s="1846"/>
      <c r="B304" s="1846"/>
      <c r="C304" s="435" t="s">
        <v>1154</v>
      </c>
      <c r="D304" s="2528"/>
      <c r="E304" s="2270"/>
      <c r="F304" s="2449"/>
      <c r="G304" s="2493"/>
      <c r="H304" s="1566"/>
      <c r="I304" s="717" t="s">
        <v>1153</v>
      </c>
      <c r="J304" s="637"/>
      <c r="K304" s="1566"/>
      <c r="L304" s="280"/>
      <c r="M304" s="407"/>
      <c r="N304" s="400"/>
      <c r="O304" s="1690"/>
      <c r="P304" s="1690"/>
      <c r="AH304" s="1697">
        <v>0</v>
      </c>
    </row>
    <row s="5053" customFormat="1" customHeight="1" ht="0.75" hidden="1">
      <c r="A305" s="1846"/>
      <c r="B305" s="1846"/>
      <c r="C305" s="435" t="s">
        <v>1161</v>
      </c>
      <c r="D305" s="2528"/>
      <c r="E305" s="2270"/>
      <c r="F305" s="2449"/>
      <c r="G305" s="466"/>
      <c r="H305" s="1566"/>
      <c r="I305" s="717"/>
      <c r="J305" s="637"/>
      <c r="K305" s="1566"/>
      <c r="L305" s="280"/>
      <c r="M305" s="407"/>
      <c r="N305" s="400"/>
      <c r="O305" s="1690"/>
      <c r="P305" s="1690"/>
      <c r="AH305" s="1697">
        <v>0</v>
      </c>
    </row>
    <row s="5053" customFormat="1" customHeight="1" ht="18.75" hidden="1">
      <c r="A306" s="1846" t="s">
        <v>249</v>
      </c>
      <c r="B306" s="1846" t="s">
        <v>250</v>
      </c>
      <c r="C306" s="435"/>
      <c r="D306" s="2528"/>
      <c r="E306" s="2270"/>
      <c r="F306" s="2449" t="str">
        <f>INDEX(PT_DIFFERENTIATION_VTAR,MATCH(A306,PT_DIFFERENTIATION_VTAR_ID,0))</f>
        <v>Тариф на подвоз воды</v>
      </c>
      <c r="G306" s="2493" t="str">
        <f>INDEX(PT_DIFFERENTIATION_NTAR,MATCH(B306,PT_DIFFERENTIATION_NTAR_ID,0))</f>
        <v/>
      </c>
      <c r="H306" s="1928"/>
      <c r="I306" s="1805"/>
      <c r="J306" s="1839"/>
      <c r="K306" s="1844"/>
      <c r="L306" s="1928" t="s">
        <v>315</v>
      </c>
      <c r="M306" s="407"/>
      <c r="N306" s="400"/>
      <c r="O306" s="1690"/>
      <c r="P306" s="1690"/>
      <c r="AH306" s="1697">
        <v>0</v>
      </c>
    </row>
    <row s="5053" customFormat="1" customHeight="1" ht="18.75" hidden="1">
      <c r="A307" s="1846"/>
      <c r="B307" s="1846"/>
      <c r="C307" s="435" t="s">
        <v>1154</v>
      </c>
      <c r="D307" s="2528"/>
      <c r="E307" s="2270"/>
      <c r="F307" s="2449"/>
      <c r="G307" s="2493"/>
      <c r="H307" s="1566"/>
      <c r="I307" s="717" t="s">
        <v>1153</v>
      </c>
      <c r="J307" s="637"/>
      <c r="K307" s="1566"/>
      <c r="L307" s="280"/>
      <c r="M307" s="407"/>
      <c r="N307" s="400"/>
      <c r="O307" s="1690"/>
      <c r="P307" s="1690"/>
      <c r="AH307" s="1697">
        <v>0</v>
      </c>
    </row>
    <row s="5053" customFormat="1" customHeight="1" ht="0.75" hidden="1">
      <c r="A308" s="1846"/>
      <c r="B308" s="1846"/>
      <c r="C308" s="435" t="s">
        <v>1161</v>
      </c>
      <c r="D308" s="2528"/>
      <c r="E308" s="2270"/>
      <c r="F308" s="2449"/>
      <c r="G308" s="466"/>
      <c r="H308" s="1566"/>
      <c r="I308" s="717"/>
      <c r="J308" s="637"/>
      <c r="K308" s="1566"/>
      <c r="L308" s="280"/>
      <c r="M308" s="407"/>
      <c r="N308" s="400"/>
      <c r="O308" s="1690"/>
      <c r="P308" s="1690"/>
      <c r="AH308" s="1697">
        <v>0</v>
      </c>
    </row>
    <row s="5053" customFormat="1" customHeight="1" ht="18.75" hidden="1">
      <c r="A309" s="1846" t="s">
        <v>254</v>
      </c>
      <c r="B309" s="1846" t="s">
        <v>255</v>
      </c>
      <c r="C309" s="435"/>
      <c r="D309" s="2528"/>
      <c r="E309" s="2270"/>
      <c r="F309" s="244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3" t="str">
        <f>INDEX(PT_DIFFERENTIATION_NTAR,MATCH(B309,PT_DIFFERENTIATION_NTAR_ID,0))</f>
        <v/>
      </c>
      <c r="H309" s="1928"/>
      <c r="I309" s="1805"/>
      <c r="J309" s="1839"/>
      <c r="K309" s="1844"/>
      <c r="L309" s="1928" t="s">
        <v>315</v>
      </c>
      <c r="M309" s="407"/>
      <c r="N309" s="400"/>
      <c r="O309" s="1690"/>
      <c r="P309" s="1690"/>
      <c r="AH309" s="1697">
        <v>0</v>
      </c>
    </row>
    <row s="5053" customFormat="1" customHeight="1" ht="18.75" hidden="1">
      <c r="A310" s="1846"/>
      <c r="B310" s="1846"/>
      <c r="C310" s="435" t="s">
        <v>1154</v>
      </c>
      <c r="D310" s="2528"/>
      <c r="E310" s="2270"/>
      <c r="F310" s="2449"/>
      <c r="G310" s="2493"/>
      <c r="H310" s="1566"/>
      <c r="I310" s="717" t="s">
        <v>1153</v>
      </c>
      <c r="J310" s="637"/>
      <c r="K310" s="1566"/>
      <c r="L310" s="280"/>
      <c r="M310" s="407"/>
      <c r="N310" s="400"/>
      <c r="O310" s="1690"/>
      <c r="P310" s="1690"/>
      <c r="AH310" s="1697">
        <v>0</v>
      </c>
    </row>
    <row s="5053" customFormat="1" customHeight="1" ht="0.75" hidden="1">
      <c r="A311" s="1846"/>
      <c r="B311" s="1846"/>
      <c r="C311" s="435" t="s">
        <v>1161</v>
      </c>
      <c r="D311" s="2528"/>
      <c r="E311" s="2270"/>
      <c r="F311" s="2449"/>
      <c r="G311" s="466"/>
      <c r="H311" s="1566"/>
      <c r="I311" s="717"/>
      <c r="J311" s="637"/>
      <c r="K311" s="1566"/>
      <c r="L311" s="280"/>
      <c r="M311" s="407"/>
      <c r="N311" s="400"/>
      <c r="O311" s="1690"/>
      <c r="P311" s="1690"/>
      <c r="AH311" s="1697">
        <v>0</v>
      </c>
    </row>
    <row s="5053" customFormat="1" customHeight="1" ht="18.75" hidden="1">
      <c r="A312" s="1846" t="s">
        <v>259</v>
      </c>
      <c r="B312" s="1846" t="s">
        <v>260</v>
      </c>
      <c r="C312" s="435"/>
      <c r="D312" s="2528"/>
      <c r="E312" s="2270"/>
      <c r="F312" s="2449" t="str">
        <f>INDEX(PT_DIFFERENTIATION_VTAR,MATCH(A312,PT_DIFFERENTIATION_VTAR_ID,0))</f>
        <v>Тариф на горячую воду (горячее водоснабжение)</v>
      </c>
      <c r="G312" s="2493" t="str">
        <f>INDEX(PT_DIFFERENTIATION_NTAR,MATCH(B312,PT_DIFFERENTIATION_NTAR_ID,0))</f>
        <v/>
      </c>
      <c r="H312" s="1928"/>
      <c r="I312" s="1805"/>
      <c r="J312" s="1839"/>
      <c r="K312" s="1844"/>
      <c r="L312" s="1928" t="s">
        <v>315</v>
      </c>
      <c r="M312" s="407"/>
      <c r="N312" s="400"/>
      <c r="O312" s="1690"/>
      <c r="P312" s="1690"/>
      <c r="AH312" s="1697">
        <v>0</v>
      </c>
    </row>
    <row s="5053" customFormat="1" customHeight="1" ht="18.75" hidden="1">
      <c r="A313" s="1846"/>
      <c r="B313" s="1846"/>
      <c r="C313" s="435" t="s">
        <v>1154</v>
      </c>
      <c r="D313" s="2528"/>
      <c r="E313" s="2270"/>
      <c r="F313" s="2449"/>
      <c r="G313" s="2493"/>
      <c r="H313" s="1566"/>
      <c r="I313" s="717" t="s">
        <v>1153</v>
      </c>
      <c r="J313" s="637"/>
      <c r="K313" s="1566"/>
      <c r="L313" s="280"/>
      <c r="M313" s="407"/>
      <c r="N313" s="400"/>
      <c r="O313" s="1690"/>
      <c r="P313" s="1690"/>
      <c r="AH313" s="1697">
        <v>0</v>
      </c>
    </row>
    <row s="5053" customFormat="1" customHeight="1" ht="0.75" hidden="1">
      <c r="A314" s="1846"/>
      <c r="B314" s="1846"/>
      <c r="C314" s="435" t="s">
        <v>1161</v>
      </c>
      <c r="D314" s="2528"/>
      <c r="E314" s="2270"/>
      <c r="F314" s="2449"/>
      <c r="G314" s="466"/>
      <c r="H314" s="1566"/>
      <c r="I314" s="717"/>
      <c r="J314" s="637"/>
      <c r="K314" s="1566"/>
      <c r="L314" s="280"/>
      <c r="M314" s="407"/>
      <c r="N314" s="400"/>
      <c r="O314" s="1690"/>
      <c r="P314" s="1690"/>
      <c r="AH314" s="1697">
        <v>0</v>
      </c>
    </row>
    <row s="5053" customFormat="1" customHeight="1" ht="18.75" hidden="1">
      <c r="A315" s="1846" t="s">
        <v>264</v>
      </c>
      <c r="B315" s="1846" t="s">
        <v>265</v>
      </c>
      <c r="C315" s="435"/>
      <c r="D315" s="2528"/>
      <c r="E315" s="2270"/>
      <c r="F315" s="2449" t="str">
        <f>INDEX(PT_DIFFERENTIATION_VTAR,MATCH(A315,PT_DIFFERENTIATION_VTAR_ID,0))</f>
        <v>Тариф на транспортировку горячей воды</v>
      </c>
      <c r="G315" s="2493" t="str">
        <f>INDEX(PT_DIFFERENTIATION_NTAR,MATCH(B315,PT_DIFFERENTIATION_NTAR_ID,0))</f>
        <v/>
      </c>
      <c r="H315" s="1928"/>
      <c r="I315" s="1805"/>
      <c r="J315" s="1839"/>
      <c r="K315" s="1844"/>
      <c r="L315" s="1928" t="s">
        <v>315</v>
      </c>
      <c r="M315" s="407"/>
      <c r="N315" s="400"/>
      <c r="O315" s="1690"/>
      <c r="P315" s="1690"/>
      <c r="AH315" s="1697">
        <v>0</v>
      </c>
    </row>
    <row s="5053" customFormat="1" customHeight="1" ht="18.75" hidden="1">
      <c r="A316" s="1846"/>
      <c r="B316" s="1846"/>
      <c r="C316" s="435" t="s">
        <v>1154</v>
      </c>
      <c r="D316" s="2528"/>
      <c r="E316" s="2270"/>
      <c r="F316" s="2449"/>
      <c r="G316" s="2493"/>
      <c r="H316" s="1566"/>
      <c r="I316" s="717" t="s">
        <v>1153</v>
      </c>
      <c r="J316" s="637"/>
      <c r="K316" s="1566"/>
      <c r="L316" s="280"/>
      <c r="M316" s="407"/>
      <c r="N316" s="400"/>
      <c r="O316" s="1690"/>
      <c r="P316" s="1690"/>
      <c r="AH316" s="1697">
        <v>0</v>
      </c>
    </row>
    <row s="5053" customFormat="1" customHeight="1" ht="0.75" hidden="1">
      <c r="A317" s="1846"/>
      <c r="B317" s="1846"/>
      <c r="C317" s="435" t="s">
        <v>1161</v>
      </c>
      <c r="D317" s="2528"/>
      <c r="E317" s="2270"/>
      <c r="F317" s="2449"/>
      <c r="G317" s="466"/>
      <c r="H317" s="1566"/>
      <c r="I317" s="717"/>
      <c r="J317" s="637"/>
      <c r="K317" s="1566"/>
      <c r="L317" s="280"/>
      <c r="M317" s="407"/>
      <c r="N317" s="400"/>
      <c r="O317" s="1690"/>
      <c r="P317" s="1690"/>
      <c r="AH317" s="1697">
        <v>0</v>
      </c>
    </row>
    <row s="5053" customFormat="1" customHeight="1" ht="18.75" hidden="1">
      <c r="A318" s="1846" t="s">
        <v>269</v>
      </c>
      <c r="B318" s="1846" t="s">
        <v>270</v>
      </c>
      <c r="C318" s="435"/>
      <c r="D318" s="2528"/>
      <c r="E318" s="2270"/>
      <c r="F318" s="244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3" t="str">
        <f>INDEX(PT_DIFFERENTIATION_NTAR,MATCH(B318,PT_DIFFERENTIATION_NTAR_ID,0))</f>
        <v/>
      </c>
      <c r="H318" s="1928"/>
      <c r="I318" s="1805"/>
      <c r="J318" s="1839"/>
      <c r="K318" s="1844"/>
      <c r="L318" s="1928" t="s">
        <v>315</v>
      </c>
      <c r="M318" s="407"/>
      <c r="N318" s="400"/>
      <c r="O318" s="1690"/>
      <c r="P318" s="1690"/>
      <c r="AH318" s="1697">
        <v>0</v>
      </c>
    </row>
    <row s="5053" customFormat="1" customHeight="1" ht="18.75" hidden="1">
      <c r="A319" s="1846"/>
      <c r="B319" s="1846"/>
      <c r="C319" s="435" t="s">
        <v>1154</v>
      </c>
      <c r="D319" s="2528"/>
      <c r="E319" s="2270"/>
      <c r="F319" s="2449"/>
      <c r="G319" s="2493"/>
      <c r="H319" s="1566"/>
      <c r="I319" s="717" t="s">
        <v>1153</v>
      </c>
      <c r="J319" s="637"/>
      <c r="K319" s="1566"/>
      <c r="L319" s="280"/>
      <c r="M319" s="407"/>
      <c r="N319" s="400"/>
      <c r="O319" s="1690"/>
      <c r="P319" s="1690"/>
      <c r="AH319" s="1697">
        <v>0</v>
      </c>
    </row>
    <row s="5053" customFormat="1" customHeight="1" ht="0.75" hidden="1">
      <c r="A320" s="1846"/>
      <c r="B320" s="1846"/>
      <c r="C320" s="435" t="s">
        <v>1161</v>
      </c>
      <c r="D320" s="2528"/>
      <c r="E320" s="2270"/>
      <c r="F320" s="2449"/>
      <c r="G320" s="466"/>
      <c r="H320" s="1566"/>
      <c r="I320" s="717"/>
      <c r="J320" s="637"/>
      <c r="K320" s="1566"/>
      <c r="L320" s="280"/>
      <c r="M320" s="407"/>
      <c r="N320" s="400"/>
      <c r="O320" s="1690"/>
      <c r="P320" s="1690"/>
      <c r="AH320" s="1697">
        <v>0</v>
      </c>
    </row>
    <row s="5053" customFormat="1" customHeight="1" ht="18.75" hidden="1">
      <c r="A321" s="1846" t="s">
        <v>274</v>
      </c>
      <c r="B321" s="1846" t="s">
        <v>275</v>
      </c>
      <c r="C321" s="435"/>
      <c r="D321" s="2528"/>
      <c r="E321" s="2270"/>
      <c r="F321" s="2449" t="str">
        <f>INDEX(PT_DIFFERENTIATION_VTAR,MATCH(A321,PT_DIFFERENTIATION_VTAR_ID,0))</f>
        <v>Тариф на водоотведение</v>
      </c>
      <c r="G321" s="2493" t="str">
        <f>INDEX(PT_DIFFERENTIATION_NTAR,MATCH(B321,PT_DIFFERENTIATION_NTAR_ID,0))</f>
        <v/>
      </c>
      <c r="H321" s="1928"/>
      <c r="I321" s="1805"/>
      <c r="J321" s="1839"/>
      <c r="K321" s="1844"/>
      <c r="L321" s="1928" t="s">
        <v>315</v>
      </c>
      <c r="M321" s="407"/>
      <c r="N321" s="400"/>
      <c r="O321" s="1690"/>
      <c r="P321" s="1690"/>
      <c r="AH321" s="1697">
        <v>0</v>
      </c>
    </row>
    <row s="5053" customFormat="1" customHeight="1" ht="18.75" hidden="1">
      <c r="A322" s="1846"/>
      <c r="B322" s="1846"/>
      <c r="C322" s="435" t="s">
        <v>1154</v>
      </c>
      <c r="D322" s="2528"/>
      <c r="E322" s="2270"/>
      <c r="F322" s="2449"/>
      <c r="G322" s="2493"/>
      <c r="H322" s="1566"/>
      <c r="I322" s="717" t="s">
        <v>1153</v>
      </c>
      <c r="J322" s="637"/>
      <c r="K322" s="1566"/>
      <c r="L322" s="280"/>
      <c r="M322" s="407"/>
      <c r="N322" s="400"/>
      <c r="O322" s="1690"/>
      <c r="P322" s="1690"/>
      <c r="AH322" s="1697">
        <v>0</v>
      </c>
    </row>
    <row s="5053" customFormat="1" customHeight="1" ht="0.75" hidden="1">
      <c r="A323" s="1846"/>
      <c r="B323" s="1846"/>
      <c r="C323" s="435" t="s">
        <v>1161</v>
      </c>
      <c r="D323" s="2528"/>
      <c r="E323" s="2270"/>
      <c r="F323" s="2449"/>
      <c r="G323" s="466"/>
      <c r="H323" s="1566"/>
      <c r="I323" s="717"/>
      <c r="J323" s="637"/>
      <c r="K323" s="1566"/>
      <c r="L323" s="280"/>
      <c r="M323" s="407"/>
      <c r="N323" s="400"/>
      <c r="O323" s="1690"/>
      <c r="P323" s="1690"/>
      <c r="AH323" s="1697">
        <v>0</v>
      </c>
    </row>
    <row s="5053" customFormat="1" customHeight="1" ht="18.75" hidden="1">
      <c r="A324" s="1846" t="s">
        <v>279</v>
      </c>
      <c r="B324" s="1846" t="s">
        <v>280</v>
      </c>
      <c r="C324" s="435"/>
      <c r="D324" s="2528"/>
      <c r="E324" s="2270"/>
      <c r="F324" s="2449" t="str">
        <f>INDEX(PT_DIFFERENTIATION_VTAR,MATCH(A324,PT_DIFFERENTIATION_VTAR_ID,0))</f>
        <v>Тариф на транспортировку сточных вод</v>
      </c>
      <c r="G324" s="2493" t="str">
        <f>INDEX(PT_DIFFERENTIATION_NTAR,MATCH(B324,PT_DIFFERENTIATION_NTAR_ID,0))</f>
        <v/>
      </c>
      <c r="H324" s="1928"/>
      <c r="I324" s="1805"/>
      <c r="J324" s="1839"/>
      <c r="K324" s="1844"/>
      <c r="L324" s="1928" t="s">
        <v>315</v>
      </c>
      <c r="M324" s="407"/>
      <c r="N324" s="400"/>
      <c r="O324" s="1690"/>
      <c r="P324" s="1690"/>
      <c r="AH324" s="1697">
        <v>0</v>
      </c>
    </row>
    <row s="5053" customFormat="1" customHeight="1" ht="18.75" hidden="1">
      <c r="A325" s="1846"/>
      <c r="B325" s="1846"/>
      <c r="C325" s="435" t="s">
        <v>1154</v>
      </c>
      <c r="D325" s="2528"/>
      <c r="E325" s="2270"/>
      <c r="F325" s="2449"/>
      <c r="G325" s="2493"/>
      <c r="H325" s="1566"/>
      <c r="I325" s="717" t="s">
        <v>1153</v>
      </c>
      <c r="J325" s="637"/>
      <c r="K325" s="1566"/>
      <c r="L325" s="280"/>
      <c r="M325" s="407"/>
      <c r="N325" s="400"/>
      <c r="O325" s="1690"/>
      <c r="P325" s="1690"/>
      <c r="AH325" s="1697">
        <v>0</v>
      </c>
    </row>
    <row s="5053" customFormat="1" customHeight="1" ht="0.75" hidden="1">
      <c r="A326" s="1846"/>
      <c r="B326" s="1846"/>
      <c r="C326" s="435" t="s">
        <v>1161</v>
      </c>
      <c r="D326" s="2528"/>
      <c r="E326" s="2270"/>
      <c r="F326" s="2449"/>
      <c r="G326" s="466"/>
      <c r="H326" s="1566"/>
      <c r="I326" s="717"/>
      <c r="J326" s="637"/>
      <c r="K326" s="1566"/>
      <c r="L326" s="280"/>
      <c r="M326" s="407"/>
      <c r="N326" s="400"/>
      <c r="O326" s="1690"/>
      <c r="P326" s="1690"/>
      <c r="AH326" s="1697">
        <v>0</v>
      </c>
    </row>
    <row s="5053" customFormat="1" customHeight="1" ht="18.75" hidden="1">
      <c r="A327" s="1846" t="s">
        <v>284</v>
      </c>
      <c r="B327" s="1846" t="s">
        <v>285</v>
      </c>
      <c r="C327" s="435"/>
      <c r="D327" s="2528"/>
      <c r="E327" s="2270"/>
      <c r="F327" s="2449" t="str">
        <f>INDEX(PT_DIFFERENTIATION_VTAR,MATCH(A327,PT_DIFFERENTIATION_VTAR_ID,0))</f>
        <v>Тариф на подключение (технологическое присоединение) к централизованной системе водоотведения</v>
      </c>
      <c r="G327" s="2493" t="str">
        <f>INDEX(PT_DIFFERENTIATION_NTAR,MATCH(B327,PT_DIFFERENTIATION_NTAR_ID,0))</f>
        <v/>
      </c>
      <c r="H327" s="1928"/>
      <c r="I327" s="1805"/>
      <c r="J327" s="1839"/>
      <c r="K327" s="1844"/>
      <c r="L327" s="1928" t="s">
        <v>315</v>
      </c>
      <c r="M327" s="407"/>
      <c r="N327" s="400"/>
      <c r="O327" s="1690"/>
      <c r="P327" s="1690"/>
      <c r="AH327" s="1697">
        <v>0</v>
      </c>
    </row>
    <row s="5053" customFormat="1" customHeight="1" ht="18.75" hidden="1">
      <c r="A328" s="1846"/>
      <c r="B328" s="1846"/>
      <c r="C328" s="435" t="s">
        <v>1154</v>
      </c>
      <c r="D328" s="2528"/>
      <c r="E328" s="2270"/>
      <c r="F328" s="2449"/>
      <c r="G328" s="2493"/>
      <c r="H328" s="1566"/>
      <c r="I328" s="717" t="s">
        <v>1153</v>
      </c>
      <c r="J328" s="637"/>
      <c r="K328" s="1566"/>
      <c r="L328" s="280"/>
      <c r="M328" s="407"/>
      <c r="N328" s="400"/>
      <c r="O328" s="1690"/>
      <c r="P328" s="1690"/>
      <c r="AH328" s="1697">
        <v>0</v>
      </c>
    </row>
    <row s="5053" customFormat="1" customHeight="1" ht="1.05">
      <c r="A329" s="1846"/>
      <c r="B329" s="1846"/>
      <c r="C329" s="435" t="s">
        <v>1161</v>
      </c>
      <c r="D329" s="2528"/>
      <c r="E329" s="2270"/>
      <c r="F329" s="2449"/>
      <c r="G329" s="466"/>
      <c r="H329" s="1566"/>
      <c r="I329" s="717"/>
      <c r="J329" s="637"/>
      <c r="K329" s="1566"/>
      <c r="L329" s="280"/>
      <c r="M329" s="407"/>
      <c r="N329" s="400"/>
      <c r="O329" s="1690"/>
      <c r="P329" s="1690"/>
      <c r="AH329" s="1697">
        <v>1</v>
      </c>
    </row>
    <row s="5516" customFormat="1" customHeight="1" ht="3">
      <c r="A330" s="1846"/>
      <c r="B330" s="1846"/>
      <c r="C330" s="1847"/>
      <c r="E330" s="468"/>
      <c r="F330" s="468"/>
      <c r="G330" s="468"/>
      <c r="H330" s="468"/>
      <c r="I330" s="468"/>
      <c r="J330" s="468"/>
      <c r="K330" s="468"/>
      <c r="L330" s="468"/>
      <c r="M330" s="468"/>
      <c r="O330" s="262"/>
      <c r="P330" s="262"/>
      <c r="AH330" s="206">
        <v>3</v>
      </c>
    </row>
    <row customHeight="1" ht="26.25">
      <c r="E331" s="268"/>
      <c r="F331" s="2351"/>
      <c r="G331" s="2351"/>
      <c r="H331" s="2351"/>
      <c r="I331" s="2351"/>
      <c r="J331" s="2351"/>
      <c r="K331" s="2351"/>
      <c r="L331" s="2351"/>
      <c r="M331" s="2351"/>
      <c r="AH331" s="440">
        <v>25</v>
      </c>
    </row>
    <row customHeight="1" ht="14.25" hidden="1">
      <c r="A332" s="1845" t="s">
        <v>87</v>
      </c>
      <c r="B332" s="1845">
        <v>0</v>
      </c>
      <c r="C332" s="435">
        <v>0</v>
      </c>
      <c r="D332" s="410">
        <v>3</v>
      </c>
      <c r="E332" s="440">
        <v>6</v>
      </c>
      <c r="F332" s="440">
        <v>46</v>
      </c>
      <c r="G332" s="440">
        <v>35</v>
      </c>
      <c r="H332" s="440">
        <v>3</v>
      </c>
      <c r="I332" s="440">
        <v>11</v>
      </c>
      <c r="J332" s="440">
        <v>11</v>
      </c>
      <c r="K332" s="440">
        <v>35</v>
      </c>
      <c r="L332" s="440">
        <v>35</v>
      </c>
      <c r="M332" s="440">
        <v>84</v>
      </c>
      <c r="N332" s="440">
        <v>10</v>
      </c>
      <c r="O332" s="416">
        <v>10</v>
      </c>
      <c r="P332" s="416">
        <v>10</v>
      </c>
      <c r="Q332" s="440">
        <v>10</v>
      </c>
      <c r="R332" s="440">
        <v>10</v>
      </c>
      <c r="S332" s="440">
        <v>10</v>
      </c>
      <c r="T332" s="440">
        <v>10</v>
      </c>
      <c r="U332" s="440">
        <v>10</v>
      </c>
      <c r="V332" s="440">
        <v>10</v>
      </c>
      <c r="W332" s="440">
        <v>10</v>
      </c>
      <c r="X332" s="440">
        <v>10</v>
      </c>
      <c r="Y332" s="440">
        <v>10</v>
      </c>
      <c r="Z332" s="440">
        <v>10</v>
      </c>
      <c r="AA332" s="440">
        <v>10</v>
      </c>
      <c r="AB332" s="440">
        <v>10</v>
      </c>
      <c r="AC332" s="440">
        <v>10</v>
      </c>
      <c r="AD332" s="440">
        <v>10</v>
      </c>
      <c r="AE332" s="440">
        <v>10</v>
      </c>
      <c r="AF332" s="440">
        <v>10</v>
      </c>
      <c r="AG332" s="440">
        <v>10</v>
      </c>
      <c r="AH332" s="44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5B196-F261-60C9-48BF-199C9998713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737" width="9.140625" hidden="1" customWidth="1"/>
    <col min="2" max="2" style="5002" width="9.140625" hidden="1" customWidth="1"/>
    <col min="3" max="3" style="5023" width="3.00390625" customWidth="1"/>
    <col min="4" max="4" style="5053" width="6.00390625" customWidth="1"/>
    <col min="5" max="5" style="5053" width="53.00390625" customWidth="1"/>
    <col min="6" max="7" style="5053" width="35.00390625" customWidth="1"/>
    <col min="8" max="8" style="5053" width="89.00390625" customWidth="1"/>
    <col min="9" max="9" style="5053" width="10.00390625" customWidth="1"/>
    <col min="10" max="11" style="5005" width="10.00390625" customWidth="1"/>
    <col min="12" max="17" style="5053" width="10.00390625" customWidth="1"/>
    <col min="18" max="18" style="5053" width="10.57421875" hidden="1"/>
  </cols>
  <sheetData>
    <row customHeight="1" ht="22.5" hidden="1">
      <c r="N1" s="321"/>
      <c r="O1" s="321"/>
      <c r="Q1" s="321"/>
      <c r="R1" s="440" t="s">
        <v>14</v>
      </c>
    </row>
    <row s="5053" customFormat="1" customHeight="1" ht="18.75" hidden="1">
      <c r="A2" s="168"/>
      <c r="B2" s="1226"/>
      <c r="C2" s="1796" t="s">
        <v>454</v>
      </c>
      <c r="D2" s="1739"/>
      <c r="E2" s="1748"/>
      <c r="F2" s="323"/>
      <c r="G2" s="1227"/>
      <c r="H2" s="440"/>
      <c r="I2" s="1690"/>
      <c r="J2" s="1690"/>
      <c r="R2" s="1697">
        <v>0</v>
      </c>
    </row>
    <row customHeight="1" ht="14.25" hidden="1">
      <c r="R3" s="440">
        <v>0</v>
      </c>
    </row>
    <row customHeight="1" ht="6.3">
      <c r="C4" s="442"/>
      <c r="D4" s="429"/>
      <c r="E4" s="429"/>
      <c r="F4" s="429"/>
      <c r="G4" s="151"/>
      <c r="H4" s="151"/>
      <c r="R4" s="440">
        <v>6</v>
      </c>
    </row>
    <row customHeight="1" ht="34.5">
      <c r="C5" s="442"/>
      <c r="D5" s="252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1"/>
      <c r="F5" s="2521"/>
      <c r="G5" s="2522"/>
      <c r="H5" s="332"/>
      <c r="R5" s="440">
        <v>33</v>
      </c>
    </row>
    <row s="5053" customFormat="1" customHeight="1" ht="18">
      <c r="A6" s="1735"/>
      <c r="B6" s="1226"/>
      <c r="C6" s="442"/>
      <c r="D6" s="2523" t="str">
        <f>IF(org=0,"Не определено",org)</f>
        <v>Филиал "Уренгойская ГРЭС" АО "Интер РАО - Электрогенерация"</v>
      </c>
      <c r="E6" s="2524"/>
      <c r="F6" s="2524"/>
      <c r="G6" s="2525"/>
      <c r="H6" s="332"/>
      <c r="J6" s="1690"/>
      <c r="K6" s="1690"/>
      <c r="R6" s="1697">
        <v>17</v>
      </c>
    </row>
    <row customHeight="1" ht="14.699999999999998">
      <c r="C7" s="442"/>
      <c r="D7" s="429"/>
      <c r="E7" s="455"/>
      <c r="F7" s="455"/>
      <c r="G7" s="818"/>
      <c r="H7" s="259"/>
      <c r="R7" s="440">
        <v>14</v>
      </c>
    </row>
    <row customHeight="1" ht="14.699999999999998">
      <c r="C8" s="442"/>
      <c r="D8" s="2275" t="s">
        <v>309</v>
      </c>
      <c r="E8" s="2275"/>
      <c r="F8" s="2275"/>
      <c r="G8" s="2275"/>
      <c r="H8" s="2455" t="s">
        <v>310</v>
      </c>
      <c r="R8" s="440">
        <v>14</v>
      </c>
    </row>
    <row customHeight="1" ht="24">
      <c r="C9" s="442"/>
      <c r="D9" s="452" t="s">
        <v>93</v>
      </c>
      <c r="E9" s="174" t="s">
        <v>311</v>
      </c>
      <c r="F9" s="174" t="s">
        <v>312</v>
      </c>
      <c r="G9" s="174" t="s">
        <v>399</v>
      </c>
      <c r="H9" s="2455"/>
      <c r="R9" s="440">
        <v>23</v>
      </c>
    </row>
    <row customHeight="1" ht="14.699999999999998">
      <c r="A10" s="409"/>
      <c r="C10" s="442"/>
      <c r="D10" s="213" t="s">
        <v>114</v>
      </c>
      <c r="E10" s="19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3"/>
      <c r="G10" s="279"/>
      <c r="H10" s="2235" t="s">
        <v>1162</v>
      </c>
      <c r="R10" s="440">
        <v>14</v>
      </c>
    </row>
    <row customHeight="1" ht="14.699999999999998">
      <c r="A11" s="409"/>
      <c r="C11" s="442"/>
      <c r="D11" s="213" t="s">
        <v>115</v>
      </c>
      <c r="E11" s="19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3"/>
      <c r="G11" s="279"/>
      <c r="H11" s="2236"/>
      <c r="R11" s="440">
        <v>14</v>
      </c>
    </row>
    <row customHeight="1" ht="14.699999999999998">
      <c r="A12" s="168"/>
      <c r="C12" s="453"/>
      <c r="D12" s="213" t="s">
        <v>95</v>
      </c>
      <c r="E12" s="454" t="str">
        <f>"Сведения о планировании закупочных процедур"&amp;IF(TEMPLATE_SPHERE="TKO"," &lt;1&gt;","")</f>
        <v>Сведения о планировании закупочных процедур</v>
      </c>
      <c r="F12" s="323"/>
      <c r="G12" s="279"/>
      <c r="H12" s="22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6"/>
      <c r="K12" s="440"/>
      <c r="R12" s="440">
        <v>14</v>
      </c>
    </row>
    <row customHeight="1" ht="14.699999999999998">
      <c r="A13" s="168"/>
      <c r="C13" s="453"/>
      <c r="D13" s="213" t="s">
        <v>96</v>
      </c>
      <c r="E13" s="454" t="str">
        <f>"Сведения о результатах проведения закупочных процедур"&amp;IF(TEMPLATE_SPHERE="TKO"," &lt;1&gt;","")</f>
        <v>Сведения о результатах проведения закупочных процедур</v>
      </c>
      <c r="F13" s="323"/>
      <c r="G13" s="279"/>
      <c r="H13" s="2236"/>
      <c r="I13" s="416"/>
      <c r="K13" s="440"/>
      <c r="R13" s="440">
        <v>14</v>
      </c>
    </row>
    <row customHeight="1" ht="14.699999999999998">
      <c r="A14" s="409"/>
      <c r="C14" s="442"/>
      <c r="D14" s="413"/>
      <c r="E14" s="461" t="s">
        <v>331</v>
      </c>
      <c r="F14" s="415"/>
      <c r="G14" s="267"/>
      <c r="H14" s="2237"/>
      <c r="R14" s="440">
        <v>14</v>
      </c>
    </row>
    <row s="5053" customFormat="1" customHeight="1" ht="14.699999999999998">
      <c r="A15" s="409"/>
      <c r="B15" s="1226"/>
      <c r="C15" s="442"/>
      <c r="D15" s="462"/>
      <c r="E15" s="1743"/>
      <c r="F15" s="1744"/>
      <c r="G15" s="1745"/>
      <c r="H15" s="1746"/>
      <c r="J15" s="1690"/>
      <c r="K15" s="1690"/>
      <c r="R15" s="1697">
        <v>14</v>
      </c>
    </row>
    <row customHeight="1" ht="14.699999999999998">
      <c r="D16" s="1747"/>
      <c r="E16" s="2451"/>
      <c r="F16" s="2451"/>
      <c r="G16" s="2451"/>
      <c r="H16" s="2451"/>
      <c r="R16" s="440">
        <v>14</v>
      </c>
    </row>
    <row customHeight="1" ht="22.5" hidden="1">
      <c r="A17" s="430" t="s">
        <v>87</v>
      </c>
      <c r="B17" s="212">
        <v>0</v>
      </c>
      <c r="C17" s="410">
        <v>3</v>
      </c>
      <c r="D17" s="440">
        <v>6</v>
      </c>
      <c r="E17" s="440">
        <v>53</v>
      </c>
      <c r="F17" s="440">
        <v>35</v>
      </c>
      <c r="G17" s="440">
        <v>35</v>
      </c>
      <c r="H17" s="440">
        <v>89</v>
      </c>
      <c r="I17" s="440">
        <v>10</v>
      </c>
      <c r="J17" s="416">
        <v>10</v>
      </c>
      <c r="K17" s="416">
        <v>10</v>
      </c>
      <c r="L17" s="440">
        <v>10</v>
      </c>
      <c r="M17" s="440">
        <v>10</v>
      </c>
      <c r="N17" s="440">
        <v>10</v>
      </c>
      <c r="O17" s="440">
        <v>10</v>
      </c>
      <c r="P17" s="440">
        <v>10</v>
      </c>
      <c r="Q17" s="440">
        <v>10</v>
      </c>
      <c r="R17" s="44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3DCBE-7019-0819-B5F7-4F7049800E8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R18" sqref="R18:R19"/>
    </sheetView>
  </sheetViews>
  <sheetFormatPr defaultColWidth="9.140625" customHeight="1" defaultRowHeight="11.25"/>
  <cols>
    <col min="1" max="2" style="5005" width="3.7109375" hidden="1" customWidth="1"/>
    <col min="3" max="3" style="5597" width="3.00390625" customWidth="1"/>
    <col min="4" max="4" style="5597" width="6.00390625" customWidth="1"/>
    <col min="5" max="5" style="5597" width="42.00390625" customWidth="1"/>
    <col min="6" max="6" style="5597" width="15.00390625" customWidth="1"/>
    <col min="7" max="7" style="5597" width="42.00390625" customWidth="1"/>
    <col min="8" max="8" style="5597" width="3.00390625" customWidth="1"/>
    <col min="9" max="9" style="5597" width="5.00390625" customWidth="1"/>
    <col min="10" max="10" style="5597" width="47.00390625" customWidth="1"/>
    <col min="11" max="12" style="5597" width="3.00390625" customWidth="1"/>
    <col min="13" max="13" style="5597" width="5.00390625" customWidth="1"/>
    <col min="14" max="14" style="5597" width="28.00390625" customWidth="1"/>
    <col min="15" max="16" style="5597" width="3.00390625" customWidth="1"/>
    <col min="17" max="17" style="5597" width="5.00390625" customWidth="1"/>
    <col min="18" max="18" style="5597" width="34.00390625" customWidth="1"/>
    <col min="19" max="20" style="5597" width="3.7109375" customWidth="1"/>
    <col min="21" max="21" style="5597" width="5.7109375" customWidth="1"/>
    <col min="22" max="22" style="5597" width="34.421875" customWidth="1"/>
    <col min="23" max="23" style="5597" width="30.00390625" customWidth="1"/>
    <col min="24" max="24" style="5597" width="3.00390625" customWidth="1"/>
    <col min="25" max="28" style="5129" width="9.8515625" hidden="1" customWidth="1"/>
    <col min="29" max="29" style="5129" width="27.00390625" hidden="1" customWidth="1"/>
    <col min="30" max="30" style="5129" width="10.57421875" hidden="1" customWidth="1"/>
    <col min="31" max="31" style="5129" width="10.7109375" hidden="1" customWidth="1"/>
    <col min="32" max="32" style="5129" width="10.00390625" hidden="1" customWidth="1"/>
    <col min="33" max="33" style="5129" width="12.8515625" hidden="1" customWidth="1"/>
    <col min="34" max="34" style="5129" width="24.421875" hidden="1" customWidth="1"/>
    <col min="35" max="35" style="5129" width="15.8515625" hidden="1" customWidth="1"/>
    <col min="36" max="36" style="5129" width="19.421875" hidden="1" customWidth="1"/>
    <col min="37" max="37" style="5129" width="11.00390625" hidden="1" customWidth="1"/>
    <col min="38" max="38" style="5129" width="23.57421875" hidden="1" customWidth="1"/>
    <col min="39" max="39" style="5129" width="23.8515625" hidden="1" customWidth="1"/>
    <col min="40" max="40" style="5129" width="25.28125" hidden="1" customWidth="1"/>
    <col min="41" max="41" style="5129" width="16.8515625" hidden="1" customWidth="1"/>
    <col min="42" max="42" style="5129" width="29.57421875" hidden="1" customWidth="1"/>
    <col min="43" max="43" style="5129" width="29.8515625" hidden="1" customWidth="1"/>
    <col min="44" max="44" style="5597" width="9.140625" hidden="1"/>
  </cols>
  <sheetData>
    <row customHeight="1" ht="11.25" hidden="1">
      <c r="A1" s="222"/>
      <c r="AR1" s="170" t="s">
        <v>14</v>
      </c>
    </row>
    <row customHeight="1" ht="11.25" hidden="1">
      <c r="AR2" s="170">
        <v>0</v>
      </c>
    </row>
    <row customHeight="1" ht="11.25" hidden="1">
      <c r="AR3" s="170">
        <v>0</v>
      </c>
    </row>
    <row customHeight="1" ht="3">
      <c r="AR4" s="170">
        <v>3</v>
      </c>
    </row>
    <row s="3053" customFormat="1" customHeight="1" ht="30.45">
      <c r="A5" s="220"/>
      <c r="B5" s="220"/>
      <c r="D5" s="22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4"/>
      <c r="F5" s="2224"/>
      <c r="G5" s="2224"/>
      <c r="H5" s="2224"/>
      <c r="I5" s="2224"/>
      <c r="J5" s="2225"/>
      <c r="K5" s="331"/>
      <c r="L5" s="208"/>
      <c r="M5" s="208"/>
      <c r="N5" s="208"/>
      <c r="O5" s="208"/>
      <c r="P5" s="208"/>
      <c r="Q5" s="208"/>
      <c r="R5" s="208"/>
      <c r="S5" s="356"/>
      <c r="T5" s="356"/>
      <c r="U5" s="356"/>
      <c r="V5" s="356"/>
      <c r="W5" s="208"/>
      <c r="Y5" s="1326"/>
      <c r="Z5" s="1326"/>
      <c r="AA5" s="1326"/>
      <c r="AB5" s="1326"/>
      <c r="AC5" s="1326"/>
      <c r="AD5" s="1326"/>
      <c r="AE5" s="1326"/>
      <c r="AF5" s="1326"/>
      <c r="AG5" s="1326"/>
      <c r="AH5" s="1326"/>
      <c r="AI5" s="1326"/>
      <c r="AJ5" s="1326"/>
      <c r="AK5" s="1326"/>
      <c r="AL5" s="1326"/>
      <c r="AM5" s="1326"/>
      <c r="AN5" s="1326"/>
      <c r="AO5" s="1326"/>
      <c r="AP5" s="1326"/>
      <c r="AQ5" s="1326"/>
      <c r="AR5" s="177">
        <v>29</v>
      </c>
    </row>
    <row s="3053" customFormat="1" customHeight="1" ht="14.699999999999998">
      <c r="A6" s="651"/>
      <c r="B6" s="651"/>
      <c r="C6" s="651"/>
      <c r="D6" s="2229" t="str">
        <f>IF(org=0,"Не определено",org)</f>
        <v>Филиал "Уренгойская ГРЭС" АО "Интер РАО - Электрогенерация"</v>
      </c>
      <c r="E6" s="2229"/>
      <c r="F6" s="2229"/>
      <c r="G6" s="2229"/>
      <c r="H6" s="2229"/>
      <c r="I6" s="2229"/>
      <c r="J6" s="2229"/>
      <c r="K6" s="652"/>
      <c r="L6" s="652"/>
      <c r="M6" s="652"/>
      <c r="N6" s="652"/>
      <c r="O6" s="936"/>
      <c r="P6" s="936"/>
      <c r="Q6" s="936"/>
      <c r="R6" s="936"/>
      <c r="S6" s="936"/>
      <c r="T6" s="936"/>
      <c r="U6" s="936"/>
      <c r="V6" s="936"/>
      <c r="W6" s="936"/>
      <c r="X6" s="652"/>
      <c r="Y6" s="1327"/>
      <c r="Z6" s="1327"/>
      <c r="AA6" s="1327"/>
      <c r="AB6" s="1327"/>
      <c r="AC6" s="1327"/>
      <c r="AD6" s="1327"/>
      <c r="AE6" s="1327"/>
      <c r="AF6" s="1327"/>
      <c r="AG6" s="1327"/>
      <c r="AH6" s="1327"/>
      <c r="AI6" s="1327"/>
      <c r="AJ6" s="1327"/>
      <c r="AK6" s="1327"/>
      <c r="AL6" s="1327"/>
      <c r="AM6" s="1327"/>
      <c r="AN6" s="1327"/>
      <c r="AO6" s="1327"/>
      <c r="AP6" s="1327"/>
      <c r="AQ6" s="1327"/>
      <c r="AR6" s="653">
        <v>14</v>
      </c>
    </row>
    <row s="3051" customFormat="1" customHeight="1" ht="11.549999999999999">
      <c r="A7" s="277"/>
      <c r="B7" s="277"/>
      <c r="D7" s="2226"/>
      <c r="E7" s="2227"/>
      <c r="F7" s="2227"/>
      <c r="G7" s="2227"/>
      <c r="H7" s="2227"/>
      <c r="I7" s="2227"/>
      <c r="J7" s="2228"/>
      <c r="S7" s="365"/>
      <c r="T7" s="365"/>
      <c r="U7" s="365"/>
      <c r="V7" s="365"/>
      <c r="Y7" s="1328"/>
      <c r="Z7" s="1328"/>
      <c r="AA7" s="1328"/>
      <c r="AB7" s="1328"/>
      <c r="AC7" s="1328"/>
      <c r="AD7" s="1328"/>
      <c r="AE7" s="1328"/>
      <c r="AF7" s="1328"/>
      <c r="AG7" s="1328"/>
      <c r="AH7" s="1328"/>
      <c r="AI7" s="1328"/>
      <c r="AJ7" s="1328"/>
      <c r="AK7" s="1328"/>
      <c r="AL7" s="1328"/>
      <c r="AM7" s="1328"/>
      <c r="AN7" s="1328"/>
      <c r="AO7" s="1328"/>
      <c r="AP7" s="1328"/>
      <c r="AQ7" s="1328"/>
      <c r="AR7" s="342">
        <v>11</v>
      </c>
    </row>
    <row s="3053" customFormat="1" customHeight="1" ht="1.05">
      <c r="A8" s="220"/>
      <c r="B8" s="220"/>
      <c r="D8" s="278"/>
      <c r="E8" s="278"/>
      <c r="F8" s="278"/>
      <c r="G8" s="278"/>
      <c r="H8" s="278"/>
      <c r="I8" s="278"/>
      <c r="J8" s="278"/>
      <c r="K8" s="278"/>
      <c r="L8" s="278"/>
      <c r="M8" s="278"/>
      <c r="N8" s="278"/>
      <c r="O8" s="278"/>
      <c r="P8" s="278"/>
      <c r="Q8" s="278"/>
      <c r="R8" s="278"/>
      <c r="S8" s="278"/>
      <c r="T8" s="278"/>
      <c r="U8" s="278"/>
      <c r="V8" s="278"/>
      <c r="W8" s="278"/>
      <c r="X8" s="198"/>
      <c r="Y8" s="1326"/>
      <c r="Z8" s="1326"/>
      <c r="AA8" s="1326"/>
      <c r="AB8" s="1326"/>
      <c r="AC8" s="1326"/>
      <c r="AD8" s="1326"/>
      <c r="AE8" s="1326"/>
      <c r="AF8" s="1326"/>
      <c r="AG8" s="1326"/>
      <c r="AH8" s="1326"/>
      <c r="AI8" s="1326"/>
      <c r="AJ8" s="1326"/>
      <c r="AK8" s="1326"/>
      <c r="AL8" s="1326"/>
      <c r="AM8" s="1326"/>
      <c r="AN8" s="1326"/>
      <c r="AO8" s="1326"/>
      <c r="AP8" s="1326"/>
      <c r="AQ8" s="1326"/>
      <c r="AR8" s="177">
        <v>1</v>
      </c>
    </row>
    <row customHeight="1" ht="28.5">
      <c r="D9" s="2193" t="s">
        <v>93</v>
      </c>
      <c r="E9" s="2167" t="s">
        <v>127</v>
      </c>
      <c r="F9" s="2169"/>
      <c r="G9" s="2193" t="s">
        <v>110</v>
      </c>
      <c r="H9" s="2193" t="s">
        <v>93</v>
      </c>
      <c r="I9" s="2193"/>
      <c r="J9" s="2193" t="s">
        <v>128</v>
      </c>
      <c r="K9" s="2221" t="s">
        <v>129</v>
      </c>
      <c r="L9" s="2221"/>
      <c r="M9" s="2221"/>
      <c r="N9" s="2221"/>
      <c r="O9" s="2221" t="s">
        <v>130</v>
      </c>
      <c r="P9" s="2221"/>
      <c r="Q9" s="2221"/>
      <c r="R9" s="2221"/>
      <c r="S9" s="2221" t="s">
        <v>131</v>
      </c>
      <c r="T9" s="2221"/>
      <c r="U9" s="2221"/>
      <c r="V9" s="2221"/>
      <c r="W9" s="2193" t="s">
        <v>132</v>
      </c>
      <c r="AR9" s="170">
        <v>27</v>
      </c>
    </row>
    <row customHeight="1" ht="31.5">
      <c r="D10" s="2193"/>
      <c r="E10" s="1350" t="s">
        <v>94</v>
      </c>
      <c r="F10" s="1350" t="s">
        <v>133</v>
      </c>
      <c r="G10" s="2193"/>
      <c r="H10" s="2193"/>
      <c r="I10" s="2193"/>
      <c r="J10" s="2193"/>
      <c r="K10" s="176" t="s">
        <v>113</v>
      </c>
      <c r="L10" s="2193" t="s">
        <v>93</v>
      </c>
      <c r="M10" s="2193"/>
      <c r="N10" s="176" t="s">
        <v>134</v>
      </c>
      <c r="O10" s="176" t="s">
        <v>113</v>
      </c>
      <c r="P10" s="2193" t="s">
        <v>93</v>
      </c>
      <c r="Q10" s="2193"/>
      <c r="R10" s="176" t="s">
        <v>134</v>
      </c>
      <c r="S10" s="349" t="s">
        <v>113</v>
      </c>
      <c r="T10" s="2193" t="s">
        <v>93</v>
      </c>
      <c r="U10" s="2193"/>
      <c r="V10" s="349" t="s">
        <v>94</v>
      </c>
      <c r="W10" s="2193"/>
      <c r="Z10" s="1325" t="s">
        <v>135</v>
      </c>
      <c r="AA10" s="1325" t="s">
        <v>136</v>
      </c>
      <c r="AB10" s="1325" t="s">
        <v>137</v>
      </c>
      <c r="AC10" s="1325" t="s">
        <v>138</v>
      </c>
      <c r="AD10" s="1325" t="s">
        <v>139</v>
      </c>
      <c r="AE10" s="1325" t="s">
        <v>140</v>
      </c>
      <c r="AF10" s="1325" t="s">
        <v>141</v>
      </c>
      <c r="AG10" s="1325" t="s">
        <v>142</v>
      </c>
      <c r="AH10" s="1325" t="s">
        <v>143</v>
      </c>
      <c r="AI10" s="1325" t="s">
        <v>144</v>
      </c>
      <c r="AJ10" s="1325" t="s">
        <v>145</v>
      </c>
      <c r="AK10" s="1325" t="s">
        <v>146</v>
      </c>
      <c r="AL10" s="1325" t="s">
        <v>147</v>
      </c>
      <c r="AM10" s="1325" t="s">
        <v>148</v>
      </c>
      <c r="AN10" s="1325" t="s">
        <v>149</v>
      </c>
      <c r="AO10" s="1325" t="s">
        <v>150</v>
      </c>
      <c r="AP10" s="1325" t="s">
        <v>151</v>
      </c>
      <c r="AQ10" s="1325" t="s">
        <v>152</v>
      </c>
      <c r="AR10" s="170">
        <v>30</v>
      </c>
    </row>
    <row s="5005" customFormat="1" customHeight="1" ht="12" hidden="1">
      <c r="D11" s="1315" t="s">
        <v>114</v>
      </c>
      <c r="E11" s="1315" t="s">
        <v>115</v>
      </c>
      <c r="F11" s="1315"/>
      <c r="G11" s="1315" t="s">
        <v>95</v>
      </c>
      <c r="H11" s="2222" t="s">
        <v>116</v>
      </c>
      <c r="I11" s="2222"/>
      <c r="J11" s="1315" t="s">
        <v>97</v>
      </c>
      <c r="K11" s="1315" t="s">
        <v>98</v>
      </c>
      <c r="L11" s="2222" t="s">
        <v>117</v>
      </c>
      <c r="M11" s="2222"/>
      <c r="N11" s="1315" t="s">
        <v>153</v>
      </c>
      <c r="O11" s="1315" t="s">
        <v>154</v>
      </c>
      <c r="P11" s="2222" t="s">
        <v>104</v>
      </c>
      <c r="Q11" s="2222"/>
      <c r="R11" s="1315" t="s">
        <v>155</v>
      </c>
      <c r="S11" s="1315" t="s">
        <v>104</v>
      </c>
      <c r="T11" s="2222" t="s">
        <v>155</v>
      </c>
      <c r="U11" s="2222"/>
      <c r="V11" s="1315" t="s">
        <v>156</v>
      </c>
      <c r="W11" s="1315" t="s">
        <v>157</v>
      </c>
      <c r="Y11" s="1325"/>
      <c r="Z11" s="1325"/>
      <c r="AA11" s="1325"/>
      <c r="AB11" s="1325"/>
      <c r="AC11" s="1325"/>
      <c r="AD11" s="1325"/>
      <c r="AE11" s="1325"/>
      <c r="AF11" s="1325"/>
      <c r="AG11" s="1325"/>
      <c r="AH11" s="1325"/>
      <c r="AI11" s="1325"/>
      <c r="AJ11" s="1325"/>
      <c r="AK11" s="1325"/>
      <c r="AL11" s="1325"/>
      <c r="AM11" s="1325"/>
      <c r="AN11" s="1325"/>
      <c r="AO11" s="1325"/>
      <c r="AP11" s="1325"/>
      <c r="AQ11" s="1325"/>
      <c r="AR11" s="343">
        <v>0</v>
      </c>
    </row>
    <row customHeight="1" ht="14.25" hidden="1">
      <c r="C12" s="275"/>
      <c r="D12" s="1348">
        <v>0</v>
      </c>
      <c r="E12" s="316"/>
      <c r="F12" s="316"/>
      <c r="G12" s="316"/>
      <c r="H12" s="317"/>
      <c r="I12" s="317"/>
      <c r="J12" s="224"/>
      <c r="K12" s="178"/>
      <c r="L12" s="224"/>
      <c r="M12" s="224"/>
      <c r="N12" s="318"/>
      <c r="O12" s="178"/>
      <c r="P12" s="224"/>
      <c r="Q12" s="224"/>
      <c r="R12" s="319"/>
      <c r="S12" s="350"/>
      <c r="T12" s="358"/>
      <c r="U12" s="358"/>
      <c r="V12" s="362"/>
      <c r="W12" s="178"/>
      <c r="X12" s="207"/>
      <c r="AR12" s="170">
        <v>0</v>
      </c>
    </row>
    <row s="5597" customFormat="1" customHeight="1" ht="17.25">
      <c r="A13" s="387"/>
      <c r="C13" s="275"/>
      <c r="D13" s="2201">
        <v>1</v>
      </c>
      <c r="E13" s="2209" t="s">
        <v>158</v>
      </c>
      <c r="F13" s="2211" t="s">
        <v>19</v>
      </c>
      <c r="G13" s="2209"/>
      <c r="H13" s="2214"/>
      <c r="I13" s="2216"/>
      <c r="J13" s="2218"/>
      <c r="K13" s="2203"/>
      <c r="L13" s="2203"/>
      <c r="M13" s="2203"/>
      <c r="N13" s="2205"/>
      <c r="O13" s="2203"/>
      <c r="P13" s="2203"/>
      <c r="Q13" s="2203"/>
      <c r="R13" s="2208"/>
      <c r="S13" s="2203"/>
      <c r="T13" s="1486"/>
      <c r="U13" s="1486"/>
      <c r="V13" s="1485"/>
      <c r="W13" s="1362"/>
      <c r="Y13" s="1333"/>
      <c r="Z13" s="1333"/>
      <c r="AA13" s="1333"/>
      <c r="AB13" s="1333"/>
      <c r="AC13" s="1333" t="s">
        <v>159</v>
      </c>
      <c r="AD13" s="1333" t="s">
        <v>160</v>
      </c>
      <c r="AE13" s="1333" t="s">
        <v>161</v>
      </c>
      <c r="AF13" s="1333" t="s">
        <v>162</v>
      </c>
      <c r="AG13" s="1333" t="s">
        <v>163</v>
      </c>
      <c r="AH13" s="13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3" t="str">
        <f>IF($G$13=0,"",$G$13)</f>
        <v/>
      </c>
      <c r="AJ13" s="1333" t="str">
        <f>IF($J$13=0,"",$J$13)</f>
        <v/>
      </c>
      <c r="AK13" s="1333" t="str">
        <f>IF($K$13="нет","без дифференциации",IF($N$13=0,"",$N$13))</f>
        <v/>
      </c>
      <c r="AL13" s="1333" t="str">
        <f>IF($O$13="нет","без дифференциации",IF($R$13=0,"",$R$13))</f>
        <v/>
      </c>
      <c r="AM13" s="1333" t="str">
        <f>IF($S$13="нет","без дифференциации",IF($V$13=0,"",$V$13))</f>
        <v/>
      </c>
      <c r="AN13" s="1333">
        <f>$I$13</f>
        <v>0</v>
      </c>
      <c r="AO13" s="1333" t="str">
        <f>$I$13&amp;"."&amp;$M$13</f>
        <v>.</v>
      </c>
      <c r="AP13" s="1333" t="str">
        <f>$I$13&amp;"."&amp;$M$13&amp;"."&amp;$Q$13</f>
        <v>..</v>
      </c>
      <c r="AQ13" s="1333" t="str">
        <f>$I$13&amp;"."&amp;$M$13&amp;"."&amp;$Q$13&amp;"."&amp;$U$13</f>
        <v>...</v>
      </c>
      <c r="AR13" s="816">
        <v>0</v>
      </c>
    </row>
    <row s="5597" customFormat="1" customHeight="1" ht="17.25">
      <c r="A14" s="387"/>
      <c r="C14" s="386"/>
      <c r="D14" s="2201"/>
      <c r="E14" s="2209"/>
      <c r="F14" s="2212"/>
      <c r="G14" s="2209"/>
      <c r="H14" s="2215"/>
      <c r="I14" s="2217"/>
      <c r="J14" s="2219"/>
      <c r="K14" s="2204"/>
      <c r="L14" s="2204"/>
      <c r="M14" s="2204"/>
      <c r="N14" s="2206"/>
      <c r="O14" s="2204"/>
      <c r="P14" s="2204"/>
      <c r="Q14" s="2204"/>
      <c r="R14" s="2207"/>
      <c r="S14" s="2204"/>
      <c r="T14" s="1363"/>
      <c r="U14" s="1363"/>
      <c r="V14" s="1363"/>
      <c r="W14" s="1364"/>
      <c r="Y14" s="1325"/>
      <c r="Z14" s="1325"/>
      <c r="AA14" s="1325"/>
      <c r="AB14" s="1325"/>
      <c r="AC14" s="1325"/>
      <c r="AD14" s="1325"/>
      <c r="AE14" s="1325"/>
      <c r="AF14" s="1325"/>
      <c r="AG14" s="1325"/>
      <c r="AH14" s="1325"/>
      <c r="AI14" s="1325"/>
      <c r="AJ14" s="1325"/>
      <c r="AK14" s="1325"/>
      <c r="AL14" s="1325"/>
      <c r="AM14" s="1325"/>
      <c r="AN14" s="1325"/>
      <c r="AO14" s="1325"/>
      <c r="AP14" s="1325"/>
      <c r="AQ14" s="1325"/>
      <c r="AR14" s="816">
        <v>0</v>
      </c>
    </row>
    <row s="5597" customFormat="1" customHeight="1" ht="17.25">
      <c r="A15" s="387"/>
      <c r="C15" s="275"/>
      <c r="D15" s="2201"/>
      <c r="E15" s="2209"/>
      <c r="F15" s="2212"/>
      <c r="G15" s="2209"/>
      <c r="H15" s="2215"/>
      <c r="I15" s="2217"/>
      <c r="J15" s="2220"/>
      <c r="K15" s="2204"/>
      <c r="L15" s="2204"/>
      <c r="M15" s="2204"/>
      <c r="N15" s="2207"/>
      <c r="O15" s="2204"/>
      <c r="P15" s="1484"/>
      <c r="Q15" s="1363"/>
      <c r="R15" s="1363"/>
      <c r="S15" s="395"/>
      <c r="T15" s="395"/>
      <c r="U15" s="395"/>
      <c r="V15" s="395"/>
      <c r="W15" s="1364"/>
      <c r="Y15" s="1333"/>
      <c r="Z15" s="1333"/>
      <c r="AA15" s="1333"/>
      <c r="AB15" s="1333"/>
      <c r="AC15" s="1333"/>
      <c r="AD15" s="1333"/>
      <c r="AE15" s="1333"/>
      <c r="AF15" s="1333"/>
      <c r="AG15" s="1333"/>
      <c r="AH15" s="1333"/>
      <c r="AI15" s="1333"/>
      <c r="AJ15" s="1333"/>
      <c r="AK15" s="1333"/>
      <c r="AL15" s="1333"/>
      <c r="AM15" s="1333"/>
      <c r="AN15" s="1333"/>
      <c r="AO15" s="1333"/>
      <c r="AP15" s="1333"/>
      <c r="AQ15" s="1333"/>
      <c r="AR15" s="1483">
        <v>0</v>
      </c>
    </row>
    <row s="5597" customFormat="1" customHeight="1" ht="17.25">
      <c r="A16" s="387"/>
      <c r="C16" s="386"/>
      <c r="D16" s="2201"/>
      <c r="E16" s="2209"/>
      <c r="F16" s="2212"/>
      <c r="G16" s="2209"/>
      <c r="H16" s="2215"/>
      <c r="I16" s="2217"/>
      <c r="J16" s="2220"/>
      <c r="K16" s="2204"/>
      <c r="L16" s="1363"/>
      <c r="M16" s="1363"/>
      <c r="N16" s="1363"/>
      <c r="O16" s="1363"/>
      <c r="P16" s="1363"/>
      <c r="Q16" s="1363"/>
      <c r="R16" s="1363"/>
      <c r="S16" s="395"/>
      <c r="T16" s="395"/>
      <c r="U16" s="395"/>
      <c r="V16" s="395"/>
      <c r="W16" s="1364"/>
      <c r="Y16" s="1325"/>
      <c r="Z16" s="1325"/>
      <c r="AA16" s="1325"/>
      <c r="AB16" s="1325"/>
      <c r="AC16" s="1325"/>
      <c r="AD16" s="1325"/>
      <c r="AE16" s="1325"/>
      <c r="AF16" s="1325"/>
      <c r="AG16" s="1325"/>
      <c r="AH16" s="1325"/>
      <c r="AI16" s="1325"/>
      <c r="AJ16" s="1325"/>
      <c r="AK16" s="1325"/>
      <c r="AL16" s="1325"/>
      <c r="AM16" s="1325"/>
      <c r="AN16" s="1325"/>
      <c r="AO16" s="1325"/>
      <c r="AP16" s="1325"/>
      <c r="AQ16" s="1325"/>
      <c r="AR16" s="1483">
        <v>0</v>
      </c>
    </row>
    <row s="5597" customFormat="1" customHeight="1" ht="17.25">
      <c r="A17" s="387"/>
      <c r="C17" s="386"/>
      <c r="D17" s="2202"/>
      <c r="E17" s="2210"/>
      <c r="F17" s="2213"/>
      <c r="G17" s="2210"/>
      <c r="H17" s="1365"/>
      <c r="I17" s="1366"/>
      <c r="J17" s="1366"/>
      <c r="K17" s="1366"/>
      <c r="L17" s="1366"/>
      <c r="M17" s="1366"/>
      <c r="N17" s="1366"/>
      <c r="O17" s="1366"/>
      <c r="P17" s="1366"/>
      <c r="Q17" s="1366"/>
      <c r="R17" s="1366"/>
      <c r="S17" s="1367"/>
      <c r="T17" s="1367"/>
      <c r="U17" s="1367"/>
      <c r="V17" s="1367"/>
      <c r="W17" s="1368"/>
      <c r="Y17" s="1325"/>
      <c r="Z17" s="1325"/>
      <c r="AA17" s="1325"/>
      <c r="AB17" s="1325"/>
      <c r="AC17" s="1325"/>
      <c r="AD17" s="1325"/>
      <c r="AE17" s="1325"/>
      <c r="AF17" s="1325"/>
      <c r="AG17" s="1325"/>
      <c r="AH17" s="1325"/>
      <c r="AI17" s="1325"/>
      <c r="AJ17" s="1325"/>
      <c r="AK17" s="1325"/>
      <c r="AL17" s="1325"/>
      <c r="AM17" s="1325"/>
      <c r="AN17" s="1325"/>
      <c r="AO17" s="1325"/>
      <c r="AP17" s="1325"/>
      <c r="AQ17" s="1325"/>
      <c r="AR17" s="816">
        <v>0</v>
      </c>
    </row>
    <row s="5597" customFormat="1" customHeight="1" ht="17.25">
      <c r="A18" s="387"/>
      <c r="C18" s="275"/>
      <c r="D18" s="2201">
        <v>2</v>
      </c>
      <c r="E18" s="3110" t="s">
        <v>164</v>
      </c>
      <c r="F18" s="2211" t="s">
        <v>71</v>
      </c>
      <c r="G18" s="3111"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3112"/>
      <c r="I18" s="3112">
        <v>1</v>
      </c>
      <c r="J18" s="3113" t="s">
        <v>165</v>
      </c>
      <c r="K18" s="3114" t="s">
        <v>19</v>
      </c>
      <c r="L18" s="3115"/>
      <c r="M18" s="3115" t="s">
        <v>114</v>
      </c>
      <c r="N18" s="3116" t="s">
        <v>28</v>
      </c>
      <c r="O18" s="3114" t="s">
        <v>71</v>
      </c>
      <c r="P18" s="3115"/>
      <c r="Q18" s="3115" t="s">
        <v>114</v>
      </c>
      <c r="R18" s="3117" t="s">
        <v>166</v>
      </c>
      <c r="S18" s="3118" t="s">
        <v>19</v>
      </c>
      <c r="T18" s="3115"/>
      <c r="U18" s="3115" t="s">
        <v>114</v>
      </c>
      <c r="V18" s="3119" t="s">
        <v>28</v>
      </c>
      <c r="W18" s="3113"/>
      <c r="X18" s="1333"/>
      <c r="Y18" s="1333"/>
      <c r="Z18" s="1333"/>
      <c r="AA18" s="1333"/>
      <c r="AB18" s="1333" t="s">
        <v>167</v>
      </c>
      <c r="AC18" s="1333" t="s">
        <v>168</v>
      </c>
      <c r="AD18" s="1333" t="s">
        <v>169</v>
      </c>
      <c r="AE18" s="1333" t="s">
        <v>170</v>
      </c>
      <c r="AF18" s="1333" t="s">
        <v>171</v>
      </c>
      <c r="AG18" s="1333" t="s">
        <v>172</v>
      </c>
      <c r="AH18" s="1333"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3"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333" t="str">
        <f>IF($J$18=0,"",$J$18)</f>
        <v>Тариф на т/э (мощность), поставляемую АО "Уренгойтеплогенерация-1", приобретающему т/э с целью компенсации потерь т/э</v>
      </c>
      <c r="AK18" s="1333" t="str">
        <f>IF($K$18="нет","без дифференциации",IF($N$18=0,"",$N$18))</f>
        <v>без дифференциации</v>
      </c>
      <c r="AL18" s="1333" t="str">
        <f>IF($O$18="нет","без дифференциации",IF($R$18=0,"",$R$18))</f>
        <v>для АО "Уренгойтеплогенерация-1"</v>
      </c>
      <c r="AM18" s="1333" t="str">
        <f>IF($S$18="нет","без дифференциации",IF($V$18=0,"",$V$18))</f>
        <v>без дифференциации</v>
      </c>
      <c r="AN18" s="1838">
        <f>$I$18</f>
        <v>1</v>
      </c>
      <c r="AO18" s="1333" t="str">
        <f>$I$18&amp;"."&amp;$M$18</f>
        <v>1.1</v>
      </c>
      <c r="AP18" s="1325" t="str">
        <f>$I$18&amp;"."&amp;$M$18&amp;"."&amp;$Q$18</f>
        <v>1.1.1</v>
      </c>
      <c r="AQ18" s="1325" t="str">
        <f>$I$18&amp;"."&amp;$M$18&amp;"."&amp;$Q$18&amp;"."&amp;$U$18</f>
        <v>1.1.1.1</v>
      </c>
      <c r="AR18" s="1349">
        <v>0</v>
      </c>
    </row>
    <row s="5597" customFormat="1" customHeight="1" ht="17.25">
      <c r="A19" s="387"/>
      <c r="C19" s="386"/>
      <c r="D19" s="2201"/>
      <c r="E19" s="2230"/>
      <c r="F19" s="2212"/>
      <c r="G19" s="3111"/>
      <c r="H19" s="3112"/>
      <c r="I19" s="3112"/>
      <c r="J19" s="3113"/>
      <c r="K19" s="3123"/>
      <c r="L19" s="3115"/>
      <c r="M19" s="3115"/>
      <c r="N19" s="3116" t="s">
        <v>28</v>
      </c>
      <c r="O19" s="3123"/>
      <c r="P19" s="3115"/>
      <c r="Q19" s="3115"/>
      <c r="R19" s="3117"/>
      <c r="S19" s="3118"/>
      <c r="T19" s="3124"/>
      <c r="U19" s="3125"/>
      <c r="V19" s="3126" t="s">
        <v>173</v>
      </c>
      <c r="W19" s="3127"/>
      <c r="X19" s="1325"/>
      <c r="Y19" s="1325"/>
      <c r="Z19" s="1325"/>
      <c r="AA19" s="1325"/>
      <c r="AB19" s="1325"/>
      <c r="AC19" s="1325"/>
      <c r="AD19" s="1325"/>
      <c r="AE19" s="1325"/>
      <c r="AF19" s="1325"/>
      <c r="AG19" s="1325"/>
      <c r="AH19" s="1325"/>
      <c r="AI19" s="1325"/>
      <c r="AJ19" s="1325"/>
      <c r="AK19" s="1325"/>
      <c r="AL19" s="1325"/>
      <c r="AM19" s="1325"/>
      <c r="AN19" s="1325"/>
      <c r="AO19" s="1325"/>
      <c r="AP19" s="1325"/>
      <c r="AQ19" s="1325"/>
      <c r="AR19" s="1349">
        <v>0</v>
      </c>
    </row>
    <row s="5597" customFormat="1" customHeight="1" ht="17.25">
      <c r="A20" s="387"/>
      <c r="C20" s="386"/>
      <c r="D20" s="2202"/>
      <c r="E20" s="2231"/>
      <c r="F20" s="2212"/>
      <c r="G20" s="3129"/>
      <c r="H20" s="3130"/>
      <c r="I20" s="3130"/>
      <c r="J20" s="3131"/>
      <c r="K20" s="3123"/>
      <c r="L20" s="3130"/>
      <c r="M20" s="3130"/>
      <c r="N20" s="3119" t="s">
        <v>28</v>
      </c>
      <c r="O20" s="3132"/>
      <c r="P20" s="3133"/>
      <c r="Q20" s="3134"/>
      <c r="R20" s="3135" t="s">
        <v>174</v>
      </c>
      <c r="S20" s="3136"/>
      <c r="T20" s="3137"/>
      <c r="U20" s="3138"/>
      <c r="V20" s="3139"/>
      <c r="W20" s="3140"/>
      <c r="X20" s="1325"/>
      <c r="Y20" s="1325"/>
      <c r="Z20" s="1325"/>
      <c r="AA20" s="1325"/>
      <c r="AB20" s="1325"/>
      <c r="AC20" s="1325"/>
      <c r="AD20" s="1325"/>
      <c r="AE20" s="1325"/>
      <c r="AF20" s="1325"/>
      <c r="AG20" s="1325"/>
      <c r="AH20" s="1325"/>
      <c r="AI20" s="1325"/>
      <c r="AJ20" s="1325"/>
      <c r="AK20" s="1325"/>
      <c r="AL20" s="1325"/>
      <c r="AM20" s="1325"/>
      <c r="AN20" s="1325"/>
      <c r="AO20" s="1325"/>
      <c r="AP20" s="1325"/>
      <c r="AQ20" s="1325"/>
      <c r="AR20" s="1349">
        <v>0</v>
      </c>
    </row>
    <row s="5597" customFormat="1" customHeight="1" ht="17.25">
      <c r="A21" s="387"/>
      <c r="C21" s="386"/>
      <c r="D21" s="2202"/>
      <c r="E21" s="2231"/>
      <c r="F21" s="2212"/>
      <c r="G21" s="3129"/>
      <c r="H21" s="3130"/>
      <c r="I21" s="3130"/>
      <c r="J21" s="3131"/>
      <c r="K21" s="3132"/>
      <c r="L21" s="3141"/>
      <c r="M21" s="3142"/>
      <c r="N21" s="3143" t="s">
        <v>175</v>
      </c>
      <c r="O21" s="3144"/>
      <c r="P21" s="3145"/>
      <c r="Q21" s="3146"/>
      <c r="R21" s="3147"/>
      <c r="S21" s="3148"/>
      <c r="T21" s="3149"/>
      <c r="U21" s="3150"/>
      <c r="V21" s="3151"/>
      <c r="W21" s="3152"/>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49">
        <v>0</v>
      </c>
    </row>
    <row s="5597" customFormat="1" customHeight="1" ht="17.25">
      <c r="A22" s="387"/>
      <c r="C22" s="386"/>
      <c r="D22" s="2202"/>
      <c r="E22" s="2231"/>
      <c r="F22" s="2213"/>
      <c r="G22" s="3129"/>
      <c r="H22" s="3153"/>
      <c r="I22" s="3154"/>
      <c r="J22" s="3155" t="s">
        <v>176</v>
      </c>
      <c r="K22" s="3156"/>
      <c r="L22" s="3157"/>
      <c r="M22" s="3158"/>
      <c r="N22" s="3159"/>
      <c r="O22" s="3160"/>
      <c r="P22" s="3161"/>
      <c r="Q22" s="3162"/>
      <c r="R22" s="3163"/>
      <c r="S22" s="3164"/>
      <c r="T22" s="3165"/>
      <c r="U22" s="3166"/>
      <c r="V22" s="3167"/>
      <c r="W22" s="3168"/>
      <c r="X22" s="1325"/>
      <c r="Y22" s="1325"/>
      <c r="Z22" s="1325"/>
      <c r="AA22" s="1325"/>
      <c r="AB22" s="1325"/>
      <c r="AC22" s="1325"/>
      <c r="AD22" s="1325"/>
      <c r="AE22" s="1325"/>
      <c r="AF22" s="1325"/>
      <c r="AG22" s="1325"/>
      <c r="AH22" s="1325"/>
      <c r="AI22" s="1325"/>
      <c r="AJ22" s="1325"/>
      <c r="AK22" s="1325"/>
      <c r="AL22" s="1325"/>
      <c r="AM22" s="1325"/>
      <c r="AN22" s="1325"/>
      <c r="AO22" s="1325"/>
      <c r="AP22" s="1325"/>
      <c r="AQ22" s="1325"/>
      <c r="AR22" s="1349">
        <v>0</v>
      </c>
    </row>
    <row s="5597" customFormat="1" customHeight="1" ht="17.25" hidden="1">
      <c r="A23" s="387"/>
      <c r="C23" s="275"/>
      <c r="D23" s="2201">
        <v>2</v>
      </c>
      <c r="E23" s="2209" t="s">
        <v>164</v>
      </c>
      <c r="F23" s="2211" t="s">
        <v>19</v>
      </c>
      <c r="G23" s="2209"/>
      <c r="H23" s="2214"/>
      <c r="I23" s="2216"/>
      <c r="J23" s="2218"/>
      <c r="K23" s="2203"/>
      <c r="L23" s="2203"/>
      <c r="M23" s="2203"/>
      <c r="N23" s="2205"/>
      <c r="O23" s="2203"/>
      <c r="P23" s="2203"/>
      <c r="Q23" s="2203"/>
      <c r="R23" s="2208"/>
      <c r="S23" s="2203"/>
      <c r="T23" s="2064"/>
      <c r="U23" s="2064"/>
      <c r="V23" s="2066"/>
      <c r="W23" s="1362"/>
      <c r="X23" s="1333"/>
      <c r="Y23" s="1333"/>
      <c r="Z23" s="1333" t="s">
        <v>28</v>
      </c>
      <c r="AA23" s="1333" t="s">
        <v>28</v>
      </c>
      <c r="AB23" s="1333" t="s">
        <v>28</v>
      </c>
      <c r="AC23" s="1333" t="s">
        <v>28</v>
      </c>
      <c r="AD23" s="1333" t="s">
        <v>28</v>
      </c>
      <c r="AE23" s="1333" t="s">
        <v>28</v>
      </c>
      <c r="AF23" s="1333" t="s">
        <v>28</v>
      </c>
      <c r="AG23" s="1333" t="s">
        <v>28</v>
      </c>
      <c r="AH23" s="1333" t="s">
        <v>28</v>
      </c>
      <c r="AI23" s="1333" t="s">
        <v>28</v>
      </c>
      <c r="AJ23" s="1333" t="s">
        <v>28</v>
      </c>
      <c r="AK23" s="1333" t="s">
        <v>28</v>
      </c>
      <c r="AL23" s="1333" t="s">
        <v>28</v>
      </c>
      <c r="AM23" s="1333" t="s">
        <v>28</v>
      </c>
      <c r="AN23" s="1838" t="s">
        <v>28</v>
      </c>
      <c r="AO23" s="1333" t="s">
        <v>28</v>
      </c>
      <c r="AP23" s="1332" t="s">
        <v>28</v>
      </c>
      <c r="AQ23" s="1332" t="s">
        <v>28</v>
      </c>
      <c r="AR23" s="1533">
        <v>0</v>
      </c>
    </row>
    <row s="5597" customFormat="1" customHeight="1" ht="17.25" hidden="1">
      <c r="A24" s="387"/>
      <c r="C24" s="386"/>
      <c r="D24" s="2201"/>
      <c r="E24" s="2209"/>
      <c r="F24" s="2212"/>
      <c r="G24" s="2209"/>
      <c r="H24" s="2215"/>
      <c r="I24" s="2217"/>
      <c r="J24" s="2219"/>
      <c r="K24" s="2204"/>
      <c r="L24" s="2204"/>
      <c r="M24" s="2204"/>
      <c r="N24" s="2206"/>
      <c r="O24" s="2204"/>
      <c r="P24" s="2204"/>
      <c r="Q24" s="2204"/>
      <c r="R24" s="2207"/>
      <c r="S24" s="2204"/>
      <c r="T24" s="2069"/>
      <c r="U24" s="2069"/>
      <c r="V24" s="2069"/>
      <c r="W24" s="2070"/>
      <c r="X24" s="1332"/>
      <c r="Y24" s="1332"/>
      <c r="Z24" s="1332"/>
      <c r="AA24" s="1332"/>
      <c r="AB24" s="1332"/>
      <c r="AC24" s="1332"/>
      <c r="AD24" s="1332"/>
      <c r="AE24" s="1332"/>
      <c r="AF24" s="1332"/>
      <c r="AG24" s="1332"/>
      <c r="AH24" s="1332"/>
      <c r="AI24" s="1332"/>
      <c r="AJ24" s="1332"/>
      <c r="AK24" s="1332"/>
      <c r="AL24" s="1332"/>
      <c r="AM24" s="1332"/>
      <c r="AN24" s="1332"/>
      <c r="AO24" s="1332"/>
      <c r="AP24" s="1332"/>
      <c r="AQ24" s="1332"/>
      <c r="AR24" s="1533">
        <v>0</v>
      </c>
    </row>
    <row s="5597" customFormat="1" customHeight="1" ht="17.25" hidden="1">
      <c r="A25" s="387"/>
      <c r="C25" s="386"/>
      <c r="D25" s="2202"/>
      <c r="E25" s="2210"/>
      <c r="F25" s="2212"/>
      <c r="G25" s="2210"/>
      <c r="H25" s="2215"/>
      <c r="I25" s="2217"/>
      <c r="J25" s="2220"/>
      <c r="K25" s="2204"/>
      <c r="L25" s="2204"/>
      <c r="M25" s="2204"/>
      <c r="N25" s="2207"/>
      <c r="O25" s="2204"/>
      <c r="P25" s="2065"/>
      <c r="Q25" s="2069"/>
      <c r="R25" s="2069"/>
      <c r="S25" s="395"/>
      <c r="T25" s="395"/>
      <c r="U25" s="395"/>
      <c r="V25" s="395"/>
      <c r="W25" s="2070"/>
      <c r="X25" s="1332"/>
      <c r="Y25" s="1332"/>
      <c r="Z25" s="1332"/>
      <c r="AA25" s="1332"/>
      <c r="AB25" s="1332"/>
      <c r="AC25" s="1332"/>
      <c r="AD25" s="1332"/>
      <c r="AE25" s="1332"/>
      <c r="AF25" s="1332"/>
      <c r="AG25" s="1332"/>
      <c r="AH25" s="1332"/>
      <c r="AI25" s="1332"/>
      <c r="AJ25" s="1332"/>
      <c r="AK25" s="1332"/>
      <c r="AL25" s="1332"/>
      <c r="AM25" s="1332"/>
      <c r="AN25" s="1332"/>
      <c r="AO25" s="1332"/>
      <c r="AP25" s="1332"/>
      <c r="AQ25" s="1332"/>
      <c r="AR25" s="1533">
        <v>0</v>
      </c>
    </row>
    <row s="5597" customFormat="1" customHeight="1" ht="17.25" hidden="1">
      <c r="A26" s="387"/>
      <c r="C26" s="386"/>
      <c r="D26" s="2202"/>
      <c r="E26" s="2210"/>
      <c r="F26" s="2212"/>
      <c r="G26" s="2210"/>
      <c r="H26" s="2215"/>
      <c r="I26" s="2217"/>
      <c r="J26" s="2220"/>
      <c r="K26" s="2204"/>
      <c r="L26" s="2069"/>
      <c r="M26" s="2069"/>
      <c r="N26" s="2069"/>
      <c r="O26" s="2069"/>
      <c r="P26" s="2069"/>
      <c r="Q26" s="2069"/>
      <c r="R26" s="2069"/>
      <c r="S26" s="395"/>
      <c r="T26" s="395"/>
      <c r="U26" s="395"/>
      <c r="V26" s="395"/>
      <c r="W26" s="2070"/>
      <c r="X26" s="1332"/>
      <c r="Y26" s="1332"/>
      <c r="Z26" s="1332"/>
      <c r="AA26" s="1332"/>
      <c r="AB26" s="1332"/>
      <c r="AC26" s="1332"/>
      <c r="AD26" s="1332"/>
      <c r="AE26" s="1332"/>
      <c r="AF26" s="1332"/>
      <c r="AG26" s="1332"/>
      <c r="AH26" s="1332"/>
      <c r="AI26" s="1332"/>
      <c r="AJ26" s="1332"/>
      <c r="AK26" s="1332"/>
      <c r="AL26" s="1332"/>
      <c r="AM26" s="1332"/>
      <c r="AN26" s="1332"/>
      <c r="AO26" s="1332"/>
      <c r="AP26" s="1332"/>
      <c r="AQ26" s="1332"/>
      <c r="AR26" s="1533">
        <v>0</v>
      </c>
    </row>
    <row s="5597" customFormat="1" customHeight="1" ht="17.25" hidden="1">
      <c r="A27" s="387"/>
      <c r="C27" s="386"/>
      <c r="D27" s="2202"/>
      <c r="E27" s="2210"/>
      <c r="F27" s="2213"/>
      <c r="G27" s="2210"/>
      <c r="H27" s="1365"/>
      <c r="I27" s="2067"/>
      <c r="J27" s="2067"/>
      <c r="K27" s="2067"/>
      <c r="L27" s="2067"/>
      <c r="M27" s="2067"/>
      <c r="N27" s="2067"/>
      <c r="O27" s="2067"/>
      <c r="P27" s="2067"/>
      <c r="Q27" s="2067"/>
      <c r="R27" s="2067"/>
      <c r="S27" s="1367"/>
      <c r="T27" s="1367"/>
      <c r="U27" s="1367"/>
      <c r="V27" s="1367"/>
      <c r="W27" s="2068"/>
      <c r="X27" s="1332"/>
      <c r="Y27" s="1332"/>
      <c r="Z27" s="1332"/>
      <c r="AA27" s="1332"/>
      <c r="AB27" s="1332"/>
      <c r="AC27" s="1332"/>
      <c r="AD27" s="1332"/>
      <c r="AE27" s="1332"/>
      <c r="AF27" s="1332"/>
      <c r="AG27" s="1332"/>
      <c r="AH27" s="1332"/>
      <c r="AI27" s="1332"/>
      <c r="AJ27" s="1332"/>
      <c r="AK27" s="1332"/>
      <c r="AL27" s="1332"/>
      <c r="AM27" s="1332"/>
      <c r="AN27" s="1332"/>
      <c r="AO27" s="1332"/>
      <c r="AP27" s="1332"/>
      <c r="AQ27" s="1332"/>
      <c r="AR27" s="1533">
        <v>0</v>
      </c>
    </row>
    <row s="5597" customFormat="1" customHeight="1" ht="17.25">
      <c r="A28" s="387"/>
      <c r="C28" s="275"/>
      <c r="D28" s="2201">
        <v>3</v>
      </c>
      <c r="E28" s="2209" t="s">
        <v>177</v>
      </c>
      <c r="F28" s="2211" t="s">
        <v>19</v>
      </c>
      <c r="G28" s="2209"/>
      <c r="H28" s="2214"/>
      <c r="I28" s="2216"/>
      <c r="J28" s="2218"/>
      <c r="K28" s="2203"/>
      <c r="L28" s="2203"/>
      <c r="M28" s="2203"/>
      <c r="N28" s="2205"/>
      <c r="O28" s="2203"/>
      <c r="P28" s="2203"/>
      <c r="Q28" s="2203"/>
      <c r="R28" s="2208"/>
      <c r="S28" s="2203"/>
      <c r="T28" s="1486"/>
      <c r="U28" s="1486"/>
      <c r="V28" s="1485"/>
      <c r="W28" s="1362"/>
      <c r="X28" s="1333"/>
      <c r="Y28" s="1333"/>
      <c r="Z28" s="1333"/>
      <c r="AA28" s="1333"/>
      <c r="AB28" s="1333"/>
      <c r="AC28" s="1333" t="s">
        <v>178</v>
      </c>
      <c r="AD28" s="1333" t="s">
        <v>179</v>
      </c>
      <c r="AE28" s="1333" t="s">
        <v>180</v>
      </c>
      <c r="AF28" s="1333" t="s">
        <v>181</v>
      </c>
      <c r="AG28" s="1333" t="s">
        <v>182</v>
      </c>
      <c r="AH28" s="1333" t="str">
        <f>IF($E$28=0,"",$E$28)</f>
        <v>Тарифы на теплоноситель, поставляемый теплоснабжающими организациями потребителям, другим теплоснабжающим организациям</v>
      </c>
      <c r="AI28" s="1333" t="str">
        <f>IF($G$28=0,"",$G$28)</f>
        <v/>
      </c>
      <c r="AJ28" s="1333" t="str">
        <f>IF($J$28=0,"",$J$28)</f>
        <v/>
      </c>
      <c r="AK28" s="1333" t="str">
        <f>IF($K$28="нет","без дифференциации",IF($N$28=0,"",$N$28))</f>
        <v/>
      </c>
      <c r="AL28" s="1333" t="str">
        <f>IF($O$28="нет","без дифференциации",IF($R$28=0,"",$R$28))</f>
        <v/>
      </c>
      <c r="AM28" s="1333" t="str">
        <f>IF($S$28="нет","без дифференциации",IF($V$28=0,"",$V$28))</f>
        <v/>
      </c>
      <c r="AN28" s="1838">
        <f>$I$28</f>
        <v>0</v>
      </c>
      <c r="AO28" s="1333" t="str">
        <f>$I$28&amp;"."&amp;$M$28</f>
        <v>.</v>
      </c>
      <c r="AP28" s="1325" t="str">
        <f>$I$28&amp;"."&amp;$M$28&amp;"."&amp;$Q$28</f>
        <v>..</v>
      </c>
      <c r="AQ28" s="1325" t="str">
        <f>$I$28&amp;"."&amp;$M$28&amp;"."&amp;$Q$28&amp;"."&amp;$U$28</f>
        <v>...</v>
      </c>
      <c r="AR28" s="1349">
        <v>0</v>
      </c>
    </row>
    <row s="5597" customFormat="1" customHeight="1" ht="17.25">
      <c r="A29" s="387"/>
      <c r="C29" s="386"/>
      <c r="D29" s="2201"/>
      <c r="E29" s="2209"/>
      <c r="F29" s="2212"/>
      <c r="G29" s="2209"/>
      <c r="H29" s="2215"/>
      <c r="I29" s="2217"/>
      <c r="J29" s="2219"/>
      <c r="K29" s="2204"/>
      <c r="L29" s="2204"/>
      <c r="M29" s="2204"/>
      <c r="N29" s="2206"/>
      <c r="O29" s="2204"/>
      <c r="P29" s="2204"/>
      <c r="Q29" s="2204"/>
      <c r="R29" s="2207"/>
      <c r="S29" s="2204"/>
      <c r="T29" s="1363"/>
      <c r="U29" s="1363"/>
      <c r="V29" s="1363"/>
      <c r="W29" s="1364"/>
      <c r="X29" s="1325"/>
      <c r="Y29" s="1325"/>
      <c r="Z29" s="1325"/>
      <c r="AA29" s="1325"/>
      <c r="AB29" s="1325"/>
      <c r="AC29" s="1325"/>
      <c r="AD29" s="1325"/>
      <c r="AE29" s="1325"/>
      <c r="AF29" s="1325"/>
      <c r="AG29" s="1325"/>
      <c r="AH29" s="1325"/>
      <c r="AI29" s="1325"/>
      <c r="AJ29" s="1325"/>
      <c r="AK29" s="1325"/>
      <c r="AL29" s="1325"/>
      <c r="AM29" s="1325"/>
      <c r="AN29" s="1325"/>
      <c r="AO29" s="1325"/>
      <c r="AP29" s="1325"/>
      <c r="AQ29" s="1325"/>
      <c r="AR29" s="1349">
        <v>0</v>
      </c>
    </row>
    <row s="5597" customFormat="1" customHeight="1" ht="17.25">
      <c r="A30" s="387"/>
      <c r="C30" s="386"/>
      <c r="D30" s="2202"/>
      <c r="E30" s="2210"/>
      <c r="F30" s="2212"/>
      <c r="G30" s="2210"/>
      <c r="H30" s="2215"/>
      <c r="I30" s="2217"/>
      <c r="J30" s="2220"/>
      <c r="K30" s="2204"/>
      <c r="L30" s="2204"/>
      <c r="M30" s="2204"/>
      <c r="N30" s="2207"/>
      <c r="O30" s="2204"/>
      <c r="P30" s="1484"/>
      <c r="Q30" s="1363"/>
      <c r="R30" s="1363"/>
      <c r="S30" s="395"/>
      <c r="T30" s="395"/>
      <c r="U30" s="395"/>
      <c r="V30" s="395"/>
      <c r="W30" s="1364"/>
      <c r="X30" s="1325"/>
      <c r="Y30" s="1325"/>
      <c r="Z30" s="1325"/>
      <c r="AA30" s="1325"/>
      <c r="AB30" s="1325"/>
      <c r="AC30" s="1325"/>
      <c r="AD30" s="1325"/>
      <c r="AE30" s="1325"/>
      <c r="AF30" s="1325"/>
      <c r="AG30" s="1325"/>
      <c r="AH30" s="1325"/>
      <c r="AI30" s="1325"/>
      <c r="AJ30" s="1325"/>
      <c r="AK30" s="1325"/>
      <c r="AL30" s="1325"/>
      <c r="AM30" s="1325"/>
      <c r="AN30" s="1325"/>
      <c r="AO30" s="1325"/>
      <c r="AP30" s="1325"/>
      <c r="AQ30" s="1325"/>
      <c r="AR30" s="1349">
        <v>0</v>
      </c>
    </row>
    <row s="5597" customFormat="1" customHeight="1" ht="17.25">
      <c r="A31" s="387"/>
      <c r="C31" s="386"/>
      <c r="D31" s="2202"/>
      <c r="E31" s="2210"/>
      <c r="F31" s="2212"/>
      <c r="G31" s="2210"/>
      <c r="H31" s="2215"/>
      <c r="I31" s="2217"/>
      <c r="J31" s="2220"/>
      <c r="K31" s="2204"/>
      <c r="L31" s="1363"/>
      <c r="M31" s="1363"/>
      <c r="N31" s="1363"/>
      <c r="O31" s="1363"/>
      <c r="P31" s="1363"/>
      <c r="Q31" s="1363"/>
      <c r="R31" s="1363"/>
      <c r="S31" s="395"/>
      <c r="T31" s="395"/>
      <c r="U31" s="395"/>
      <c r="V31" s="395"/>
      <c r="W31" s="1364"/>
      <c r="X31" s="1325"/>
      <c r="Y31" s="1325"/>
      <c r="Z31" s="1325"/>
      <c r="AA31" s="1325"/>
      <c r="AB31" s="1325"/>
      <c r="AC31" s="1325"/>
      <c r="AD31" s="1325"/>
      <c r="AE31" s="1325"/>
      <c r="AF31" s="1325"/>
      <c r="AG31" s="1325"/>
      <c r="AH31" s="1325"/>
      <c r="AI31" s="1325"/>
      <c r="AJ31" s="1325"/>
      <c r="AK31" s="1325"/>
      <c r="AL31" s="1325"/>
      <c r="AM31" s="1325"/>
      <c r="AN31" s="1325"/>
      <c r="AO31" s="1325"/>
      <c r="AP31" s="1325"/>
      <c r="AQ31" s="1325"/>
      <c r="AR31" s="1349">
        <v>0</v>
      </c>
    </row>
    <row s="5597" customFormat="1" customHeight="1" ht="17.25">
      <c r="A32" s="387"/>
      <c r="C32" s="386"/>
      <c r="D32" s="2202"/>
      <c r="E32" s="2210"/>
      <c r="F32" s="2213"/>
      <c r="G32" s="2210"/>
      <c r="H32" s="1365"/>
      <c r="I32" s="1366"/>
      <c r="J32" s="1366"/>
      <c r="K32" s="1366"/>
      <c r="L32" s="1366"/>
      <c r="M32" s="1366"/>
      <c r="N32" s="1366"/>
      <c r="O32" s="1366"/>
      <c r="P32" s="1366"/>
      <c r="Q32" s="1366"/>
      <c r="R32" s="1366"/>
      <c r="S32" s="1367"/>
      <c r="T32" s="1367"/>
      <c r="U32" s="1367"/>
      <c r="V32" s="1367"/>
      <c r="W32" s="1368"/>
      <c r="X32" s="1325"/>
      <c r="Y32" s="1325"/>
      <c r="Z32" s="1325"/>
      <c r="AA32" s="1325"/>
      <c r="AB32" s="1325"/>
      <c r="AC32" s="1325"/>
      <c r="AD32" s="1325"/>
      <c r="AE32" s="1325"/>
      <c r="AF32" s="1325"/>
      <c r="AG32" s="1325"/>
      <c r="AH32" s="1325"/>
      <c r="AI32" s="1325"/>
      <c r="AJ32" s="1325"/>
      <c r="AK32" s="1325"/>
      <c r="AL32" s="1325"/>
      <c r="AM32" s="1325"/>
      <c r="AN32" s="1325"/>
      <c r="AO32" s="1325"/>
      <c r="AP32" s="1325"/>
      <c r="AQ32" s="1325"/>
      <c r="AR32" s="1349">
        <v>0</v>
      </c>
    </row>
    <row s="5597" customFormat="1" customHeight="1" ht="17.25">
      <c r="A33" s="387"/>
      <c r="C33" s="275"/>
      <c r="D33" s="2201">
        <v>4</v>
      </c>
      <c r="E33" s="2209" t="s">
        <v>183</v>
      </c>
      <c r="F33" s="2211" t="s">
        <v>19</v>
      </c>
      <c r="G33" s="2209"/>
      <c r="H33" s="2214"/>
      <c r="I33" s="2216"/>
      <c r="J33" s="2218"/>
      <c r="K33" s="2203"/>
      <c r="L33" s="2203"/>
      <c r="M33" s="2203"/>
      <c r="N33" s="2205"/>
      <c r="O33" s="2203"/>
      <c r="P33" s="2203"/>
      <c r="Q33" s="2203"/>
      <c r="R33" s="2208"/>
      <c r="S33" s="2203"/>
      <c r="T33" s="1486"/>
      <c r="U33" s="1486"/>
      <c r="V33" s="1485"/>
      <c r="W33" s="1362"/>
      <c r="X33" s="1333"/>
      <c r="Y33" s="1333"/>
      <c r="Z33" s="1333"/>
      <c r="AA33" s="1333"/>
      <c r="AB33" s="1333"/>
      <c r="AC33" s="1333" t="s">
        <v>184</v>
      </c>
      <c r="AD33" s="1333" t="s">
        <v>185</v>
      </c>
      <c r="AE33" s="1333" t="s">
        <v>186</v>
      </c>
      <c r="AF33" s="1333" t="s">
        <v>187</v>
      </c>
      <c r="AG33" s="1333" t="s">
        <v>188</v>
      </c>
      <c r="AH33" s="133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3" t="str">
        <f>IF($G$33=0,"",$G$33)</f>
        <v/>
      </c>
      <c r="AJ33" s="1333" t="str">
        <f>IF($J$33=0,"",$J$33)</f>
        <v/>
      </c>
      <c r="AK33" s="1333" t="str">
        <f>IF($K$33="нет","без дифференциации",IF($N$33=0,"",$N$33))</f>
        <v/>
      </c>
      <c r="AL33" s="1333" t="str">
        <f>IF($O$33="нет","без дифференциации",IF($R$33=0,"",$R$33))</f>
        <v/>
      </c>
      <c r="AM33" s="1333" t="str">
        <f>IF($S$33="нет","без дифференциации",IF($V$33=0,"",$V$33))</f>
        <v/>
      </c>
      <c r="AN33" s="1838">
        <f>$I$33</f>
        <v>0</v>
      </c>
      <c r="AO33" s="1333" t="str">
        <f>$I$33&amp;"."&amp;$M$33</f>
        <v>.</v>
      </c>
      <c r="AP33" s="1325" t="str">
        <f>$I$33&amp;"."&amp;$M$33&amp;"."&amp;$Q$33</f>
        <v>..</v>
      </c>
      <c r="AQ33" s="1325" t="str">
        <f>$I$33&amp;"."&amp;$M$33&amp;"."&amp;$Q$33&amp;"."&amp;$U$33</f>
        <v>...</v>
      </c>
      <c r="AR33" s="1349">
        <v>0</v>
      </c>
    </row>
    <row s="5597" customFormat="1" customHeight="1" ht="17.25">
      <c r="A34" s="387"/>
      <c r="C34" s="386"/>
      <c r="D34" s="2201"/>
      <c r="E34" s="2209"/>
      <c r="F34" s="2212"/>
      <c r="G34" s="2209"/>
      <c r="H34" s="2215"/>
      <c r="I34" s="2217"/>
      <c r="J34" s="2219"/>
      <c r="K34" s="2204"/>
      <c r="L34" s="2204"/>
      <c r="M34" s="2204"/>
      <c r="N34" s="2206"/>
      <c r="O34" s="2204"/>
      <c r="P34" s="2204"/>
      <c r="Q34" s="2204"/>
      <c r="R34" s="2207"/>
      <c r="S34" s="2204"/>
      <c r="T34" s="1363"/>
      <c r="U34" s="1363"/>
      <c r="V34" s="1363"/>
      <c r="W34" s="1364"/>
      <c r="X34" s="1325"/>
      <c r="Y34" s="1325"/>
      <c r="Z34" s="1325"/>
      <c r="AA34" s="1325"/>
      <c r="AB34" s="1325"/>
      <c r="AC34" s="1325"/>
      <c r="AD34" s="1325"/>
      <c r="AE34" s="1325"/>
      <c r="AF34" s="1325"/>
      <c r="AG34" s="1325"/>
      <c r="AH34" s="1325"/>
      <c r="AI34" s="1325"/>
      <c r="AJ34" s="1325"/>
      <c r="AK34" s="1325"/>
      <c r="AL34" s="1325"/>
      <c r="AM34" s="1325"/>
      <c r="AN34" s="1325"/>
      <c r="AO34" s="1325"/>
      <c r="AP34" s="1325"/>
      <c r="AQ34" s="1325"/>
      <c r="AR34" s="1349">
        <v>0</v>
      </c>
    </row>
    <row s="5597" customFormat="1" customHeight="1" ht="17.25">
      <c r="A35" s="387"/>
      <c r="C35" s="386"/>
      <c r="D35" s="2202"/>
      <c r="E35" s="2210"/>
      <c r="F35" s="2212"/>
      <c r="G35" s="2210"/>
      <c r="H35" s="2215"/>
      <c r="I35" s="2217"/>
      <c r="J35" s="2220"/>
      <c r="K35" s="2204"/>
      <c r="L35" s="2204"/>
      <c r="M35" s="2204"/>
      <c r="N35" s="2207"/>
      <c r="O35" s="2204"/>
      <c r="P35" s="1484"/>
      <c r="Q35" s="1363"/>
      <c r="R35" s="1363"/>
      <c r="S35" s="395"/>
      <c r="T35" s="395"/>
      <c r="U35" s="395"/>
      <c r="V35" s="395"/>
      <c r="W35" s="1364"/>
      <c r="X35" s="1325"/>
      <c r="Y35" s="1325"/>
      <c r="Z35" s="1325"/>
      <c r="AA35" s="1325"/>
      <c r="AB35" s="1325"/>
      <c r="AC35" s="1325"/>
      <c r="AD35" s="1325"/>
      <c r="AE35" s="1325"/>
      <c r="AF35" s="1325"/>
      <c r="AG35" s="1325"/>
      <c r="AH35" s="1325"/>
      <c r="AI35" s="1325"/>
      <c r="AJ35" s="1325"/>
      <c r="AK35" s="1325"/>
      <c r="AL35" s="1325"/>
      <c r="AM35" s="1325"/>
      <c r="AN35" s="1325"/>
      <c r="AO35" s="1325"/>
      <c r="AP35" s="1325"/>
      <c r="AQ35" s="1325"/>
      <c r="AR35" s="1349">
        <v>0</v>
      </c>
    </row>
    <row s="5597" customFormat="1" customHeight="1" ht="17.25">
      <c r="A36" s="387"/>
      <c r="C36" s="386"/>
      <c r="D36" s="2202"/>
      <c r="E36" s="2210"/>
      <c r="F36" s="2212"/>
      <c r="G36" s="2210"/>
      <c r="H36" s="2215"/>
      <c r="I36" s="2217"/>
      <c r="J36" s="2220"/>
      <c r="K36" s="2204"/>
      <c r="L36" s="1363"/>
      <c r="M36" s="1363"/>
      <c r="N36" s="1363"/>
      <c r="O36" s="1363"/>
      <c r="P36" s="1363"/>
      <c r="Q36" s="1363"/>
      <c r="R36" s="1363"/>
      <c r="S36" s="395"/>
      <c r="T36" s="395"/>
      <c r="U36" s="395"/>
      <c r="V36" s="395"/>
      <c r="W36" s="1364"/>
      <c r="X36" s="1325"/>
      <c r="Y36" s="1325"/>
      <c r="Z36" s="1325"/>
      <c r="AA36" s="1325"/>
      <c r="AB36" s="1325"/>
      <c r="AC36" s="1325"/>
      <c r="AD36" s="1325"/>
      <c r="AE36" s="1325"/>
      <c r="AF36" s="1325"/>
      <c r="AG36" s="1325"/>
      <c r="AH36" s="1325"/>
      <c r="AI36" s="1325"/>
      <c r="AJ36" s="1325"/>
      <c r="AK36" s="1325"/>
      <c r="AL36" s="1325"/>
      <c r="AM36" s="1325"/>
      <c r="AN36" s="1325"/>
      <c r="AO36" s="1325"/>
      <c r="AP36" s="1325"/>
      <c r="AQ36" s="1325"/>
      <c r="AR36" s="1349">
        <v>0</v>
      </c>
    </row>
    <row s="5597" customFormat="1" customHeight="1" ht="17.25">
      <c r="A37" s="387"/>
      <c r="C37" s="386"/>
      <c r="D37" s="2202"/>
      <c r="E37" s="2210"/>
      <c r="F37" s="2213"/>
      <c r="G37" s="2210"/>
      <c r="H37" s="1365"/>
      <c r="I37" s="1366"/>
      <c r="J37" s="1366"/>
      <c r="K37" s="1366"/>
      <c r="L37" s="1366"/>
      <c r="M37" s="1366"/>
      <c r="N37" s="1366"/>
      <c r="O37" s="1366"/>
      <c r="P37" s="1366"/>
      <c r="Q37" s="1366"/>
      <c r="R37" s="1366"/>
      <c r="S37" s="1367"/>
      <c r="T37" s="1367"/>
      <c r="U37" s="1367"/>
      <c r="V37" s="1367"/>
      <c r="W37" s="1368"/>
      <c r="X37" s="1325"/>
      <c r="Y37" s="1325"/>
      <c r="Z37" s="1325"/>
      <c r="AA37" s="1325"/>
      <c r="AB37" s="1325"/>
      <c r="AC37" s="1325"/>
      <c r="AD37" s="1325"/>
      <c r="AE37" s="1325"/>
      <c r="AF37" s="1325"/>
      <c r="AG37" s="1325"/>
      <c r="AH37" s="1325"/>
      <c r="AI37" s="1325"/>
      <c r="AJ37" s="1325"/>
      <c r="AK37" s="1325"/>
      <c r="AL37" s="1325"/>
      <c r="AM37" s="1325"/>
      <c r="AN37" s="1325"/>
      <c r="AO37" s="1325"/>
      <c r="AP37" s="1325"/>
      <c r="AQ37" s="1325"/>
      <c r="AR37" s="1349">
        <v>0</v>
      </c>
    </row>
    <row s="5597" customFormat="1" customHeight="1" ht="17.25">
      <c r="A38" s="387"/>
      <c r="C38" s="275"/>
      <c r="D38" s="2201">
        <v>5</v>
      </c>
      <c r="E38" s="2209" t="s">
        <v>189</v>
      </c>
      <c r="F38" s="2211" t="s">
        <v>19</v>
      </c>
      <c r="G38" s="2209"/>
      <c r="H38" s="2214"/>
      <c r="I38" s="2216"/>
      <c r="J38" s="2218"/>
      <c r="K38" s="2203"/>
      <c r="L38" s="2203"/>
      <c r="M38" s="2203"/>
      <c r="N38" s="2205"/>
      <c r="O38" s="2203"/>
      <c r="P38" s="2203"/>
      <c r="Q38" s="2203"/>
      <c r="R38" s="2208"/>
      <c r="S38" s="2203"/>
      <c r="T38" s="1486"/>
      <c r="U38" s="1486"/>
      <c r="V38" s="1485"/>
      <c r="W38" s="1362"/>
      <c r="X38" s="1333"/>
      <c r="Y38" s="1333"/>
      <c r="Z38" s="1333"/>
      <c r="AA38" s="1333"/>
      <c r="AB38" s="1333"/>
      <c r="AC38" s="1333" t="s">
        <v>190</v>
      </c>
      <c r="AD38" s="1333" t="s">
        <v>191</v>
      </c>
      <c r="AE38" s="1333" t="s">
        <v>192</v>
      </c>
      <c r="AF38" s="1333" t="s">
        <v>193</v>
      </c>
      <c r="AG38" s="1333" t="s">
        <v>194</v>
      </c>
      <c r="AH38" s="1333" t="str">
        <f>IF($E$38=0,"",$E$38)</f>
        <v>Тарифы на услуги по передаче тепловой энергии</v>
      </c>
      <c r="AI38" s="1333" t="str">
        <f>IF($G$38=0,"",$G$38)</f>
        <v/>
      </c>
      <c r="AJ38" s="1333" t="str">
        <f>IF($J$38=0,"",$J$38)</f>
        <v/>
      </c>
      <c r="AK38" s="1333" t="str">
        <f>IF($K$38="нет","без дифференциации",IF($N$38=0,"",$N$38))</f>
        <v/>
      </c>
      <c r="AL38" s="1333" t="str">
        <f>IF($O$38="нет","без дифференциации",IF($R$38=0,"",$R$38))</f>
        <v/>
      </c>
      <c r="AM38" s="1333" t="str">
        <f>IF($S$38="нет","без дифференциации",IF($V$38=0,"",$V$38))</f>
        <v/>
      </c>
      <c r="AN38" s="1838">
        <f>$I$38</f>
        <v>0</v>
      </c>
      <c r="AO38" s="1333" t="str">
        <f>$I$38&amp;"."&amp;$M$38</f>
        <v>.</v>
      </c>
      <c r="AP38" s="1325" t="str">
        <f>$I$38&amp;"."&amp;$M$38&amp;"."&amp;$Q$38</f>
        <v>..</v>
      </c>
      <c r="AQ38" s="1325" t="str">
        <f>$I$38&amp;"."&amp;$M$38&amp;"."&amp;$Q$38&amp;"."&amp;$U$38</f>
        <v>...</v>
      </c>
      <c r="AR38" s="1349">
        <v>0</v>
      </c>
    </row>
    <row s="5597" customFormat="1" customHeight="1" ht="17.25">
      <c r="A39" s="387"/>
      <c r="C39" s="386"/>
      <c r="D39" s="2201"/>
      <c r="E39" s="2209"/>
      <c r="F39" s="2212"/>
      <c r="G39" s="2209"/>
      <c r="H39" s="2215"/>
      <c r="I39" s="2217"/>
      <c r="J39" s="2219"/>
      <c r="K39" s="2204"/>
      <c r="L39" s="2204"/>
      <c r="M39" s="2204"/>
      <c r="N39" s="2206"/>
      <c r="O39" s="2204"/>
      <c r="P39" s="2204"/>
      <c r="Q39" s="2204"/>
      <c r="R39" s="2207"/>
      <c r="S39" s="2204"/>
      <c r="T39" s="1363"/>
      <c r="U39" s="1363"/>
      <c r="V39" s="1363"/>
      <c r="W39" s="1364"/>
      <c r="X39" s="1325"/>
      <c r="Y39" s="1325"/>
      <c r="Z39" s="1325"/>
      <c r="AA39" s="1325"/>
      <c r="AB39" s="1325"/>
      <c r="AC39" s="1325"/>
      <c r="AD39" s="1325"/>
      <c r="AE39" s="1325"/>
      <c r="AF39" s="1325"/>
      <c r="AG39" s="1325"/>
      <c r="AH39" s="1325"/>
      <c r="AI39" s="1325"/>
      <c r="AJ39" s="1325"/>
      <c r="AK39" s="1325"/>
      <c r="AL39" s="1325"/>
      <c r="AM39" s="1325"/>
      <c r="AN39" s="1325"/>
      <c r="AO39" s="1325"/>
      <c r="AP39" s="1325"/>
      <c r="AQ39" s="1325"/>
      <c r="AR39" s="1349">
        <v>0</v>
      </c>
    </row>
    <row s="5597" customFormat="1" customHeight="1" ht="17.25">
      <c r="A40" s="387"/>
      <c r="C40" s="386"/>
      <c r="D40" s="2202"/>
      <c r="E40" s="2210"/>
      <c r="F40" s="2212"/>
      <c r="G40" s="2210"/>
      <c r="H40" s="2215"/>
      <c r="I40" s="2217"/>
      <c r="J40" s="2220"/>
      <c r="K40" s="2204"/>
      <c r="L40" s="2204"/>
      <c r="M40" s="2204"/>
      <c r="N40" s="2207"/>
      <c r="O40" s="2204"/>
      <c r="P40" s="1484"/>
      <c r="Q40" s="1363"/>
      <c r="R40" s="1363"/>
      <c r="S40" s="395"/>
      <c r="T40" s="395"/>
      <c r="U40" s="395"/>
      <c r="V40" s="395"/>
      <c r="W40" s="1364"/>
      <c r="X40" s="1325"/>
      <c r="Y40" s="1325"/>
      <c r="Z40" s="1325"/>
      <c r="AA40" s="1325"/>
      <c r="AB40" s="1325"/>
      <c r="AC40" s="1325"/>
      <c r="AD40" s="1325"/>
      <c r="AE40" s="1325"/>
      <c r="AF40" s="1325"/>
      <c r="AG40" s="1325"/>
      <c r="AH40" s="1325"/>
      <c r="AI40" s="1325"/>
      <c r="AJ40" s="1325"/>
      <c r="AK40" s="1325"/>
      <c r="AL40" s="1325"/>
      <c r="AM40" s="1325"/>
      <c r="AN40" s="1325"/>
      <c r="AO40" s="1325"/>
      <c r="AP40" s="1325"/>
      <c r="AQ40" s="1325"/>
      <c r="AR40" s="1349">
        <v>0</v>
      </c>
    </row>
    <row s="5597" customFormat="1" customHeight="1" ht="17.25">
      <c r="A41" s="387"/>
      <c r="C41" s="386"/>
      <c r="D41" s="2202"/>
      <c r="E41" s="2210"/>
      <c r="F41" s="2212"/>
      <c r="G41" s="2210"/>
      <c r="H41" s="2215"/>
      <c r="I41" s="2217"/>
      <c r="J41" s="2220"/>
      <c r="K41" s="2204"/>
      <c r="L41" s="1363"/>
      <c r="M41" s="1363"/>
      <c r="N41" s="1363"/>
      <c r="O41" s="1363"/>
      <c r="P41" s="1363"/>
      <c r="Q41" s="1363"/>
      <c r="R41" s="1363"/>
      <c r="S41" s="395"/>
      <c r="T41" s="395"/>
      <c r="U41" s="395"/>
      <c r="V41" s="395"/>
      <c r="W41" s="1364"/>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49">
        <v>0</v>
      </c>
    </row>
    <row s="5597" customFormat="1" customHeight="1" ht="17.25">
      <c r="A42" s="387"/>
      <c r="C42" s="386"/>
      <c r="D42" s="2202"/>
      <c r="E42" s="2210"/>
      <c r="F42" s="2213"/>
      <c r="G42" s="2210"/>
      <c r="H42" s="1365"/>
      <c r="I42" s="1366"/>
      <c r="J42" s="1366"/>
      <c r="K42" s="1366"/>
      <c r="L42" s="1366"/>
      <c r="M42" s="1366"/>
      <c r="N42" s="1366"/>
      <c r="O42" s="1366"/>
      <c r="P42" s="1366"/>
      <c r="Q42" s="1366"/>
      <c r="R42" s="1366"/>
      <c r="S42" s="1367"/>
      <c r="T42" s="1367"/>
      <c r="U42" s="1367"/>
      <c r="V42" s="1367"/>
      <c r="W42" s="1368"/>
      <c r="X42" s="1325"/>
      <c r="Y42" s="1325"/>
      <c r="Z42" s="1325"/>
      <c r="AA42" s="1325"/>
      <c r="AB42" s="1325"/>
      <c r="AC42" s="1325"/>
      <c r="AD42" s="1325"/>
      <c r="AE42" s="1325"/>
      <c r="AF42" s="1325"/>
      <c r="AG42" s="1325"/>
      <c r="AH42" s="1325"/>
      <c r="AI42" s="1325"/>
      <c r="AJ42" s="1325"/>
      <c r="AK42" s="1325"/>
      <c r="AL42" s="1325"/>
      <c r="AM42" s="1325"/>
      <c r="AN42" s="1325"/>
      <c r="AO42" s="1325"/>
      <c r="AP42" s="1325"/>
      <c r="AQ42" s="1325"/>
      <c r="AR42" s="1349">
        <v>0</v>
      </c>
    </row>
    <row s="5597" customFormat="1" customHeight="1" ht="17.25">
      <c r="A43" s="387"/>
      <c r="C43" s="275"/>
      <c r="D43" s="2201">
        <v>6</v>
      </c>
      <c r="E43" s="2209" t="s">
        <v>195</v>
      </c>
      <c r="F43" s="2211" t="s">
        <v>19</v>
      </c>
      <c r="G43" s="2209"/>
      <c r="H43" s="2214"/>
      <c r="I43" s="2216"/>
      <c r="J43" s="2218"/>
      <c r="K43" s="2203"/>
      <c r="L43" s="2203"/>
      <c r="M43" s="2203"/>
      <c r="N43" s="2205"/>
      <c r="O43" s="2203"/>
      <c r="P43" s="2203"/>
      <c r="Q43" s="2203"/>
      <c r="R43" s="2208"/>
      <c r="S43" s="2203"/>
      <c r="T43" s="1486"/>
      <c r="U43" s="1486"/>
      <c r="V43" s="1485"/>
      <c r="W43" s="1362"/>
      <c r="X43" s="1333"/>
      <c r="Y43" s="1333"/>
      <c r="Z43" s="1333"/>
      <c r="AA43" s="1333"/>
      <c r="AB43" s="1333"/>
      <c r="AC43" s="1333" t="s">
        <v>196</v>
      </c>
      <c r="AD43" s="1333" t="s">
        <v>197</v>
      </c>
      <c r="AE43" s="1333" t="s">
        <v>198</v>
      </c>
      <c r="AF43" s="1333" t="s">
        <v>199</v>
      </c>
      <c r="AG43" s="1333" t="s">
        <v>200</v>
      </c>
      <c r="AH43" s="1333" t="str">
        <f>IF($E$43=0,"",$E$43)</f>
        <v>Тарифы на услуги по передаче теплоносителя</v>
      </c>
      <c r="AI43" s="1333" t="str">
        <f>IF($G$43=0,"",$G$43)</f>
        <v/>
      </c>
      <c r="AJ43" s="1333" t="str">
        <f>IF($J$43=0,"",$J$43)</f>
        <v/>
      </c>
      <c r="AK43" s="1333" t="str">
        <f>IF($K$43="нет","без дифференциации",IF($N$43=0,"",$N$43))</f>
        <v/>
      </c>
      <c r="AL43" s="1333" t="str">
        <f>IF($O$43="нет","без дифференциации",IF($R$43=0,"",$R$43))</f>
        <v/>
      </c>
      <c r="AM43" s="1333" t="str">
        <f>IF($S$43="нет","без дифференциации",IF($V$43=0,"",$V$43))</f>
        <v/>
      </c>
      <c r="AN43" s="1838">
        <f>$I$43</f>
        <v>0</v>
      </c>
      <c r="AO43" s="1333" t="str">
        <f>$I$43&amp;"."&amp;$M$43</f>
        <v>.</v>
      </c>
      <c r="AP43" s="1325" t="str">
        <f>$I$43&amp;"."&amp;$M$43&amp;"."&amp;$Q$43</f>
        <v>..</v>
      </c>
      <c r="AQ43" s="1325" t="str">
        <f>$I$43&amp;"."&amp;$M$43&amp;"."&amp;$Q$43&amp;"."&amp;$U$43</f>
        <v>...</v>
      </c>
      <c r="AR43" s="1349">
        <v>0</v>
      </c>
    </row>
    <row s="5597" customFormat="1" customHeight="1" ht="17.25">
      <c r="A44" s="387"/>
      <c r="C44" s="386"/>
      <c r="D44" s="2201"/>
      <c r="E44" s="2209"/>
      <c r="F44" s="2212"/>
      <c r="G44" s="2209"/>
      <c r="H44" s="2215"/>
      <c r="I44" s="2217"/>
      <c r="J44" s="2219"/>
      <c r="K44" s="2204"/>
      <c r="L44" s="2204"/>
      <c r="M44" s="2204"/>
      <c r="N44" s="2206"/>
      <c r="O44" s="2204"/>
      <c r="P44" s="2204"/>
      <c r="Q44" s="2204"/>
      <c r="R44" s="2207"/>
      <c r="S44" s="2204"/>
      <c r="T44" s="1363"/>
      <c r="U44" s="1363"/>
      <c r="V44" s="1363"/>
      <c r="W44" s="1364"/>
      <c r="X44" s="1325"/>
      <c r="Y44" s="1325"/>
      <c r="Z44" s="1325"/>
      <c r="AA44" s="1325"/>
      <c r="AB44" s="1325"/>
      <c r="AC44" s="1325"/>
      <c r="AD44" s="1325"/>
      <c r="AE44" s="1325"/>
      <c r="AF44" s="1325"/>
      <c r="AG44" s="1325"/>
      <c r="AH44" s="1325"/>
      <c r="AI44" s="1325"/>
      <c r="AJ44" s="1325"/>
      <c r="AK44" s="1325"/>
      <c r="AL44" s="1325"/>
      <c r="AM44" s="1325"/>
      <c r="AN44" s="1325"/>
      <c r="AO44" s="1325"/>
      <c r="AP44" s="1325"/>
      <c r="AQ44" s="1325"/>
      <c r="AR44" s="1349">
        <v>0</v>
      </c>
    </row>
    <row s="5597" customFormat="1" customHeight="1" ht="17.25">
      <c r="A45" s="387"/>
      <c r="C45" s="386"/>
      <c r="D45" s="2202"/>
      <c r="E45" s="2210"/>
      <c r="F45" s="2212"/>
      <c r="G45" s="2210"/>
      <c r="H45" s="2215"/>
      <c r="I45" s="2217"/>
      <c r="J45" s="2220"/>
      <c r="K45" s="2204"/>
      <c r="L45" s="2204"/>
      <c r="M45" s="2204"/>
      <c r="N45" s="2207"/>
      <c r="O45" s="2204"/>
      <c r="P45" s="1484"/>
      <c r="Q45" s="1363"/>
      <c r="R45" s="1363"/>
      <c r="S45" s="395"/>
      <c r="T45" s="395"/>
      <c r="U45" s="395"/>
      <c r="V45" s="395"/>
      <c r="W45" s="1364"/>
      <c r="X45" s="1325"/>
      <c r="Y45" s="1325"/>
      <c r="Z45" s="1325"/>
      <c r="AA45" s="1325"/>
      <c r="AB45" s="1325"/>
      <c r="AC45" s="1325"/>
      <c r="AD45" s="1325"/>
      <c r="AE45" s="1325"/>
      <c r="AF45" s="1325"/>
      <c r="AG45" s="1325"/>
      <c r="AH45" s="1325"/>
      <c r="AI45" s="1325"/>
      <c r="AJ45" s="1325"/>
      <c r="AK45" s="1325"/>
      <c r="AL45" s="1325"/>
      <c r="AM45" s="1325"/>
      <c r="AN45" s="1325"/>
      <c r="AO45" s="1325"/>
      <c r="AP45" s="1325"/>
      <c r="AQ45" s="1325"/>
      <c r="AR45" s="1349">
        <v>0</v>
      </c>
    </row>
    <row s="5597" customFormat="1" customHeight="1" ht="17.25">
      <c r="A46" s="387"/>
      <c r="C46" s="275"/>
      <c r="D46" s="2202"/>
      <c r="E46" s="2210"/>
      <c r="F46" s="2212"/>
      <c r="G46" s="2210"/>
      <c r="H46" s="2215"/>
      <c r="I46" s="2217"/>
      <c r="J46" s="2220"/>
      <c r="K46" s="2204"/>
      <c r="L46" s="1363"/>
      <c r="M46" s="1363"/>
      <c r="N46" s="1363"/>
      <c r="O46" s="1363"/>
      <c r="P46" s="1363"/>
      <c r="Q46" s="1363"/>
      <c r="R46" s="1363"/>
      <c r="S46" s="395"/>
      <c r="T46" s="395"/>
      <c r="U46" s="395"/>
      <c r="V46" s="395"/>
      <c r="W46" s="1364"/>
      <c r="Y46" s="1333"/>
      <c r="Z46" s="1333"/>
      <c r="AA46" s="1333"/>
      <c r="AB46" s="1333"/>
      <c r="AC46" s="1333"/>
      <c r="AD46" s="1333"/>
      <c r="AE46" s="1333"/>
      <c r="AF46" s="1333"/>
      <c r="AG46" s="1333"/>
      <c r="AH46" s="1333"/>
      <c r="AI46" s="1333"/>
      <c r="AJ46" s="1333"/>
      <c r="AK46" s="1333"/>
      <c r="AL46" s="1333"/>
      <c r="AM46" s="1333"/>
      <c r="AN46" s="1333"/>
      <c r="AO46" s="1333"/>
      <c r="AP46" s="1333"/>
      <c r="AQ46" s="1333"/>
      <c r="AR46" s="1392">
        <v>0</v>
      </c>
    </row>
    <row s="5597" customFormat="1" customHeight="1" ht="17.25">
      <c r="A47" s="387"/>
      <c r="C47" s="386"/>
      <c r="D47" s="2202"/>
      <c r="E47" s="2210"/>
      <c r="F47" s="2213"/>
      <c r="G47" s="2210"/>
      <c r="H47" s="1365"/>
      <c r="I47" s="1366"/>
      <c r="J47" s="1366"/>
      <c r="K47" s="1366"/>
      <c r="L47" s="1366"/>
      <c r="M47" s="1366"/>
      <c r="N47" s="1366"/>
      <c r="O47" s="1366"/>
      <c r="P47" s="1366"/>
      <c r="Q47" s="1366"/>
      <c r="R47" s="1366"/>
      <c r="S47" s="1367"/>
      <c r="T47" s="1367"/>
      <c r="U47" s="1367"/>
      <c r="V47" s="1367"/>
      <c r="W47" s="1368"/>
      <c r="X47" s="1325"/>
      <c r="Y47" s="1325"/>
      <c r="Z47" s="1325"/>
      <c r="AA47" s="1325"/>
      <c r="AB47" s="1325"/>
      <c r="AC47" s="1325"/>
      <c r="AD47" s="1325"/>
      <c r="AE47" s="1325"/>
      <c r="AF47" s="1325"/>
      <c r="AG47" s="1325"/>
      <c r="AH47" s="1325"/>
      <c r="AI47" s="1325"/>
      <c r="AJ47" s="1325"/>
      <c r="AK47" s="1325"/>
      <c r="AL47" s="1325"/>
      <c r="AM47" s="1325"/>
      <c r="AN47" s="1325"/>
      <c r="AO47" s="1325"/>
      <c r="AP47" s="1325"/>
      <c r="AQ47" s="1325"/>
      <c r="AR47" s="1349">
        <v>0</v>
      </c>
    </row>
    <row s="5597" customFormat="1" customHeight="1" ht="17.25">
      <c r="A48" s="387"/>
      <c r="C48" s="275"/>
      <c r="D48" s="2232">
        <v>7</v>
      </c>
      <c r="E48" s="2235" t="s">
        <v>201</v>
      </c>
      <c r="F48" s="2211" t="s">
        <v>19</v>
      </c>
      <c r="G48" s="2235"/>
      <c r="H48" s="2214"/>
      <c r="I48" s="2216"/>
      <c r="J48" s="2218"/>
      <c r="K48" s="2203"/>
      <c r="L48" s="2203"/>
      <c r="M48" s="2203"/>
      <c r="N48" s="2205"/>
      <c r="O48" s="2203"/>
      <c r="P48" s="2203"/>
      <c r="Q48" s="2203"/>
      <c r="R48" s="2208"/>
      <c r="S48" s="2203"/>
      <c r="T48" s="1486"/>
      <c r="U48" s="1486"/>
      <c r="V48" s="1485"/>
      <c r="W48" s="1362"/>
      <c r="X48" s="1333"/>
      <c r="Y48" s="1333"/>
      <c r="Z48" s="1333"/>
      <c r="AA48" s="1333"/>
      <c r="AB48" s="1333"/>
      <c r="AC48" s="1333" t="s">
        <v>202</v>
      </c>
      <c r="AD48" s="1333" t="s">
        <v>203</v>
      </c>
      <c r="AE48" s="1333" t="s">
        <v>204</v>
      </c>
      <c r="AF48" s="1333" t="s">
        <v>205</v>
      </c>
      <c r="AG48" s="1333" t="s">
        <v>206</v>
      </c>
      <c r="AH48" s="1333" t="str">
        <f>IF($E$48=0,"",$E$48)</f>
        <v>Плата за услуги по поддержанию резервной тепловой мощности при отсутствии потребления тепловой энергии</v>
      </c>
      <c r="AI48" s="1333" t="str">
        <f>IF($G$48=0,"",$G$48)</f>
        <v/>
      </c>
      <c r="AJ48" s="1333" t="str">
        <f>IF($J$48=0,"",$J$48)</f>
        <v/>
      </c>
      <c r="AK48" s="1333" t="str">
        <f>IF($K$48="нет","без дифференциации",IF($N$48=0,"",$N$48))</f>
        <v/>
      </c>
      <c r="AL48" s="1333" t="str">
        <f>IF($O$48="нет","без дифференциации",IF($R$48=0,"",$R$48))</f>
        <v/>
      </c>
      <c r="AM48" s="1333" t="str">
        <f>IF($S$48="нет","без дифференциации",IF($V$48=0,"",$V$48))</f>
        <v/>
      </c>
      <c r="AN48" s="1838">
        <f>$I$48</f>
        <v>0</v>
      </c>
      <c r="AO48" s="1333" t="str">
        <f>$I$48&amp;"."&amp;$M$48</f>
        <v>.</v>
      </c>
      <c r="AP48" s="1325" t="str">
        <f>$I$48&amp;"."&amp;$M$48&amp;"."&amp;$Q$48</f>
        <v>..</v>
      </c>
      <c r="AQ48" s="1325" t="str">
        <f>$I$48&amp;"."&amp;$M$48&amp;"."&amp;$Q$48&amp;"."&amp;$U$48</f>
        <v>...</v>
      </c>
      <c r="AR48" s="1374">
        <v>0</v>
      </c>
    </row>
    <row s="5597" customFormat="1" customHeight="1" ht="17.25">
      <c r="A49" s="387"/>
      <c r="C49" s="386"/>
      <c r="D49" s="2233"/>
      <c r="E49" s="2236"/>
      <c r="F49" s="2212"/>
      <c r="G49" s="2236"/>
      <c r="H49" s="2215"/>
      <c r="I49" s="2217"/>
      <c r="J49" s="2219"/>
      <c r="K49" s="2204"/>
      <c r="L49" s="2204"/>
      <c r="M49" s="2204"/>
      <c r="N49" s="2206"/>
      <c r="O49" s="2204"/>
      <c r="P49" s="2204"/>
      <c r="Q49" s="2204"/>
      <c r="R49" s="2207"/>
      <c r="S49" s="2204"/>
      <c r="T49" s="1363"/>
      <c r="U49" s="1363"/>
      <c r="V49" s="1363"/>
      <c r="W49" s="1364"/>
      <c r="X49" s="1325"/>
      <c r="Y49" s="1325"/>
      <c r="Z49" s="1325"/>
      <c r="AA49" s="1325"/>
      <c r="AB49" s="1325"/>
      <c r="AC49" s="1325"/>
      <c r="AD49" s="1325"/>
      <c r="AE49" s="1325"/>
      <c r="AF49" s="1325"/>
      <c r="AG49" s="1325"/>
      <c r="AH49" s="1325"/>
      <c r="AI49" s="1325"/>
      <c r="AJ49" s="1325"/>
      <c r="AK49" s="1325"/>
      <c r="AL49" s="1325"/>
      <c r="AM49" s="1325"/>
      <c r="AN49" s="1325"/>
      <c r="AO49" s="1325"/>
      <c r="AP49" s="1325"/>
      <c r="AQ49" s="1325"/>
      <c r="AR49" s="1374">
        <v>0</v>
      </c>
    </row>
    <row s="5597" customFormat="1" customHeight="1" ht="17.25">
      <c r="A50" s="387"/>
      <c r="C50" s="386"/>
      <c r="D50" s="2233"/>
      <c r="E50" s="2236"/>
      <c r="F50" s="2212"/>
      <c r="G50" s="2236"/>
      <c r="H50" s="2215"/>
      <c r="I50" s="2217"/>
      <c r="J50" s="2220"/>
      <c r="K50" s="2204"/>
      <c r="L50" s="2204"/>
      <c r="M50" s="2204"/>
      <c r="N50" s="2207"/>
      <c r="O50" s="2204"/>
      <c r="P50" s="1484"/>
      <c r="Q50" s="1363"/>
      <c r="R50" s="1363"/>
      <c r="S50" s="395"/>
      <c r="T50" s="395"/>
      <c r="U50" s="395"/>
      <c r="V50" s="395"/>
      <c r="W50" s="1364"/>
      <c r="X50" s="1325"/>
      <c r="Y50" s="1325"/>
      <c r="Z50" s="1325"/>
      <c r="AA50" s="1325"/>
      <c r="AB50" s="1325"/>
      <c r="AC50" s="1325"/>
      <c r="AD50" s="1325"/>
      <c r="AE50" s="1325"/>
      <c r="AF50" s="1325"/>
      <c r="AG50" s="1325"/>
      <c r="AH50" s="1325"/>
      <c r="AI50" s="1325"/>
      <c r="AJ50" s="1325"/>
      <c r="AK50" s="1325"/>
      <c r="AL50" s="1325"/>
      <c r="AM50" s="1325"/>
      <c r="AN50" s="1325"/>
      <c r="AO50" s="1325"/>
      <c r="AP50" s="1325"/>
      <c r="AQ50" s="1325"/>
      <c r="AR50" s="1374">
        <v>0</v>
      </c>
    </row>
    <row s="5597" customFormat="1" customHeight="1" ht="17.25">
      <c r="A51" s="387"/>
      <c r="C51" s="275"/>
      <c r="D51" s="2233"/>
      <c r="E51" s="2236"/>
      <c r="F51" s="2212"/>
      <c r="G51" s="2236"/>
      <c r="H51" s="2215"/>
      <c r="I51" s="2217"/>
      <c r="J51" s="2220"/>
      <c r="K51" s="2204"/>
      <c r="L51" s="1363"/>
      <c r="M51" s="1363"/>
      <c r="N51" s="1363"/>
      <c r="O51" s="1363"/>
      <c r="P51" s="1363"/>
      <c r="Q51" s="1363"/>
      <c r="R51" s="1363"/>
      <c r="S51" s="395"/>
      <c r="T51" s="395"/>
      <c r="U51" s="395"/>
      <c r="V51" s="395"/>
      <c r="W51" s="1364"/>
      <c r="Y51" s="1333"/>
      <c r="Z51" s="1333"/>
      <c r="AA51" s="1333"/>
      <c r="AB51" s="1333"/>
      <c r="AC51" s="1333"/>
      <c r="AD51" s="1333"/>
      <c r="AE51" s="1333"/>
      <c r="AF51" s="1333"/>
      <c r="AG51" s="1333"/>
      <c r="AH51" s="1333"/>
      <c r="AI51" s="1333"/>
      <c r="AJ51" s="1333"/>
      <c r="AK51" s="1333"/>
      <c r="AL51" s="1333"/>
      <c r="AM51" s="1333"/>
      <c r="AN51" s="1333"/>
      <c r="AO51" s="1333"/>
      <c r="AP51" s="1333"/>
      <c r="AQ51" s="1333"/>
      <c r="AR51" s="1392">
        <v>0</v>
      </c>
    </row>
    <row s="5597" customFormat="1" customHeight="1" ht="17.25">
      <c r="A52" s="387"/>
      <c r="C52" s="386"/>
      <c r="D52" s="2234"/>
      <c r="E52" s="2237"/>
      <c r="F52" s="2213"/>
      <c r="G52" s="2237"/>
      <c r="H52" s="1365"/>
      <c r="I52" s="1366"/>
      <c r="J52" s="1366"/>
      <c r="K52" s="1366"/>
      <c r="L52" s="1366"/>
      <c r="M52" s="1366"/>
      <c r="N52" s="1366"/>
      <c r="O52" s="1366"/>
      <c r="P52" s="1366"/>
      <c r="Q52" s="1366"/>
      <c r="R52" s="1366"/>
      <c r="S52" s="1367"/>
      <c r="T52" s="1367"/>
      <c r="U52" s="1367"/>
      <c r="V52" s="1367"/>
      <c r="W52" s="1368"/>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74">
        <v>0</v>
      </c>
    </row>
    <row s="5597" customFormat="1" customHeight="1" ht="17.25">
      <c r="A53" s="387"/>
      <c r="C53" s="275"/>
      <c r="D53" s="2201">
        <v>8</v>
      </c>
      <c r="E53" s="2209" t="s">
        <v>207</v>
      </c>
      <c r="F53" s="2211" t="s">
        <v>19</v>
      </c>
      <c r="G53" s="2209"/>
      <c r="H53" s="2214"/>
      <c r="I53" s="2216"/>
      <c r="J53" s="2218"/>
      <c r="K53" s="2203"/>
      <c r="L53" s="2203"/>
      <c r="M53" s="2203"/>
      <c r="N53" s="2205"/>
      <c r="O53" s="2203"/>
      <c r="P53" s="2203"/>
      <c r="Q53" s="2203"/>
      <c r="R53" s="2208"/>
      <c r="S53" s="2203"/>
      <c r="T53" s="1536"/>
      <c r="U53" s="1536"/>
      <c r="V53" s="1538"/>
      <c r="W53" s="1362"/>
      <c r="X53" s="1333"/>
      <c r="Y53" s="1333"/>
      <c r="Z53" s="1333"/>
      <c r="AA53" s="1333"/>
      <c r="AB53" s="1333"/>
      <c r="AC53" s="1333" t="s">
        <v>208</v>
      </c>
      <c r="AD53" s="1333" t="s">
        <v>209</v>
      </c>
      <c r="AE53" s="1333" t="s">
        <v>210</v>
      </c>
      <c r="AF53" s="1333" t="s">
        <v>211</v>
      </c>
      <c r="AG53" s="1333" t="s">
        <v>212</v>
      </c>
      <c r="AH53" s="1333" t="str">
        <f>IF($E$53=0,"",$E$53)</f>
        <v>Плата за подключение (технологическое присоединение) к системе теплоснабжения</v>
      </c>
      <c r="AI53" s="1333" t="str">
        <f>IF($G$53=0,"",$G$53)</f>
        <v/>
      </c>
      <c r="AJ53" s="1333" t="str">
        <f>IF($J$53=0,"",$J$53)</f>
        <v/>
      </c>
      <c r="AK53" s="1333" t="str">
        <f>IF($K$53="нет","без дифференциации",IF($N$53=0,"",$N$53))</f>
        <v/>
      </c>
      <c r="AL53" s="1333" t="str">
        <f>IF($O$53="нет","без дифференциации",IF($R$53=0,"",$R$53))</f>
        <v/>
      </c>
      <c r="AM53" s="1333" t="str">
        <f>IF($S$53="нет","без дифференциации",IF($V$53=0,"",$V$53))</f>
        <v/>
      </c>
      <c r="AN53" s="1838">
        <f>$I$53</f>
        <v>0</v>
      </c>
      <c r="AO53" s="1333" t="str">
        <f>$I$53&amp;"."&amp;$M$53</f>
        <v>.</v>
      </c>
      <c r="AP53" s="1325" t="str">
        <f>$I$53&amp;"."&amp;$M$53&amp;"."&amp;$Q$53</f>
        <v>..</v>
      </c>
      <c r="AQ53" s="1325" t="str">
        <f>$I$53&amp;"."&amp;$M$53&amp;"."&amp;$Q$53&amp;"."&amp;$U$53</f>
        <v>...</v>
      </c>
      <c r="AR53" s="1374">
        <v>0</v>
      </c>
    </row>
    <row s="5597" customFormat="1" customHeight="1" ht="17.25">
      <c r="A54" s="387"/>
      <c r="C54" s="386"/>
      <c r="D54" s="2201"/>
      <c r="E54" s="2209"/>
      <c r="F54" s="2212"/>
      <c r="G54" s="2209"/>
      <c r="H54" s="2215"/>
      <c r="I54" s="2217"/>
      <c r="J54" s="2219"/>
      <c r="K54" s="2204"/>
      <c r="L54" s="2204"/>
      <c r="M54" s="2204"/>
      <c r="N54" s="2206"/>
      <c r="O54" s="2204"/>
      <c r="P54" s="2204"/>
      <c r="Q54" s="2204"/>
      <c r="R54" s="2207"/>
      <c r="S54" s="2204"/>
      <c r="T54" s="1363"/>
      <c r="U54" s="1363"/>
      <c r="V54" s="1363"/>
      <c r="W54" s="1364"/>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74">
        <v>0</v>
      </c>
    </row>
    <row s="5597" customFormat="1" customHeight="1" ht="17.25">
      <c r="A55" s="387"/>
      <c r="C55" s="386"/>
      <c r="D55" s="2202"/>
      <c r="E55" s="2210"/>
      <c r="F55" s="2212"/>
      <c r="G55" s="2210"/>
      <c r="H55" s="2215"/>
      <c r="I55" s="2217"/>
      <c r="J55" s="2220"/>
      <c r="K55" s="2204"/>
      <c r="L55" s="2204"/>
      <c r="M55" s="2204"/>
      <c r="N55" s="2207"/>
      <c r="O55" s="2204"/>
      <c r="P55" s="1537"/>
      <c r="Q55" s="1363"/>
      <c r="R55" s="1363"/>
      <c r="S55" s="395"/>
      <c r="T55" s="395"/>
      <c r="U55" s="395"/>
      <c r="V55" s="395"/>
      <c r="W55" s="1364"/>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74">
        <v>0</v>
      </c>
    </row>
    <row s="5597" customFormat="1" customHeight="1" ht="17.25">
      <c r="A56" s="387"/>
      <c r="C56" s="275"/>
      <c r="D56" s="2202"/>
      <c r="E56" s="2210"/>
      <c r="F56" s="2212"/>
      <c r="G56" s="2210"/>
      <c r="H56" s="2215"/>
      <c r="I56" s="2217"/>
      <c r="J56" s="2220"/>
      <c r="K56" s="2204"/>
      <c r="L56" s="1363"/>
      <c r="M56" s="1363"/>
      <c r="N56" s="1363"/>
      <c r="O56" s="1363"/>
      <c r="P56" s="1363"/>
      <c r="Q56" s="1363"/>
      <c r="R56" s="1363"/>
      <c r="S56" s="395"/>
      <c r="T56" s="395"/>
      <c r="U56" s="395"/>
      <c r="V56" s="395"/>
      <c r="W56" s="1364"/>
      <c r="Y56" s="1333"/>
      <c r="Z56" s="1333"/>
      <c r="AA56" s="1333"/>
      <c r="AB56" s="1333"/>
      <c r="AC56" s="1333"/>
      <c r="AD56" s="1333"/>
      <c r="AE56" s="1333"/>
      <c r="AF56" s="1333"/>
      <c r="AG56" s="1333"/>
      <c r="AH56" s="1333"/>
      <c r="AI56" s="1333"/>
      <c r="AJ56" s="1333"/>
      <c r="AK56" s="1333"/>
      <c r="AL56" s="1333"/>
      <c r="AM56" s="1333"/>
      <c r="AN56" s="1333"/>
      <c r="AO56" s="1333"/>
      <c r="AP56" s="1333"/>
      <c r="AQ56" s="1333"/>
      <c r="AR56" s="1392">
        <v>0</v>
      </c>
    </row>
    <row s="5597" customFormat="1" customHeight="1" ht="17.25">
      <c r="A57" s="387"/>
      <c r="C57" s="386"/>
      <c r="D57" s="2202"/>
      <c r="E57" s="2210"/>
      <c r="F57" s="2213"/>
      <c r="G57" s="2210"/>
      <c r="H57" s="1365"/>
      <c r="I57" s="1366"/>
      <c r="J57" s="1366"/>
      <c r="K57" s="1366"/>
      <c r="L57" s="1366"/>
      <c r="M57" s="1366"/>
      <c r="N57" s="1366"/>
      <c r="O57" s="1366"/>
      <c r="P57" s="1366"/>
      <c r="Q57" s="1366"/>
      <c r="R57" s="1366"/>
      <c r="S57" s="1367"/>
      <c r="T57" s="1367"/>
      <c r="U57" s="1367"/>
      <c r="V57" s="1367"/>
      <c r="W57" s="1368"/>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74">
        <v>0</v>
      </c>
    </row>
    <row s="5597" customFormat="1" customHeight="1" ht="17.25">
      <c r="A58" s="387"/>
      <c r="C58" s="275"/>
      <c r="D58" s="2201">
        <v>9</v>
      </c>
      <c r="E58" s="2209" t="s">
        <v>213</v>
      </c>
      <c r="F58" s="2211" t="s">
        <v>19</v>
      </c>
      <c r="G58" s="2209"/>
      <c r="H58" s="2214"/>
      <c r="I58" s="2216"/>
      <c r="J58" s="2218"/>
      <c r="K58" s="2203"/>
      <c r="L58" s="2203"/>
      <c r="M58" s="2203"/>
      <c r="N58" s="2205"/>
      <c r="O58" s="2203"/>
      <c r="P58" s="2203"/>
      <c r="Q58" s="2203"/>
      <c r="R58" s="2208"/>
      <c r="S58" s="2203"/>
      <c r="T58" s="1997"/>
      <c r="U58" s="1997"/>
      <c r="V58" s="1999"/>
      <c r="W58" s="1362"/>
      <c r="X58" s="1333"/>
      <c r="Y58" s="1333"/>
      <c r="Z58" s="1333"/>
      <c r="AA58" s="1333"/>
      <c r="AB58" s="1333"/>
      <c r="AC58" s="1333" t="s">
        <v>214</v>
      </c>
      <c r="AD58" s="1333" t="s">
        <v>215</v>
      </c>
      <c r="AE58" s="1333" t="s">
        <v>216</v>
      </c>
      <c r="AF58" s="1333" t="s">
        <v>217</v>
      </c>
      <c r="AG58" s="1333" t="s">
        <v>218</v>
      </c>
      <c r="AH58" s="1333" t="str">
        <f>IF($E$58=0,"",$E$58)</f>
        <v>Плата за подключение (технологическое присоединение) к системе теплоснабжения (индивидуальная)</v>
      </c>
      <c r="AI58" s="1333" t="str">
        <f>IF($G$58=0,"",$G$58)</f>
        <v/>
      </c>
      <c r="AJ58" s="1333" t="str">
        <f>IF($J$58=0,"",$J$58)</f>
        <v/>
      </c>
      <c r="AK58" s="1333" t="str">
        <f>IF($K$58="нет","без дифференциации",IF($N$58=0,"",$N$58))</f>
        <v/>
      </c>
      <c r="AL58" s="1333" t="str">
        <f>IF($O$58="нет","без дифференциации",IF($R$58=0,"",$R$58))</f>
        <v/>
      </c>
      <c r="AM58" s="1333" t="str">
        <f>IF($S$58="нет","без дифференциации",IF($V$58=0,"",$V$58))</f>
        <v/>
      </c>
      <c r="AN58" s="1838">
        <f>$I$58</f>
        <v>0</v>
      </c>
      <c r="AO58" s="1333" t="str">
        <f>$I$58&amp;"."&amp;$M$58</f>
        <v>.</v>
      </c>
      <c r="AP58" s="1332" t="str">
        <f>$I$58&amp;"."&amp;$M$58&amp;"."&amp;$Q$58</f>
        <v>..</v>
      </c>
      <c r="AQ58" s="1332" t="str">
        <f>$I$58&amp;"."&amp;$M$58&amp;"."&amp;$Q$58&amp;"."&amp;$U$58</f>
        <v>...</v>
      </c>
      <c r="AR58" s="1533">
        <v>0</v>
      </c>
    </row>
    <row s="5597" customFormat="1" customHeight="1" ht="17.25">
      <c r="A59" s="387"/>
      <c r="C59" s="386"/>
      <c r="D59" s="2201"/>
      <c r="E59" s="2209"/>
      <c r="F59" s="2212"/>
      <c r="G59" s="2209"/>
      <c r="H59" s="2215"/>
      <c r="I59" s="2217"/>
      <c r="J59" s="2219"/>
      <c r="K59" s="2204"/>
      <c r="L59" s="2204"/>
      <c r="M59" s="2204"/>
      <c r="N59" s="2206"/>
      <c r="O59" s="2204"/>
      <c r="P59" s="2204"/>
      <c r="Q59" s="2204"/>
      <c r="R59" s="2207"/>
      <c r="S59" s="2204"/>
      <c r="T59" s="2000"/>
      <c r="U59" s="2000"/>
      <c r="V59" s="2000"/>
      <c r="W59" s="2001"/>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533">
        <v>0</v>
      </c>
    </row>
    <row s="5597" customFormat="1" customHeight="1" ht="17.25">
      <c r="A60" s="387"/>
      <c r="C60" s="386"/>
      <c r="D60" s="2202"/>
      <c r="E60" s="2210"/>
      <c r="F60" s="2212"/>
      <c r="G60" s="2210"/>
      <c r="H60" s="2215"/>
      <c r="I60" s="2217"/>
      <c r="J60" s="2220"/>
      <c r="K60" s="2204"/>
      <c r="L60" s="2204"/>
      <c r="M60" s="2204"/>
      <c r="N60" s="2207"/>
      <c r="O60" s="2204"/>
      <c r="P60" s="1998"/>
      <c r="Q60" s="2000"/>
      <c r="R60" s="2000"/>
      <c r="S60" s="395"/>
      <c r="T60" s="395"/>
      <c r="U60" s="395"/>
      <c r="V60" s="395"/>
      <c r="W60" s="2001"/>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533">
        <v>0</v>
      </c>
    </row>
    <row s="5597" customFormat="1" customHeight="1" ht="17.25">
      <c r="A61" s="387"/>
      <c r="C61" s="275"/>
      <c r="D61" s="2202"/>
      <c r="E61" s="2210"/>
      <c r="F61" s="2212"/>
      <c r="G61" s="2210"/>
      <c r="H61" s="2215"/>
      <c r="I61" s="2217"/>
      <c r="J61" s="2220"/>
      <c r="K61" s="2204"/>
      <c r="L61" s="2000"/>
      <c r="M61" s="2000"/>
      <c r="N61" s="2000"/>
      <c r="O61" s="2000"/>
      <c r="P61" s="2000"/>
      <c r="Q61" s="2000"/>
      <c r="R61" s="2000"/>
      <c r="S61" s="395"/>
      <c r="T61" s="395"/>
      <c r="U61" s="395"/>
      <c r="V61" s="395"/>
      <c r="W61" s="2001"/>
      <c r="Y61" s="1333"/>
      <c r="Z61" s="1333"/>
      <c r="AA61" s="1333"/>
      <c r="AB61" s="1333"/>
      <c r="AC61" s="1333"/>
      <c r="AD61" s="1333"/>
      <c r="AE61" s="1333"/>
      <c r="AF61" s="1333"/>
      <c r="AG61" s="1333"/>
      <c r="AH61" s="1333"/>
      <c r="AI61" s="1333"/>
      <c r="AJ61" s="1333"/>
      <c r="AK61" s="1333"/>
      <c r="AL61" s="1333"/>
      <c r="AM61" s="1333"/>
      <c r="AN61" s="1333"/>
      <c r="AO61" s="1333"/>
      <c r="AP61" s="1333"/>
      <c r="AQ61" s="1333"/>
      <c r="AR61" s="1533">
        <v>0</v>
      </c>
    </row>
    <row s="5597" customFormat="1" customHeight="1" ht="17.25">
      <c r="A62" s="387"/>
      <c r="C62" s="386"/>
      <c r="D62" s="2202"/>
      <c r="E62" s="2210"/>
      <c r="F62" s="2213"/>
      <c r="G62" s="2210"/>
      <c r="H62" s="1365"/>
      <c r="I62" s="2002"/>
      <c r="J62" s="2002"/>
      <c r="K62" s="2002"/>
      <c r="L62" s="2002"/>
      <c r="M62" s="2002"/>
      <c r="N62" s="2002"/>
      <c r="O62" s="2002"/>
      <c r="P62" s="2002"/>
      <c r="Q62" s="2002"/>
      <c r="R62" s="2002"/>
      <c r="S62" s="1367"/>
      <c r="T62" s="1367"/>
      <c r="U62" s="1367"/>
      <c r="V62" s="1367"/>
      <c r="W62" s="2003"/>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533">
        <v>0</v>
      </c>
    </row>
    <row s="5597" customFormat="1" customHeight="1" ht="17.25" hidden="1">
      <c r="A63" s="387"/>
      <c r="C63" s="275"/>
      <c r="D63" s="2201">
        <v>10</v>
      </c>
      <c r="E63" s="2209" t="s">
        <v>219</v>
      </c>
      <c r="F63" s="2211" t="s">
        <v>19</v>
      </c>
      <c r="G63" s="2209"/>
      <c r="H63" s="2214"/>
      <c r="I63" s="2216"/>
      <c r="J63" s="2218"/>
      <c r="K63" s="2203"/>
      <c r="L63" s="2203"/>
      <c r="M63" s="2203"/>
      <c r="N63" s="2205"/>
      <c r="O63" s="2203"/>
      <c r="P63" s="2203"/>
      <c r="Q63" s="2203"/>
      <c r="R63" s="2208"/>
      <c r="S63" s="2203"/>
      <c r="T63" s="1997"/>
      <c r="U63" s="1997"/>
      <c r="V63" s="1999"/>
      <c r="W63" s="1362"/>
      <c r="X63" s="1333"/>
      <c r="Y63" s="1333"/>
      <c r="Z63" s="1333"/>
      <c r="AA63" s="1333"/>
      <c r="AB63" s="1333"/>
      <c r="AC63" s="1333" t="s">
        <v>220</v>
      </c>
      <c r="AD63" s="1333" t="s">
        <v>221</v>
      </c>
      <c r="AE63" s="1333" t="s">
        <v>222</v>
      </c>
      <c r="AF63" s="1333" t="s">
        <v>223</v>
      </c>
      <c r="AG63" s="1333" t="s">
        <v>224</v>
      </c>
      <c r="AH63" s="1333" t="str">
        <f>IF($E$63=0,"",$E$63)</f>
        <v>Предельный уровень цены на тепловую энергию (мощность), поставляемую теплоснабжающими организациями потребителям</v>
      </c>
      <c r="AI63" s="1333" t="str">
        <f>IF($G$63=0,"",$G$63)</f>
        <v/>
      </c>
      <c r="AJ63" s="1333" t="str">
        <f>IF($J$63=0,"",$J$63)</f>
        <v/>
      </c>
      <c r="AK63" s="1333" t="str">
        <f>IF($K$63="нет","без дифференциации",IF($N$63=0,"",$N$63))</f>
        <v/>
      </c>
      <c r="AL63" s="1333" t="str">
        <f>IF($O$63="нет","без дифференциации",IF($R$63=0,"",$R$63))</f>
        <v/>
      </c>
      <c r="AM63" s="1333" t="str">
        <f>IF($S$63="нет","без дифференциации",IF($V$63=0,"",$V$63))</f>
        <v/>
      </c>
      <c r="AN63" s="1838">
        <f>$I$63</f>
        <v>0</v>
      </c>
      <c r="AO63" s="1333" t="str">
        <f>$I$63&amp;"."&amp;$M$63</f>
        <v>.</v>
      </c>
      <c r="AP63" s="1332" t="str">
        <f>$I$63&amp;"."&amp;$M$63&amp;"."&amp;$Q$63</f>
        <v>..</v>
      </c>
      <c r="AQ63" s="1332" t="str">
        <f>$I$63&amp;"."&amp;$M$63&amp;"."&amp;$Q$63&amp;"."&amp;$U$63</f>
        <v>...</v>
      </c>
      <c r="AR63" s="1533">
        <v>0</v>
      </c>
    </row>
    <row s="5597" customFormat="1" customHeight="1" ht="17.25" hidden="1">
      <c r="A64" s="387"/>
      <c r="C64" s="386"/>
      <c r="D64" s="2201"/>
      <c r="E64" s="2209"/>
      <c r="F64" s="2212"/>
      <c r="G64" s="2209"/>
      <c r="H64" s="2215"/>
      <c r="I64" s="2217"/>
      <c r="J64" s="2219"/>
      <c r="K64" s="2204"/>
      <c r="L64" s="2204"/>
      <c r="M64" s="2204"/>
      <c r="N64" s="2206"/>
      <c r="O64" s="2204"/>
      <c r="P64" s="2204"/>
      <c r="Q64" s="2204"/>
      <c r="R64" s="2207"/>
      <c r="S64" s="2204"/>
      <c r="T64" s="2000"/>
      <c r="U64" s="2000"/>
      <c r="V64" s="2000"/>
      <c r="W64" s="2001"/>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R64" s="1533">
        <v>0</v>
      </c>
    </row>
    <row s="5597" customFormat="1" customHeight="1" ht="17.25" hidden="1">
      <c r="A65" s="387"/>
      <c r="C65" s="386"/>
      <c r="D65" s="2202"/>
      <c r="E65" s="2210"/>
      <c r="F65" s="2212"/>
      <c r="G65" s="2210"/>
      <c r="H65" s="2215"/>
      <c r="I65" s="2217"/>
      <c r="J65" s="2220"/>
      <c r="K65" s="2204"/>
      <c r="L65" s="2204"/>
      <c r="M65" s="2204"/>
      <c r="N65" s="2207"/>
      <c r="O65" s="2204"/>
      <c r="P65" s="1998"/>
      <c r="Q65" s="2000"/>
      <c r="R65" s="2000"/>
      <c r="S65" s="395"/>
      <c r="T65" s="395"/>
      <c r="U65" s="395"/>
      <c r="V65" s="395"/>
      <c r="W65" s="2001"/>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R65" s="1533">
        <v>0</v>
      </c>
    </row>
    <row s="5597" customFormat="1" customHeight="1" ht="17.25" hidden="1">
      <c r="A66" s="387"/>
      <c r="C66" s="275"/>
      <c r="D66" s="2202"/>
      <c r="E66" s="2210"/>
      <c r="F66" s="2212"/>
      <c r="G66" s="2210"/>
      <c r="H66" s="2215"/>
      <c r="I66" s="2217"/>
      <c r="J66" s="2220"/>
      <c r="K66" s="2204"/>
      <c r="L66" s="2000"/>
      <c r="M66" s="2000"/>
      <c r="N66" s="2000"/>
      <c r="O66" s="2000"/>
      <c r="P66" s="2000"/>
      <c r="Q66" s="2000"/>
      <c r="R66" s="2000"/>
      <c r="S66" s="395"/>
      <c r="T66" s="395"/>
      <c r="U66" s="395"/>
      <c r="V66" s="395"/>
      <c r="W66" s="2001"/>
      <c r="Y66" s="1333"/>
      <c r="Z66" s="1333"/>
      <c r="AA66" s="1333"/>
      <c r="AB66" s="1333"/>
      <c r="AC66" s="1333"/>
      <c r="AD66" s="1333"/>
      <c r="AE66" s="1333"/>
      <c r="AF66" s="1333"/>
      <c r="AG66" s="1333"/>
      <c r="AH66" s="1333"/>
      <c r="AI66" s="1333"/>
      <c r="AJ66" s="1333"/>
      <c r="AK66" s="1333"/>
      <c r="AL66" s="1333"/>
      <c r="AM66" s="1333"/>
      <c r="AN66" s="1333"/>
      <c r="AO66" s="1333"/>
      <c r="AP66" s="1333"/>
      <c r="AQ66" s="1333"/>
      <c r="AR66" s="1533">
        <v>0</v>
      </c>
    </row>
    <row s="5597" customFormat="1" customHeight="1" ht="17.25" hidden="1">
      <c r="A67" s="387"/>
      <c r="C67" s="386"/>
      <c r="D67" s="2202"/>
      <c r="E67" s="2210"/>
      <c r="F67" s="2213"/>
      <c r="G67" s="2210"/>
      <c r="H67" s="1365"/>
      <c r="I67" s="2002"/>
      <c r="J67" s="2002"/>
      <c r="K67" s="2002"/>
      <c r="L67" s="2002"/>
      <c r="M67" s="2002"/>
      <c r="N67" s="2002"/>
      <c r="O67" s="2002"/>
      <c r="P67" s="2002"/>
      <c r="Q67" s="2002"/>
      <c r="R67" s="2002"/>
      <c r="S67" s="1367"/>
      <c r="T67" s="1367"/>
      <c r="U67" s="1367"/>
      <c r="V67" s="1367"/>
      <c r="W67" s="2003"/>
      <c r="X67" s="1332"/>
      <c r="Y67" s="1332"/>
      <c r="Z67" s="1332"/>
      <c r="AA67" s="1332"/>
      <c r="AB67" s="1332"/>
      <c r="AC67" s="1332"/>
      <c r="AD67" s="1332"/>
      <c r="AE67" s="1332"/>
      <c r="AF67" s="1332"/>
      <c r="AG67" s="1332"/>
      <c r="AH67" s="1332"/>
      <c r="AI67" s="1332"/>
      <c r="AJ67" s="1332"/>
      <c r="AK67" s="1332"/>
      <c r="AL67" s="1332"/>
      <c r="AM67" s="1332"/>
      <c r="AN67" s="1332"/>
      <c r="AO67" s="1332"/>
      <c r="AP67" s="1332"/>
      <c r="AQ67" s="1332"/>
      <c r="AR67" s="1533">
        <v>0</v>
      </c>
    </row>
    <row customHeight="1" ht="11.25">
      <c r="AR68" s="170">
        <v>0</v>
      </c>
    </row>
    <row customHeight="1" ht="11.25">
      <c r="E69" s="2240" t="s">
        <v>225</v>
      </c>
      <c r="F69" s="2240"/>
      <c r="G69" s="2240"/>
      <c r="H69" s="2240"/>
      <c r="I69" s="2240"/>
      <c r="J69" s="2240"/>
      <c r="K69" s="2240"/>
      <c r="L69" s="2240"/>
      <c r="M69" s="2240"/>
      <c r="N69" s="2240"/>
      <c r="O69" s="2240"/>
      <c r="P69" s="2240"/>
      <c r="Q69" s="2240"/>
      <c r="R69" s="2240"/>
      <c r="S69" s="2240"/>
      <c r="T69" s="2240"/>
      <c r="U69" s="2240"/>
      <c r="V69" s="2240"/>
      <c r="W69" s="2240"/>
      <c r="AR69" s="170">
        <v>0</v>
      </c>
    </row>
    <row customHeight="1" ht="36.75">
      <c r="E70" s="2238" t="s">
        <v>226</v>
      </c>
      <c r="F70" s="2238"/>
      <c r="G70" s="2239"/>
      <c r="H70" s="2239"/>
      <c r="I70" s="2239"/>
      <c r="J70" s="2239"/>
      <c r="K70" s="2239"/>
      <c r="L70" s="2239"/>
      <c r="M70" s="2239"/>
      <c r="N70" s="2239"/>
      <c r="O70" s="2239"/>
      <c r="P70" s="2239"/>
      <c r="Q70" s="2239"/>
      <c r="R70" s="2239"/>
      <c r="S70" s="2239"/>
      <c r="T70" s="2239"/>
      <c r="U70" s="2239"/>
      <c r="V70" s="2239"/>
      <c r="W70" s="2239"/>
      <c r="AR70" s="170">
        <v>0</v>
      </c>
    </row>
    <row customHeight="1" ht="28.5">
      <c r="E71" s="2238" t="s">
        <v>227</v>
      </c>
      <c r="F71" s="2238"/>
      <c r="G71" s="2239"/>
      <c r="H71" s="2239"/>
      <c r="I71" s="2239"/>
      <c r="J71" s="2239"/>
      <c r="K71" s="2239"/>
      <c r="L71" s="2239"/>
      <c r="M71" s="2239"/>
      <c r="N71" s="2239"/>
      <c r="O71" s="2239"/>
      <c r="P71" s="2239"/>
      <c r="Q71" s="2239"/>
      <c r="R71" s="2239"/>
      <c r="S71" s="2239"/>
      <c r="T71" s="2239"/>
      <c r="U71" s="2239"/>
      <c r="V71" s="2239"/>
      <c r="W71" s="2239"/>
      <c r="AR71" s="170">
        <v>0</v>
      </c>
    </row>
    <row customHeight="1" ht="27">
      <c r="E72" s="2238" t="s">
        <v>228</v>
      </c>
      <c r="F72" s="2238"/>
      <c r="G72" s="2239"/>
      <c r="H72" s="2239"/>
      <c r="I72" s="2239"/>
      <c r="J72" s="2239"/>
      <c r="K72" s="2239"/>
      <c r="L72" s="2239"/>
      <c r="M72" s="2239"/>
      <c r="N72" s="2239"/>
      <c r="O72" s="2239"/>
      <c r="P72" s="2239"/>
      <c r="Q72" s="2239"/>
      <c r="R72" s="2239"/>
      <c r="S72" s="2239"/>
      <c r="T72" s="2239"/>
      <c r="U72" s="2239"/>
      <c r="V72" s="2239"/>
      <c r="W72" s="2239"/>
      <c r="AR72" s="170">
        <v>0</v>
      </c>
    </row>
    <row customHeight="1" ht="17.25">
      <c r="E73" s="2238" t="s">
        <v>229</v>
      </c>
      <c r="F73" s="2238"/>
      <c r="G73" s="2239"/>
      <c r="H73" s="2239"/>
      <c r="I73" s="2239"/>
      <c r="J73" s="2239"/>
      <c r="K73" s="2239"/>
      <c r="L73" s="2239"/>
      <c r="M73" s="2239"/>
      <c r="N73" s="2239"/>
      <c r="O73" s="2239"/>
      <c r="P73" s="2239"/>
      <c r="Q73" s="2239"/>
      <c r="R73" s="2239"/>
      <c r="S73" s="2239"/>
      <c r="T73" s="2239"/>
      <c r="U73" s="2239"/>
      <c r="V73" s="2239"/>
      <c r="W73" s="2239"/>
      <c r="AR73" s="170">
        <v>0</v>
      </c>
    </row>
    <row customHeight="1" ht="15">
      <c r="E74" s="406"/>
      <c r="F74" s="1351"/>
      <c r="G74" s="223"/>
      <c r="H74" s="223"/>
      <c r="I74" s="223"/>
      <c r="J74" s="223"/>
      <c r="K74" s="223"/>
      <c r="L74" s="223"/>
      <c r="M74" s="223"/>
      <c r="N74" s="223"/>
      <c r="O74" s="223"/>
      <c r="P74" s="223"/>
      <c r="Q74" s="223"/>
      <c r="R74" s="223"/>
      <c r="S74" s="223"/>
      <c r="T74" s="223"/>
      <c r="U74" s="223"/>
      <c r="V74" s="223"/>
      <c r="W74" s="223"/>
      <c r="AR74" s="170">
        <v>0</v>
      </c>
    </row>
    <row customHeight="1" ht="15">
      <c r="E75" s="2240" t="s">
        <v>230</v>
      </c>
      <c r="F75" s="2240"/>
      <c r="G75" s="2240"/>
      <c r="H75" s="2240"/>
      <c r="I75" s="2240"/>
      <c r="J75" s="2240"/>
      <c r="K75" s="2240"/>
      <c r="L75" s="2240"/>
      <c r="M75" s="2240"/>
      <c r="N75" s="2240"/>
      <c r="O75" s="2240"/>
      <c r="P75" s="2240"/>
      <c r="Q75" s="2240"/>
      <c r="R75" s="2240"/>
      <c r="S75" s="2240"/>
      <c r="T75" s="2240"/>
      <c r="U75" s="2240"/>
      <c r="V75" s="2240"/>
      <c r="W75" s="2240"/>
      <c r="AR75" s="170">
        <v>0</v>
      </c>
    </row>
    <row customHeight="1" ht="17.25">
      <c r="E76" s="2238" t="s">
        <v>231</v>
      </c>
      <c r="F76" s="2238"/>
      <c r="G76" s="2239"/>
      <c r="H76" s="2239"/>
      <c r="I76" s="2239"/>
      <c r="J76" s="2239"/>
      <c r="K76" s="2239"/>
      <c r="L76" s="2239"/>
      <c r="M76" s="2239"/>
      <c r="N76" s="2239"/>
      <c r="O76" s="2239"/>
      <c r="P76" s="2239"/>
      <c r="Q76" s="2239"/>
      <c r="R76" s="2239"/>
      <c r="S76" s="2239"/>
      <c r="T76" s="2239"/>
      <c r="U76" s="2239"/>
      <c r="V76" s="2239"/>
      <c r="W76" s="2239"/>
      <c r="AR76" s="170">
        <v>0</v>
      </c>
    </row>
    <row customHeight="1" ht="17.25">
      <c r="E77" s="2238" t="s">
        <v>232</v>
      </c>
      <c r="F77" s="2238"/>
      <c r="G77" s="2239"/>
      <c r="H77" s="2239"/>
      <c r="I77" s="2239"/>
      <c r="J77" s="2239"/>
      <c r="K77" s="2239"/>
      <c r="L77" s="2239"/>
      <c r="M77" s="2239"/>
      <c r="N77" s="2239"/>
      <c r="O77" s="2239"/>
      <c r="P77" s="2239"/>
      <c r="Q77" s="2239"/>
      <c r="R77" s="2239"/>
      <c r="S77" s="2239"/>
      <c r="T77" s="2239"/>
      <c r="U77" s="2239"/>
      <c r="V77" s="2239"/>
      <c r="W77" s="2239"/>
      <c r="AR77" s="170">
        <v>0</v>
      </c>
    </row>
    <row s="5597" customFormat="1" customHeight="1" ht="11.25" hidden="1">
      <c r="A78" s="343"/>
      <c r="B78" s="343"/>
      <c r="Y78" s="1325"/>
      <c r="Z78" s="1325"/>
      <c r="AA78" s="1325"/>
      <c r="AB78" s="1325"/>
      <c r="AC78" s="1325"/>
      <c r="AD78" s="1325"/>
      <c r="AE78" s="1325"/>
      <c r="AF78" s="1325"/>
      <c r="AG78" s="1325"/>
      <c r="AH78" s="1325"/>
      <c r="AI78" s="1325"/>
      <c r="AJ78" s="1325"/>
      <c r="AK78" s="1325"/>
      <c r="AL78" s="1325"/>
      <c r="AM78" s="1325"/>
      <c r="AN78" s="1325"/>
      <c r="AO78" s="1325"/>
      <c r="AP78" s="1325"/>
      <c r="AQ78" s="1325"/>
      <c r="AR78" s="1416">
        <v>0</v>
      </c>
    </row>
    <row s="5597" customFormat="1" customHeight="1" ht="17.25" hidden="1">
      <c r="A79" s="387"/>
      <c r="C79" s="275"/>
      <c r="D79" s="2201">
        <v>1</v>
      </c>
      <c r="E79" s="2209" t="s">
        <v>233</v>
      </c>
      <c r="F79" s="2211" t="s">
        <v>19</v>
      </c>
      <c r="G79" s="2209"/>
      <c r="H79" s="2214"/>
      <c r="I79" s="2216"/>
      <c r="J79" s="2218"/>
      <c r="K79" s="2203"/>
      <c r="L79" s="2203"/>
      <c r="M79" s="2203"/>
      <c r="N79" s="2205"/>
      <c r="O79" s="2203"/>
      <c r="P79" s="2203"/>
      <c r="Q79" s="2203"/>
      <c r="R79" s="2208"/>
      <c r="S79" s="2203"/>
      <c r="T79" s="1536"/>
      <c r="U79" s="1536"/>
      <c r="V79" s="1538"/>
      <c r="W79" s="1362"/>
      <c r="Y79" s="1333"/>
      <c r="Z79" s="1333"/>
      <c r="AA79" s="1333"/>
      <c r="AB79" s="1333"/>
      <c r="AC79" s="1333" t="s">
        <v>234</v>
      </c>
      <c r="AD79" s="1333" t="s">
        <v>235</v>
      </c>
      <c r="AE79" s="1333" t="s">
        <v>236</v>
      </c>
      <c r="AF79" s="1333" t="s">
        <v>237</v>
      </c>
      <c r="AG79" s="1333"/>
      <c r="AH79" s="1333" t="str">
        <f>IF($E$79=0,"",$E$79)</f>
        <v>Тариф на питьевую воду (питьевое водоснабжение)</v>
      </c>
      <c r="AI79" s="1333" t="str">
        <f>IF($G$79=0,"",$G$79)</f>
        <v/>
      </c>
      <c r="AJ79" s="1333" t="str">
        <f>IF($J$79=0,"",$J$79)</f>
        <v/>
      </c>
      <c r="AK79" s="1333" t="str">
        <f>IF($K$79="нет","без дифференциации",IF($N$79=0,"",$N$79))</f>
        <v/>
      </c>
      <c r="AL79" s="1333" t="str">
        <f>IF($O$79="нет","без дифференциации",IF($R$79=0,"",$R$79))</f>
        <v/>
      </c>
      <c r="AM79" s="1333" t="str">
        <f>IF($S$79="нет","без дифференциации",IF($V$79=0,"",$V$79))</f>
        <v/>
      </c>
      <c r="AN79" s="1333">
        <f>$I$79</f>
        <v>0</v>
      </c>
      <c r="AO79" s="1333" t="str">
        <f>$I$79&amp;"."&amp;$M$79</f>
        <v>.</v>
      </c>
      <c r="AP79" s="1333" t="str">
        <f>$I$79&amp;"."&amp;$M$79&amp;"."&amp;$Q$79</f>
        <v>..</v>
      </c>
      <c r="AQ79" s="1333" t="str">
        <f>$I$79&amp;"."&amp;$M$79&amp;"."&amp;$Q$79&amp;"."&amp;$U$79</f>
        <v>...</v>
      </c>
      <c r="AR79" s="1416">
        <v>0</v>
      </c>
    </row>
    <row s="5597" customFormat="1" customHeight="1" ht="17.25" hidden="1">
      <c r="A80" s="387"/>
      <c r="C80" s="386"/>
      <c r="D80" s="2201"/>
      <c r="E80" s="2209"/>
      <c r="F80" s="2212"/>
      <c r="G80" s="2209"/>
      <c r="H80" s="2215"/>
      <c r="I80" s="2217"/>
      <c r="J80" s="2219"/>
      <c r="K80" s="2204"/>
      <c r="L80" s="2204"/>
      <c r="M80" s="2204"/>
      <c r="N80" s="2206"/>
      <c r="O80" s="2204"/>
      <c r="P80" s="2204"/>
      <c r="Q80" s="2204"/>
      <c r="R80" s="2207"/>
      <c r="S80" s="2204"/>
      <c r="T80" s="1363"/>
      <c r="U80" s="1363"/>
      <c r="V80" s="1363"/>
      <c r="W80" s="1364"/>
      <c r="Y80" s="1325"/>
      <c r="Z80" s="1325"/>
      <c r="AA80" s="1325"/>
      <c r="AB80" s="1325"/>
      <c r="AC80" s="1325"/>
      <c r="AD80" s="1325"/>
      <c r="AE80" s="1325"/>
      <c r="AF80" s="1325"/>
      <c r="AG80" s="1325"/>
      <c r="AH80" s="1325"/>
      <c r="AI80" s="1325"/>
      <c r="AJ80" s="1325"/>
      <c r="AK80" s="1325"/>
      <c r="AL80" s="1325"/>
      <c r="AM80" s="1325"/>
      <c r="AN80" s="1325"/>
      <c r="AO80" s="1325"/>
      <c r="AP80" s="1325"/>
      <c r="AQ80" s="1325"/>
      <c r="AR80" s="1416">
        <v>0</v>
      </c>
    </row>
    <row s="5597" customFormat="1" customHeight="1" ht="17.25" hidden="1">
      <c r="A81" s="387"/>
      <c r="C81" s="275"/>
      <c r="D81" s="2201"/>
      <c r="E81" s="2209"/>
      <c r="F81" s="2212"/>
      <c r="G81" s="2209"/>
      <c r="H81" s="2215"/>
      <c r="I81" s="2217"/>
      <c r="J81" s="2220"/>
      <c r="K81" s="2204"/>
      <c r="L81" s="2204"/>
      <c r="M81" s="2204"/>
      <c r="N81" s="2207"/>
      <c r="O81" s="2204"/>
      <c r="P81" s="1537"/>
      <c r="Q81" s="1363"/>
      <c r="R81" s="1363"/>
      <c r="S81" s="395"/>
      <c r="T81" s="395"/>
      <c r="U81" s="395"/>
      <c r="V81" s="395"/>
      <c r="W81" s="1364"/>
      <c r="Y81" s="1333"/>
      <c r="Z81" s="1333"/>
      <c r="AA81" s="1333"/>
      <c r="AB81" s="1333"/>
      <c r="AC81" s="1333"/>
      <c r="AD81" s="1333"/>
      <c r="AE81" s="1333"/>
      <c r="AF81" s="1333"/>
      <c r="AG81" s="1333"/>
      <c r="AH81" s="1333"/>
      <c r="AI81" s="1333"/>
      <c r="AJ81" s="1333"/>
      <c r="AK81" s="1333"/>
      <c r="AL81" s="1333"/>
      <c r="AM81" s="1333"/>
      <c r="AN81" s="1333"/>
      <c r="AO81" s="1333"/>
      <c r="AP81" s="1333"/>
      <c r="AQ81" s="1333"/>
      <c r="AR81" s="1507">
        <v>0</v>
      </c>
    </row>
    <row s="5597" customFormat="1" customHeight="1" ht="17.25" hidden="1">
      <c r="A82" s="387"/>
      <c r="C82" s="386"/>
      <c r="D82" s="2201"/>
      <c r="E82" s="2209"/>
      <c r="F82" s="2212"/>
      <c r="G82" s="2209"/>
      <c r="H82" s="2215"/>
      <c r="I82" s="2217"/>
      <c r="J82" s="2220"/>
      <c r="K82" s="2204"/>
      <c r="L82" s="1363"/>
      <c r="M82" s="1363"/>
      <c r="N82" s="1363"/>
      <c r="O82" s="1363"/>
      <c r="P82" s="1363"/>
      <c r="Q82" s="1363"/>
      <c r="R82" s="1363"/>
      <c r="S82" s="395"/>
      <c r="T82" s="395"/>
      <c r="U82" s="395"/>
      <c r="V82" s="395"/>
      <c r="W82" s="1364"/>
      <c r="Y82" s="1325"/>
      <c r="Z82" s="1325"/>
      <c r="AA82" s="1325"/>
      <c r="AB82" s="1325"/>
      <c r="AC82" s="1325"/>
      <c r="AD82" s="1325"/>
      <c r="AE82" s="1325"/>
      <c r="AF82" s="1325"/>
      <c r="AG82" s="1325"/>
      <c r="AH82" s="1325"/>
      <c r="AI82" s="1325"/>
      <c r="AJ82" s="1325"/>
      <c r="AK82" s="1325"/>
      <c r="AL82" s="1325"/>
      <c r="AM82" s="1325"/>
      <c r="AN82" s="1325"/>
      <c r="AO82" s="1325"/>
      <c r="AP82" s="1325"/>
      <c r="AQ82" s="1325"/>
      <c r="AR82" s="1507">
        <v>0</v>
      </c>
    </row>
    <row s="5597" customFormat="1" customHeight="1" ht="17.25" hidden="1">
      <c r="A83" s="387"/>
      <c r="C83" s="386"/>
      <c r="D83" s="2202"/>
      <c r="E83" s="2210"/>
      <c r="F83" s="2213"/>
      <c r="G83" s="2210"/>
      <c r="H83" s="1365"/>
      <c r="I83" s="1366"/>
      <c r="J83" s="1366"/>
      <c r="K83" s="1366"/>
      <c r="L83" s="1366"/>
      <c r="M83" s="1366"/>
      <c r="N83" s="1366"/>
      <c r="O83" s="1366"/>
      <c r="P83" s="1366"/>
      <c r="Q83" s="1366"/>
      <c r="R83" s="1366"/>
      <c r="S83" s="1367"/>
      <c r="T83" s="1367"/>
      <c r="U83" s="1367"/>
      <c r="V83" s="1367"/>
      <c r="W83" s="1368"/>
      <c r="Y83" s="1325"/>
      <c r="Z83" s="1325"/>
      <c r="AA83" s="1325"/>
      <c r="AB83" s="1325"/>
      <c r="AC83" s="1325"/>
      <c r="AD83" s="1325"/>
      <c r="AE83" s="1325"/>
      <c r="AF83" s="1325"/>
      <c r="AG83" s="1325"/>
      <c r="AH83" s="1325"/>
      <c r="AI83" s="1325"/>
      <c r="AJ83" s="1325"/>
      <c r="AK83" s="1325"/>
      <c r="AL83" s="1325"/>
      <c r="AM83" s="1325"/>
      <c r="AN83" s="1325"/>
      <c r="AO83" s="1325"/>
      <c r="AP83" s="1325"/>
      <c r="AQ83" s="1325"/>
      <c r="AR83" s="1416">
        <v>0</v>
      </c>
    </row>
    <row s="5597" customFormat="1" customHeight="1" ht="17.25" hidden="1">
      <c r="A84" s="387"/>
      <c r="C84" s="275"/>
      <c r="D84" s="2201">
        <v>2</v>
      </c>
      <c r="E84" s="2209" t="s">
        <v>238</v>
      </c>
      <c r="F84" s="2211" t="s">
        <v>19</v>
      </c>
      <c r="G84" s="2209"/>
      <c r="H84" s="2214"/>
      <c r="I84" s="2216"/>
      <c r="J84" s="2218"/>
      <c r="K84" s="2203"/>
      <c r="L84" s="2203"/>
      <c r="M84" s="2203"/>
      <c r="N84" s="2205"/>
      <c r="O84" s="2203"/>
      <c r="P84" s="2203"/>
      <c r="Q84" s="2203"/>
      <c r="R84" s="2208"/>
      <c r="S84" s="2203"/>
      <c r="T84" s="1509"/>
      <c r="U84" s="1509"/>
      <c r="V84" s="1511"/>
      <c r="W84" s="1362"/>
      <c r="X84" s="1333"/>
      <c r="Y84" s="1333"/>
      <c r="Z84" s="1333"/>
      <c r="AA84" s="1333"/>
      <c r="AB84" s="1333"/>
      <c r="AC84" s="1333" t="s">
        <v>239</v>
      </c>
      <c r="AD84" s="1333" t="s">
        <v>240</v>
      </c>
      <c r="AE84" s="1333" t="s">
        <v>241</v>
      </c>
      <c r="AF84" s="1333" t="s">
        <v>242</v>
      </c>
      <c r="AG84" s="1333"/>
      <c r="AH84" s="1333" t="str">
        <f>IF($E$84=0,"",$E$84)</f>
        <v>Тариф на техническую воду</v>
      </c>
      <c r="AI84" s="1333" t="str">
        <f>IF($G$84=0,"",$G$84)</f>
        <v/>
      </c>
      <c r="AJ84" s="1333" t="str">
        <f>IF($J$84=0,"",$J$84)</f>
        <v/>
      </c>
      <c r="AK84" s="1333" t="str">
        <f>IF($K$84="нет","без дифференциации",IF($N$84=0,"",$N$84))</f>
        <v/>
      </c>
      <c r="AL84" s="1333" t="str">
        <f>IF($O$84="нет","без дифференциации",IF($R$84=0,"",$R$84))</f>
        <v/>
      </c>
      <c r="AM84" s="1333" t="str">
        <f>IF($S$84="нет","без дифференциации",IF($V$84=0,"",$V$84))</f>
        <v/>
      </c>
      <c r="AN84" s="1838">
        <f>$I$84</f>
        <v>0</v>
      </c>
      <c r="AO84" s="1333" t="str">
        <f>$I$84&amp;"."&amp;$M$84</f>
        <v>.</v>
      </c>
      <c r="AP84" s="1325" t="str">
        <f>$I$84&amp;"."&amp;$M$84&amp;"."&amp;$Q$84</f>
        <v>..</v>
      </c>
      <c r="AQ84" s="1325" t="str">
        <f>$I$84&amp;"."&amp;$M$84&amp;"."&amp;$Q$84&amp;"."&amp;$U$84</f>
        <v>...</v>
      </c>
      <c r="AR84" s="1416">
        <v>0</v>
      </c>
    </row>
    <row s="5597" customFormat="1" customHeight="1" ht="17.25" hidden="1">
      <c r="A85" s="387"/>
      <c r="C85" s="386"/>
      <c r="D85" s="2201"/>
      <c r="E85" s="2209"/>
      <c r="F85" s="2212"/>
      <c r="G85" s="2209"/>
      <c r="H85" s="2215"/>
      <c r="I85" s="2217"/>
      <c r="J85" s="2219"/>
      <c r="K85" s="2204"/>
      <c r="L85" s="2204"/>
      <c r="M85" s="2204"/>
      <c r="N85" s="2206"/>
      <c r="O85" s="2204"/>
      <c r="P85" s="2204"/>
      <c r="Q85" s="2204"/>
      <c r="R85" s="2207"/>
      <c r="S85" s="2204"/>
      <c r="T85" s="1363"/>
      <c r="U85" s="1363"/>
      <c r="V85" s="1363"/>
      <c r="W85" s="1364"/>
      <c r="X85" s="1325"/>
      <c r="Y85" s="1325"/>
      <c r="Z85" s="1325"/>
      <c r="AA85" s="1325"/>
      <c r="AB85" s="1325"/>
      <c r="AC85" s="1325"/>
      <c r="AD85" s="1325"/>
      <c r="AE85" s="1325"/>
      <c r="AF85" s="1325"/>
      <c r="AG85" s="1325"/>
      <c r="AH85" s="1325"/>
      <c r="AI85" s="1325"/>
      <c r="AJ85" s="1325"/>
      <c r="AK85" s="1325"/>
      <c r="AL85" s="1325"/>
      <c r="AM85" s="1325"/>
      <c r="AN85" s="1325"/>
      <c r="AO85" s="1325"/>
      <c r="AP85" s="1325"/>
      <c r="AQ85" s="1325"/>
      <c r="AR85" s="1416">
        <v>0</v>
      </c>
    </row>
    <row s="5597" customFormat="1" customHeight="1" ht="17.25" hidden="1">
      <c r="A86" s="387"/>
      <c r="C86" s="386"/>
      <c r="D86" s="2202"/>
      <c r="E86" s="2210"/>
      <c r="F86" s="2212"/>
      <c r="G86" s="2210"/>
      <c r="H86" s="2215"/>
      <c r="I86" s="2217"/>
      <c r="J86" s="2220"/>
      <c r="K86" s="2204"/>
      <c r="L86" s="2204"/>
      <c r="M86" s="2204"/>
      <c r="N86" s="2207"/>
      <c r="O86" s="2204"/>
      <c r="P86" s="1510"/>
      <c r="Q86" s="1363"/>
      <c r="R86" s="1363"/>
      <c r="S86" s="395"/>
      <c r="T86" s="395"/>
      <c r="U86" s="395"/>
      <c r="V86" s="395"/>
      <c r="W86" s="1364"/>
      <c r="X86" s="1325"/>
      <c r="Y86" s="1325"/>
      <c r="Z86" s="1325"/>
      <c r="AA86" s="1325"/>
      <c r="AB86" s="1325"/>
      <c r="AC86" s="1325"/>
      <c r="AD86" s="1325"/>
      <c r="AE86" s="1325"/>
      <c r="AF86" s="1325"/>
      <c r="AG86" s="1325"/>
      <c r="AH86" s="1325"/>
      <c r="AI86" s="1325"/>
      <c r="AJ86" s="1325"/>
      <c r="AK86" s="1325"/>
      <c r="AL86" s="1325"/>
      <c r="AM86" s="1325"/>
      <c r="AN86" s="1325"/>
      <c r="AO86" s="1325"/>
      <c r="AP86" s="1325"/>
      <c r="AQ86" s="1325"/>
      <c r="AR86" s="1416">
        <v>0</v>
      </c>
    </row>
    <row s="5597" customFormat="1" customHeight="1" ht="17.25" hidden="1">
      <c r="A87" s="387"/>
      <c r="C87" s="386"/>
      <c r="D87" s="2202"/>
      <c r="E87" s="2210"/>
      <c r="F87" s="2212"/>
      <c r="G87" s="2210"/>
      <c r="H87" s="2215"/>
      <c r="I87" s="2217"/>
      <c r="J87" s="2220"/>
      <c r="K87" s="2204"/>
      <c r="L87" s="1363"/>
      <c r="M87" s="1363"/>
      <c r="N87" s="1363"/>
      <c r="O87" s="1363"/>
      <c r="P87" s="1363"/>
      <c r="Q87" s="1363"/>
      <c r="R87" s="1363"/>
      <c r="S87" s="395"/>
      <c r="T87" s="395"/>
      <c r="U87" s="395"/>
      <c r="V87" s="395"/>
      <c r="W87" s="1364"/>
      <c r="X87" s="1325"/>
      <c r="Y87" s="1325"/>
      <c r="Z87" s="1325"/>
      <c r="AA87" s="1325"/>
      <c r="AB87" s="1325"/>
      <c r="AC87" s="1325"/>
      <c r="AD87" s="1325"/>
      <c r="AE87" s="1325"/>
      <c r="AF87" s="1325"/>
      <c r="AG87" s="1325"/>
      <c r="AH87" s="1325"/>
      <c r="AI87" s="1325"/>
      <c r="AJ87" s="1325"/>
      <c r="AK87" s="1325"/>
      <c r="AL87" s="1325"/>
      <c r="AM87" s="1325"/>
      <c r="AN87" s="1325"/>
      <c r="AO87" s="1325"/>
      <c r="AP87" s="1325"/>
      <c r="AQ87" s="1325"/>
      <c r="AR87" s="1416">
        <v>0</v>
      </c>
    </row>
    <row s="5597" customFormat="1" customHeight="1" ht="17.25" hidden="1">
      <c r="A88" s="387"/>
      <c r="C88" s="386"/>
      <c r="D88" s="2202"/>
      <c r="E88" s="2210"/>
      <c r="F88" s="2213"/>
      <c r="G88" s="2210"/>
      <c r="H88" s="1365"/>
      <c r="I88" s="1366"/>
      <c r="J88" s="1366"/>
      <c r="K88" s="1366"/>
      <c r="L88" s="1366"/>
      <c r="M88" s="1366"/>
      <c r="N88" s="1366"/>
      <c r="O88" s="1366"/>
      <c r="P88" s="1366"/>
      <c r="Q88" s="1366"/>
      <c r="R88" s="1366"/>
      <c r="S88" s="1367"/>
      <c r="T88" s="1367"/>
      <c r="U88" s="1367"/>
      <c r="V88" s="1367"/>
      <c r="W88" s="1368"/>
      <c r="X88" s="1325"/>
      <c r="Y88" s="1325"/>
      <c r="Z88" s="1325"/>
      <c r="AA88" s="1325"/>
      <c r="AB88" s="1325"/>
      <c r="AC88" s="1325"/>
      <c r="AD88" s="1325"/>
      <c r="AE88" s="1325"/>
      <c r="AF88" s="1325"/>
      <c r="AG88" s="1325"/>
      <c r="AH88" s="1325"/>
      <c r="AI88" s="1325"/>
      <c r="AJ88" s="1325"/>
      <c r="AK88" s="1325"/>
      <c r="AL88" s="1325"/>
      <c r="AM88" s="1325"/>
      <c r="AN88" s="1325"/>
      <c r="AO88" s="1325"/>
      <c r="AP88" s="1325"/>
      <c r="AQ88" s="1325"/>
      <c r="AR88" s="1416">
        <v>0</v>
      </c>
    </row>
    <row s="5597" customFormat="1" customHeight="1" ht="17.25" hidden="1">
      <c r="A89" s="387"/>
      <c r="C89" s="275"/>
      <c r="D89" s="2201">
        <v>3</v>
      </c>
      <c r="E89" s="2209" t="s">
        <v>243</v>
      </c>
      <c r="F89" s="2211" t="s">
        <v>19</v>
      </c>
      <c r="G89" s="2209"/>
      <c r="H89" s="2214"/>
      <c r="I89" s="2216"/>
      <c r="J89" s="2218"/>
      <c r="K89" s="2203"/>
      <c r="L89" s="2203"/>
      <c r="M89" s="2203"/>
      <c r="N89" s="2205"/>
      <c r="O89" s="2203"/>
      <c r="P89" s="2203"/>
      <c r="Q89" s="2203"/>
      <c r="R89" s="2208"/>
      <c r="S89" s="2203"/>
      <c r="T89" s="1509"/>
      <c r="U89" s="1509"/>
      <c r="V89" s="1511"/>
      <c r="W89" s="1362"/>
      <c r="X89" s="1333"/>
      <c r="Y89" s="1333"/>
      <c r="Z89" s="1333"/>
      <c r="AA89" s="1333"/>
      <c r="AB89" s="1333"/>
      <c r="AC89" s="1333" t="s">
        <v>244</v>
      </c>
      <c r="AD89" s="1333" t="s">
        <v>245</v>
      </c>
      <c r="AE89" s="1333" t="s">
        <v>246</v>
      </c>
      <c r="AF89" s="1333" t="s">
        <v>247</v>
      </c>
      <c r="AG89" s="1333"/>
      <c r="AH89" s="1333" t="str">
        <f>IF($E$89=0,"",$E$89)</f>
        <v>Тариф на транспортировку воды</v>
      </c>
      <c r="AI89" s="1333" t="str">
        <f>IF($G$89=0,"",$G$89)</f>
        <v/>
      </c>
      <c r="AJ89" s="1333" t="str">
        <f>IF($J$89=0,"",$J$89)</f>
        <v/>
      </c>
      <c r="AK89" s="1333" t="str">
        <f>IF($K$89="нет","без дифференциации",IF($N$89=0,"",$N$89))</f>
        <v/>
      </c>
      <c r="AL89" s="1333" t="str">
        <f>IF($O$89="нет","без дифференциации",IF($R$89=0,"",$R$89))</f>
        <v/>
      </c>
      <c r="AM89" s="1333" t="str">
        <f>IF($S$89="нет","без дифференциации",IF($V$89=0,"",$V$89))</f>
        <v/>
      </c>
      <c r="AN89" s="1838">
        <f>$I$89</f>
        <v>0</v>
      </c>
      <c r="AO89" s="1333" t="str">
        <f>$I$89&amp;"."&amp;$M$89</f>
        <v>.</v>
      </c>
      <c r="AP89" s="1325" t="str">
        <f>$I$89&amp;"."&amp;$M$89&amp;"."&amp;$Q$89</f>
        <v>..</v>
      </c>
      <c r="AQ89" s="1325" t="str">
        <f>$I$89&amp;"."&amp;$M$89&amp;"."&amp;$Q$89&amp;"."&amp;$U$89</f>
        <v>...</v>
      </c>
      <c r="AR89" s="1416">
        <v>0</v>
      </c>
    </row>
    <row s="5597" customFormat="1" customHeight="1" ht="17.25" hidden="1">
      <c r="A90" s="387"/>
      <c r="C90" s="386"/>
      <c r="D90" s="2201"/>
      <c r="E90" s="2209"/>
      <c r="F90" s="2212"/>
      <c r="G90" s="2209"/>
      <c r="H90" s="2215"/>
      <c r="I90" s="2217"/>
      <c r="J90" s="2219"/>
      <c r="K90" s="2204"/>
      <c r="L90" s="2204"/>
      <c r="M90" s="2204"/>
      <c r="N90" s="2206"/>
      <c r="O90" s="2204"/>
      <c r="P90" s="2204"/>
      <c r="Q90" s="2204"/>
      <c r="R90" s="2207"/>
      <c r="S90" s="2204"/>
      <c r="T90" s="1363"/>
      <c r="U90" s="1363"/>
      <c r="V90" s="1363"/>
      <c r="W90" s="1364"/>
      <c r="X90" s="1325"/>
      <c r="Y90" s="1325"/>
      <c r="Z90" s="1325"/>
      <c r="AA90" s="1325"/>
      <c r="AB90" s="1325"/>
      <c r="AC90" s="1325"/>
      <c r="AD90" s="1325"/>
      <c r="AE90" s="1325"/>
      <c r="AF90" s="1325"/>
      <c r="AG90" s="1325"/>
      <c r="AH90" s="1325"/>
      <c r="AI90" s="1325"/>
      <c r="AJ90" s="1325"/>
      <c r="AK90" s="1325"/>
      <c r="AL90" s="1325"/>
      <c r="AM90" s="1325"/>
      <c r="AN90" s="1325"/>
      <c r="AO90" s="1325"/>
      <c r="AP90" s="1325"/>
      <c r="AQ90" s="1325"/>
      <c r="AR90" s="1416">
        <v>0</v>
      </c>
    </row>
    <row s="5597" customFormat="1" customHeight="1" ht="17.25" hidden="1">
      <c r="A91" s="387"/>
      <c r="C91" s="386"/>
      <c r="D91" s="2202"/>
      <c r="E91" s="2210"/>
      <c r="F91" s="2212"/>
      <c r="G91" s="2210"/>
      <c r="H91" s="2215"/>
      <c r="I91" s="2217"/>
      <c r="J91" s="2220"/>
      <c r="K91" s="2204"/>
      <c r="L91" s="2204"/>
      <c r="M91" s="2204"/>
      <c r="N91" s="2207"/>
      <c r="O91" s="2204"/>
      <c r="P91" s="1510"/>
      <c r="Q91" s="1363"/>
      <c r="R91" s="1363"/>
      <c r="S91" s="395"/>
      <c r="T91" s="395"/>
      <c r="U91" s="395"/>
      <c r="V91" s="395"/>
      <c r="W91" s="1364"/>
      <c r="X91" s="1325"/>
      <c r="Y91" s="1325"/>
      <c r="Z91" s="1325"/>
      <c r="AA91" s="1325"/>
      <c r="AB91" s="1325"/>
      <c r="AC91" s="1325"/>
      <c r="AD91" s="1325"/>
      <c r="AE91" s="1325"/>
      <c r="AF91" s="1325"/>
      <c r="AG91" s="1325"/>
      <c r="AH91" s="1325"/>
      <c r="AI91" s="1325"/>
      <c r="AJ91" s="1325"/>
      <c r="AK91" s="1325"/>
      <c r="AL91" s="1325"/>
      <c r="AM91" s="1325"/>
      <c r="AN91" s="1325"/>
      <c r="AO91" s="1325"/>
      <c r="AP91" s="1325"/>
      <c r="AQ91" s="1325"/>
      <c r="AR91" s="1416">
        <v>0</v>
      </c>
    </row>
    <row s="5597" customFormat="1" customHeight="1" ht="17.25" hidden="1">
      <c r="A92" s="387"/>
      <c r="C92" s="386"/>
      <c r="D92" s="2202"/>
      <c r="E92" s="2210"/>
      <c r="F92" s="2212"/>
      <c r="G92" s="2210"/>
      <c r="H92" s="2215"/>
      <c r="I92" s="2217"/>
      <c r="J92" s="2220"/>
      <c r="K92" s="2204"/>
      <c r="L92" s="1363"/>
      <c r="M92" s="1363"/>
      <c r="N92" s="1363"/>
      <c r="O92" s="1363"/>
      <c r="P92" s="1363"/>
      <c r="Q92" s="1363"/>
      <c r="R92" s="1363"/>
      <c r="S92" s="395"/>
      <c r="T92" s="395"/>
      <c r="U92" s="395"/>
      <c r="V92" s="395"/>
      <c r="W92" s="1364"/>
      <c r="X92" s="1325"/>
      <c r="Y92" s="1325"/>
      <c r="Z92" s="1325"/>
      <c r="AA92" s="1325"/>
      <c r="AB92" s="1325"/>
      <c r="AC92" s="1325"/>
      <c r="AD92" s="1325"/>
      <c r="AE92" s="1325"/>
      <c r="AF92" s="1325"/>
      <c r="AG92" s="1325"/>
      <c r="AH92" s="1325"/>
      <c r="AI92" s="1325"/>
      <c r="AJ92" s="1325"/>
      <c r="AK92" s="1325"/>
      <c r="AL92" s="1325"/>
      <c r="AM92" s="1325"/>
      <c r="AN92" s="1325"/>
      <c r="AO92" s="1325"/>
      <c r="AP92" s="1325"/>
      <c r="AQ92" s="1325"/>
      <c r="AR92" s="1416">
        <v>0</v>
      </c>
    </row>
    <row s="5597" customFormat="1" customHeight="1" ht="17.25" hidden="1">
      <c r="A93" s="387"/>
      <c r="C93" s="386"/>
      <c r="D93" s="2202"/>
      <c r="E93" s="2210"/>
      <c r="F93" s="2213"/>
      <c r="G93" s="2210"/>
      <c r="H93" s="1365"/>
      <c r="I93" s="1366"/>
      <c r="J93" s="1366"/>
      <c r="K93" s="1366"/>
      <c r="L93" s="1366"/>
      <c r="M93" s="1366"/>
      <c r="N93" s="1366"/>
      <c r="O93" s="1366"/>
      <c r="P93" s="1366"/>
      <c r="Q93" s="1366"/>
      <c r="R93" s="1366"/>
      <c r="S93" s="1367"/>
      <c r="T93" s="1367"/>
      <c r="U93" s="1367"/>
      <c r="V93" s="1367"/>
      <c r="W93" s="1368"/>
      <c r="X93" s="1325"/>
      <c r="Y93" s="1325"/>
      <c r="Z93" s="1325"/>
      <c r="AA93" s="1325"/>
      <c r="AB93" s="1325"/>
      <c r="AC93" s="1325"/>
      <c r="AD93" s="1325"/>
      <c r="AE93" s="1325"/>
      <c r="AF93" s="1325"/>
      <c r="AG93" s="1325"/>
      <c r="AH93" s="1325"/>
      <c r="AI93" s="1325"/>
      <c r="AJ93" s="1325"/>
      <c r="AK93" s="1325"/>
      <c r="AL93" s="1325"/>
      <c r="AM93" s="1325"/>
      <c r="AN93" s="1325"/>
      <c r="AO93" s="1325"/>
      <c r="AP93" s="1325"/>
      <c r="AQ93" s="1325"/>
      <c r="AR93" s="1416">
        <v>0</v>
      </c>
    </row>
    <row s="5597" customFormat="1" customHeight="1" ht="17.25" hidden="1">
      <c r="A94" s="387"/>
      <c r="C94" s="275"/>
      <c r="D94" s="2201">
        <v>4</v>
      </c>
      <c r="E94" s="2209" t="s">
        <v>248</v>
      </c>
      <c r="F94" s="2211" t="s">
        <v>19</v>
      </c>
      <c r="G94" s="2209"/>
      <c r="H94" s="2214"/>
      <c r="I94" s="2216"/>
      <c r="J94" s="2218"/>
      <c r="K94" s="2203"/>
      <c r="L94" s="2203"/>
      <c r="M94" s="2203"/>
      <c r="N94" s="2205"/>
      <c r="O94" s="2203"/>
      <c r="P94" s="2203"/>
      <c r="Q94" s="2203"/>
      <c r="R94" s="2208"/>
      <c r="S94" s="2203"/>
      <c r="T94" s="1509"/>
      <c r="U94" s="1509"/>
      <c r="V94" s="1511"/>
      <c r="W94" s="1362"/>
      <c r="X94" s="1333"/>
      <c r="Y94" s="1333"/>
      <c r="Z94" s="1333"/>
      <c r="AA94" s="1333"/>
      <c r="AB94" s="1333"/>
      <c r="AC94" s="1333" t="s">
        <v>249</v>
      </c>
      <c r="AD94" s="1333" t="s">
        <v>250</v>
      </c>
      <c r="AE94" s="1333" t="s">
        <v>251</v>
      </c>
      <c r="AF94" s="1333" t="s">
        <v>252</v>
      </c>
      <c r="AG94" s="1333"/>
      <c r="AH94" s="1333" t="str">
        <f>IF($E$94=0,"",$E$94)</f>
        <v>Тариф на подвоз воды</v>
      </c>
      <c r="AI94" s="1333" t="str">
        <f>IF($G$94=0,"",$G$94)</f>
        <v/>
      </c>
      <c r="AJ94" s="1333" t="str">
        <f>IF($J$94=0,"",$J$94)</f>
        <v/>
      </c>
      <c r="AK94" s="1333" t="str">
        <f>IF($K$94="нет","без дифференциации",IF($N$94=0,"",$N$94))</f>
        <v/>
      </c>
      <c r="AL94" s="1333" t="str">
        <f>IF($O$94="нет","без дифференциации",IF($R$94=0,"",$R$94))</f>
        <v/>
      </c>
      <c r="AM94" s="1333" t="str">
        <f>IF($S$94="нет","без дифференциации",IF($V$94=0,"",$V$94))</f>
        <v/>
      </c>
      <c r="AN94" s="1838">
        <f>$I$94</f>
        <v>0</v>
      </c>
      <c r="AO94" s="1333" t="str">
        <f>$I$94&amp;"."&amp;$M$94</f>
        <v>.</v>
      </c>
      <c r="AP94" s="1325" t="str">
        <f>$I$94&amp;"."&amp;$M$94&amp;"."&amp;$Q$94</f>
        <v>..</v>
      </c>
      <c r="AQ94" s="1325" t="str">
        <f>$I$94&amp;"."&amp;$M$94&amp;"."&amp;$Q$94&amp;"."&amp;$U$94</f>
        <v>...</v>
      </c>
      <c r="AR94" s="1416">
        <v>0</v>
      </c>
    </row>
    <row s="5597" customFormat="1" customHeight="1" ht="17.25" hidden="1">
      <c r="A95" s="387"/>
      <c r="C95" s="386"/>
      <c r="D95" s="2201"/>
      <c r="E95" s="2209"/>
      <c r="F95" s="2212"/>
      <c r="G95" s="2209"/>
      <c r="H95" s="2215"/>
      <c r="I95" s="2217"/>
      <c r="J95" s="2219"/>
      <c r="K95" s="2204"/>
      <c r="L95" s="2204"/>
      <c r="M95" s="2204"/>
      <c r="N95" s="2206"/>
      <c r="O95" s="2204"/>
      <c r="P95" s="2204"/>
      <c r="Q95" s="2204"/>
      <c r="R95" s="2207"/>
      <c r="S95" s="2204"/>
      <c r="T95" s="1363"/>
      <c r="U95" s="1363"/>
      <c r="V95" s="1363"/>
      <c r="W95" s="1364"/>
      <c r="X95" s="1325"/>
      <c r="Y95" s="1325"/>
      <c r="Z95" s="1325"/>
      <c r="AA95" s="1325"/>
      <c r="AB95" s="1325"/>
      <c r="AC95" s="1325"/>
      <c r="AD95" s="1325"/>
      <c r="AE95" s="1325"/>
      <c r="AF95" s="1325"/>
      <c r="AG95" s="1325"/>
      <c r="AH95" s="1325"/>
      <c r="AI95" s="1325"/>
      <c r="AJ95" s="1325"/>
      <c r="AK95" s="1325"/>
      <c r="AL95" s="1325"/>
      <c r="AM95" s="1325"/>
      <c r="AN95" s="1325"/>
      <c r="AO95" s="1325"/>
      <c r="AP95" s="1325"/>
      <c r="AQ95" s="1325"/>
      <c r="AR95" s="1416">
        <v>0</v>
      </c>
    </row>
    <row s="5597" customFormat="1" customHeight="1" ht="17.25" hidden="1">
      <c r="A96" s="387"/>
      <c r="C96" s="386"/>
      <c r="D96" s="2202"/>
      <c r="E96" s="2210"/>
      <c r="F96" s="2212"/>
      <c r="G96" s="2210"/>
      <c r="H96" s="2215"/>
      <c r="I96" s="2217"/>
      <c r="J96" s="2220"/>
      <c r="K96" s="2204"/>
      <c r="L96" s="2204"/>
      <c r="M96" s="2204"/>
      <c r="N96" s="2207"/>
      <c r="O96" s="2204"/>
      <c r="P96" s="1510"/>
      <c r="Q96" s="1363"/>
      <c r="R96" s="1363"/>
      <c r="S96" s="395"/>
      <c r="T96" s="395"/>
      <c r="U96" s="395"/>
      <c r="V96" s="395"/>
      <c r="W96" s="1364"/>
      <c r="X96" s="1325"/>
      <c r="Y96" s="1325"/>
      <c r="Z96" s="1325"/>
      <c r="AA96" s="1325"/>
      <c r="AB96" s="1325"/>
      <c r="AC96" s="1325"/>
      <c r="AD96" s="1325"/>
      <c r="AE96" s="1325"/>
      <c r="AF96" s="1325"/>
      <c r="AG96" s="1325"/>
      <c r="AH96" s="1325"/>
      <c r="AI96" s="1325"/>
      <c r="AJ96" s="1325"/>
      <c r="AK96" s="1325"/>
      <c r="AL96" s="1325"/>
      <c r="AM96" s="1325"/>
      <c r="AN96" s="1325"/>
      <c r="AO96" s="1325"/>
      <c r="AP96" s="1325"/>
      <c r="AQ96" s="1325"/>
      <c r="AR96" s="1416">
        <v>0</v>
      </c>
    </row>
    <row s="5597" customFormat="1" customHeight="1" ht="17.25" hidden="1">
      <c r="A97" s="387"/>
      <c r="C97" s="386"/>
      <c r="D97" s="2202"/>
      <c r="E97" s="2210"/>
      <c r="F97" s="2212"/>
      <c r="G97" s="2210"/>
      <c r="H97" s="2215"/>
      <c r="I97" s="2217"/>
      <c r="J97" s="2220"/>
      <c r="K97" s="2204"/>
      <c r="L97" s="1363"/>
      <c r="M97" s="1363"/>
      <c r="N97" s="1363"/>
      <c r="O97" s="1363"/>
      <c r="P97" s="1363"/>
      <c r="Q97" s="1363"/>
      <c r="R97" s="1363"/>
      <c r="S97" s="395"/>
      <c r="T97" s="395"/>
      <c r="U97" s="395"/>
      <c r="V97" s="395"/>
      <c r="W97" s="1364"/>
      <c r="X97" s="1325"/>
      <c r="Y97" s="1325"/>
      <c r="Z97" s="1325"/>
      <c r="AA97" s="1325"/>
      <c r="AB97" s="1325"/>
      <c r="AC97" s="1325"/>
      <c r="AD97" s="1325"/>
      <c r="AE97" s="1325"/>
      <c r="AF97" s="1325"/>
      <c r="AG97" s="1325"/>
      <c r="AH97" s="1325"/>
      <c r="AI97" s="1325"/>
      <c r="AJ97" s="1325"/>
      <c r="AK97" s="1325"/>
      <c r="AL97" s="1325"/>
      <c r="AM97" s="1325"/>
      <c r="AN97" s="1325"/>
      <c r="AO97" s="1325"/>
      <c r="AP97" s="1325"/>
      <c r="AQ97" s="1325"/>
      <c r="AR97" s="1416">
        <v>0</v>
      </c>
    </row>
    <row s="5597" customFormat="1" customHeight="1" ht="17.25" hidden="1">
      <c r="A98" s="387"/>
      <c r="C98" s="386"/>
      <c r="D98" s="2202"/>
      <c r="E98" s="2210"/>
      <c r="F98" s="2213"/>
      <c r="G98" s="2210"/>
      <c r="H98" s="1365"/>
      <c r="I98" s="1366"/>
      <c r="J98" s="1366"/>
      <c r="K98" s="1366"/>
      <c r="L98" s="1366"/>
      <c r="M98" s="1366"/>
      <c r="N98" s="1366"/>
      <c r="O98" s="1366"/>
      <c r="P98" s="1366"/>
      <c r="Q98" s="1366"/>
      <c r="R98" s="1366"/>
      <c r="S98" s="1367"/>
      <c r="T98" s="1367"/>
      <c r="U98" s="1367"/>
      <c r="V98" s="1367"/>
      <c r="W98" s="1368"/>
      <c r="X98" s="1325"/>
      <c r="Y98" s="1325"/>
      <c r="Z98" s="1325"/>
      <c r="AA98" s="1325"/>
      <c r="AB98" s="1325"/>
      <c r="AC98" s="1325"/>
      <c r="AD98" s="1325"/>
      <c r="AE98" s="1325"/>
      <c r="AF98" s="1325"/>
      <c r="AG98" s="1325"/>
      <c r="AH98" s="1325"/>
      <c r="AI98" s="1325"/>
      <c r="AJ98" s="1325"/>
      <c r="AK98" s="1325"/>
      <c r="AL98" s="1325"/>
      <c r="AM98" s="1325"/>
      <c r="AN98" s="1325"/>
      <c r="AO98" s="1325"/>
      <c r="AP98" s="1325"/>
      <c r="AQ98" s="1325"/>
      <c r="AR98" s="1416">
        <v>0</v>
      </c>
    </row>
    <row s="5597" customFormat="1" customHeight="1" ht="17.25" hidden="1">
      <c r="A99" s="387"/>
      <c r="C99" s="275"/>
      <c r="D99" s="2201">
        <v>5</v>
      </c>
      <c r="E99" s="2209" t="s">
        <v>253</v>
      </c>
      <c r="F99" s="2211" t="s">
        <v>19</v>
      </c>
      <c r="G99" s="2209"/>
      <c r="H99" s="2214"/>
      <c r="I99" s="2216"/>
      <c r="J99" s="2218"/>
      <c r="K99" s="2203"/>
      <c r="L99" s="2203"/>
      <c r="M99" s="2203"/>
      <c r="N99" s="2205"/>
      <c r="O99" s="2203"/>
      <c r="P99" s="2203"/>
      <c r="Q99" s="2203"/>
      <c r="R99" s="2208"/>
      <c r="S99" s="2203"/>
      <c r="T99" s="2009"/>
      <c r="U99" s="2009"/>
      <c r="V99" s="2011"/>
      <c r="W99" s="1362"/>
      <c r="X99" s="1333"/>
      <c r="Y99" s="1333"/>
      <c r="Z99" s="1333"/>
      <c r="AA99" s="1333"/>
      <c r="AB99" s="1333"/>
      <c r="AC99" s="1333" t="s">
        <v>254</v>
      </c>
      <c r="AD99" s="1333" t="s">
        <v>255</v>
      </c>
      <c r="AE99" s="1333" t="s">
        <v>256</v>
      </c>
      <c r="AF99" s="1333" t="s">
        <v>257</v>
      </c>
      <c r="AG99" s="1333"/>
      <c r="AH99" s="1333" t="str">
        <f>IF($E$99=0,"",$E$99)</f>
        <v>Тариф на подключение (технологическое присоединение) к централизованной системе холодного водоснабжения</v>
      </c>
      <c r="AI99" s="1333" t="str">
        <f>IF($G$99=0,"",$G$99)</f>
        <v/>
      </c>
      <c r="AJ99" s="1333" t="str">
        <f>IF($J$99=0,"",$J$99)</f>
        <v/>
      </c>
      <c r="AK99" s="1333" t="str">
        <f>IF($K$99="нет","без дифференциации",IF($N$99=0,"",$N$99))</f>
        <v/>
      </c>
      <c r="AL99" s="1333" t="str">
        <f>IF($O$99="нет","без дифференциации",IF($R$99=0,"",$R$99))</f>
        <v/>
      </c>
      <c r="AM99" s="1333" t="str">
        <f>IF($S$99="нет","без дифференциации",IF($V$99=0,"",$V$99))</f>
        <v/>
      </c>
      <c r="AN99" s="1838">
        <f>$I$99</f>
        <v>0</v>
      </c>
      <c r="AO99" s="1333" t="str">
        <f>$I$99&amp;"."&amp;$M$99</f>
        <v>.</v>
      </c>
      <c r="AP99" s="1332" t="str">
        <f>$I$99&amp;"."&amp;$M$99&amp;"."&amp;$Q$99</f>
        <v>..</v>
      </c>
      <c r="AQ99" s="1332" t="str">
        <f>$I$99&amp;"."&amp;$M$99&amp;"."&amp;$Q$99&amp;"."&amp;$U$99</f>
        <v>...</v>
      </c>
      <c r="AR99" s="1533">
        <v>0</v>
      </c>
    </row>
    <row s="5597" customFormat="1" customHeight="1" ht="17.25" hidden="1">
      <c r="A100" s="387"/>
      <c r="C100" s="386"/>
      <c r="D100" s="2201"/>
      <c r="E100" s="2209"/>
      <c r="F100" s="2212"/>
      <c r="G100" s="2209"/>
      <c r="H100" s="2215"/>
      <c r="I100" s="2217"/>
      <c r="J100" s="2219"/>
      <c r="K100" s="2204"/>
      <c r="L100" s="2204"/>
      <c r="M100" s="2204"/>
      <c r="N100" s="2206"/>
      <c r="O100" s="2204"/>
      <c r="P100" s="2204"/>
      <c r="Q100" s="2204"/>
      <c r="R100" s="2207"/>
      <c r="S100" s="2204"/>
      <c r="T100" s="2014"/>
      <c r="U100" s="2014"/>
      <c r="V100" s="2014"/>
      <c r="W100" s="2015"/>
      <c r="X100" s="1332"/>
      <c r="Y100" s="1332"/>
      <c r="Z100" s="1332"/>
      <c r="AA100" s="1332"/>
      <c r="AB100" s="1332"/>
      <c r="AC100" s="1332"/>
      <c r="AD100" s="1332"/>
      <c r="AE100" s="1332"/>
      <c r="AF100" s="1332"/>
      <c r="AG100" s="1332"/>
      <c r="AH100" s="1332"/>
      <c r="AI100" s="1332"/>
      <c r="AJ100" s="1332"/>
      <c r="AK100" s="1332"/>
      <c r="AL100" s="1332"/>
      <c r="AM100" s="1332"/>
      <c r="AN100" s="1332"/>
      <c r="AO100" s="1332"/>
      <c r="AP100" s="1332"/>
      <c r="AQ100" s="1332"/>
      <c r="AR100" s="1533">
        <v>0</v>
      </c>
    </row>
    <row s="5597" customFormat="1" customHeight="1" ht="17.25" hidden="1">
      <c r="A101" s="387"/>
      <c r="C101" s="386"/>
      <c r="D101" s="2202"/>
      <c r="E101" s="2210"/>
      <c r="F101" s="2212"/>
      <c r="G101" s="2210"/>
      <c r="H101" s="2215"/>
      <c r="I101" s="2217"/>
      <c r="J101" s="2220"/>
      <c r="K101" s="2204"/>
      <c r="L101" s="2204"/>
      <c r="M101" s="2204"/>
      <c r="N101" s="2207"/>
      <c r="O101" s="2204"/>
      <c r="P101" s="2010"/>
      <c r="Q101" s="2014"/>
      <c r="R101" s="2014"/>
      <c r="S101" s="395"/>
      <c r="T101" s="395"/>
      <c r="U101" s="395"/>
      <c r="V101" s="395"/>
      <c r="W101" s="2015"/>
      <c r="X101" s="1332"/>
      <c r="Y101" s="1332"/>
      <c r="Z101" s="1332"/>
      <c r="AA101" s="1332"/>
      <c r="AB101" s="1332"/>
      <c r="AC101" s="1332"/>
      <c r="AD101" s="1332"/>
      <c r="AE101" s="1332"/>
      <c r="AF101" s="1332"/>
      <c r="AG101" s="1332"/>
      <c r="AH101" s="1332"/>
      <c r="AI101" s="1332"/>
      <c r="AJ101" s="1332"/>
      <c r="AK101" s="1332"/>
      <c r="AL101" s="1332"/>
      <c r="AM101" s="1332"/>
      <c r="AN101" s="1332"/>
      <c r="AO101" s="1332"/>
      <c r="AP101" s="1332"/>
      <c r="AQ101" s="1332"/>
      <c r="AR101" s="1533">
        <v>0</v>
      </c>
    </row>
    <row s="5597" customFormat="1" customHeight="1" ht="17.25" hidden="1">
      <c r="A102" s="387"/>
      <c r="C102" s="386"/>
      <c r="D102" s="2202"/>
      <c r="E102" s="2210"/>
      <c r="F102" s="2212"/>
      <c r="G102" s="2210"/>
      <c r="H102" s="2215"/>
      <c r="I102" s="2217"/>
      <c r="J102" s="2220"/>
      <c r="K102" s="2204"/>
      <c r="L102" s="2014"/>
      <c r="M102" s="2014"/>
      <c r="N102" s="2014"/>
      <c r="O102" s="2014"/>
      <c r="P102" s="2014"/>
      <c r="Q102" s="2014"/>
      <c r="R102" s="2014"/>
      <c r="S102" s="395"/>
      <c r="T102" s="395"/>
      <c r="U102" s="395"/>
      <c r="V102" s="395"/>
      <c r="W102" s="2015"/>
      <c r="X102" s="1332"/>
      <c r="Y102" s="1332"/>
      <c r="Z102" s="1332"/>
      <c r="AA102" s="1332"/>
      <c r="AB102" s="1332"/>
      <c r="AC102" s="1332"/>
      <c r="AD102" s="1332"/>
      <c r="AE102" s="1332"/>
      <c r="AF102" s="1332"/>
      <c r="AG102" s="1332"/>
      <c r="AH102" s="1332"/>
      <c r="AI102" s="1332"/>
      <c r="AJ102" s="1332"/>
      <c r="AK102" s="1332"/>
      <c r="AL102" s="1332"/>
      <c r="AM102" s="1332"/>
      <c r="AN102" s="1332"/>
      <c r="AO102" s="1332"/>
      <c r="AP102" s="1332"/>
      <c r="AQ102" s="1332"/>
      <c r="AR102" s="1533">
        <v>0</v>
      </c>
    </row>
    <row s="5597" customFormat="1" customHeight="1" ht="17.25" hidden="1">
      <c r="A103" s="387"/>
      <c r="C103" s="386"/>
      <c r="D103" s="2202"/>
      <c r="E103" s="2210"/>
      <c r="F103" s="2213"/>
      <c r="G103" s="2210"/>
      <c r="H103" s="1365"/>
      <c r="I103" s="2012"/>
      <c r="J103" s="2012"/>
      <c r="K103" s="2012"/>
      <c r="L103" s="2012"/>
      <c r="M103" s="2012"/>
      <c r="N103" s="2012"/>
      <c r="O103" s="2012"/>
      <c r="P103" s="2012"/>
      <c r="Q103" s="2012"/>
      <c r="R103" s="2012"/>
      <c r="S103" s="1367"/>
      <c r="T103" s="1367"/>
      <c r="U103" s="1367"/>
      <c r="V103" s="1367"/>
      <c r="W103" s="2013"/>
      <c r="X103" s="1332"/>
      <c r="Y103" s="1332"/>
      <c r="Z103" s="1332"/>
      <c r="AA103" s="1332"/>
      <c r="AB103" s="1332"/>
      <c r="AC103" s="1332"/>
      <c r="AD103" s="1332"/>
      <c r="AE103" s="1332"/>
      <c r="AF103" s="1332"/>
      <c r="AG103" s="1332"/>
      <c r="AH103" s="1332"/>
      <c r="AI103" s="1332"/>
      <c r="AJ103" s="1332"/>
      <c r="AK103" s="1332"/>
      <c r="AL103" s="1332"/>
      <c r="AM103" s="1332"/>
      <c r="AN103" s="1332"/>
      <c r="AO103" s="1332"/>
      <c r="AP103" s="1332"/>
      <c r="AQ103" s="1332"/>
      <c r="AR103" s="1533">
        <v>0</v>
      </c>
    </row>
    <row s="5597" customFormat="1" customHeight="1" ht="11.25" hidden="1">
      <c r="A104" s="343"/>
      <c r="B104" s="343"/>
      <c r="Y104" s="1325"/>
      <c r="Z104" s="1325"/>
      <c r="AA104" s="1325"/>
      <c r="AB104" s="1325"/>
      <c r="AC104" s="1325"/>
      <c r="AD104" s="1325"/>
      <c r="AE104" s="1325"/>
      <c r="AF104" s="1325"/>
      <c r="AG104" s="1325"/>
      <c r="AH104" s="1325"/>
      <c r="AI104" s="1325"/>
      <c r="AJ104" s="1325"/>
      <c r="AK104" s="1325"/>
      <c r="AL104" s="1325"/>
      <c r="AM104" s="1325"/>
      <c r="AN104" s="1325"/>
      <c r="AO104" s="1325"/>
      <c r="AP104" s="1325"/>
      <c r="AQ104" s="1325"/>
      <c r="AR104" s="1533">
        <v>0</v>
      </c>
    </row>
    <row s="5597" customFormat="1" customHeight="1" ht="17.25" hidden="1">
      <c r="A105" s="387"/>
      <c r="C105" s="275"/>
      <c r="D105" s="2201">
        <v>1</v>
      </c>
      <c r="E105" s="2209" t="s">
        <v>258</v>
      </c>
      <c r="F105" s="2211" t="s">
        <v>19</v>
      </c>
      <c r="G105" s="2209"/>
      <c r="H105" s="2214"/>
      <c r="I105" s="2216"/>
      <c r="J105" s="2218"/>
      <c r="K105" s="2203"/>
      <c r="L105" s="2203"/>
      <c r="M105" s="2203"/>
      <c r="N105" s="2205"/>
      <c r="O105" s="2203"/>
      <c r="P105" s="2203"/>
      <c r="Q105" s="2203"/>
      <c r="R105" s="2208"/>
      <c r="S105" s="2203"/>
      <c r="T105" s="1536"/>
      <c r="U105" s="1536"/>
      <c r="V105" s="1538"/>
      <c r="W105" s="1362"/>
      <c r="Y105" s="1333"/>
      <c r="Z105" s="1333"/>
      <c r="AA105" s="1333"/>
      <c r="AB105" s="1333"/>
      <c r="AC105" s="1333" t="s">
        <v>259</v>
      </c>
      <c r="AD105" s="1333" t="s">
        <v>260</v>
      </c>
      <c r="AE105" s="1333" t="s">
        <v>261</v>
      </c>
      <c r="AF105" s="1333" t="s">
        <v>262</v>
      </c>
      <c r="AG105" s="1333"/>
      <c r="AH105" s="1333" t="str">
        <f>IF($E$105=0,"",$E$105)</f>
        <v>Тариф на горячую воду (горячее водоснабжение)</v>
      </c>
      <c r="AI105" s="1333" t="str">
        <f>IF($G$105=0,"",$G$105)</f>
        <v/>
      </c>
      <c r="AJ105" s="1333" t="str">
        <f>IF($J$105=0,"",$J$105)</f>
        <v/>
      </c>
      <c r="AK105" s="1333" t="str">
        <f>IF($K$105="нет","без дифференциации",IF($N$105=0,"",$N$105))</f>
        <v/>
      </c>
      <c r="AL105" s="1333" t="str">
        <f>IF($O$105="нет","без дифференциации",IF($R$105=0,"",$R$105))</f>
        <v/>
      </c>
      <c r="AM105" s="1333" t="str">
        <f>IF($S$105="нет","без дифференциации",IF($V$105=0,"",$V$105))</f>
        <v/>
      </c>
      <c r="AN105" s="1333">
        <f>$I$105</f>
        <v>0</v>
      </c>
      <c r="AO105" s="1333" t="str">
        <f>$I$105&amp;"."&amp;$M$105</f>
        <v>.</v>
      </c>
      <c r="AP105" s="1333" t="str">
        <f>$I$105&amp;"."&amp;$M$105&amp;"."&amp;$Q$105</f>
        <v>..</v>
      </c>
      <c r="AQ105" s="1333" t="str">
        <f>$I$105&amp;"."&amp;$M$105&amp;"."&amp;$Q$105&amp;"."&amp;$U$105</f>
        <v>...</v>
      </c>
      <c r="AR105" s="1533">
        <v>0</v>
      </c>
    </row>
    <row s="5597" customFormat="1" customHeight="1" ht="17.25" hidden="1">
      <c r="A106" s="387"/>
      <c r="C106" s="386"/>
      <c r="D106" s="2201"/>
      <c r="E106" s="2209"/>
      <c r="F106" s="2212"/>
      <c r="G106" s="2209"/>
      <c r="H106" s="2215"/>
      <c r="I106" s="2217"/>
      <c r="J106" s="2219"/>
      <c r="K106" s="2204"/>
      <c r="L106" s="2204"/>
      <c r="M106" s="2204"/>
      <c r="N106" s="2206"/>
      <c r="O106" s="2204"/>
      <c r="P106" s="2204"/>
      <c r="Q106" s="2204"/>
      <c r="R106" s="2207"/>
      <c r="S106" s="2204"/>
      <c r="T106" s="1363"/>
      <c r="U106" s="1363"/>
      <c r="V106" s="1363"/>
      <c r="W106" s="1364"/>
      <c r="Y106" s="1325"/>
      <c r="Z106" s="1325"/>
      <c r="AA106" s="1325"/>
      <c r="AB106" s="1325"/>
      <c r="AC106" s="1325"/>
      <c r="AD106" s="1325"/>
      <c r="AE106" s="1325"/>
      <c r="AF106" s="1325"/>
      <c r="AG106" s="1325"/>
      <c r="AH106" s="1325"/>
      <c r="AI106" s="1325"/>
      <c r="AJ106" s="1325"/>
      <c r="AK106" s="1325"/>
      <c r="AL106" s="1325"/>
      <c r="AM106" s="1325"/>
      <c r="AN106" s="1325"/>
      <c r="AO106" s="1325"/>
      <c r="AP106" s="1325"/>
      <c r="AQ106" s="1325"/>
      <c r="AR106" s="1533">
        <v>0</v>
      </c>
    </row>
    <row s="5597" customFormat="1" customHeight="1" ht="17.25" hidden="1">
      <c r="A107" s="387"/>
      <c r="C107" s="275"/>
      <c r="D107" s="2201"/>
      <c r="E107" s="2209"/>
      <c r="F107" s="2212"/>
      <c r="G107" s="2209"/>
      <c r="H107" s="2215"/>
      <c r="I107" s="2217"/>
      <c r="J107" s="2220"/>
      <c r="K107" s="2204"/>
      <c r="L107" s="2204"/>
      <c r="M107" s="2204"/>
      <c r="N107" s="2207"/>
      <c r="O107" s="2204"/>
      <c r="P107" s="1537"/>
      <c r="Q107" s="1363"/>
      <c r="R107" s="1363"/>
      <c r="S107" s="395"/>
      <c r="T107" s="395"/>
      <c r="U107" s="395"/>
      <c r="V107" s="395"/>
      <c r="W107" s="1364"/>
      <c r="Y107" s="1333"/>
      <c r="Z107" s="1333"/>
      <c r="AA107" s="1333"/>
      <c r="AB107" s="1333"/>
      <c r="AC107" s="1333"/>
      <c r="AD107" s="1333"/>
      <c r="AE107" s="1333"/>
      <c r="AF107" s="1333"/>
      <c r="AG107" s="1333"/>
      <c r="AH107" s="1333"/>
      <c r="AI107" s="1333"/>
      <c r="AJ107" s="1333"/>
      <c r="AK107" s="1333"/>
      <c r="AL107" s="1333"/>
      <c r="AM107" s="1333"/>
      <c r="AN107" s="1333"/>
      <c r="AO107" s="1333"/>
      <c r="AP107" s="1333"/>
      <c r="AQ107" s="1333"/>
      <c r="AR107" s="1533">
        <v>0</v>
      </c>
    </row>
    <row s="5597" customFormat="1" customHeight="1" ht="17.25" hidden="1">
      <c r="A108" s="387"/>
      <c r="C108" s="386"/>
      <c r="D108" s="2201"/>
      <c r="E108" s="2209"/>
      <c r="F108" s="2212"/>
      <c r="G108" s="2209"/>
      <c r="H108" s="2215"/>
      <c r="I108" s="2217"/>
      <c r="J108" s="2220"/>
      <c r="K108" s="2204"/>
      <c r="L108" s="1363"/>
      <c r="M108" s="1363"/>
      <c r="N108" s="1363"/>
      <c r="O108" s="1363"/>
      <c r="P108" s="1363"/>
      <c r="Q108" s="1363"/>
      <c r="R108" s="1363"/>
      <c r="S108" s="395"/>
      <c r="T108" s="395"/>
      <c r="U108" s="395"/>
      <c r="V108" s="395"/>
      <c r="W108" s="1364"/>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533">
        <v>0</v>
      </c>
    </row>
    <row s="5597" customFormat="1" customHeight="1" ht="17.25" hidden="1">
      <c r="A109" s="387"/>
      <c r="C109" s="386"/>
      <c r="D109" s="2202"/>
      <c r="E109" s="2210"/>
      <c r="F109" s="2213"/>
      <c r="G109" s="2210"/>
      <c r="H109" s="1365"/>
      <c r="I109" s="1366"/>
      <c r="J109" s="1366"/>
      <c r="K109" s="1366"/>
      <c r="L109" s="1366"/>
      <c r="M109" s="1366"/>
      <c r="N109" s="1366"/>
      <c r="O109" s="1366"/>
      <c r="P109" s="1366"/>
      <c r="Q109" s="1366"/>
      <c r="R109" s="1366"/>
      <c r="S109" s="1367"/>
      <c r="T109" s="1367"/>
      <c r="U109" s="1367"/>
      <c r="V109" s="1367"/>
      <c r="W109" s="1368"/>
      <c r="Y109" s="1325"/>
      <c r="Z109" s="1325"/>
      <c r="AA109" s="1325"/>
      <c r="AB109" s="1325"/>
      <c r="AC109" s="1325"/>
      <c r="AD109" s="1325"/>
      <c r="AE109" s="1325"/>
      <c r="AF109" s="1325"/>
      <c r="AG109" s="1325"/>
      <c r="AH109" s="1325"/>
      <c r="AI109" s="1325"/>
      <c r="AJ109" s="1325"/>
      <c r="AK109" s="1325"/>
      <c r="AL109" s="1325"/>
      <c r="AM109" s="1325"/>
      <c r="AN109" s="1325"/>
      <c r="AO109" s="1325"/>
      <c r="AP109" s="1325"/>
      <c r="AQ109" s="1325"/>
      <c r="AR109" s="1533">
        <v>0</v>
      </c>
    </row>
    <row s="5597" customFormat="1" customHeight="1" ht="17.25" hidden="1">
      <c r="A110" s="387"/>
      <c r="C110" s="275"/>
      <c r="D110" s="2201">
        <v>2</v>
      </c>
      <c r="E110" s="2209" t="s">
        <v>263</v>
      </c>
      <c r="F110" s="2211" t="s">
        <v>19</v>
      </c>
      <c r="G110" s="2209"/>
      <c r="H110" s="2214"/>
      <c r="I110" s="2216"/>
      <c r="J110" s="2218"/>
      <c r="K110" s="2203"/>
      <c r="L110" s="2203"/>
      <c r="M110" s="2203"/>
      <c r="N110" s="2205"/>
      <c r="O110" s="2203"/>
      <c r="P110" s="2203"/>
      <c r="Q110" s="2203"/>
      <c r="R110" s="2208"/>
      <c r="S110" s="2203"/>
      <c r="T110" s="1536"/>
      <c r="U110" s="1536"/>
      <c r="V110" s="1538"/>
      <c r="W110" s="1362"/>
      <c r="X110" s="1333"/>
      <c r="Y110" s="1333"/>
      <c r="Z110" s="1333"/>
      <c r="AA110" s="1333"/>
      <c r="AB110" s="1333"/>
      <c r="AC110" s="1333" t="s">
        <v>264</v>
      </c>
      <c r="AD110" s="1333" t="s">
        <v>265</v>
      </c>
      <c r="AE110" s="1333" t="s">
        <v>266</v>
      </c>
      <c r="AF110" s="1333" t="s">
        <v>267</v>
      </c>
      <c r="AG110" s="1333"/>
      <c r="AH110" s="1333" t="str">
        <f>IF($E$110=0,"",$E$110)</f>
        <v>Тариф на транспортировку горячей воды</v>
      </c>
      <c r="AI110" s="1333" t="str">
        <f>IF($G$110=0,"",$G$110)</f>
        <v/>
      </c>
      <c r="AJ110" s="1333" t="str">
        <f>IF($J$110=0,"",$J$110)</f>
        <v/>
      </c>
      <c r="AK110" s="1333" t="str">
        <f>IF($K$110="нет","без дифференциации",IF($N$110=0,"",$N$110))</f>
        <v/>
      </c>
      <c r="AL110" s="1333" t="str">
        <f>IF($O$110="нет","без дифференциации",IF($R$110=0,"",$R$110))</f>
        <v/>
      </c>
      <c r="AM110" s="1333" t="str">
        <f>IF($S$110="нет","без дифференциации",IF($V$110=0,"",$V$110))</f>
        <v/>
      </c>
      <c r="AN110" s="1838">
        <f>$I$110</f>
        <v>0</v>
      </c>
      <c r="AO110" s="1333" t="str">
        <f>$I$110&amp;"."&amp;$M$110</f>
        <v>.</v>
      </c>
      <c r="AP110" s="1325" t="str">
        <f>$I$110&amp;"."&amp;$M$110&amp;"."&amp;$Q$110</f>
        <v>..</v>
      </c>
      <c r="AQ110" s="1325" t="str">
        <f>$I$110&amp;"."&amp;$M$110&amp;"."&amp;$Q$110&amp;"."&amp;$U$110</f>
        <v>...</v>
      </c>
      <c r="AR110" s="1533">
        <v>0</v>
      </c>
    </row>
    <row s="5597" customFormat="1" customHeight="1" ht="17.25" hidden="1">
      <c r="A111" s="387"/>
      <c r="C111" s="386"/>
      <c r="D111" s="2201"/>
      <c r="E111" s="2209"/>
      <c r="F111" s="2212"/>
      <c r="G111" s="2209"/>
      <c r="H111" s="2215"/>
      <c r="I111" s="2217"/>
      <c r="J111" s="2219"/>
      <c r="K111" s="2204"/>
      <c r="L111" s="2204"/>
      <c r="M111" s="2204"/>
      <c r="N111" s="2206"/>
      <c r="O111" s="2204"/>
      <c r="P111" s="2204"/>
      <c r="Q111" s="2204"/>
      <c r="R111" s="2207"/>
      <c r="S111" s="2204"/>
      <c r="T111" s="1363"/>
      <c r="U111" s="1363"/>
      <c r="V111" s="1363"/>
      <c r="W111" s="1364"/>
      <c r="X111" s="1325"/>
      <c r="Y111" s="1325"/>
      <c r="Z111" s="1325"/>
      <c r="AA111" s="1325"/>
      <c r="AB111" s="1325"/>
      <c r="AC111" s="1325"/>
      <c r="AD111" s="1325"/>
      <c r="AE111" s="1325"/>
      <c r="AF111" s="1325"/>
      <c r="AG111" s="1325"/>
      <c r="AH111" s="1325"/>
      <c r="AI111" s="1325"/>
      <c r="AJ111" s="1325"/>
      <c r="AK111" s="1325"/>
      <c r="AL111" s="1325"/>
      <c r="AM111" s="1325"/>
      <c r="AN111" s="1325"/>
      <c r="AO111" s="1325"/>
      <c r="AP111" s="1325"/>
      <c r="AQ111" s="1325"/>
      <c r="AR111" s="1533">
        <v>0</v>
      </c>
    </row>
    <row s="5597" customFormat="1" customHeight="1" ht="17.25" hidden="1">
      <c r="A112" s="387"/>
      <c r="C112" s="386"/>
      <c r="D112" s="2202"/>
      <c r="E112" s="2210"/>
      <c r="F112" s="2212"/>
      <c r="G112" s="2210"/>
      <c r="H112" s="2215"/>
      <c r="I112" s="2217"/>
      <c r="J112" s="2220"/>
      <c r="K112" s="2204"/>
      <c r="L112" s="2204"/>
      <c r="M112" s="2204"/>
      <c r="N112" s="2207"/>
      <c r="O112" s="2204"/>
      <c r="P112" s="1537"/>
      <c r="Q112" s="1363"/>
      <c r="R112" s="1363"/>
      <c r="S112" s="395"/>
      <c r="T112" s="395"/>
      <c r="U112" s="395"/>
      <c r="V112" s="395"/>
      <c r="W112" s="1364"/>
      <c r="X112" s="1325"/>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533">
        <v>0</v>
      </c>
    </row>
    <row s="5597" customFormat="1" customHeight="1" ht="17.25" hidden="1">
      <c r="A113" s="387"/>
      <c r="C113" s="386"/>
      <c r="D113" s="2202"/>
      <c r="E113" s="2210"/>
      <c r="F113" s="2212"/>
      <c r="G113" s="2210"/>
      <c r="H113" s="2215"/>
      <c r="I113" s="2217"/>
      <c r="J113" s="2220"/>
      <c r="K113" s="2204"/>
      <c r="L113" s="1363"/>
      <c r="M113" s="1363"/>
      <c r="N113" s="1363"/>
      <c r="O113" s="1363"/>
      <c r="P113" s="1363"/>
      <c r="Q113" s="1363"/>
      <c r="R113" s="1363"/>
      <c r="S113" s="395"/>
      <c r="T113" s="395"/>
      <c r="U113" s="395"/>
      <c r="V113" s="395"/>
      <c r="W113" s="1364"/>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533">
        <v>0</v>
      </c>
    </row>
    <row s="5597" customFormat="1" customHeight="1" ht="17.25" hidden="1">
      <c r="A114" s="387"/>
      <c r="C114" s="386"/>
      <c r="D114" s="2202"/>
      <c r="E114" s="2210"/>
      <c r="F114" s="2213"/>
      <c r="G114" s="2210"/>
      <c r="H114" s="1365"/>
      <c r="I114" s="1366"/>
      <c r="J114" s="1366"/>
      <c r="K114" s="1366"/>
      <c r="L114" s="1366"/>
      <c r="M114" s="1366"/>
      <c r="N114" s="1366"/>
      <c r="O114" s="1366"/>
      <c r="P114" s="1366"/>
      <c r="Q114" s="1366"/>
      <c r="R114" s="1366"/>
      <c r="S114" s="1367"/>
      <c r="T114" s="1367"/>
      <c r="U114" s="1367"/>
      <c r="V114" s="1367"/>
      <c r="W114" s="1368"/>
      <c r="X114" s="1325"/>
      <c r="Y114" s="1325"/>
      <c r="Z114" s="1325"/>
      <c r="AA114" s="1325"/>
      <c r="AB114" s="1325"/>
      <c r="AC114" s="1325"/>
      <c r="AD114" s="1325"/>
      <c r="AE114" s="1325"/>
      <c r="AF114" s="1325"/>
      <c r="AG114" s="1325"/>
      <c r="AH114" s="1325"/>
      <c r="AI114" s="1325"/>
      <c r="AJ114" s="1325"/>
      <c r="AK114" s="1325"/>
      <c r="AL114" s="1325"/>
      <c r="AM114" s="1325"/>
      <c r="AN114" s="1325"/>
      <c r="AO114" s="1325"/>
      <c r="AP114" s="1325"/>
      <c r="AQ114" s="1325"/>
      <c r="AR114" s="1533">
        <v>0</v>
      </c>
    </row>
    <row s="5597" customFormat="1" customHeight="1" ht="17.25" hidden="1">
      <c r="A115" s="387"/>
      <c r="C115" s="275"/>
      <c r="D115" s="2201">
        <v>3</v>
      </c>
      <c r="E115" s="2209" t="s">
        <v>268</v>
      </c>
      <c r="F115" s="2211" t="s">
        <v>19</v>
      </c>
      <c r="G115" s="2209"/>
      <c r="H115" s="2214"/>
      <c r="I115" s="2216"/>
      <c r="J115" s="2218"/>
      <c r="K115" s="2203"/>
      <c r="L115" s="2203"/>
      <c r="M115" s="2203"/>
      <c r="N115" s="2205"/>
      <c r="O115" s="2203"/>
      <c r="P115" s="2203"/>
      <c r="Q115" s="2203"/>
      <c r="R115" s="2208"/>
      <c r="S115" s="2203"/>
      <c r="T115" s="2009"/>
      <c r="U115" s="2009"/>
      <c r="V115" s="2011"/>
      <c r="W115" s="1362"/>
      <c r="X115" s="1333"/>
      <c r="Y115" s="1333"/>
      <c r="Z115" s="1333"/>
      <c r="AA115" s="1333"/>
      <c r="AB115" s="1333"/>
      <c r="AC115" s="1333" t="s">
        <v>269</v>
      </c>
      <c r="AD115" s="1333" t="s">
        <v>270</v>
      </c>
      <c r="AE115" s="1333" t="s">
        <v>271</v>
      </c>
      <c r="AF115" s="1333" t="s">
        <v>272</v>
      </c>
      <c r="AG115" s="1333"/>
      <c r="AH115" s="1333" t="str">
        <f>IF($E$115=0,"",$E$115)</f>
        <v>Тариф на подключение (технологическое присоединение) к централизованной системе горячего водоснабжения</v>
      </c>
      <c r="AI115" s="1333" t="str">
        <f>IF($G$115=0,"",$G$115)</f>
        <v/>
      </c>
      <c r="AJ115" s="1333" t="str">
        <f>IF($J$115=0,"",$J$115)</f>
        <v/>
      </c>
      <c r="AK115" s="1333" t="str">
        <f>IF($K$115="нет","без дифференциации",IF($N$115=0,"",$N$115))</f>
        <v/>
      </c>
      <c r="AL115" s="1333" t="str">
        <f>IF($O$115="нет","без дифференциации",IF($R$115=0,"",$R$115))</f>
        <v/>
      </c>
      <c r="AM115" s="1333" t="str">
        <f>IF($S$115="нет","без дифференциации",IF($V$115=0,"",$V$115))</f>
        <v/>
      </c>
      <c r="AN115" s="1838">
        <f>$I$115</f>
        <v>0</v>
      </c>
      <c r="AO115" s="1333" t="str">
        <f>$I$115&amp;"."&amp;$M$115</f>
        <v>.</v>
      </c>
      <c r="AP115" s="1332" t="str">
        <f>$I$115&amp;"."&amp;$M$115&amp;"."&amp;$Q$115</f>
        <v>..</v>
      </c>
      <c r="AQ115" s="1332" t="str">
        <f>$I$115&amp;"."&amp;$M$115&amp;"."&amp;$Q$115&amp;"."&amp;$U$115</f>
        <v>...</v>
      </c>
      <c r="AR115" s="1533">
        <v>0</v>
      </c>
    </row>
    <row s="5597" customFormat="1" customHeight="1" ht="17.25" hidden="1">
      <c r="A116" s="387"/>
      <c r="C116" s="386"/>
      <c r="D116" s="2201"/>
      <c r="E116" s="2209"/>
      <c r="F116" s="2212"/>
      <c r="G116" s="2209"/>
      <c r="H116" s="2215"/>
      <c r="I116" s="2217"/>
      <c r="J116" s="2219"/>
      <c r="K116" s="2204"/>
      <c r="L116" s="2204"/>
      <c r="M116" s="2204"/>
      <c r="N116" s="2206"/>
      <c r="O116" s="2204"/>
      <c r="P116" s="2204"/>
      <c r="Q116" s="2204"/>
      <c r="R116" s="2207"/>
      <c r="S116" s="2204"/>
      <c r="T116" s="2014"/>
      <c r="U116" s="2014"/>
      <c r="V116" s="2014"/>
      <c r="W116" s="2015"/>
      <c r="X116" s="1332"/>
      <c r="Y116" s="1332"/>
      <c r="Z116" s="1332"/>
      <c r="AA116" s="1332"/>
      <c r="AB116" s="1332"/>
      <c r="AC116" s="1332"/>
      <c r="AD116" s="1332"/>
      <c r="AE116" s="1332"/>
      <c r="AF116" s="1332"/>
      <c r="AG116" s="1332"/>
      <c r="AH116" s="1332"/>
      <c r="AI116" s="1332"/>
      <c r="AJ116" s="1332"/>
      <c r="AK116" s="1332"/>
      <c r="AL116" s="1332"/>
      <c r="AM116" s="1332"/>
      <c r="AN116" s="1332"/>
      <c r="AO116" s="1332"/>
      <c r="AP116" s="1332"/>
      <c r="AQ116" s="1332"/>
      <c r="AR116" s="1533">
        <v>0</v>
      </c>
    </row>
    <row s="5597" customFormat="1" customHeight="1" ht="17.25" hidden="1">
      <c r="A117" s="387"/>
      <c r="C117" s="386"/>
      <c r="D117" s="2202"/>
      <c r="E117" s="2210"/>
      <c r="F117" s="2212"/>
      <c r="G117" s="2210"/>
      <c r="H117" s="2215"/>
      <c r="I117" s="2217"/>
      <c r="J117" s="2220"/>
      <c r="K117" s="2204"/>
      <c r="L117" s="2204"/>
      <c r="M117" s="2204"/>
      <c r="N117" s="2207"/>
      <c r="O117" s="2204"/>
      <c r="P117" s="2010"/>
      <c r="Q117" s="2014"/>
      <c r="R117" s="2014"/>
      <c r="S117" s="395"/>
      <c r="T117" s="395"/>
      <c r="U117" s="395"/>
      <c r="V117" s="395"/>
      <c r="W117" s="2015"/>
      <c r="X117" s="1332"/>
      <c r="Y117" s="1332"/>
      <c r="Z117" s="1332"/>
      <c r="AA117" s="1332"/>
      <c r="AB117" s="1332"/>
      <c r="AC117" s="1332"/>
      <c r="AD117" s="1332"/>
      <c r="AE117" s="1332"/>
      <c r="AF117" s="1332"/>
      <c r="AG117" s="1332"/>
      <c r="AH117" s="1332"/>
      <c r="AI117" s="1332"/>
      <c r="AJ117" s="1332"/>
      <c r="AK117" s="1332"/>
      <c r="AL117" s="1332"/>
      <c r="AM117" s="1332"/>
      <c r="AN117" s="1332"/>
      <c r="AO117" s="1332"/>
      <c r="AP117" s="1332"/>
      <c r="AQ117" s="1332"/>
      <c r="AR117" s="1533">
        <v>0</v>
      </c>
    </row>
    <row s="5597" customFormat="1" customHeight="1" ht="17.25" hidden="1">
      <c r="A118" s="387"/>
      <c r="C118" s="386"/>
      <c r="D118" s="2202"/>
      <c r="E118" s="2210"/>
      <c r="F118" s="2212"/>
      <c r="G118" s="2210"/>
      <c r="H118" s="2215"/>
      <c r="I118" s="2217"/>
      <c r="J118" s="2220"/>
      <c r="K118" s="2204"/>
      <c r="L118" s="2014"/>
      <c r="M118" s="2014"/>
      <c r="N118" s="2014"/>
      <c r="O118" s="2014"/>
      <c r="P118" s="2014"/>
      <c r="Q118" s="2014"/>
      <c r="R118" s="2014"/>
      <c r="S118" s="395"/>
      <c r="T118" s="395"/>
      <c r="U118" s="395"/>
      <c r="V118" s="395"/>
      <c r="W118" s="2015"/>
      <c r="X118" s="1332"/>
      <c r="Y118" s="1332"/>
      <c r="Z118" s="1332"/>
      <c r="AA118" s="1332"/>
      <c r="AB118" s="1332"/>
      <c r="AC118" s="1332"/>
      <c r="AD118" s="1332"/>
      <c r="AE118" s="1332"/>
      <c r="AF118" s="1332"/>
      <c r="AG118" s="1332"/>
      <c r="AH118" s="1332"/>
      <c r="AI118" s="1332"/>
      <c r="AJ118" s="1332"/>
      <c r="AK118" s="1332"/>
      <c r="AL118" s="1332"/>
      <c r="AM118" s="1332"/>
      <c r="AN118" s="1332"/>
      <c r="AO118" s="1332"/>
      <c r="AP118" s="1332"/>
      <c r="AQ118" s="1332"/>
      <c r="AR118" s="1533">
        <v>0</v>
      </c>
    </row>
    <row s="5597" customFormat="1" customHeight="1" ht="17.25" hidden="1">
      <c r="A119" s="387"/>
      <c r="C119" s="386"/>
      <c r="D119" s="2202"/>
      <c r="E119" s="2210"/>
      <c r="F119" s="2213"/>
      <c r="G119" s="2210"/>
      <c r="H119" s="1365"/>
      <c r="I119" s="2012"/>
      <c r="J119" s="2012"/>
      <c r="K119" s="2012"/>
      <c r="L119" s="2012"/>
      <c r="M119" s="2012"/>
      <c r="N119" s="2012"/>
      <c r="O119" s="2012"/>
      <c r="P119" s="2012"/>
      <c r="Q119" s="2012"/>
      <c r="R119" s="2012"/>
      <c r="S119" s="1367"/>
      <c r="T119" s="1367"/>
      <c r="U119" s="1367"/>
      <c r="V119" s="1367"/>
      <c r="W119" s="2013"/>
      <c r="X119" s="1332"/>
      <c r="Y119" s="1332"/>
      <c r="Z119" s="1332"/>
      <c r="AA119" s="1332"/>
      <c r="AB119" s="1332"/>
      <c r="AC119" s="1332"/>
      <c r="AD119" s="1332"/>
      <c r="AE119" s="1332"/>
      <c r="AF119" s="1332"/>
      <c r="AG119" s="1332"/>
      <c r="AH119" s="1332"/>
      <c r="AI119" s="1332"/>
      <c r="AJ119" s="1332"/>
      <c r="AK119" s="1332"/>
      <c r="AL119" s="1332"/>
      <c r="AM119" s="1332"/>
      <c r="AN119" s="1332"/>
      <c r="AO119" s="1332"/>
      <c r="AP119" s="1332"/>
      <c r="AQ119" s="1332"/>
      <c r="AR119" s="1533">
        <v>0</v>
      </c>
    </row>
    <row s="5597" customFormat="1" customHeight="1" ht="11.25" hidden="1">
      <c r="A120" s="343"/>
      <c r="B120" s="343"/>
      <c r="Y120" s="1325"/>
      <c r="Z120" s="1325"/>
      <c r="AA120" s="1325"/>
      <c r="AB120" s="1325"/>
      <c r="AC120" s="1325"/>
      <c r="AD120" s="1325"/>
      <c r="AE120" s="1325"/>
      <c r="AF120" s="1325"/>
      <c r="AG120" s="1325"/>
      <c r="AH120" s="1325"/>
      <c r="AI120" s="1325"/>
      <c r="AJ120" s="1325"/>
      <c r="AK120" s="1325"/>
      <c r="AL120" s="1325"/>
      <c r="AM120" s="1325"/>
      <c r="AN120" s="1325"/>
      <c r="AO120" s="1325"/>
      <c r="AP120" s="1325"/>
      <c r="AQ120" s="1325"/>
      <c r="AR120" s="1533">
        <v>0</v>
      </c>
    </row>
    <row s="5597" customFormat="1" customHeight="1" ht="17.25" hidden="1">
      <c r="A121" s="387"/>
      <c r="C121" s="275"/>
      <c r="D121" s="2201">
        <v>1</v>
      </c>
      <c r="E121" s="2209" t="s">
        <v>273</v>
      </c>
      <c r="F121" s="2211" t="s">
        <v>19</v>
      </c>
      <c r="G121" s="2209"/>
      <c r="H121" s="2214"/>
      <c r="I121" s="2216"/>
      <c r="J121" s="2218"/>
      <c r="K121" s="2203"/>
      <c r="L121" s="2203"/>
      <c r="M121" s="2203"/>
      <c r="N121" s="2205"/>
      <c r="O121" s="2203"/>
      <c r="P121" s="2203"/>
      <c r="Q121" s="2203"/>
      <c r="R121" s="2208"/>
      <c r="S121" s="2203"/>
      <c r="T121" s="1536"/>
      <c r="U121" s="1536"/>
      <c r="V121" s="1538"/>
      <c r="W121" s="1362"/>
      <c r="Y121" s="1333"/>
      <c r="Z121" s="1333"/>
      <c r="AA121" s="1333"/>
      <c r="AB121" s="1333"/>
      <c r="AC121" s="1333" t="s">
        <v>274</v>
      </c>
      <c r="AD121" s="1333" t="s">
        <v>275</v>
      </c>
      <c r="AE121" s="1333" t="s">
        <v>276</v>
      </c>
      <c r="AF121" s="1333" t="s">
        <v>277</v>
      </c>
      <c r="AG121" s="1333"/>
      <c r="AH121" s="1333" t="str">
        <f>IF($E$121=0,"",$E$121)</f>
        <v>Тариф на водоотведение</v>
      </c>
      <c r="AI121" s="1333" t="str">
        <f>IF($G$121=0,"",$G$121)</f>
        <v/>
      </c>
      <c r="AJ121" s="1333" t="str">
        <f>IF($J$121=0,"",$J$121)</f>
        <v/>
      </c>
      <c r="AK121" s="1333" t="str">
        <f>IF($K$121="нет","без дифференциации",IF($N$121=0,"",$N$121))</f>
        <v/>
      </c>
      <c r="AL121" s="1333" t="str">
        <f>IF($O$121="нет","без дифференциации",IF($R$121=0,"",$R$121))</f>
        <v/>
      </c>
      <c r="AM121" s="1333" t="str">
        <f>IF($S$121="нет","без дифференциации",IF($V$121=0,"",$V$121))</f>
        <v/>
      </c>
      <c r="AN121" s="1333">
        <f>$I$121</f>
        <v>0</v>
      </c>
      <c r="AO121" s="1333" t="str">
        <f>$I$121&amp;"."&amp;$M$121</f>
        <v>.</v>
      </c>
      <c r="AP121" s="1333" t="str">
        <f>$I$121&amp;"."&amp;$M$121&amp;"."&amp;$Q$121</f>
        <v>..</v>
      </c>
      <c r="AQ121" s="1333" t="str">
        <f>$I$121&amp;"."&amp;$M$121&amp;"."&amp;$Q$121&amp;"."&amp;$U$121</f>
        <v>...</v>
      </c>
      <c r="AR121" s="1533">
        <v>0</v>
      </c>
    </row>
    <row s="5597" customFormat="1" customHeight="1" ht="17.25" hidden="1">
      <c r="A122" s="387"/>
      <c r="C122" s="386"/>
      <c r="D122" s="2201"/>
      <c r="E122" s="2209"/>
      <c r="F122" s="2212"/>
      <c r="G122" s="2209"/>
      <c r="H122" s="2215"/>
      <c r="I122" s="2217"/>
      <c r="J122" s="2219"/>
      <c r="K122" s="2204"/>
      <c r="L122" s="2204"/>
      <c r="M122" s="2204"/>
      <c r="N122" s="2206"/>
      <c r="O122" s="2204"/>
      <c r="P122" s="2204"/>
      <c r="Q122" s="2204"/>
      <c r="R122" s="2207"/>
      <c r="S122" s="2204"/>
      <c r="T122" s="1363"/>
      <c r="U122" s="1363"/>
      <c r="V122" s="1363"/>
      <c r="W122" s="1364"/>
      <c r="Y122" s="1325"/>
      <c r="Z122" s="1325"/>
      <c r="AA122" s="1325"/>
      <c r="AB122" s="1325"/>
      <c r="AC122" s="1325"/>
      <c r="AD122" s="1325"/>
      <c r="AE122" s="1325"/>
      <c r="AF122" s="1325"/>
      <c r="AG122" s="1325"/>
      <c r="AH122" s="1325"/>
      <c r="AI122" s="1325"/>
      <c r="AJ122" s="1325"/>
      <c r="AK122" s="1325"/>
      <c r="AL122" s="1325"/>
      <c r="AM122" s="1325"/>
      <c r="AN122" s="1325"/>
      <c r="AO122" s="1325"/>
      <c r="AP122" s="1325"/>
      <c r="AQ122" s="1325"/>
      <c r="AR122" s="1533">
        <v>0</v>
      </c>
    </row>
    <row s="5597" customFormat="1" customHeight="1" ht="17.25" hidden="1">
      <c r="A123" s="387"/>
      <c r="C123" s="275"/>
      <c r="D123" s="2201"/>
      <c r="E123" s="2209"/>
      <c r="F123" s="2212"/>
      <c r="G123" s="2209"/>
      <c r="H123" s="2215"/>
      <c r="I123" s="2217"/>
      <c r="J123" s="2220"/>
      <c r="K123" s="2204"/>
      <c r="L123" s="2204"/>
      <c r="M123" s="2204"/>
      <c r="N123" s="2207"/>
      <c r="O123" s="2204"/>
      <c r="P123" s="1537"/>
      <c r="Q123" s="1363"/>
      <c r="R123" s="1363"/>
      <c r="S123" s="395"/>
      <c r="T123" s="395"/>
      <c r="U123" s="395"/>
      <c r="V123" s="395"/>
      <c r="W123" s="1364"/>
      <c r="Y123" s="1333"/>
      <c r="Z123" s="1333"/>
      <c r="AA123" s="1333"/>
      <c r="AB123" s="1333"/>
      <c r="AC123" s="1333"/>
      <c r="AD123" s="1333"/>
      <c r="AE123" s="1333"/>
      <c r="AF123" s="1333"/>
      <c r="AG123" s="1333"/>
      <c r="AH123" s="1333"/>
      <c r="AI123" s="1333"/>
      <c r="AJ123" s="1333"/>
      <c r="AK123" s="1333"/>
      <c r="AL123" s="1333"/>
      <c r="AM123" s="1333"/>
      <c r="AN123" s="1333"/>
      <c r="AO123" s="1333"/>
      <c r="AP123" s="1333"/>
      <c r="AQ123" s="1333"/>
      <c r="AR123" s="1533">
        <v>0</v>
      </c>
    </row>
    <row s="5597" customFormat="1" customHeight="1" ht="17.25" hidden="1">
      <c r="A124" s="387"/>
      <c r="C124" s="386"/>
      <c r="D124" s="2201"/>
      <c r="E124" s="2209"/>
      <c r="F124" s="2212"/>
      <c r="G124" s="2209"/>
      <c r="H124" s="2215"/>
      <c r="I124" s="2217"/>
      <c r="J124" s="2220"/>
      <c r="K124" s="2204"/>
      <c r="L124" s="1363"/>
      <c r="M124" s="1363"/>
      <c r="N124" s="1363"/>
      <c r="O124" s="1363"/>
      <c r="P124" s="1363"/>
      <c r="Q124" s="1363"/>
      <c r="R124" s="1363"/>
      <c r="S124" s="395"/>
      <c r="T124" s="395"/>
      <c r="U124" s="395"/>
      <c r="V124" s="395"/>
      <c r="W124" s="1364"/>
      <c r="Y124" s="1325"/>
      <c r="Z124" s="1325"/>
      <c r="AA124" s="1325"/>
      <c r="AB124" s="1325"/>
      <c r="AC124" s="1325"/>
      <c r="AD124" s="1325"/>
      <c r="AE124" s="1325"/>
      <c r="AF124" s="1325"/>
      <c r="AG124" s="1325"/>
      <c r="AH124" s="1325"/>
      <c r="AI124" s="1325"/>
      <c r="AJ124" s="1325"/>
      <c r="AK124" s="1325"/>
      <c r="AL124" s="1325"/>
      <c r="AM124" s="1325"/>
      <c r="AN124" s="1325"/>
      <c r="AO124" s="1325"/>
      <c r="AP124" s="1325"/>
      <c r="AQ124" s="1325"/>
      <c r="AR124" s="1533">
        <v>0</v>
      </c>
    </row>
    <row s="5597" customFormat="1" customHeight="1" ht="17.25" hidden="1">
      <c r="A125" s="387"/>
      <c r="C125" s="386"/>
      <c r="D125" s="2202"/>
      <c r="E125" s="2210"/>
      <c r="F125" s="2213"/>
      <c r="G125" s="2210"/>
      <c r="H125" s="1365"/>
      <c r="I125" s="1366"/>
      <c r="J125" s="1366"/>
      <c r="K125" s="1366"/>
      <c r="L125" s="1366"/>
      <c r="M125" s="1366"/>
      <c r="N125" s="1366"/>
      <c r="O125" s="1366"/>
      <c r="P125" s="1366"/>
      <c r="Q125" s="1366"/>
      <c r="R125" s="1366"/>
      <c r="S125" s="1367"/>
      <c r="T125" s="1367"/>
      <c r="U125" s="1367"/>
      <c r="V125" s="1367"/>
      <c r="W125" s="1368"/>
      <c r="Y125" s="1325"/>
      <c r="Z125" s="1325"/>
      <c r="AA125" s="1325"/>
      <c r="AB125" s="1325"/>
      <c r="AC125" s="1325"/>
      <c r="AD125" s="1325"/>
      <c r="AE125" s="1325"/>
      <c r="AF125" s="1325"/>
      <c r="AG125" s="1325"/>
      <c r="AH125" s="1325"/>
      <c r="AI125" s="1325"/>
      <c r="AJ125" s="1325"/>
      <c r="AK125" s="1325"/>
      <c r="AL125" s="1325"/>
      <c r="AM125" s="1325"/>
      <c r="AN125" s="1325"/>
      <c r="AO125" s="1325"/>
      <c r="AP125" s="1325"/>
      <c r="AQ125" s="1325"/>
      <c r="AR125" s="1533">
        <v>0</v>
      </c>
    </row>
    <row s="5597" customFormat="1" customHeight="1" ht="17.25" hidden="1">
      <c r="A126" s="387"/>
      <c r="C126" s="275"/>
      <c r="D126" s="2201">
        <v>2</v>
      </c>
      <c r="E126" s="2209" t="s">
        <v>278</v>
      </c>
      <c r="F126" s="2211" t="s">
        <v>19</v>
      </c>
      <c r="G126" s="2209"/>
      <c r="H126" s="2214"/>
      <c r="I126" s="2216"/>
      <c r="J126" s="2218"/>
      <c r="K126" s="2203"/>
      <c r="L126" s="2203"/>
      <c r="M126" s="2203"/>
      <c r="N126" s="2205"/>
      <c r="O126" s="2203"/>
      <c r="P126" s="2203"/>
      <c r="Q126" s="2203"/>
      <c r="R126" s="2208"/>
      <c r="S126" s="2203"/>
      <c r="T126" s="1536"/>
      <c r="U126" s="1536"/>
      <c r="V126" s="1538"/>
      <c r="W126" s="1362"/>
      <c r="X126" s="1333"/>
      <c r="Y126" s="1333"/>
      <c r="Z126" s="1333"/>
      <c r="AA126" s="1333"/>
      <c r="AB126" s="1333"/>
      <c r="AC126" s="1333" t="s">
        <v>279</v>
      </c>
      <c r="AD126" s="1333" t="s">
        <v>280</v>
      </c>
      <c r="AE126" s="1333" t="s">
        <v>281</v>
      </c>
      <c r="AF126" s="1333" t="s">
        <v>282</v>
      </c>
      <c r="AG126" s="1333"/>
      <c r="AH126" s="1333" t="str">
        <f>IF($E$126=0,"",$E$126)</f>
        <v>Тариф на транспортировку сточных вод</v>
      </c>
      <c r="AI126" s="1333" t="str">
        <f>IF($G$126=0,"",$G$126)</f>
        <v/>
      </c>
      <c r="AJ126" s="1333" t="str">
        <f>IF($J$126=0,"",$J$126)</f>
        <v/>
      </c>
      <c r="AK126" s="1333" t="str">
        <f>IF($K$126="нет","без дифференциации",IF($N$126=0,"",$N$126))</f>
        <v/>
      </c>
      <c r="AL126" s="1333" t="str">
        <f>IF($O$126="нет","без дифференциации",IF($R$126=0,"",$R$126))</f>
        <v/>
      </c>
      <c r="AM126" s="1333" t="str">
        <f>IF($S$126="нет","без дифференциации",IF($V$126=0,"",$V$126))</f>
        <v/>
      </c>
      <c r="AN126" s="1838">
        <f>$I$126</f>
        <v>0</v>
      </c>
      <c r="AO126" s="1333" t="str">
        <f>$I$126&amp;"."&amp;$M$126</f>
        <v>.</v>
      </c>
      <c r="AP126" s="1325" t="str">
        <f>$I$126&amp;"."&amp;$M$126&amp;"."&amp;$Q$126</f>
        <v>..</v>
      </c>
      <c r="AQ126" s="1325" t="str">
        <f>$I$126&amp;"."&amp;$M$126&amp;"."&amp;$Q$126&amp;"."&amp;$U$126</f>
        <v>...</v>
      </c>
      <c r="AR126" s="1533">
        <v>0</v>
      </c>
    </row>
    <row s="5597" customFormat="1" customHeight="1" ht="17.25" hidden="1">
      <c r="A127" s="387"/>
      <c r="C127" s="386"/>
      <c r="D127" s="2201"/>
      <c r="E127" s="2209"/>
      <c r="F127" s="2212"/>
      <c r="G127" s="2209"/>
      <c r="H127" s="2215"/>
      <c r="I127" s="2217"/>
      <c r="J127" s="2219"/>
      <c r="K127" s="2204"/>
      <c r="L127" s="2204"/>
      <c r="M127" s="2204"/>
      <c r="N127" s="2206"/>
      <c r="O127" s="2204"/>
      <c r="P127" s="2204"/>
      <c r="Q127" s="2204"/>
      <c r="R127" s="2207"/>
      <c r="S127" s="2204"/>
      <c r="T127" s="1363"/>
      <c r="U127" s="1363"/>
      <c r="V127" s="1363"/>
      <c r="W127" s="1364"/>
      <c r="X127" s="1325"/>
      <c r="Y127" s="1325"/>
      <c r="Z127" s="1325"/>
      <c r="AA127" s="1325"/>
      <c r="AB127" s="1325"/>
      <c r="AC127" s="1325"/>
      <c r="AD127" s="1325"/>
      <c r="AE127" s="1325"/>
      <c r="AF127" s="1325"/>
      <c r="AG127" s="1325"/>
      <c r="AH127" s="1325"/>
      <c r="AI127" s="1325"/>
      <c r="AJ127" s="1325"/>
      <c r="AK127" s="1325"/>
      <c r="AL127" s="1325"/>
      <c r="AM127" s="1325"/>
      <c r="AN127" s="1325"/>
      <c r="AO127" s="1325"/>
      <c r="AP127" s="1325"/>
      <c r="AQ127" s="1325"/>
      <c r="AR127" s="1533">
        <v>0</v>
      </c>
    </row>
    <row s="5597" customFormat="1" customHeight="1" ht="17.25" hidden="1">
      <c r="A128" s="387"/>
      <c r="C128" s="386"/>
      <c r="D128" s="2202"/>
      <c r="E128" s="2210"/>
      <c r="F128" s="2212"/>
      <c r="G128" s="2210"/>
      <c r="H128" s="2215"/>
      <c r="I128" s="2217"/>
      <c r="J128" s="2220"/>
      <c r="K128" s="2204"/>
      <c r="L128" s="2204"/>
      <c r="M128" s="2204"/>
      <c r="N128" s="2207"/>
      <c r="O128" s="2204"/>
      <c r="P128" s="1537"/>
      <c r="Q128" s="1363"/>
      <c r="R128" s="1363"/>
      <c r="S128" s="395"/>
      <c r="T128" s="395"/>
      <c r="U128" s="395"/>
      <c r="V128" s="395"/>
      <c r="W128" s="1364"/>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533">
        <v>0</v>
      </c>
    </row>
    <row s="5597" customFormat="1" customHeight="1" ht="17.25" hidden="1">
      <c r="A129" s="387"/>
      <c r="C129" s="386"/>
      <c r="D129" s="2202"/>
      <c r="E129" s="2210"/>
      <c r="F129" s="2212"/>
      <c r="G129" s="2210"/>
      <c r="H129" s="2215"/>
      <c r="I129" s="2217"/>
      <c r="J129" s="2220"/>
      <c r="K129" s="2204"/>
      <c r="L129" s="1363"/>
      <c r="M129" s="1363"/>
      <c r="N129" s="1363"/>
      <c r="O129" s="1363"/>
      <c r="P129" s="1363"/>
      <c r="Q129" s="1363"/>
      <c r="R129" s="1363"/>
      <c r="S129" s="395"/>
      <c r="T129" s="395"/>
      <c r="U129" s="395"/>
      <c r="V129" s="395"/>
      <c r="W129" s="1364"/>
      <c r="X129" s="1325"/>
      <c r="Y129" s="1325"/>
      <c r="Z129" s="1325"/>
      <c r="AA129" s="1325"/>
      <c r="AB129" s="1325"/>
      <c r="AC129" s="1325"/>
      <c r="AD129" s="1325"/>
      <c r="AE129" s="1325"/>
      <c r="AF129" s="1325"/>
      <c r="AG129" s="1325"/>
      <c r="AH129" s="1325"/>
      <c r="AI129" s="1325"/>
      <c r="AJ129" s="1325"/>
      <c r="AK129" s="1325"/>
      <c r="AL129" s="1325"/>
      <c r="AM129" s="1325"/>
      <c r="AN129" s="1325"/>
      <c r="AO129" s="1325"/>
      <c r="AP129" s="1325"/>
      <c r="AQ129" s="1325"/>
      <c r="AR129" s="1533">
        <v>0</v>
      </c>
    </row>
    <row s="5597" customFormat="1" customHeight="1" ht="17.25" hidden="1">
      <c r="A130" s="387"/>
      <c r="C130" s="386"/>
      <c r="D130" s="2202"/>
      <c r="E130" s="2210"/>
      <c r="F130" s="2213"/>
      <c r="G130" s="2210"/>
      <c r="H130" s="1365"/>
      <c r="I130" s="1366"/>
      <c r="J130" s="1366"/>
      <c r="K130" s="1366"/>
      <c r="L130" s="1366"/>
      <c r="M130" s="1366"/>
      <c r="N130" s="1366"/>
      <c r="O130" s="1366"/>
      <c r="P130" s="1366"/>
      <c r="Q130" s="1366"/>
      <c r="R130" s="1366"/>
      <c r="S130" s="1367"/>
      <c r="T130" s="1367"/>
      <c r="U130" s="1367"/>
      <c r="V130" s="1367"/>
      <c r="W130" s="1368"/>
      <c r="X130" s="1325"/>
      <c r="Y130" s="1325"/>
      <c r="Z130" s="1325"/>
      <c r="AA130" s="1325"/>
      <c r="AB130" s="1325"/>
      <c r="AC130" s="1325"/>
      <c r="AD130" s="1325"/>
      <c r="AE130" s="1325"/>
      <c r="AF130" s="1325"/>
      <c r="AG130" s="1325"/>
      <c r="AH130" s="1325"/>
      <c r="AI130" s="1325"/>
      <c r="AJ130" s="1325"/>
      <c r="AK130" s="1325"/>
      <c r="AL130" s="1325"/>
      <c r="AM130" s="1325"/>
      <c r="AN130" s="1325"/>
      <c r="AO130" s="1325"/>
      <c r="AP130" s="1325"/>
      <c r="AQ130" s="1325"/>
      <c r="AR130" s="1533">
        <v>0</v>
      </c>
    </row>
    <row s="5597" customFormat="1" customHeight="1" ht="17.25" hidden="1">
      <c r="A131" s="387"/>
      <c r="C131" s="275"/>
      <c r="D131" s="2201">
        <v>3</v>
      </c>
      <c r="E131" s="2209" t="s">
        <v>283</v>
      </c>
      <c r="F131" s="2211" t="s">
        <v>19</v>
      </c>
      <c r="G131" s="2209"/>
      <c r="H131" s="2214"/>
      <c r="I131" s="2216"/>
      <c r="J131" s="2218"/>
      <c r="K131" s="2203"/>
      <c r="L131" s="2203"/>
      <c r="M131" s="2203"/>
      <c r="N131" s="2205"/>
      <c r="O131" s="2203"/>
      <c r="P131" s="2203"/>
      <c r="Q131" s="2203"/>
      <c r="R131" s="2208"/>
      <c r="S131" s="2203"/>
      <c r="T131" s="2009"/>
      <c r="U131" s="2009"/>
      <c r="V131" s="2011"/>
      <c r="W131" s="1362"/>
      <c r="X131" s="1333"/>
      <c r="Y131" s="1333"/>
      <c r="Z131" s="1333"/>
      <c r="AA131" s="1333"/>
      <c r="AB131" s="1333"/>
      <c r="AC131" s="1333" t="s">
        <v>284</v>
      </c>
      <c r="AD131" s="1333" t="s">
        <v>285</v>
      </c>
      <c r="AE131" s="1333" t="s">
        <v>286</v>
      </c>
      <c r="AF131" s="1333" t="s">
        <v>287</v>
      </c>
      <c r="AG131" s="1333"/>
      <c r="AH131" s="1333" t="str">
        <f>IF($E$131=0,"",$E$131)</f>
        <v>Тариф на подключение (технологическое присоединение) к централизованной системе водоотведения</v>
      </c>
      <c r="AI131" s="1333" t="str">
        <f>IF($G$131=0,"",$G$131)</f>
        <v/>
      </c>
      <c r="AJ131" s="1333" t="str">
        <f>IF($J$131=0,"",$J$131)</f>
        <v/>
      </c>
      <c r="AK131" s="1333" t="str">
        <f>IF($K$131="нет","без дифференциации",IF($N$131=0,"",$N$131))</f>
        <v/>
      </c>
      <c r="AL131" s="1333" t="str">
        <f>IF($O$131="нет","без дифференциации",IF($R$131=0,"",$R$131))</f>
        <v/>
      </c>
      <c r="AM131" s="1333" t="str">
        <f>IF($S$131="нет","без дифференциации",IF($V$131=0,"",$V$131))</f>
        <v/>
      </c>
      <c r="AN131" s="1838">
        <f>$I$131</f>
        <v>0</v>
      </c>
      <c r="AO131" s="1333" t="str">
        <f>$I$131&amp;"."&amp;$M$131</f>
        <v>.</v>
      </c>
      <c r="AP131" s="1332" t="str">
        <f>$I$131&amp;"."&amp;$M$131&amp;"."&amp;$Q$131</f>
        <v>..</v>
      </c>
      <c r="AQ131" s="1332" t="str">
        <f>$I$131&amp;"."&amp;$M$131&amp;"."&amp;$Q$131&amp;"."&amp;$U$131</f>
        <v>...</v>
      </c>
      <c r="AR131" s="1533">
        <v>0</v>
      </c>
    </row>
    <row s="5597" customFormat="1" customHeight="1" ht="17.25" hidden="1">
      <c r="A132" s="387"/>
      <c r="C132" s="386"/>
      <c r="D132" s="2201"/>
      <c r="E132" s="2209"/>
      <c r="F132" s="2212"/>
      <c r="G132" s="2209"/>
      <c r="H132" s="2215"/>
      <c r="I132" s="2217"/>
      <c r="J132" s="2219"/>
      <c r="K132" s="2204"/>
      <c r="L132" s="2204"/>
      <c r="M132" s="2204"/>
      <c r="N132" s="2206"/>
      <c r="O132" s="2204"/>
      <c r="P132" s="2204"/>
      <c r="Q132" s="2204"/>
      <c r="R132" s="2207"/>
      <c r="S132" s="2204"/>
      <c r="T132" s="2014"/>
      <c r="U132" s="2014"/>
      <c r="V132" s="2014"/>
      <c r="W132" s="2015"/>
      <c r="X132" s="1332"/>
      <c r="Y132" s="1332"/>
      <c r="Z132" s="1332"/>
      <c r="AA132" s="1332"/>
      <c r="AB132" s="1332"/>
      <c r="AC132" s="1332"/>
      <c r="AD132" s="1332"/>
      <c r="AE132" s="1332"/>
      <c r="AF132" s="1332"/>
      <c r="AG132" s="1332"/>
      <c r="AH132" s="1332"/>
      <c r="AI132" s="1332"/>
      <c r="AJ132" s="1332"/>
      <c r="AK132" s="1332"/>
      <c r="AL132" s="1332"/>
      <c r="AM132" s="1332"/>
      <c r="AN132" s="1332"/>
      <c r="AO132" s="1332"/>
      <c r="AP132" s="1332"/>
      <c r="AQ132" s="1332"/>
      <c r="AR132" s="1533">
        <v>0</v>
      </c>
    </row>
    <row s="5597" customFormat="1" customHeight="1" ht="17.25" hidden="1">
      <c r="A133" s="387"/>
      <c r="C133" s="386"/>
      <c r="D133" s="2202"/>
      <c r="E133" s="2210"/>
      <c r="F133" s="2212"/>
      <c r="G133" s="2210"/>
      <c r="H133" s="2215"/>
      <c r="I133" s="2217"/>
      <c r="J133" s="2220"/>
      <c r="K133" s="2204"/>
      <c r="L133" s="2204"/>
      <c r="M133" s="2204"/>
      <c r="N133" s="2207"/>
      <c r="O133" s="2204"/>
      <c r="P133" s="2010"/>
      <c r="Q133" s="2014"/>
      <c r="R133" s="2014"/>
      <c r="S133" s="395"/>
      <c r="T133" s="395"/>
      <c r="U133" s="395"/>
      <c r="V133" s="395"/>
      <c r="W133" s="2015"/>
      <c r="X133" s="1332"/>
      <c r="Y133" s="1332"/>
      <c r="Z133" s="1332"/>
      <c r="AA133" s="1332"/>
      <c r="AB133" s="1332"/>
      <c r="AC133" s="1332"/>
      <c r="AD133" s="1332"/>
      <c r="AE133" s="1332"/>
      <c r="AF133" s="1332"/>
      <c r="AG133" s="1332"/>
      <c r="AH133" s="1332"/>
      <c r="AI133" s="1332"/>
      <c r="AJ133" s="1332"/>
      <c r="AK133" s="1332"/>
      <c r="AL133" s="1332"/>
      <c r="AM133" s="1332"/>
      <c r="AN133" s="1332"/>
      <c r="AO133" s="1332"/>
      <c r="AP133" s="1332"/>
      <c r="AQ133" s="1332"/>
      <c r="AR133" s="1533">
        <v>0</v>
      </c>
    </row>
    <row s="5597" customFormat="1" customHeight="1" ht="17.25" hidden="1">
      <c r="A134" s="387"/>
      <c r="C134" s="386"/>
      <c r="D134" s="2202"/>
      <c r="E134" s="2210"/>
      <c r="F134" s="2212"/>
      <c r="G134" s="2210"/>
      <c r="H134" s="2215"/>
      <c r="I134" s="2217"/>
      <c r="J134" s="2220"/>
      <c r="K134" s="2204"/>
      <c r="L134" s="2014"/>
      <c r="M134" s="2014"/>
      <c r="N134" s="2014"/>
      <c r="O134" s="2014"/>
      <c r="P134" s="2014"/>
      <c r="Q134" s="2014"/>
      <c r="R134" s="2014"/>
      <c r="S134" s="395"/>
      <c r="T134" s="395"/>
      <c r="U134" s="395"/>
      <c r="V134" s="395"/>
      <c r="W134" s="2015"/>
      <c r="X134" s="1332"/>
      <c r="Y134" s="1332"/>
      <c r="Z134" s="1332"/>
      <c r="AA134" s="1332"/>
      <c r="AB134" s="1332"/>
      <c r="AC134" s="1332"/>
      <c r="AD134" s="1332"/>
      <c r="AE134" s="1332"/>
      <c r="AF134" s="1332"/>
      <c r="AG134" s="1332"/>
      <c r="AH134" s="1332"/>
      <c r="AI134" s="1332"/>
      <c r="AJ134" s="1332"/>
      <c r="AK134" s="1332"/>
      <c r="AL134" s="1332"/>
      <c r="AM134" s="1332"/>
      <c r="AN134" s="1332"/>
      <c r="AO134" s="1332"/>
      <c r="AP134" s="1332"/>
      <c r="AQ134" s="1332"/>
      <c r="AR134" s="1533">
        <v>0</v>
      </c>
    </row>
    <row s="5597" customFormat="1" customHeight="1" ht="17.25" hidden="1">
      <c r="A135" s="387"/>
      <c r="C135" s="386"/>
      <c r="D135" s="2202"/>
      <c r="E135" s="2210"/>
      <c r="F135" s="2213"/>
      <c r="G135" s="2210"/>
      <c r="H135" s="1365"/>
      <c r="I135" s="2012"/>
      <c r="J135" s="2012"/>
      <c r="K135" s="2012"/>
      <c r="L135" s="2012"/>
      <c r="M135" s="2012"/>
      <c r="N135" s="2012"/>
      <c r="O135" s="2012"/>
      <c r="P135" s="2012"/>
      <c r="Q135" s="2012"/>
      <c r="R135" s="2012"/>
      <c r="S135" s="1367"/>
      <c r="T135" s="1367"/>
      <c r="U135" s="1367"/>
      <c r="V135" s="1367"/>
      <c r="W135" s="2013"/>
      <c r="X135" s="1332"/>
      <c r="Y135" s="1332"/>
      <c r="Z135" s="1332"/>
      <c r="AA135" s="1332"/>
      <c r="AB135" s="1332"/>
      <c r="AC135" s="1332"/>
      <c r="AD135" s="1332"/>
      <c r="AE135" s="1332"/>
      <c r="AF135" s="1332"/>
      <c r="AG135" s="1332"/>
      <c r="AH135" s="1332"/>
      <c r="AI135" s="1332"/>
      <c r="AJ135" s="1332"/>
      <c r="AK135" s="1332"/>
      <c r="AL135" s="1332"/>
      <c r="AM135" s="1332"/>
      <c r="AN135" s="1332"/>
      <c r="AO135" s="1332"/>
      <c r="AP135" s="1332"/>
      <c r="AQ135" s="1332"/>
      <c r="AR135" s="1533">
        <v>0</v>
      </c>
    </row>
    <row customHeight="1" ht="11.549999999999999">
      <c r="AR136" s="170">
        <v>11</v>
      </c>
    </row>
    <row customHeight="1" ht="11.549999999999999">
      <c r="AR137" s="170">
        <v>11</v>
      </c>
    </row>
    <row customHeight="1" ht="11.549999999999999">
      <c r="AR138" s="170">
        <v>11</v>
      </c>
    </row>
    <row customHeight="1" ht="11.549999999999999">
      <c r="E139" s="1416"/>
      <c r="AR139" s="170">
        <v>11</v>
      </c>
    </row>
    <row customHeight="1" ht="11.549999999999999">
      <c r="E140" s="1416"/>
      <c r="AR140" s="170">
        <v>11</v>
      </c>
    </row>
    <row customHeight="1" ht="11.549999999999999">
      <c r="E141" s="1416"/>
      <c r="AR141" s="170">
        <v>11</v>
      </c>
    </row>
    <row customHeight="1" ht="11.549999999999999">
      <c r="E142" s="1416"/>
      <c r="AR142" s="170">
        <v>11</v>
      </c>
    </row>
    <row customHeight="1" ht="11.549999999999999">
      <c r="E143" s="1416"/>
      <c r="AR143" s="170">
        <v>11</v>
      </c>
    </row>
    <row customHeight="1" ht="11.549999999999999">
      <c r="E144" s="1416"/>
      <c r="AR144" s="170">
        <v>11</v>
      </c>
    </row>
    <row customHeight="1" ht="11.549999999999999">
      <c r="E145" s="1416"/>
      <c r="AR145" s="170">
        <v>11</v>
      </c>
    </row>
    <row customHeight="1" ht="11.25" hidden="1">
      <c r="A146" s="219" t="s">
        <v>87</v>
      </c>
      <c r="B146" s="219">
        <v>0</v>
      </c>
      <c r="C146" s="170">
        <v>3</v>
      </c>
      <c r="D146" s="170">
        <v>6</v>
      </c>
      <c r="E146" s="170">
        <v>42</v>
      </c>
      <c r="F146" s="1349">
        <v>14</v>
      </c>
      <c r="G146" s="170">
        <v>42</v>
      </c>
      <c r="H146" s="170">
        <v>3</v>
      </c>
      <c r="I146" s="170">
        <v>5</v>
      </c>
      <c r="J146" s="170">
        <v>47</v>
      </c>
      <c r="K146" s="170">
        <v>3</v>
      </c>
      <c r="L146" s="170">
        <v>3</v>
      </c>
      <c r="M146" s="170">
        <v>5</v>
      </c>
      <c r="N146" s="170">
        <v>28</v>
      </c>
      <c r="O146" s="170">
        <v>3</v>
      </c>
      <c r="P146" s="170">
        <v>3</v>
      </c>
      <c r="Q146" s="170">
        <v>5</v>
      </c>
      <c r="R146" s="170">
        <v>34</v>
      </c>
      <c r="S146" s="348">
        <v>0</v>
      </c>
      <c r="T146" s="348">
        <v>0</v>
      </c>
      <c r="U146" s="348">
        <v>0</v>
      </c>
      <c r="V146" s="348">
        <v>0</v>
      </c>
      <c r="W146" s="170">
        <v>30</v>
      </c>
      <c r="X146" s="170">
        <v>3</v>
      </c>
      <c r="Y146" s="1325">
        <v>0</v>
      </c>
      <c r="Z146" s="1325">
        <v>0</v>
      </c>
      <c r="AA146" s="1325">
        <v>0</v>
      </c>
      <c r="AB146" s="1325">
        <v>0</v>
      </c>
      <c r="AC146" s="1325">
        <v>0</v>
      </c>
      <c r="AD146" s="1325">
        <v>0</v>
      </c>
      <c r="AE146" s="1325">
        <v>0</v>
      </c>
      <c r="AF146" s="1325">
        <v>0</v>
      </c>
      <c r="AG146" s="1325">
        <v>0</v>
      </c>
      <c r="AH146" s="1325">
        <v>0</v>
      </c>
      <c r="AI146" s="1325">
        <v>0</v>
      </c>
      <c r="AJ146" s="1325">
        <v>0</v>
      </c>
      <c r="AK146" s="1325">
        <v>0</v>
      </c>
      <c r="AL146" s="1325">
        <v>0</v>
      </c>
      <c r="AM146" s="1325">
        <v>0</v>
      </c>
      <c r="AN146" s="1325">
        <v>0</v>
      </c>
      <c r="AO146" s="1325">
        <v>0</v>
      </c>
      <c r="AP146" s="1325">
        <v>0</v>
      </c>
      <c r="AQ146" s="1325">
        <v>0</v>
      </c>
      <c r="AR146" s="17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1DA0E-FD9B-8A06-CF5C-85AC8976D95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5297" width="9.140625" hidden="1" customWidth="1"/>
    <col min="2" max="2" style="5053" width="9.140625" hidden="1" customWidth="1"/>
    <col min="3" max="3" style="4965" width="4.00390625" customWidth="1"/>
    <col min="4" max="4" style="5053" width="6.00390625" customWidth="1"/>
    <col min="5" max="5" style="5053" width="47.00390625" customWidth="1"/>
    <col min="6" max="6" style="5053" width="9.00390625" customWidth="1"/>
    <col min="7" max="7" style="5053" width="25.7109375" hidden="1" customWidth="1"/>
    <col min="8" max="8" style="5053" width="34.00390625" hidden="1" customWidth="1"/>
    <col min="9" max="9" style="5053" width="25.7109375" customWidth="1"/>
    <col min="10" max="10" style="5053" width="33.00390625" customWidth="1"/>
    <col min="11" max="11" style="5002" width="50.00390625" customWidth="1"/>
    <col min="12" max="20" style="5053" width="10.00390625" customWidth="1"/>
    <col min="21" max="21" style="5087" width="10.00390625" customWidth="1"/>
    <col min="22" max="22" style="5053" width="10.57421875" hidden="1"/>
  </cols>
  <sheetData>
    <row s="5002" customFormat="1" customHeight="1" ht="22.5" hidden="1">
      <c r="C1" s="738"/>
      <c r="G1" s="483">
        <v>4</v>
      </c>
      <c r="I1" s="483">
        <v>4</v>
      </c>
      <c r="U1" s="486"/>
      <c r="V1" s="483" t="s">
        <v>14</v>
      </c>
    </row>
    <row s="5053" customFormat="1" customHeight="1" ht="15" hidden="1">
      <c r="A2" s="428"/>
      <c r="C2" s="242"/>
      <c r="D2" s="412"/>
      <c r="E2" s="739"/>
      <c r="F2" s="588"/>
      <c r="G2" s="682"/>
      <c r="H2" s="682"/>
      <c r="I2" s="682"/>
      <c r="J2" s="682"/>
      <c r="U2" s="740"/>
      <c r="V2" s="575">
        <v>0</v>
      </c>
    </row>
    <row s="5002" customFormat="1" customHeight="1" ht="15" hidden="1">
      <c r="C3" s="738"/>
      <c r="U3" s="486"/>
      <c r="V3" s="483">
        <v>0</v>
      </c>
    </row>
    <row customHeight="1" ht="15.75">
      <c r="C4" s="242"/>
      <c r="D4" s="575"/>
      <c r="E4" s="575"/>
      <c r="F4" s="575"/>
      <c r="G4" s="575"/>
      <c r="H4" s="575"/>
      <c r="I4" s="575"/>
      <c r="J4" s="575"/>
      <c r="V4" s="571">
        <v>15</v>
      </c>
    </row>
    <row customHeight="1" ht="66">
      <c r="C5" s="242"/>
      <c r="D5" s="2303" t="s">
        <v>1163</v>
      </c>
      <c r="E5" s="2303"/>
      <c r="F5" s="2303"/>
      <c r="G5" s="2303"/>
      <c r="H5" s="2303"/>
      <c r="I5" s="2303"/>
      <c r="J5" s="2303"/>
      <c r="V5" s="571">
        <v>63</v>
      </c>
    </row>
    <row customHeight="1" ht="15.75">
      <c r="C6" s="242"/>
      <c r="D6" s="2242" t="str">
        <f>IF(org=0,"Не определено",org)</f>
        <v>Филиал "Уренгойская ГРЭС" АО "Интер РАО - Электрогенерация"</v>
      </c>
      <c r="E6" s="2242"/>
      <c r="F6" s="2242"/>
      <c r="G6" s="2242"/>
      <c r="H6" s="2242"/>
      <c r="I6" s="2242"/>
      <c r="J6" s="2242"/>
      <c r="K6" s="603"/>
      <c r="V6" s="571">
        <v>15</v>
      </c>
    </row>
    <row customHeight="1" ht="15.75">
      <c r="C7" s="242"/>
      <c r="D7" s="818"/>
      <c r="E7" s="575"/>
      <c r="F7" s="575"/>
      <c r="G7" s="603">
        <v>22</v>
      </c>
      <c r="I7" s="603">
        <v>1</v>
      </c>
      <c r="J7" s="818"/>
      <c r="V7" s="571">
        <v>15</v>
      </c>
    </row>
    <row s="5053" customFormat="1" customHeight="1" ht="1.05">
      <c r="A8" s="825"/>
      <c r="C8" s="242"/>
      <c r="D8" s="575"/>
      <c r="E8" s="575"/>
      <c r="F8" s="575"/>
      <c r="G8" s="603"/>
      <c r="H8" s="818"/>
      <c r="I8" s="603" t="s">
        <v>122</v>
      </c>
      <c r="J8" s="818"/>
      <c r="K8" s="483"/>
      <c r="U8" s="741"/>
      <c r="V8" s="824">
        <v>1</v>
      </c>
    </row>
    <row customHeight="1" ht="15.75">
      <c r="C9" s="242"/>
      <c r="D9" s="777"/>
      <c r="E9" s="2433" t="s">
        <v>110</v>
      </c>
      <c r="F9" s="2434"/>
      <c r="G9" s="2461" t="str">
        <f>IF(G8="","",INDEX(DIFFERENTIATION_UNMERGE_VD,MATCH(G8,DIFFERENTIATION_ID_DIFF,0)))</f>
        <v/>
      </c>
      <c r="H9" s="2462"/>
      <c r="I9" s="2461">
        <f>IF(I8="","",INDEX(DIFFERENTIATION_UNMERGE_VD,MATCH(I8,DIFFERENTIATION_ID_DIFF,0)))</f>
        <v>0</v>
      </c>
      <c r="J9" s="2462"/>
      <c r="K9" s="2241" t="s">
        <v>310</v>
      </c>
      <c r="V9" s="571">
        <v>15</v>
      </c>
    </row>
    <row s="5053" customFormat="1" customHeight="1" ht="15.75">
      <c r="A10" s="825"/>
      <c r="C10" s="242"/>
      <c r="D10" s="777"/>
      <c r="E10" s="2433" t="s">
        <v>573</v>
      </c>
      <c r="F10" s="2434"/>
      <c r="G10" s="2461" t="str">
        <f>IF(G8="","",INDEX(DIFFERENTIATION_UNMERGE_AREA,MATCH(G8,DIFFERENTIATION_ID_DIFF,0)))</f>
        <v/>
      </c>
      <c r="H10" s="2462"/>
      <c r="I10" s="2461" t="str">
        <f>IF(I8="","",INDEX(DIFFERENTIATION_UNMERGE_AREA,MATCH(I8,DIFFERENTIATION_ID_DIFF,0)))</f>
        <v/>
      </c>
      <c r="J10" s="2462"/>
      <c r="K10" s="2265"/>
      <c r="U10" s="741"/>
      <c r="V10" s="824">
        <v>15</v>
      </c>
    </row>
    <row s="5053" customFormat="1" customHeight="1" ht="15.75">
      <c r="A11" s="825"/>
      <c r="C11" s="242"/>
      <c r="D11" s="777"/>
      <c r="E11" s="2433" t="s">
        <v>574</v>
      </c>
      <c r="F11" s="2434"/>
      <c r="G11" s="2461" t="str">
        <f>IF(G8="","",INDEX(DIFFERENTIATION_UNMERGE_SYSTEM,MATCH(G8,DIFFERENTIATION_ID_DIFF,0)))</f>
        <v/>
      </c>
      <c r="H11" s="2462"/>
      <c r="I11" s="2461" t="str">
        <f>IF(I8="","",INDEX(DIFFERENTIATION_UNMERGE_SYSTEM,MATCH(I8,DIFFERENTIATION_ID_DIFF,0)))</f>
        <v>без дифференциации</v>
      </c>
      <c r="J11" s="2462"/>
      <c r="K11" s="2265"/>
      <c r="U11" s="741"/>
      <c r="V11" s="824">
        <v>15</v>
      </c>
    </row>
    <row s="5053" customFormat="1" customHeight="1" ht="15.75">
      <c r="A12" s="825"/>
      <c r="C12" s="242"/>
      <c r="D12" s="2435" t="s">
        <v>309</v>
      </c>
      <c r="E12" s="2436"/>
      <c r="F12" s="2436"/>
      <c r="G12" s="953"/>
      <c r="H12" s="953"/>
      <c r="I12" s="953"/>
      <c r="J12" s="953"/>
      <c r="K12" s="2265"/>
      <c r="U12" s="741"/>
      <c r="V12" s="824">
        <v>15</v>
      </c>
    </row>
    <row customHeight="1" ht="35.699999999999996">
      <c r="C13" s="242"/>
      <c r="D13" s="871" t="s">
        <v>93</v>
      </c>
      <c r="E13" s="873" t="s">
        <v>311</v>
      </c>
      <c r="F13" s="873" t="s">
        <v>575</v>
      </c>
      <c r="G13" s="874" t="s">
        <v>312</v>
      </c>
      <c r="H13" s="873" t="s">
        <v>399</v>
      </c>
      <c r="I13" s="874" t="s">
        <v>312</v>
      </c>
      <c r="J13" s="873" t="s">
        <v>399</v>
      </c>
      <c r="K13" s="2298"/>
      <c r="V13" s="571">
        <v>34</v>
      </c>
    </row>
    <row customHeight="1" ht="15" hidden="1">
      <c r="C14" s="242"/>
      <c r="D14" s="659" t="s">
        <v>114</v>
      </c>
      <c r="E14" s="659" t="s">
        <v>115</v>
      </c>
      <c r="F14" s="659" t="s">
        <v>95</v>
      </c>
      <c r="G14" s="725" t="str">
        <f>G1&amp;".1"</f>
        <v>4.1</v>
      </c>
      <c r="H14" s="725"/>
      <c r="I14" s="725" t="str">
        <f>I1&amp;".1"</f>
        <v>4.1</v>
      </c>
      <c r="J14" s="725"/>
      <c r="K14" s="355"/>
      <c r="V14" s="571">
        <v>0</v>
      </c>
    </row>
    <row customHeight="1" ht="22.5" hidden="1">
      <c r="A15" s="571"/>
      <c r="C15" s="592"/>
      <c r="D15" s="587">
        <v>1</v>
      </c>
      <c r="E15" s="743" t="s">
        <v>817</v>
      </c>
      <c r="F15" s="587" t="s">
        <v>818</v>
      </c>
      <c r="G15" s="744"/>
      <c r="H15" s="744"/>
      <c r="I15" s="744"/>
      <c r="J15" s="744"/>
      <c r="K15" s="355" t="s">
        <v>819</v>
      </c>
      <c r="V15" s="571">
        <v>0</v>
      </c>
    </row>
    <row customHeight="1" ht="22.5" hidden="1">
      <c r="A16" s="571"/>
      <c r="C16" s="592"/>
      <c r="D16" s="587">
        <v>2</v>
      </c>
      <c r="E16" s="345" t="s">
        <v>820</v>
      </c>
      <c r="F16" s="587" t="s">
        <v>821</v>
      </c>
      <c r="G16" s="744"/>
      <c r="H16" s="744"/>
      <c r="I16" s="744"/>
      <c r="J16" s="744"/>
      <c r="K16" s="355" t="s">
        <v>822</v>
      </c>
      <c r="V16" s="571">
        <v>0</v>
      </c>
    </row>
    <row customHeight="1" ht="123.75" hidden="1">
      <c r="A17" s="571"/>
      <c r="C17" s="592"/>
      <c r="D17" s="587">
        <v>3</v>
      </c>
      <c r="E17" s="345" t="s">
        <v>1164</v>
      </c>
      <c r="F17" s="587" t="s">
        <v>315</v>
      </c>
      <c r="G17" s="744"/>
      <c r="H17" s="744"/>
      <c r="I17" s="744"/>
      <c r="J17" s="744"/>
      <c r="K17" s="355" t="s">
        <v>1165</v>
      </c>
      <c r="V17" s="571">
        <v>0</v>
      </c>
    </row>
    <row customHeight="1" ht="48.29999999999999">
      <c r="A18" s="571"/>
      <c r="C18" s="592"/>
      <c r="D18" s="587">
        <v>3</v>
      </c>
      <c r="E18" s="345" t="s">
        <v>823</v>
      </c>
      <c r="F18" s="587" t="s">
        <v>315</v>
      </c>
      <c r="G18" s="875" t="s">
        <v>315</v>
      </c>
      <c r="H18" s="876" t="s">
        <v>315</v>
      </c>
      <c r="I18" s="587" t="s">
        <v>315</v>
      </c>
      <c r="J18" s="644" t="s">
        <v>315</v>
      </c>
      <c r="K18" s="355" t="s">
        <v>1166</v>
      </c>
      <c r="V18" s="571">
        <v>46</v>
      </c>
    </row>
    <row customHeight="1" ht="35.699999999999996">
      <c r="A19" s="571"/>
      <c r="C19" s="592"/>
      <c r="D19" s="605" t="s">
        <v>333</v>
      </c>
      <c r="E19" s="625" t="s">
        <v>825</v>
      </c>
      <c r="F19" s="587" t="s">
        <v>826</v>
      </c>
      <c r="G19" s="883"/>
      <c r="H19" s="172"/>
      <c r="I19" s="883"/>
      <c r="J19" s="884"/>
      <c r="K19" s="745"/>
      <c r="V19" s="571">
        <v>34</v>
      </c>
    </row>
    <row customHeight="1" ht="35.699999999999996">
      <c r="A20" s="571"/>
      <c r="C20" s="592"/>
      <c r="D20" s="1956" t="s">
        <v>341</v>
      </c>
      <c r="E20" s="625" t="s">
        <v>827</v>
      </c>
      <c r="F20" s="587" t="s">
        <v>828</v>
      </c>
      <c r="G20" s="883"/>
      <c r="H20" s="172"/>
      <c r="I20" s="883"/>
      <c r="J20" s="172"/>
      <c r="K20" s="745"/>
      <c r="V20" s="571">
        <v>34</v>
      </c>
    </row>
    <row customHeight="1" ht="48.29999999999999">
      <c r="A21" s="571"/>
      <c r="C21" s="592"/>
      <c r="D21" s="1956" t="s">
        <v>343</v>
      </c>
      <c r="E21" s="625" t="s">
        <v>829</v>
      </c>
      <c r="F21" s="587" t="s">
        <v>580</v>
      </c>
      <c r="G21" s="746"/>
      <c r="H21" s="172"/>
      <c r="I21" s="746"/>
      <c r="J21" s="172"/>
      <c r="K21" s="745"/>
      <c r="V21" s="571">
        <v>46</v>
      </c>
    </row>
    <row customHeight="1" ht="67.5" hidden="1">
      <c r="A22" s="571"/>
      <c r="C22" s="592"/>
      <c r="D22" s="587">
        <v>5</v>
      </c>
      <c r="E22" s="345" t="s">
        <v>1167</v>
      </c>
      <c r="F22" s="587" t="s">
        <v>567</v>
      </c>
      <c r="G22" s="747"/>
      <c r="H22" s="748"/>
      <c r="I22" s="747"/>
      <c r="J22" s="748"/>
      <c r="K22" s="355" t="s">
        <v>1168</v>
      </c>
      <c r="V22" s="571">
        <v>0</v>
      </c>
    </row>
    <row customHeight="1" ht="33.75" hidden="1">
      <c r="C23" s="517"/>
      <c r="D23" s="587">
        <v>6</v>
      </c>
      <c r="E23" s="345" t="s">
        <v>1169</v>
      </c>
      <c r="F23" s="587" t="s">
        <v>1170</v>
      </c>
      <c r="G23" s="747"/>
      <c r="H23" s="747"/>
      <c r="I23" s="747"/>
      <c r="J23" s="747"/>
      <c r="K23" s="355" t="s">
        <v>1171</v>
      </c>
      <c r="V23" s="571">
        <v>0</v>
      </c>
    </row>
    <row customHeight="1" ht="15.75">
      <c r="V24" s="571">
        <v>15</v>
      </c>
    </row>
    <row customHeight="1" ht="15.75">
      <c r="V25" s="571">
        <v>15</v>
      </c>
    </row>
    <row customHeight="1" ht="15.75">
      <c r="V26" s="571">
        <v>15</v>
      </c>
    </row>
    <row customHeight="1" ht="15.75">
      <c r="V27" s="571">
        <v>15</v>
      </c>
    </row>
    <row customHeight="1" ht="15.75">
      <c r="V28" s="571">
        <v>15</v>
      </c>
    </row>
    <row customHeight="1" ht="15.75">
      <c r="J29" s="885"/>
      <c r="V29" s="571">
        <v>15</v>
      </c>
    </row>
    <row customHeight="1" ht="22.5" hidden="1">
      <c r="A30" s="515" t="s">
        <v>87</v>
      </c>
      <c r="B30" s="571">
        <v>0</v>
      </c>
      <c r="C30" s="749">
        <v>4</v>
      </c>
      <c r="D30" s="571">
        <v>6</v>
      </c>
      <c r="E30" s="571">
        <v>47</v>
      </c>
      <c r="F30" s="571">
        <v>9</v>
      </c>
      <c r="G30" s="824">
        <v>0</v>
      </c>
      <c r="H30" s="824">
        <v>0</v>
      </c>
      <c r="I30" s="571">
        <v>25</v>
      </c>
      <c r="J30" s="571">
        <v>33</v>
      </c>
      <c r="K30" s="483">
        <v>50</v>
      </c>
      <c r="L30" s="571">
        <v>10</v>
      </c>
      <c r="M30" s="571">
        <v>10</v>
      </c>
      <c r="N30" s="571">
        <v>10</v>
      </c>
      <c r="O30" s="571">
        <v>10</v>
      </c>
      <c r="P30" s="571">
        <v>10</v>
      </c>
      <c r="Q30" s="571">
        <v>10</v>
      </c>
      <c r="R30" s="571">
        <v>10</v>
      </c>
      <c r="S30" s="571">
        <v>10</v>
      </c>
      <c r="T30" s="571">
        <v>10</v>
      </c>
      <c r="U30" s="741">
        <v>10</v>
      </c>
      <c r="V30" s="57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777768-A52A-6E17-E834-92807CC598C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958" width="32.57421875" customWidth="1"/>
    <col min="2" max="2" style="5774" width="11.00390625" customWidth="1"/>
    <col min="3" max="3" style="5774" width="9.140625"/>
    <col min="4" max="4" style="5774" width="26.57421875" customWidth="1"/>
    <col min="5" max="5" style="5516" width="36.8515625" customWidth="1"/>
    <col min="6" max="6" style="5516" width="23.57421875" customWidth="1"/>
    <col min="7" max="7" style="5516" width="31.421875" customWidth="1"/>
    <col min="8" max="8" style="5516" width="40.8515625" customWidth="1"/>
    <col min="9" max="9" style="5516" width="14.57421875" customWidth="1"/>
    <col min="10" max="10" style="5516" width="26.8515625" customWidth="1"/>
    <col min="11" max="11" style="5516" width="50.00390625" customWidth="1"/>
    <col min="12" max="12" style="5516" width="52.421875" customWidth="1"/>
    <col min="13" max="13" style="5516" width="10.7109375" customWidth="1"/>
    <col min="14" max="14" style="5516" width="55.140625" customWidth="1"/>
    <col min="15" max="15" style="5516" width="31.8515625" customWidth="1"/>
    <col min="16" max="16" style="5516" width="23.8515625" customWidth="1"/>
    <col min="17" max="17" style="5516" width="46.57421875" customWidth="1"/>
    <col min="18" max="18" style="5516" width="24.00390625" customWidth="1"/>
    <col min="19" max="19" style="5516" width="20.57421875" customWidth="1"/>
    <col min="20" max="20" style="5516" width="22.00390625" customWidth="1"/>
    <col min="21" max="22" style="5516" width="26.421875" customWidth="1"/>
    <col min="23" max="23" style="5516" width="8.28125" hidden="1" customWidth="1"/>
    <col min="24" max="24" style="5516" width="59.7109375" customWidth="1"/>
    <col min="25" max="25" style="5516" width="49.140625" customWidth="1"/>
    <col min="26" max="26" style="5516" width="11.140625" customWidth="1"/>
    <col min="27" max="30" style="5516" width="29.00390625" customWidth="1"/>
    <col min="31" max="31" style="5516" width="9.140625"/>
    <col min="32" max="32" style="5516" width="34.7109375" customWidth="1"/>
    <col min="33" max="33" style="5516" width="9.140625"/>
    <col min="34" max="35" style="5516" width="34.421875" customWidth="1"/>
    <col min="36" max="36" style="5516" width="9.140625"/>
    <col min="37" max="37" style="5516" width="24.57421875" customWidth="1"/>
    <col min="38" max="38" style="5516" width="9.140625"/>
    <col min="39" max="39" style="5516" width="26.140625" customWidth="1"/>
    <col min="40" max="40" style="5516" width="1.7109375" customWidth="1"/>
    <col min="41" max="41" style="5516" width="9.140625"/>
    <col min="42" max="43" style="5516" width="47.8515625" customWidth="1"/>
    <col min="44" max="44" style="5516" width="1.7109375" customWidth="1"/>
    <col min="45" max="45" style="5516" width="21.421875" customWidth="1"/>
    <col min="46" max="46" style="5516" width="1.7109375" customWidth="1"/>
    <col min="47" max="47" style="5516" width="31.28125" customWidth="1"/>
    <col min="48" max="48" style="5516" width="1.7109375" customWidth="1"/>
    <col min="49" max="50" style="5516" width="9.140625"/>
    <col min="51" max="51" style="5516" width="3.7109375" customWidth="1"/>
    <col min="52" max="52" style="5516" width="60.8515625" customWidth="1"/>
    <col min="53" max="53" style="5516" width="49.28125" customWidth="1"/>
    <col min="54" max="54" style="5516" width="35.140625" customWidth="1"/>
    <col min="55" max="55" style="5516" width="9.140625"/>
    <col min="56" max="56" style="5516" width="1.7109375" customWidth="1"/>
    <col min="57" max="57" style="5195" width="12.57421875" customWidth="1"/>
    <col min="58" max="58" style="5195" width="14.28125" customWidth="1"/>
    <col min="59" max="59" style="5516" width="30.7109375" customWidth="1"/>
    <col min="60" max="60" style="5196" width="40.7109375" customWidth="1"/>
    <col min="61" max="61" style="5196" width="15.00390625" customWidth="1"/>
    <col min="62" max="62" style="5196" width="40.7109375" customWidth="1"/>
    <col min="63" max="63" style="5196" width="2.7109375" customWidth="1"/>
    <col min="64" max="64" style="5196" width="44.7109375" customWidth="1"/>
    <col min="65" max="65" style="5196" width="2.7109375" customWidth="1"/>
    <col min="66" max="66" style="5196" width="40.7109375" customWidth="1"/>
    <col min="67" max="68" style="5516" width="9.140625"/>
    <col min="69" max="69" style="5516" width="18.140625" customWidth="1"/>
    <col min="70" max="70" style="5516" width="57.8515625" customWidth="1"/>
    <col min="71" max="71" style="5516" width="1.7109375" customWidth="1"/>
    <col min="72" max="72" style="5516" width="22.57421875" customWidth="1"/>
    <col min="73" max="73" style="5516" width="57.8515625" customWidth="1"/>
    <col min="74" max="74" style="5516" width="1.7109375" customWidth="1"/>
    <col min="75" max="75" style="5516" width="22.57421875" customWidth="1"/>
    <col min="76" max="76" style="5516" width="57.8515625" customWidth="1"/>
    <col min="77" max="77" style="5516" width="1.7109375" customWidth="1"/>
    <col min="78" max="78" style="5516" width="22.57421875" customWidth="1"/>
    <col min="79" max="79" style="5516" width="57.8515625" customWidth="1"/>
    <col min="80" max="81" style="5516" width="9.140625"/>
    <col min="82" max="82" style="5516" width="49.57421875" customWidth="1"/>
  </cols>
  <sheetData>
    <row s="5099" customFormat="1" customHeight="1" ht="11.25">
      <c r="A1" s="1133" t="s">
        <v>1172</v>
      </c>
      <c r="B1" s="1133" t="s">
        <v>1173</v>
      </c>
      <c r="C1" s="1133" t="s">
        <v>1174</v>
      </c>
      <c r="D1" s="1133" t="s">
        <v>1175</v>
      </c>
      <c r="E1" s="1133" t="s">
        <v>1176</v>
      </c>
      <c r="F1" s="1133" t="s">
        <v>1177</v>
      </c>
      <c r="G1" s="1133" t="s">
        <v>1178</v>
      </c>
      <c r="H1" s="1133" t="s">
        <v>1179</v>
      </c>
      <c r="I1" s="1133" t="s">
        <v>1180</v>
      </c>
      <c r="J1" s="1133" t="s">
        <v>1181</v>
      </c>
      <c r="K1" s="1133" t="s">
        <v>1182</v>
      </c>
      <c r="L1" s="1133" t="s">
        <v>1183</v>
      </c>
      <c r="M1" s="1133"/>
      <c r="N1" s="1133" t="s">
        <v>1184</v>
      </c>
      <c r="O1" s="1133" t="s">
        <v>1185</v>
      </c>
      <c r="P1" s="1133" t="s">
        <v>1186</v>
      </c>
      <c r="Q1" s="1133" t="s">
        <v>1187</v>
      </c>
      <c r="R1" s="1133" t="s">
        <v>1188</v>
      </c>
      <c r="S1" s="1133" t="s">
        <v>1189</v>
      </c>
      <c r="T1" s="1133" t="s">
        <v>1190</v>
      </c>
      <c r="U1" s="1133" t="s">
        <v>1191</v>
      </c>
      <c r="V1" s="1133"/>
      <c r="W1" s="863" t="s">
        <v>1192</v>
      </c>
      <c r="X1" s="1133" t="s">
        <v>1193</v>
      </c>
      <c r="Y1" s="1133" t="s">
        <v>1194</v>
      </c>
      <c r="Z1" s="1133"/>
      <c r="AA1" s="1133" t="s">
        <v>1195</v>
      </c>
      <c r="AB1" s="1133"/>
      <c r="AC1" s="1133" t="s">
        <v>1196</v>
      </c>
      <c r="AD1" s="1133"/>
      <c r="AF1" s="1133" t="s">
        <v>1197</v>
      </c>
      <c r="AH1" s="1133" t="s">
        <v>1198</v>
      </c>
      <c r="AI1" s="1133" t="s">
        <v>1199</v>
      </c>
      <c r="AK1" s="1133" t="s">
        <v>1200</v>
      </c>
      <c r="AM1" s="1133" t="s">
        <v>1201</v>
      </c>
      <c r="AP1" s="1133" t="s">
        <v>1202</v>
      </c>
      <c r="AQ1" s="1133" t="s">
        <v>1203</v>
      </c>
      <c r="AS1" s="1133" t="s">
        <v>1204</v>
      </c>
      <c r="AU1" s="1133" t="s">
        <v>1205</v>
      </c>
      <c r="AW1" s="1133" t="s">
        <v>1206</v>
      </c>
      <c r="AX1" s="1133" t="s">
        <v>1207</v>
      </c>
      <c r="AZ1" s="1218" t="s">
        <v>1208</v>
      </c>
      <c r="BB1" s="1133" t="s">
        <v>1209</v>
      </c>
      <c r="BC1" s="1133"/>
      <c r="BE1" s="1133" t="s">
        <v>1210</v>
      </c>
      <c r="BF1" s="1133" t="s">
        <v>1211</v>
      </c>
      <c r="BH1" s="1135" t="s">
        <v>816</v>
      </c>
      <c r="BI1" s="1136"/>
      <c r="BJ1" s="1137" t="s">
        <v>1212</v>
      </c>
      <c r="BK1" s="1136"/>
      <c r="BL1" s="1138" t="s">
        <v>915</v>
      </c>
      <c r="BM1" s="1136"/>
      <c r="BN1" s="1139" t="s">
        <v>1213</v>
      </c>
      <c r="BS1" s="1493"/>
    </row>
    <row customHeight="1" ht="11.25">
      <c r="A2" s="1140" t="s">
        <v>1214</v>
      </c>
      <c r="B2" s="1141">
        <v>2000</v>
      </c>
      <c r="C2" s="1141">
        <v>2022</v>
      </c>
      <c r="D2" s="1141" t="s">
        <v>71</v>
      </c>
      <c r="E2" s="1142" t="s">
        <v>1215</v>
      </c>
      <c r="F2" s="1142" t="s">
        <v>1216</v>
      </c>
      <c r="G2" s="1142" t="s">
        <v>1217</v>
      </c>
      <c r="H2" s="1143" t="s">
        <v>60</v>
      </c>
      <c r="I2" s="1142" t="s">
        <v>114</v>
      </c>
      <c r="J2" s="1142" t="s">
        <v>1218</v>
      </c>
      <c r="K2" s="1144" t="s">
        <v>1219</v>
      </c>
      <c r="L2" s="1145"/>
      <c r="M2" s="1144">
        <v>1</v>
      </c>
      <c r="N2" s="1228" t="s">
        <v>1220</v>
      </c>
      <c r="O2" s="1143" t="s">
        <v>458</v>
      </c>
      <c r="P2" s="1146" t="s">
        <v>1221</v>
      </c>
      <c r="Q2" s="1147" t="s">
        <v>456</v>
      </c>
      <c r="R2" s="209" t="s">
        <v>1222</v>
      </c>
      <c r="S2" s="209" t="s">
        <v>1223</v>
      </c>
      <c r="T2" s="1148" t="s">
        <v>1224</v>
      </c>
      <c r="U2" s="1145" t="s">
        <v>1225</v>
      </c>
      <c r="V2" s="1149">
        <v>1</v>
      </c>
      <c r="W2" s="1150"/>
      <c r="X2" s="1150" t="s">
        <v>1226</v>
      </c>
      <c r="Y2" s="1141" t="s">
        <v>1227</v>
      </c>
      <c r="Z2" s="1151"/>
      <c r="AA2" s="1141" t="s">
        <v>1228</v>
      </c>
      <c r="AB2" s="1152" t="s">
        <v>1228</v>
      </c>
      <c r="AC2" s="1141" t="s">
        <v>1229</v>
      </c>
      <c r="AD2" s="1152" t="s">
        <v>1229</v>
      </c>
      <c r="AF2" s="1143" t="s">
        <v>1225</v>
      </c>
      <c r="AH2" s="1142" t="s">
        <v>1230</v>
      </c>
      <c r="AI2" s="1142" t="s">
        <v>1230</v>
      </c>
      <c r="AK2" s="1142" t="s">
        <v>1231</v>
      </c>
      <c r="AM2" s="1142" t="s">
        <v>1232</v>
      </c>
      <c r="AP2" s="1153" t="s">
        <v>1226</v>
      </c>
      <c r="AQ2" s="1154" t="s">
        <v>1226</v>
      </c>
      <c r="AS2" s="1141" t="s">
        <v>1233</v>
      </c>
      <c r="AU2" s="1186" t="s">
        <v>1234</v>
      </c>
      <c r="AW2" s="1186" t="s">
        <v>1235</v>
      </c>
      <c r="AX2" s="1186" t="s">
        <v>1235</v>
      </c>
      <c r="AZ2" s="1186" t="s">
        <v>58</v>
      </c>
      <c r="BB2" s="1186" t="s">
        <v>1236</v>
      </c>
      <c r="BC2" s="1186" t="s">
        <v>1237</v>
      </c>
      <c r="BE2" s="1186">
        <v>2000</v>
      </c>
      <c r="BF2" s="1186" t="s">
        <v>1238</v>
      </c>
    </row>
    <row customHeight="1" ht="11.25">
      <c r="A3" s="1140" t="s">
        <v>1239</v>
      </c>
      <c r="B3" s="1141">
        <v>2001</v>
      </c>
      <c r="C3" s="1141">
        <v>2023</v>
      </c>
      <c r="D3" s="1141" t="s">
        <v>19</v>
      </c>
      <c r="E3" s="1142" t="s">
        <v>1240</v>
      </c>
      <c r="F3" s="1142" t="s">
        <v>1241</v>
      </c>
      <c r="G3" s="1142" t="s">
        <v>1242</v>
      </c>
      <c r="H3" s="1143" t="s">
        <v>1243</v>
      </c>
      <c r="I3" s="1142" t="s">
        <v>115</v>
      </c>
      <c r="J3" s="1142" t="s">
        <v>565</v>
      </c>
      <c r="K3" s="1144" t="s">
        <v>1244</v>
      </c>
      <c r="L3" s="1145">
        <f>_xlfn.IFERROR(MATCH(K3,OFFER_METHOD,0),0)</f>
        <v>0</v>
      </c>
      <c r="M3" s="1144">
        <v>2</v>
      </c>
      <c r="N3" s="1228" t="s">
        <v>1245</v>
      </c>
      <c r="O3" s="1143" t="s">
        <v>1246</v>
      </c>
      <c r="P3" s="1146" t="s">
        <v>37</v>
      </c>
      <c r="Q3" s="1147" t="s">
        <v>1247</v>
      </c>
      <c r="R3" s="209" t="s">
        <v>1248</v>
      </c>
      <c r="S3" s="209" t="s">
        <v>1249</v>
      </c>
      <c r="T3" s="1148" t="s">
        <v>1250</v>
      </c>
      <c r="U3" s="1145" t="s">
        <v>1251</v>
      </c>
      <c r="V3" s="1149">
        <v>2</v>
      </c>
      <c r="W3" s="1150"/>
      <c r="X3" s="1150" t="s">
        <v>1252</v>
      </c>
      <c r="Y3" s="1141" t="s">
        <v>1227</v>
      </c>
      <c r="Z3" s="1151"/>
      <c r="AA3" s="1141" t="s">
        <v>1253</v>
      </c>
      <c r="AB3" s="1152" t="s">
        <v>1253</v>
      </c>
      <c r="AC3" s="1141" t="s">
        <v>1254</v>
      </c>
      <c r="AD3" s="1152" t="s">
        <v>1254</v>
      </c>
      <c r="AF3" s="1143" t="s">
        <v>1251</v>
      </c>
      <c r="AH3" s="1142" t="s">
        <v>1255</v>
      </c>
      <c r="AI3" s="1142" t="s">
        <v>1256</v>
      </c>
      <c r="AK3" s="1142" t="s">
        <v>1257</v>
      </c>
      <c r="AM3" s="1142" t="s">
        <v>1258</v>
      </c>
      <c r="AP3" s="1153" t="s">
        <v>1259</v>
      </c>
      <c r="AQ3" s="1154" t="s">
        <v>1259</v>
      </c>
      <c r="AS3" s="1141" t="s">
        <v>1260</v>
      </c>
      <c r="AU3" s="1186" t="s">
        <v>1261</v>
      </c>
      <c r="AW3" s="1186" t="s">
        <v>1262</v>
      </c>
      <c r="AX3" s="1186" t="s">
        <v>1262</v>
      </c>
      <c r="AZ3" s="1186" t="s">
        <v>1263</v>
      </c>
      <c r="BB3" s="1186" t="s">
        <v>1264</v>
      </c>
      <c r="BC3" s="1186" t="s">
        <v>1237</v>
      </c>
      <c r="BE3" s="1186">
        <v>2001</v>
      </c>
      <c r="BF3" s="1186" t="s">
        <v>1265</v>
      </c>
      <c r="BH3" s="1133" t="s">
        <v>1266</v>
      </c>
      <c r="BJ3" s="1133" t="s">
        <v>1267</v>
      </c>
      <c r="BL3" s="1133" t="s">
        <v>1268</v>
      </c>
      <c r="BN3" s="1133" t="s">
        <v>1269</v>
      </c>
      <c r="BR3" s="1133" t="s">
        <v>1270</v>
      </c>
      <c r="BS3" s="1494"/>
      <c r="BT3" s="1136"/>
      <c r="BU3" s="1133" t="s">
        <v>1271</v>
      </c>
      <c r="BV3" s="1136"/>
      <c r="BW3" s="1756"/>
      <c r="BX3" s="1758" t="s">
        <v>1272</v>
      </c>
      <c r="CA3" s="1133" t="s">
        <v>1273</v>
      </c>
    </row>
    <row customHeight="1" ht="11.25">
      <c r="A4" s="1140" t="s">
        <v>1274</v>
      </c>
      <c r="B4" s="1141">
        <v>2002</v>
      </c>
      <c r="C4" s="1141">
        <v>2024</v>
      </c>
      <c r="E4" s="1142" t="s">
        <v>1275</v>
      </c>
      <c r="F4" s="1142" t="s">
        <v>1276</v>
      </c>
      <c r="H4" s="1143" t="s">
        <v>1277</v>
      </c>
      <c r="I4" s="1142" t="s">
        <v>95</v>
      </c>
      <c r="J4" s="1142" t="s">
        <v>1278</v>
      </c>
      <c r="K4" s="1144" t="s">
        <v>1279</v>
      </c>
      <c r="L4" s="1145">
        <f>_xlfn.IFERROR(MATCH(K4,OFFER_METHOD,0),0)</f>
        <v>0</v>
      </c>
      <c r="M4" s="1144">
        <v>3</v>
      </c>
      <c r="N4" s="1228" t="s">
        <v>1280</v>
      </c>
      <c r="O4" s="1142" t="s">
        <v>1281</v>
      </c>
      <c r="Q4" s="1147" t="s">
        <v>1282</v>
      </c>
      <c r="R4" s="209" t="s">
        <v>1283</v>
      </c>
      <c r="S4" s="209" t="s">
        <v>1284</v>
      </c>
      <c r="T4" s="1148" t="s">
        <v>1285</v>
      </c>
      <c r="U4" s="1145" t="s">
        <v>1286</v>
      </c>
      <c r="V4" s="1149">
        <v>3</v>
      </c>
      <c r="W4" s="1150"/>
      <c r="X4" s="1150" t="s">
        <v>1287</v>
      </c>
      <c r="Y4" s="1141" t="s">
        <v>1227</v>
      </c>
      <c r="Z4" s="1157"/>
      <c r="AC4" s="1141" t="s">
        <v>1288</v>
      </c>
      <c r="AD4" s="1152" t="s">
        <v>1288</v>
      </c>
      <c r="AF4" s="1143" t="s">
        <v>1286</v>
      </c>
      <c r="AH4" s="1143" t="s">
        <v>1289</v>
      </c>
      <c r="AK4" s="1142" t="s">
        <v>1290</v>
      </c>
      <c r="AM4" s="1142" t="s">
        <v>1291</v>
      </c>
      <c r="AP4" s="1153" t="s">
        <v>1252</v>
      </c>
      <c r="AQ4" s="1154" t="s">
        <v>1252</v>
      </c>
      <c r="AS4" s="1141" t="s">
        <v>1292</v>
      </c>
      <c r="AU4" s="1186" t="s">
        <v>1293</v>
      </c>
      <c r="AW4" s="1186" t="s">
        <v>1294</v>
      </c>
      <c r="AX4" s="1186" t="s">
        <v>1294</v>
      </c>
      <c r="AZ4" s="1186" t="s">
        <v>1295</v>
      </c>
      <c r="BB4" s="1186" t="s">
        <v>1296</v>
      </c>
      <c r="BC4" s="1186" t="s">
        <v>1297</v>
      </c>
      <c r="BE4" s="1186">
        <v>2002</v>
      </c>
      <c r="BF4" s="1186" t="s">
        <v>1298</v>
      </c>
      <c r="BH4" s="1134" t="s">
        <v>1299</v>
      </c>
      <c r="BJ4" s="1134" t="s">
        <v>1299</v>
      </c>
      <c r="BL4" s="1134" t="s">
        <v>1299</v>
      </c>
      <c r="BN4" s="1134" t="s">
        <v>1299</v>
      </c>
      <c r="BQ4" s="1498" t="s">
        <v>1300</v>
      </c>
      <c r="BR4" s="1225" t="s">
        <v>1301</v>
      </c>
      <c r="BS4" s="340"/>
      <c r="BT4" s="1498" t="s">
        <v>1302</v>
      </c>
      <c r="BU4" s="1225" t="s">
        <v>1303</v>
      </c>
      <c r="BV4" s="1136"/>
      <c r="BW4" s="1763" t="s">
        <v>1304</v>
      </c>
      <c r="BX4" s="1757" t="s">
        <v>1305</v>
      </c>
      <c r="BZ4" s="1498" t="s">
        <v>1306</v>
      </c>
      <c r="CA4" s="1225" t="s">
        <v>1307</v>
      </c>
    </row>
    <row customHeight="1" ht="11.25">
      <c r="A5" s="1140" t="s">
        <v>1308</v>
      </c>
      <c r="B5" s="1141">
        <v>2003</v>
      </c>
      <c r="C5" s="1141">
        <v>2025</v>
      </c>
      <c r="E5" s="1142" t="s">
        <v>1309</v>
      </c>
      <c r="F5" s="1142" t="s">
        <v>1310</v>
      </c>
      <c r="H5" s="1143" t="s">
        <v>1311</v>
      </c>
      <c r="I5" s="1142" t="s">
        <v>96</v>
      </c>
      <c r="K5" s="1144" t="s">
        <v>1312</v>
      </c>
      <c r="L5" s="1145">
        <f>_xlfn.IFERROR(MATCH(K5,OFFER_METHOD,0),0)</f>
        <v>0</v>
      </c>
      <c r="M5" s="1144">
        <v>4</v>
      </c>
      <c r="N5" s="1158" t="s">
        <v>1313</v>
      </c>
      <c r="O5" s="1142" t="s">
        <v>1314</v>
      </c>
      <c r="Q5" s="1147" t="s">
        <v>1315</v>
      </c>
      <c r="R5" s="209" t="s">
        <v>457</v>
      </c>
      <c r="T5" s="1143" t="s">
        <v>1316</v>
      </c>
      <c r="U5" s="1145" t="s">
        <v>1317</v>
      </c>
      <c r="V5" s="1149">
        <v>4</v>
      </c>
      <c r="W5" s="1150"/>
      <c r="X5" s="1150" t="s">
        <v>177</v>
      </c>
      <c r="Y5" s="1141" t="s">
        <v>1318</v>
      </c>
      <c r="Z5" s="1157">
        <v>1</v>
      </c>
      <c r="AF5" s="1143" t="s">
        <v>1319</v>
      </c>
      <c r="AH5" s="1142" t="s">
        <v>1320</v>
      </c>
      <c r="AK5" s="1142" t="s">
        <v>1321</v>
      </c>
      <c r="AM5" s="1142" t="s">
        <v>1322</v>
      </c>
      <c r="AP5" s="1153" t="s">
        <v>177</v>
      </c>
      <c r="AQ5" s="1154" t="s">
        <v>177</v>
      </c>
      <c r="AU5" s="1186" t="s">
        <v>1323</v>
      </c>
      <c r="AW5" s="1186" t="s">
        <v>1324</v>
      </c>
      <c r="AX5" s="1186" t="s">
        <v>1324</v>
      </c>
      <c r="AZ5" s="1186" t="s">
        <v>1325</v>
      </c>
      <c r="BB5" s="1186" t="s">
        <v>1326</v>
      </c>
      <c r="BC5" s="1186" t="s">
        <v>1327</v>
      </c>
      <c r="BE5" s="1186">
        <v>2003</v>
      </c>
      <c r="BF5" s="1186" t="s">
        <v>1328</v>
      </c>
      <c r="BH5" s="1134" t="s">
        <v>1329</v>
      </c>
      <c r="BJ5" s="1134" t="s">
        <v>1329</v>
      </c>
      <c r="BL5" s="1134" t="s">
        <v>1329</v>
      </c>
      <c r="BN5" s="1134" t="s">
        <v>1330</v>
      </c>
      <c r="BQ5" s="1347">
        <v>4213775</v>
      </c>
      <c r="BR5" s="1134" t="s">
        <v>1226</v>
      </c>
      <c r="BS5" s="1495"/>
      <c r="BT5" s="1347">
        <v>64236871</v>
      </c>
      <c r="BU5" s="1134" t="s">
        <v>238</v>
      </c>
      <c r="BV5" s="1136"/>
      <c r="BW5" s="1761">
        <v>4213767</v>
      </c>
      <c r="BX5" s="1759" t="s">
        <v>1331</v>
      </c>
      <c r="BZ5" s="1347">
        <v>64237509</v>
      </c>
      <c r="CA5" s="1361" t="s">
        <v>1332</v>
      </c>
    </row>
    <row customHeight="1" ht="11.25">
      <c r="A6" s="1140" t="s">
        <v>1333</v>
      </c>
      <c r="B6" s="1141">
        <v>2004</v>
      </c>
      <c r="C6" s="1141">
        <v>2026</v>
      </c>
      <c r="E6" s="1142" t="s">
        <v>1334</v>
      </c>
      <c r="F6" s="1159"/>
      <c r="H6" s="1143" t="s">
        <v>1335</v>
      </c>
      <c r="I6" s="1142" t="s">
        <v>116</v>
      </c>
      <c r="J6" s="1133" t="s">
        <v>1336</v>
      </c>
      <c r="L6" s="1145">
        <f>SUM(kind_of_control_method_filter)</f>
        <v>0</v>
      </c>
      <c r="N6" s="1158" t="s">
        <v>1337</v>
      </c>
      <c r="O6" s="1142" t="s">
        <v>1338</v>
      </c>
      <c r="R6" s="209" t="s">
        <v>456</v>
      </c>
      <c r="T6" s="1143" t="s">
        <v>1339</v>
      </c>
      <c r="U6" s="1145" t="s">
        <v>1319</v>
      </c>
      <c r="V6" s="1149">
        <v>5</v>
      </c>
      <c r="W6" s="1150"/>
      <c r="X6" s="1141" t="s">
        <v>183</v>
      </c>
      <c r="Y6" s="1141" t="s">
        <v>1340</v>
      </c>
      <c r="Z6" s="1157"/>
      <c r="AA6" s="1160"/>
      <c r="AH6" s="1142" t="s">
        <v>1341</v>
      </c>
      <c r="AK6" s="1142" t="s">
        <v>1342</v>
      </c>
      <c r="AM6" s="1142" t="s">
        <v>1343</v>
      </c>
      <c r="AP6" s="1153" t="s">
        <v>183</v>
      </c>
      <c r="AQ6" s="1154" t="s">
        <v>183</v>
      </c>
      <c r="AU6" s="1186" t="s">
        <v>1344</v>
      </c>
      <c r="AW6" s="1186" t="s">
        <v>1345</v>
      </c>
      <c r="AX6" s="1186" t="s">
        <v>1345</v>
      </c>
      <c r="BB6" s="1186" t="s">
        <v>1346</v>
      </c>
      <c r="BC6" s="1186" t="s">
        <v>1327</v>
      </c>
      <c r="BE6" s="1186">
        <v>2004</v>
      </c>
      <c r="BF6" s="1186" t="s">
        <v>1347</v>
      </c>
      <c r="BH6" s="1134" t="s">
        <v>1348</v>
      </c>
      <c r="BJ6" s="1134" t="s">
        <v>1349</v>
      </c>
      <c r="BL6" s="1134" t="s">
        <v>1349</v>
      </c>
      <c r="BN6" s="1134" t="s">
        <v>1350</v>
      </c>
      <c r="BQ6" s="1347">
        <v>4213784</v>
      </c>
      <c r="BR6" s="1361" t="s">
        <v>1259</v>
      </c>
      <c r="BS6" s="1496"/>
      <c r="BT6" s="1347">
        <v>64236872</v>
      </c>
      <c r="BU6" s="1134" t="s">
        <v>243</v>
      </c>
      <c r="BV6" s="1136"/>
      <c r="BW6" s="1761">
        <v>4213768</v>
      </c>
      <c r="BX6" s="1759" t="s">
        <v>263</v>
      </c>
      <c r="BZ6" s="1347">
        <v>64237510</v>
      </c>
      <c r="CA6" s="1134" t="s">
        <v>1351</v>
      </c>
    </row>
    <row customHeight="1" ht="11.25">
      <c r="A7" s="1140" t="s">
        <v>1352</v>
      </c>
      <c r="B7" s="1141">
        <v>2005</v>
      </c>
      <c r="E7" s="1142" t="s">
        <v>1353</v>
      </c>
      <c r="F7" s="1159"/>
      <c r="H7" s="1143" t="s">
        <v>1354</v>
      </c>
      <c r="I7" s="1142" t="s">
        <v>97</v>
      </c>
      <c r="J7" s="1142" t="s">
        <v>1355</v>
      </c>
      <c r="N7" s="1162" t="s">
        <v>1356</v>
      </c>
      <c r="O7" s="1142" t="s">
        <v>1357</v>
      </c>
      <c r="U7" s="1145" t="s">
        <v>19</v>
      </c>
      <c r="V7" s="436" t="s">
        <v>97</v>
      </c>
      <c r="W7" s="1150"/>
      <c r="X7" s="1141" t="s">
        <v>189</v>
      </c>
      <c r="Y7" s="1141" t="s">
        <v>1318</v>
      </c>
      <c r="Z7" s="1157"/>
      <c r="AA7" s="1160"/>
      <c r="AH7" s="1142" t="s">
        <v>1358</v>
      </c>
      <c r="AK7" s="1142" t="s">
        <v>1359</v>
      </c>
      <c r="AM7" s="1142" t="s">
        <v>1360</v>
      </c>
      <c r="AP7" s="1153" t="s">
        <v>189</v>
      </c>
      <c r="AQ7" s="1154" t="s">
        <v>189</v>
      </c>
      <c r="AU7" s="1186" t="s">
        <v>1361</v>
      </c>
      <c r="AW7" s="1186" t="s">
        <v>1362</v>
      </c>
      <c r="AX7" s="1186" t="s">
        <v>1362</v>
      </c>
      <c r="AZ7" s="1133" t="s">
        <v>1363</v>
      </c>
      <c r="BB7" s="1186" t="s">
        <v>1364</v>
      </c>
      <c r="BC7" s="1186" t="s">
        <v>1327</v>
      </c>
      <c r="BE7" s="1186">
        <v>2005</v>
      </c>
      <c r="BF7" s="1186" t="s">
        <v>1365</v>
      </c>
      <c r="BH7" s="1134" t="s">
        <v>1366</v>
      </c>
      <c r="BJ7" s="1134" t="s">
        <v>1348</v>
      </c>
      <c r="BL7" s="1134" t="s">
        <v>1348</v>
      </c>
      <c r="BN7" s="1134" t="s">
        <v>1367</v>
      </c>
      <c r="BQ7" s="1347">
        <v>4213781</v>
      </c>
      <c r="BR7" s="1134" t="s">
        <v>1252</v>
      </c>
      <c r="BS7" s="1495"/>
      <c r="BT7" s="1347">
        <v>64236873</v>
      </c>
      <c r="BU7" s="1134" t="s">
        <v>248</v>
      </c>
      <c r="BV7" s="1136"/>
      <c r="BW7" s="1761">
        <v>4213769</v>
      </c>
      <c r="BX7" s="1759" t="s">
        <v>1368</v>
      </c>
      <c r="BZ7" s="1347">
        <v>64237511</v>
      </c>
      <c r="CA7" s="1134" t="s">
        <v>278</v>
      </c>
    </row>
    <row customHeight="1" ht="11.25">
      <c r="A8" s="1140" t="s">
        <v>1369</v>
      </c>
      <c r="B8" s="1141">
        <v>2006</v>
      </c>
      <c r="E8" s="1142" t="s">
        <v>1370</v>
      </c>
      <c r="F8" s="1159"/>
      <c r="H8" s="1143" t="s">
        <v>1371</v>
      </c>
      <c r="I8" s="1142" t="s">
        <v>98</v>
      </c>
      <c r="J8" s="1142" t="s">
        <v>1372</v>
      </c>
      <c r="N8" s="1229" t="s">
        <v>1373</v>
      </c>
      <c r="O8" s="1142" t="s">
        <v>1374</v>
      </c>
      <c r="V8" s="436" t="s">
        <v>98</v>
      </c>
      <c r="W8" s="1150"/>
      <c r="X8" s="1141" t="s">
        <v>195</v>
      </c>
      <c r="Y8" s="1141" t="s">
        <v>1318</v>
      </c>
      <c r="Z8" s="1157"/>
      <c r="AA8" s="1160"/>
      <c r="AK8" s="1142" t="s">
        <v>1375</v>
      </c>
      <c r="AP8" s="1153" t="s">
        <v>195</v>
      </c>
      <c r="AQ8" s="1154" t="s">
        <v>195</v>
      </c>
      <c r="AU8" s="1186" t="s">
        <v>1376</v>
      </c>
      <c r="AW8" s="1186" t="s">
        <v>1377</v>
      </c>
      <c r="AX8" s="1186" t="s">
        <v>1377</v>
      </c>
      <c r="AZ8" s="1186" t="s">
        <v>1378</v>
      </c>
      <c r="BB8" s="1186" t="s">
        <v>1379</v>
      </c>
      <c r="BC8" s="1186" t="s">
        <v>1327</v>
      </c>
      <c r="BE8" s="1186">
        <v>2006</v>
      </c>
      <c r="BF8" s="1186" t="s">
        <v>1380</v>
      </c>
      <c r="BH8" s="1134" t="s">
        <v>1381</v>
      </c>
      <c r="BJ8" s="1134" t="s">
        <v>1382</v>
      </c>
      <c r="BL8" s="1134" t="s">
        <v>1382</v>
      </c>
      <c r="BN8" s="1134" t="s">
        <v>1383</v>
      </c>
      <c r="BQ8" s="1347">
        <v>4213776</v>
      </c>
      <c r="BR8" s="1134" t="s">
        <v>177</v>
      </c>
      <c r="BS8" s="1495"/>
      <c r="BT8" s="1347">
        <v>64236874</v>
      </c>
      <c r="BU8" s="1361" t="s">
        <v>1384</v>
      </c>
      <c r="BV8" s="1136"/>
      <c r="BW8" s="1761">
        <v>4213770</v>
      </c>
      <c r="BX8" s="1762" t="s">
        <v>1385</v>
      </c>
      <c r="BZ8" s="1347">
        <v>64237512</v>
      </c>
      <c r="CA8" s="1134" t="s">
        <v>273</v>
      </c>
    </row>
    <row customHeight="1" ht="11.25">
      <c r="A9" s="1140" t="s">
        <v>1386</v>
      </c>
      <c r="B9" s="1141">
        <v>2007</v>
      </c>
      <c r="E9" s="1142" t="s">
        <v>1387</v>
      </c>
      <c r="F9" s="1159"/>
      <c r="G9" s="1133" t="s">
        <v>1388</v>
      </c>
      <c r="H9" s="1133" t="s">
        <v>1389</v>
      </c>
      <c r="I9" s="1142" t="s">
        <v>117</v>
      </c>
      <c r="O9" s="1142" t="s">
        <v>1390</v>
      </c>
      <c r="V9" s="436" t="s">
        <v>117</v>
      </c>
      <c r="W9" s="1150"/>
      <c r="X9" s="1141" t="s">
        <v>201</v>
      </c>
      <c r="Y9" s="1141" t="s">
        <v>1227</v>
      </c>
      <c r="Z9" s="1157">
        <v>1</v>
      </c>
      <c r="AA9" s="1160"/>
      <c r="AK9" s="1142" t="s">
        <v>1391</v>
      </c>
      <c r="AP9" s="1153" t="s">
        <v>1392</v>
      </c>
      <c r="AQ9" s="1154" t="s">
        <v>1392</v>
      </c>
      <c r="AW9" s="1186" t="s">
        <v>1393</v>
      </c>
      <c r="AX9" s="1186" t="s">
        <v>1393</v>
      </c>
      <c r="AZ9" s="1186" t="s">
        <v>1394</v>
      </c>
      <c r="BB9" s="1186" t="s">
        <v>1395</v>
      </c>
      <c r="BC9" s="1186" t="s">
        <v>1327</v>
      </c>
      <c r="BE9" s="1186">
        <v>2007</v>
      </c>
      <c r="BF9" s="1186" t="s">
        <v>1396</v>
      </c>
      <c r="BH9" s="1134" t="s">
        <v>1397</v>
      </c>
      <c r="BJ9" s="1134" t="s">
        <v>1398</v>
      </c>
      <c r="BL9" s="1134" t="s">
        <v>1398</v>
      </c>
      <c r="BN9" s="1134" t="s">
        <v>1399</v>
      </c>
      <c r="BQ9" s="1347">
        <v>4213777</v>
      </c>
      <c r="BR9" s="1134" t="s">
        <v>183</v>
      </c>
      <c r="BS9" s="1495"/>
      <c r="BT9" s="1347">
        <v>64236875</v>
      </c>
      <c r="BU9" s="1134" t="s">
        <v>253</v>
      </c>
      <c r="BV9" s="1136"/>
      <c r="BW9" s="1756"/>
      <c r="BX9" s="1756"/>
    </row>
    <row customHeight="1" ht="11.25">
      <c r="A10" s="1140" t="s">
        <v>1400</v>
      </c>
      <c r="B10" s="1141">
        <v>2008</v>
      </c>
      <c r="E10" s="1142" t="s">
        <v>1401</v>
      </c>
      <c r="F10" s="1159"/>
      <c r="G10" s="1142" t="s">
        <v>1402</v>
      </c>
      <c r="H10" s="1142" t="s">
        <v>1403</v>
      </c>
      <c r="I10" s="1142" t="s">
        <v>153</v>
      </c>
      <c r="J10" s="1133" t="s">
        <v>1404</v>
      </c>
      <c r="K10" s="1133" t="s">
        <v>1405</v>
      </c>
      <c r="O10" s="1142" t="s">
        <v>1406</v>
      </c>
      <c r="V10" s="437" t="s">
        <v>153</v>
      </c>
      <c r="W10" s="1163"/>
      <c r="X10" s="1163" t="s">
        <v>1407</v>
      </c>
      <c r="Y10" s="1164" t="s">
        <v>1408</v>
      </c>
      <c r="Z10" s="1157"/>
      <c r="AP10" s="1153" t="s">
        <v>1407</v>
      </c>
      <c r="AQ10" s="1154" t="s">
        <v>1407</v>
      </c>
      <c r="AW10" s="1186" t="s">
        <v>1409</v>
      </c>
      <c r="AX10" s="1186" t="s">
        <v>1409</v>
      </c>
      <c r="AZ10" s="1186" t="s">
        <v>1410</v>
      </c>
      <c r="BB10" s="1186" t="s">
        <v>1411</v>
      </c>
      <c r="BC10" s="1186" t="s">
        <v>1327</v>
      </c>
      <c r="BE10" s="1186">
        <v>2008</v>
      </c>
      <c r="BF10" s="1186" t="s">
        <v>1412</v>
      </c>
      <c r="BH10" s="1134" t="s">
        <v>1413</v>
      </c>
      <c r="BJ10" s="1134" t="s">
        <v>1414</v>
      </c>
      <c r="BL10" s="1134" t="s">
        <v>1414</v>
      </c>
      <c r="BN10" s="1134" t="s">
        <v>1415</v>
      </c>
      <c r="BQ10" s="1347">
        <v>4213778</v>
      </c>
      <c r="BR10" s="1134" t="s">
        <v>189</v>
      </c>
      <c r="BS10" s="1495"/>
      <c r="BT10" s="1347">
        <v>64236876</v>
      </c>
      <c r="BU10" s="1134" t="s">
        <v>233</v>
      </c>
      <c r="BV10" s="1136"/>
      <c r="BW10" s="1756"/>
      <c r="BX10" s="1756"/>
    </row>
    <row customHeight="1" ht="11.25">
      <c r="A11" s="1140" t="s">
        <v>1416</v>
      </c>
      <c r="B11" s="1141">
        <v>2009</v>
      </c>
      <c r="E11" s="1142" t="s">
        <v>1417</v>
      </c>
      <c r="F11" s="1159"/>
      <c r="G11" s="1142" t="s">
        <v>1418</v>
      </c>
      <c r="H11" s="1142" t="s">
        <v>1419</v>
      </c>
      <c r="I11" s="1142" t="s">
        <v>154</v>
      </c>
      <c r="J11" s="1143" t="s">
        <v>1420</v>
      </c>
      <c r="K11" s="1165" t="s">
        <v>1421</v>
      </c>
      <c r="O11" s="1143" t="s">
        <v>1422</v>
      </c>
      <c r="V11" s="436" t="s">
        <v>154</v>
      </c>
      <c r="W11" s="341"/>
      <c r="X11" s="1150" t="s">
        <v>1392</v>
      </c>
      <c r="Y11" s="1141" t="s">
        <v>1423</v>
      </c>
      <c r="Z11" s="1157"/>
      <c r="AP11" s="1153" t="s">
        <v>201</v>
      </c>
      <c r="AQ11" s="1155" t="s">
        <v>201</v>
      </c>
      <c r="AW11" s="1186" t="s">
        <v>1424</v>
      </c>
      <c r="AX11" s="1186" t="s">
        <v>1424</v>
      </c>
      <c r="AZ11" s="1186" t="s">
        <v>1425</v>
      </c>
      <c r="BB11" s="1186" t="s">
        <v>1426</v>
      </c>
      <c r="BC11" s="1186" t="s">
        <v>1327</v>
      </c>
      <c r="BE11" s="1186">
        <v>2009</v>
      </c>
      <c r="BF11" s="1186" t="s">
        <v>1427</v>
      </c>
      <c r="BH11" s="1134" t="s">
        <v>1428</v>
      </c>
      <c r="BJ11" s="1134" t="s">
        <v>1397</v>
      </c>
      <c r="BL11" s="1134" t="s">
        <v>1397</v>
      </c>
      <c r="BN11" s="1134" t="s">
        <v>1429</v>
      </c>
      <c r="BQ11" s="1347">
        <v>4213780</v>
      </c>
      <c r="BR11" s="1134" t="s">
        <v>195</v>
      </c>
      <c r="BS11" s="1495"/>
      <c r="BW11" s="1756"/>
      <c r="BX11" s="1756"/>
    </row>
    <row customHeight="1" ht="11.25">
      <c r="A12" s="1140" t="s">
        <v>1430</v>
      </c>
      <c r="B12" s="1141">
        <v>2010</v>
      </c>
      <c r="E12" s="1142" t="s">
        <v>1431</v>
      </c>
      <c r="F12" s="1159"/>
      <c r="G12" s="1142" t="s">
        <v>1419</v>
      </c>
      <c r="I12" s="1142" t="s">
        <v>104</v>
      </c>
      <c r="J12" s="1143" t="s">
        <v>1432</v>
      </c>
      <c r="K12" s="1165" t="s">
        <v>1433</v>
      </c>
      <c r="O12" s="1143" t="s">
        <v>456</v>
      </c>
      <c r="V12" s="436" t="s">
        <v>104</v>
      </c>
      <c r="W12" s="1155"/>
      <c r="X12" s="1150" t="s">
        <v>1434</v>
      </c>
      <c r="Y12" s="1141" t="s">
        <v>1227</v>
      </c>
      <c r="AP12" s="1153"/>
      <c r="AW12" s="1186" t="s">
        <v>154</v>
      </c>
      <c r="AX12" s="1186" t="s">
        <v>154</v>
      </c>
      <c r="AZ12" s="1186" t="s">
        <v>1435</v>
      </c>
      <c r="BB12" s="1186" t="s">
        <v>1436</v>
      </c>
      <c r="BC12" s="1186" t="s">
        <v>1327</v>
      </c>
      <c r="BE12" s="1186">
        <v>2010</v>
      </c>
      <c r="BF12" s="1186" t="s">
        <v>1437</v>
      </c>
      <c r="BH12" s="1134" t="s">
        <v>1438</v>
      </c>
      <c r="BJ12" s="1134" t="s">
        <v>1439</v>
      </c>
      <c r="BL12" s="1134" t="s">
        <v>1439</v>
      </c>
      <c r="BN12" s="1134" t="s">
        <v>1440</v>
      </c>
      <c r="BQ12" s="1347">
        <v>4213779</v>
      </c>
      <c r="BR12" s="1134" t="s">
        <v>1392</v>
      </c>
      <c r="BS12" s="1495"/>
      <c r="BT12" s="1136"/>
      <c r="BU12" s="1136"/>
      <c r="BV12" s="1136"/>
      <c r="BW12" s="1756"/>
      <c r="BX12" s="1756"/>
    </row>
    <row customHeight="1" ht="11.25">
      <c r="A13" s="1140" t="s">
        <v>1441</v>
      </c>
      <c r="B13" s="1141">
        <v>2011</v>
      </c>
      <c r="E13" s="1142" t="s">
        <v>1442</v>
      </c>
      <c r="F13" s="1159"/>
      <c r="I13" s="1142" t="s">
        <v>155</v>
      </c>
      <c r="K13" s="1165" t="s">
        <v>1391</v>
      </c>
      <c r="V13" s="436" t="s">
        <v>155</v>
      </c>
      <c r="W13" s="1155"/>
      <c r="X13" s="1155"/>
      <c r="Y13" s="1155"/>
      <c r="AW13" s="1186" t="s">
        <v>104</v>
      </c>
      <c r="AX13" s="1186" t="s">
        <v>104</v>
      </c>
      <c r="BB13" s="1186" t="s">
        <v>1443</v>
      </c>
      <c r="BC13" s="1186" t="s">
        <v>1444</v>
      </c>
      <c r="BE13" s="1186">
        <v>2011</v>
      </c>
      <c r="BF13" s="1186" t="s">
        <v>1445</v>
      </c>
      <c r="BH13" s="1134" t="s">
        <v>1446</v>
      </c>
      <c r="BJ13" s="1134" t="s">
        <v>1428</v>
      </c>
      <c r="BL13" s="1134" t="s">
        <v>1428</v>
      </c>
      <c r="BN13" s="1134" t="s">
        <v>1447</v>
      </c>
      <c r="BQ13" s="1347">
        <v>4213783</v>
      </c>
      <c r="BR13" s="1134" t="s">
        <v>1407</v>
      </c>
      <c r="BS13" s="1495"/>
      <c r="BT13" s="1136"/>
      <c r="BU13" s="1136"/>
      <c r="BV13" s="1136"/>
      <c r="BW13" s="1760"/>
      <c r="BX13" s="1756"/>
    </row>
    <row customHeight="1" ht="11.25">
      <c r="A14" s="1140" t="s">
        <v>1448</v>
      </c>
      <c r="B14" s="1141">
        <v>2012</v>
      </c>
      <c r="I14" s="1142" t="s">
        <v>156</v>
      </c>
      <c r="J14" s="1133" t="s">
        <v>1449</v>
      </c>
      <c r="N14" s="1133" t="s">
        <v>1450</v>
      </c>
      <c r="V14" s="1149">
        <v>13</v>
      </c>
      <c r="W14" s="1150"/>
      <c r="X14" s="1150" t="s">
        <v>1259</v>
      </c>
      <c r="Y14" s="1141" t="s">
        <v>1227</v>
      </c>
      <c r="AW14" s="1186" t="s">
        <v>155</v>
      </c>
      <c r="AX14" s="1186" t="s">
        <v>155</v>
      </c>
      <c r="AZ14" s="1133" t="s">
        <v>1451</v>
      </c>
      <c r="BB14" s="1186" t="s">
        <v>1452</v>
      </c>
      <c r="BC14" s="1186" t="s">
        <v>1444</v>
      </c>
      <c r="BE14" s="1186">
        <v>2012</v>
      </c>
      <c r="BH14" s="1134" t="s">
        <v>1367</v>
      </c>
      <c r="BJ14" s="1283" t="s">
        <v>1453</v>
      </c>
      <c r="BL14" s="1283" t="s">
        <v>1453</v>
      </c>
      <c r="BN14" s="1134" t="s">
        <v>1454</v>
      </c>
      <c r="BQ14" s="1347">
        <v>4213782</v>
      </c>
      <c r="BR14" s="1134" t="s">
        <v>201</v>
      </c>
      <c r="BS14" s="1495"/>
      <c r="BT14" s="1136"/>
      <c r="BU14" s="1136"/>
      <c r="BV14" s="1136"/>
      <c r="BW14" s="1760"/>
      <c r="BX14" s="1756"/>
    </row>
    <row customHeight="1" ht="19.5">
      <c r="A15" s="1140" t="s">
        <v>1455</v>
      </c>
      <c r="B15" s="1141">
        <v>2013</v>
      </c>
      <c r="E15" s="1764" t="s">
        <v>1456</v>
      </c>
      <c r="G15" s="1133" t="s">
        <v>1457</v>
      </c>
      <c r="H15" s="1133" t="s">
        <v>1458</v>
      </c>
      <c r="I15" s="1144" t="s">
        <v>157</v>
      </c>
      <c r="J15" s="1155" t="s">
        <v>592</v>
      </c>
      <c r="N15" s="1224" t="s">
        <v>1459</v>
      </c>
      <c r="X15" s="1153"/>
      <c r="AW15" s="1186" t="s">
        <v>156</v>
      </c>
      <c r="AX15" s="1186" t="s">
        <v>156</v>
      </c>
      <c r="AZ15" s="1186" t="s">
        <v>1378</v>
      </c>
      <c r="BB15" s="1186" t="s">
        <v>1460</v>
      </c>
      <c r="BC15" s="1186" t="s">
        <v>1444</v>
      </c>
      <c r="BE15" s="1186">
        <v>2013</v>
      </c>
      <c r="BH15" s="1134" t="s">
        <v>1383</v>
      </c>
      <c r="BJ15" s="1283" t="s">
        <v>1461</v>
      </c>
      <c r="BL15" s="1283" t="s">
        <v>1461</v>
      </c>
      <c r="BN15" s="1134" t="s">
        <v>1462</v>
      </c>
      <c r="BR15" s="1136"/>
      <c r="BS15" s="1497"/>
      <c r="BT15" s="1136"/>
      <c r="BU15" s="1136"/>
      <c r="BV15" s="1136"/>
      <c r="BW15" s="1760"/>
      <c r="BX15" s="1756"/>
    </row>
    <row customHeight="1" ht="21">
      <c r="A16" s="1936" t="s">
        <v>1463</v>
      </c>
      <c r="B16" s="1141">
        <v>2014</v>
      </c>
      <c r="E16" s="1765" t="s">
        <v>1464</v>
      </c>
      <c r="G16" s="1142" t="s">
        <v>1465</v>
      </c>
      <c r="H16" s="1142" t="s">
        <v>1466</v>
      </c>
      <c r="I16" s="1144" t="s">
        <v>1467</v>
      </c>
      <c r="J16" s="1155" t="s">
        <v>565</v>
      </c>
      <c r="N16" s="1224" t="s">
        <v>1468</v>
      </c>
      <c r="AW16" s="1186" t="s">
        <v>157</v>
      </c>
      <c r="AX16" s="1186" t="s">
        <v>157</v>
      </c>
      <c r="AZ16" s="1186" t="s">
        <v>1394</v>
      </c>
      <c r="BB16" s="1186" t="s">
        <v>1469</v>
      </c>
      <c r="BC16" s="1186" t="s">
        <v>1444</v>
      </c>
      <c r="BE16" s="1186">
        <v>2014</v>
      </c>
      <c r="BH16" s="1134" t="s">
        <v>1399</v>
      </c>
      <c r="BJ16" s="1283" t="s">
        <v>1470</v>
      </c>
      <c r="BL16" s="1283" t="s">
        <v>1470</v>
      </c>
      <c r="BN16" s="1134" t="s">
        <v>1471</v>
      </c>
      <c r="BR16" s="1136"/>
      <c r="BS16" s="1497"/>
      <c r="BT16" s="1136"/>
      <c r="BU16" s="1136"/>
      <c r="BV16" s="1136"/>
      <c r="BW16" s="1760"/>
      <c r="BX16" s="1756"/>
    </row>
    <row customHeight="1" ht="21">
      <c r="A17" s="1140" t="s">
        <v>1472</v>
      </c>
      <c r="B17" s="1141">
        <v>2015</v>
      </c>
      <c r="G17" s="1142" t="s">
        <v>1419</v>
      </c>
      <c r="H17" s="1142" t="s">
        <v>1419</v>
      </c>
      <c r="I17" s="1142" t="s">
        <v>1473</v>
      </c>
      <c r="N17" s="1224" t="s">
        <v>1474</v>
      </c>
      <c r="X17" s="1153"/>
      <c r="AW17" s="1186" t="s">
        <v>1467</v>
      </c>
      <c r="AX17" s="1186" t="s">
        <v>1467</v>
      </c>
      <c r="AZ17" s="1186" t="s">
        <v>1475</v>
      </c>
      <c r="BB17" s="1186" t="s">
        <v>1476</v>
      </c>
      <c r="BC17" s="1186" t="s">
        <v>1327</v>
      </c>
      <c r="BE17" s="1186">
        <v>2015</v>
      </c>
      <c r="BH17" s="1134" t="s">
        <v>1415</v>
      </c>
      <c r="BJ17" s="1283" t="s">
        <v>1477</v>
      </c>
      <c r="BL17" s="1283" t="s">
        <v>1477</v>
      </c>
      <c r="BN17" s="1134" t="s">
        <v>1478</v>
      </c>
      <c r="BR17" s="1133" t="s">
        <v>1270</v>
      </c>
      <c r="BS17" s="1494"/>
      <c r="BU17" s="1133" t="s">
        <v>1479</v>
      </c>
      <c r="BV17" s="1136"/>
      <c r="BW17" s="1756"/>
      <c r="BX17" s="1758" t="s">
        <v>1480</v>
      </c>
      <c r="CA17" s="1133" t="s">
        <v>1481</v>
      </c>
      <c r="CD17" s="1133" t="s">
        <v>1482</v>
      </c>
    </row>
    <row customHeight="1" ht="21">
      <c r="A18" s="1140" t="s">
        <v>1483</v>
      </c>
      <c r="B18" s="1141">
        <v>2016</v>
      </c>
      <c r="E18" s="2071" t="s">
        <v>1484</v>
      </c>
      <c r="I18" s="1142" t="s">
        <v>1485</v>
      </c>
      <c r="N18" s="1224" t="s">
        <v>1486</v>
      </c>
      <c r="X18" s="1153"/>
      <c r="AW18" s="1186" t="s">
        <v>1473</v>
      </c>
      <c r="AX18" s="1186" t="s">
        <v>1473</v>
      </c>
      <c r="BB18" s="1186" t="s">
        <v>1487</v>
      </c>
      <c r="BC18" s="1186" t="s">
        <v>1327</v>
      </c>
      <c r="BE18" s="1186">
        <v>2016</v>
      </c>
      <c r="BH18" s="1134" t="s">
        <v>1429</v>
      </c>
      <c r="BJ18" s="1283" t="s">
        <v>1488</v>
      </c>
      <c r="BL18" s="1283" t="s">
        <v>1488</v>
      </c>
      <c r="BN18" s="1134" t="s">
        <v>1489</v>
      </c>
      <c r="BQ18" s="1498" t="s">
        <v>1300</v>
      </c>
      <c r="BR18" s="1225" t="s">
        <v>1301</v>
      </c>
      <c r="BS18" s="340"/>
      <c r="BT18" s="1498" t="s">
        <v>1490</v>
      </c>
      <c r="BU18" s="1225" t="s">
        <v>1491</v>
      </c>
      <c r="BV18" s="1136"/>
      <c r="BW18" s="1763" t="s">
        <v>1492</v>
      </c>
      <c r="BX18" s="1757" t="s">
        <v>1493</v>
      </c>
      <c r="BZ18" s="1498" t="s">
        <v>1494</v>
      </c>
      <c r="CA18" s="1225" t="s">
        <v>1495</v>
      </c>
      <c r="CC18" s="1498" t="s">
        <v>1496</v>
      </c>
      <c r="CD18" s="1225" t="s">
        <v>1497</v>
      </c>
    </row>
    <row customHeight="1" ht="21">
      <c r="A19" s="1936" t="s">
        <v>1498</v>
      </c>
      <c r="B19" s="1141">
        <v>2017</v>
      </c>
      <c r="E19" s="1140" t="s">
        <v>164</v>
      </c>
      <c r="I19" s="1142" t="s">
        <v>1499</v>
      </c>
      <c r="N19" s="1224" t="s">
        <v>1500</v>
      </c>
      <c r="X19" s="1153"/>
      <c r="AW19" s="1186" t="s">
        <v>1485</v>
      </c>
      <c r="AX19" s="1186" t="s">
        <v>1485</v>
      </c>
      <c r="AZ19" s="1133" t="s">
        <v>1501</v>
      </c>
      <c r="BB19" s="1186" t="s">
        <v>1502</v>
      </c>
      <c r="BC19" s="1186" t="s">
        <v>1327</v>
      </c>
      <c r="BE19" s="1186">
        <v>2017</v>
      </c>
      <c r="BH19" s="1134" t="s">
        <v>1503</v>
      </c>
      <c r="BJ19" s="1283" t="s">
        <v>1504</v>
      </c>
      <c r="BL19" s="1283" t="s">
        <v>1504</v>
      </c>
      <c r="BQ19" s="1347">
        <v>4190064</v>
      </c>
      <c r="BR19" s="1134" t="s">
        <v>1505</v>
      </c>
      <c r="BS19" s="1495"/>
      <c r="BT19" s="1347">
        <v>4189671</v>
      </c>
      <c r="BU19" s="1134" t="s">
        <v>1506</v>
      </c>
      <c r="BV19" s="1136"/>
      <c r="BW19" s="1761">
        <v>4189706</v>
      </c>
      <c r="BX19" s="1759" t="s">
        <v>1507</v>
      </c>
      <c r="BZ19" s="1347">
        <v>4189714</v>
      </c>
      <c r="CA19" s="1134" t="s">
        <v>1508</v>
      </c>
      <c r="CC19" s="1347">
        <v>4189708</v>
      </c>
      <c r="CD19" s="1134" t="s">
        <v>1509</v>
      </c>
    </row>
    <row customHeight="1" ht="21">
      <c r="A20" s="1140" t="s">
        <v>1510</v>
      </c>
      <c r="B20" s="1141">
        <v>2018</v>
      </c>
      <c r="E20" s="1140" t="s">
        <v>1259</v>
      </c>
      <c r="I20" s="1142" t="s">
        <v>1511</v>
      </c>
      <c r="N20" s="1224" t="s">
        <v>1512</v>
      </c>
      <c r="AW20" s="1186" t="s">
        <v>1499</v>
      </c>
      <c r="AX20" s="1186" t="s">
        <v>1499</v>
      </c>
      <c r="AZ20" s="1186" t="s">
        <v>1513</v>
      </c>
      <c r="BB20" s="1186" t="s">
        <v>1514</v>
      </c>
      <c r="BC20" s="1186" t="s">
        <v>1444</v>
      </c>
      <c r="BE20" s="1186">
        <v>2018</v>
      </c>
      <c r="BH20" s="1134" t="s">
        <v>1440</v>
      </c>
      <c r="BJ20" s="1134" t="s">
        <v>1367</v>
      </c>
      <c r="BL20" s="1134" t="s">
        <v>1367</v>
      </c>
      <c r="BQ20" s="1347">
        <v>4190065</v>
      </c>
      <c r="BR20" s="1134" t="s">
        <v>1515</v>
      </c>
      <c r="BS20" s="1495"/>
      <c r="BT20" s="1347">
        <v>4189672</v>
      </c>
      <c r="BU20" s="1134" t="s">
        <v>1516</v>
      </c>
      <c r="BV20" s="1136"/>
      <c r="BW20" s="1761">
        <v>4189705</v>
      </c>
      <c r="BX20" s="1759" t="s">
        <v>1517</v>
      </c>
      <c r="BZ20" s="1347">
        <v>4189713</v>
      </c>
      <c r="CA20" s="1134" t="s">
        <v>1517</v>
      </c>
      <c r="CC20" s="1347">
        <v>4189709</v>
      </c>
      <c r="CD20" s="1134" t="s">
        <v>1518</v>
      </c>
    </row>
    <row customHeight="1" ht="21">
      <c r="A21" s="1140" t="s">
        <v>1519</v>
      </c>
      <c r="B21" s="1141">
        <v>2019</v>
      </c>
      <c r="I21" s="1142" t="s">
        <v>1520</v>
      </c>
      <c r="N21" s="1224" t="s">
        <v>1521</v>
      </c>
      <c r="AW21" s="1186" t="s">
        <v>1511</v>
      </c>
      <c r="AX21" s="1186" t="s">
        <v>1511</v>
      </c>
      <c r="AZ21" s="1186" t="s">
        <v>1522</v>
      </c>
      <c r="BB21" s="1186" t="s">
        <v>1523</v>
      </c>
      <c r="BC21" s="1186" t="s">
        <v>1327</v>
      </c>
      <c r="BE21" s="1186">
        <v>2019</v>
      </c>
      <c r="BH21" s="1134" t="s">
        <v>1447</v>
      </c>
      <c r="BJ21" s="1134" t="s">
        <v>1383</v>
      </c>
      <c r="BL21" s="1134" t="s">
        <v>1383</v>
      </c>
      <c r="BQ21" s="1347">
        <v>4190066</v>
      </c>
      <c r="BR21" s="1134" t="s">
        <v>1524</v>
      </c>
      <c r="BS21" s="1495"/>
      <c r="BT21" s="1347">
        <v>4189673</v>
      </c>
      <c r="BU21" s="1134" t="s">
        <v>1525</v>
      </c>
      <c r="BV21" s="1136"/>
      <c r="BW21" s="1761">
        <v>4189707</v>
      </c>
      <c r="BX21" s="1759" t="s">
        <v>1526</v>
      </c>
      <c r="BZ21" s="1347">
        <v>4189712</v>
      </c>
      <c r="CA21" s="1134" t="s">
        <v>1527</v>
      </c>
      <c r="CC21" s="1347">
        <v>4189710</v>
      </c>
      <c r="CD21" s="1134" t="s">
        <v>1528</v>
      </c>
    </row>
    <row customHeight="1" ht="21">
      <c r="A22" s="1140" t="s">
        <v>1529</v>
      </c>
      <c r="B22" s="1141">
        <v>2020</v>
      </c>
      <c r="N22" s="1224" t="s">
        <v>1530</v>
      </c>
      <c r="AW22" s="1186" t="s">
        <v>1520</v>
      </c>
      <c r="AX22" s="1186" t="s">
        <v>1520</v>
      </c>
      <c r="AZ22" s="1186" t="s">
        <v>1531</v>
      </c>
      <c r="BB22" s="1186" t="s">
        <v>1532</v>
      </c>
      <c r="BC22" s="1186" t="s">
        <v>1327</v>
      </c>
      <c r="BE22" s="1186">
        <v>2020</v>
      </c>
      <c r="BH22" s="1134" t="s">
        <v>1454</v>
      </c>
      <c r="BJ22" s="1134" t="s">
        <v>1399</v>
      </c>
      <c r="BL22" s="1134" t="s">
        <v>1399</v>
      </c>
      <c r="BQ22" s="1347">
        <v>4190067</v>
      </c>
      <c r="BR22" s="1134" t="s">
        <v>1533</v>
      </c>
      <c r="BS22" s="1495"/>
      <c r="BT22" s="1347">
        <v>4189674</v>
      </c>
      <c r="BU22" s="1134" t="s">
        <v>1534</v>
      </c>
      <c r="BV22" s="1136"/>
      <c r="BW22" s="1136"/>
      <c r="CC22" s="1347">
        <v>4189711</v>
      </c>
      <c r="CD22" s="1134" t="s">
        <v>302</v>
      </c>
    </row>
    <row customHeight="1" ht="21">
      <c r="A23" s="1140" t="s">
        <v>1535</v>
      </c>
      <c r="B23" s="1141">
        <v>2021</v>
      </c>
      <c r="AW23" s="1186" t="s">
        <v>1536</v>
      </c>
      <c r="AX23" s="1186" t="s">
        <v>1536</v>
      </c>
      <c r="AZ23" s="1186" t="s">
        <v>1537</v>
      </c>
      <c r="BB23" s="1186" t="s">
        <v>1538</v>
      </c>
      <c r="BC23" s="1186" t="s">
        <v>1237</v>
      </c>
      <c r="BE23" s="1186">
        <v>2021</v>
      </c>
      <c r="BH23" s="1134" t="s">
        <v>1462</v>
      </c>
      <c r="BJ23" s="1134" t="s">
        <v>1415</v>
      </c>
      <c r="BL23" s="1134" t="s">
        <v>1415</v>
      </c>
      <c r="BQ23" s="1347">
        <v>4190068</v>
      </c>
      <c r="BR23" s="1134" t="s">
        <v>1539</v>
      </c>
      <c r="BS23" s="1495"/>
      <c r="BT23" s="1347">
        <v>4189675</v>
      </c>
      <c r="BU23" s="1134" t="s">
        <v>1540</v>
      </c>
      <c r="BV23" s="1136"/>
      <c r="BW23" s="1136"/>
      <c r="CC23" s="1347">
        <v>5110778</v>
      </c>
      <c r="CD23" s="1134" t="s">
        <v>1541</v>
      </c>
    </row>
    <row customHeight="1" ht="21">
      <c r="A24" s="1140" t="s">
        <v>1542</v>
      </c>
      <c r="B24" s="1141">
        <v>2022</v>
      </c>
      <c r="AW24" s="1186" t="s">
        <v>1543</v>
      </c>
      <c r="AX24" s="1186" t="s">
        <v>1543</v>
      </c>
      <c r="AZ24" s="1186" t="s">
        <v>1544</v>
      </c>
      <c r="BB24" s="1186" t="s">
        <v>1545</v>
      </c>
      <c r="BC24" s="1186" t="s">
        <v>1546</v>
      </c>
      <c r="BE24" s="1186">
        <v>2022</v>
      </c>
      <c r="BH24" s="1134" t="s">
        <v>1471</v>
      </c>
      <c r="BJ24" s="1134" t="s">
        <v>1429</v>
      </c>
      <c r="BL24" s="1134" t="s">
        <v>1429</v>
      </c>
      <c r="BQ24" s="1347">
        <v>4190069</v>
      </c>
      <c r="BR24" s="1134" t="s">
        <v>1547</v>
      </c>
      <c r="BS24" s="1495"/>
      <c r="BT24" s="1347">
        <v>4189676</v>
      </c>
      <c r="BU24" s="1134" t="s">
        <v>1548</v>
      </c>
      <c r="BV24" s="1136"/>
      <c r="BW24" s="1136"/>
      <c r="CC24" s="1347">
        <v>25575374</v>
      </c>
      <c r="CD24" s="1134" t="s">
        <v>1549</v>
      </c>
    </row>
    <row customHeight="1" ht="11.25">
      <c r="A25" s="1140" t="s">
        <v>1550</v>
      </c>
      <c r="B25" s="1141">
        <v>2023</v>
      </c>
      <c r="AW25" s="1186" t="s">
        <v>1551</v>
      </c>
      <c r="AX25" s="1186" t="s">
        <v>1551</v>
      </c>
      <c r="AZ25" s="1186" t="s">
        <v>1552</v>
      </c>
      <c r="BB25" s="1186" t="s">
        <v>1553</v>
      </c>
      <c r="BC25" s="1186" t="s">
        <v>1546</v>
      </c>
      <c r="BE25" s="1186">
        <v>2023</v>
      </c>
      <c r="BH25" s="1134" t="s">
        <v>1478</v>
      </c>
      <c r="BJ25" s="1134" t="s">
        <v>1503</v>
      </c>
      <c r="BL25" s="1134" t="s">
        <v>1503</v>
      </c>
      <c r="BQ25" s="1347">
        <v>4190070</v>
      </c>
      <c r="BR25" s="1134" t="s">
        <v>1554</v>
      </c>
      <c r="BS25" s="1495"/>
      <c r="BT25" s="1347">
        <v>4189677</v>
      </c>
      <c r="BU25" s="1134" t="s">
        <v>1555</v>
      </c>
      <c r="BV25" s="1136"/>
      <c r="BW25" s="1136"/>
    </row>
    <row customHeight="1" ht="11.25">
      <c r="A26" s="1140" t="s">
        <v>1556</v>
      </c>
      <c r="B26" s="1141">
        <v>2024</v>
      </c>
      <c r="J26" s="1797" t="s">
        <v>1557</v>
      </c>
      <c r="AX26" s="1186" t="s">
        <v>1558</v>
      </c>
      <c r="AZ26" s="1186" t="s">
        <v>1422</v>
      </c>
      <c r="BB26" s="1186" t="s">
        <v>1559</v>
      </c>
      <c r="BC26" s="1186" t="s">
        <v>1546</v>
      </c>
      <c r="BE26" s="1186">
        <v>2024</v>
      </c>
      <c r="BH26" s="1134" t="s">
        <v>1489</v>
      </c>
      <c r="BJ26" s="1134" t="s">
        <v>1440</v>
      </c>
      <c r="BL26" s="1134" t="s">
        <v>1440</v>
      </c>
      <c r="BQ26" s="1347">
        <v>4190071</v>
      </c>
      <c r="BR26" s="1134" t="s">
        <v>1560</v>
      </c>
      <c r="BS26" s="1495"/>
      <c r="BV26" s="1136"/>
      <c r="BW26" s="1136"/>
    </row>
    <row customHeight="1" ht="11.25">
      <c r="A27" s="1140" t="s">
        <v>1561</v>
      </c>
      <c r="B27" s="1141">
        <v>2025</v>
      </c>
      <c r="J27" s="242" t="s">
        <v>454</v>
      </c>
      <c r="AX27" s="1186" t="s">
        <v>1562</v>
      </c>
      <c r="BB27" s="1186" t="s">
        <v>1563</v>
      </c>
      <c r="BC27" s="1186" t="s">
        <v>1546</v>
      </c>
      <c r="BE27" s="1186">
        <v>2025</v>
      </c>
      <c r="BH27" s="1136" t="s">
        <v>28</v>
      </c>
      <c r="BJ27" s="1134" t="s">
        <v>1447</v>
      </c>
      <c r="BL27" s="1134" t="s">
        <v>1447</v>
      </c>
      <c r="BN27" s="1136" t="s">
        <v>28</v>
      </c>
      <c r="BQ27" s="1347">
        <v>4190072</v>
      </c>
      <c r="BR27" s="1134" t="s">
        <v>1564</v>
      </c>
      <c r="BS27" s="1495"/>
      <c r="BV27" s="1136"/>
      <c r="BW27" s="1136"/>
    </row>
    <row customHeight="1" ht="11.25">
      <c r="A28" s="1140" t="s">
        <v>1565</v>
      </c>
      <c r="D28" s="1167"/>
      <c r="E28" s="1168"/>
      <c r="F28" s="1168"/>
      <c r="H28" s="1169" t="s">
        <v>1566</v>
      </c>
      <c r="AX28" s="1186" t="s">
        <v>1567</v>
      </c>
      <c r="AZ28" s="1133" t="s">
        <v>1568</v>
      </c>
      <c r="BB28" s="1186" t="s">
        <v>1569</v>
      </c>
      <c r="BC28" s="1186" t="s">
        <v>1570</v>
      </c>
      <c r="BE28" s="1186">
        <v>2026</v>
      </c>
      <c r="BH28" s="1136" t="s">
        <v>28</v>
      </c>
      <c r="BJ28" s="1134" t="s">
        <v>1454</v>
      </c>
      <c r="BL28" s="1134" t="s">
        <v>1454</v>
      </c>
      <c r="BN28" s="1136" t="s">
        <v>28</v>
      </c>
      <c r="BQ28" s="1347">
        <v>4190073</v>
      </c>
      <c r="BR28" s="1134" t="s">
        <v>1571</v>
      </c>
      <c r="BS28" s="1495"/>
      <c r="BV28" s="1136"/>
      <c r="BW28" s="1136"/>
    </row>
    <row customHeight="1" ht="11.25">
      <c r="A29" s="1140" t="s">
        <v>1572</v>
      </c>
      <c r="D29" s="1170" t="s">
        <v>1573</v>
      </c>
      <c r="E29" s="1171" t="str">
        <f>IF(TEMPLATE_GROUP="","",INDEX(StartDateList,MATCH(TEMPLATE_GROUP,CodeTemplateList,0),1))</f>
        <v>01.01.2024</v>
      </c>
      <c r="F29" s="1171" t="str">
        <f>IF(TEMPLATE_GROUP="","",INDEX(EndDateList,MATCH(TEMPLATE_GROUP,CodeTemplateList,0),1))</f>
        <v>31.12.2028</v>
      </c>
      <c r="H29" s="1172" t="s">
        <v>1574</v>
      </c>
      <c r="AX29" s="1186" t="s">
        <v>1575</v>
      </c>
      <c r="AZ29" s="1186" t="s">
        <v>1222</v>
      </c>
      <c r="BB29" s="1186" t="s">
        <v>1422</v>
      </c>
      <c r="BC29" s="1157"/>
      <c r="BE29" s="1186">
        <v>2027</v>
      </c>
      <c r="BJ29" s="1134" t="s">
        <v>1462</v>
      </c>
      <c r="BL29" s="1134" t="s">
        <v>1462</v>
      </c>
    </row>
    <row customHeight="1" ht="11.25">
      <c r="A30" s="1140" t="s">
        <v>1576</v>
      </c>
      <c r="D30" s="1173"/>
      <c r="E30" s="1174"/>
      <c r="F30" s="1174"/>
      <c r="AX30" s="1186" t="s">
        <v>1577</v>
      </c>
      <c r="AZ30" s="1186" t="s">
        <v>1248</v>
      </c>
      <c r="BE30" s="1186">
        <v>2028</v>
      </c>
      <c r="BJ30" s="1134" t="s">
        <v>1578</v>
      </c>
      <c r="BL30" s="1134" t="s">
        <v>1578</v>
      </c>
    </row>
    <row customHeight="1" ht="12.75">
      <c r="A31" s="1140" t="s">
        <v>1579</v>
      </c>
      <c r="D31" s="1167"/>
      <c r="E31" s="1168"/>
      <c r="F31" s="1168"/>
      <c r="H31" s="1175"/>
      <c r="AX31" s="1186" t="s">
        <v>1580</v>
      </c>
      <c r="AZ31" s="1186" t="s">
        <v>1581</v>
      </c>
      <c r="BE31" s="1186">
        <v>2029</v>
      </c>
      <c r="BJ31" s="1134" t="s">
        <v>1582</v>
      </c>
      <c r="BL31" s="1134" t="s">
        <v>1582</v>
      </c>
    </row>
    <row customHeight="1" ht="11.25">
      <c r="A32" s="1140" t="s">
        <v>1583</v>
      </c>
      <c r="D32" s="1170" t="s">
        <v>1584</v>
      </c>
      <c r="E32" s="1171" t="str">
        <f>IF(TEMPLATE_GROUP="","",INDEX(StartDateList,MATCH(TEMPLATE_GROUP,CodeTemplateList,0),1))</f>
        <v>01.01.2024</v>
      </c>
      <c r="F32" s="1171" t="str">
        <f>IF(TEMPLATE_GROUP="","",INDEX(EndDateList,MATCH(TEMPLATE_GROUP,CodeTemplateList,0),1))</f>
        <v>31.12.2028</v>
      </c>
      <c r="H32" s="1176" t="s">
        <v>1585</v>
      </c>
      <c r="O32" s="1140" t="s">
        <v>458</v>
      </c>
      <c r="AX32" s="1186" t="s">
        <v>1586</v>
      </c>
      <c r="AZ32" s="1186" t="s">
        <v>457</v>
      </c>
      <c r="BE32" s="1186">
        <v>2030</v>
      </c>
      <c r="BJ32" s="1134" t="s">
        <v>1471</v>
      </c>
      <c r="BL32" s="1134" t="s">
        <v>1471</v>
      </c>
    </row>
    <row customHeight="1" ht="11.25">
      <c r="A33" s="1140" t="s">
        <v>1587</v>
      </c>
      <c r="O33" s="1140" t="s">
        <v>1246</v>
      </c>
      <c r="AX33" s="1186" t="s">
        <v>1588</v>
      </c>
      <c r="AZ33" s="1186" t="s">
        <v>456</v>
      </c>
      <c r="BE33" s="1186">
        <v>2031</v>
      </c>
      <c r="BJ33" s="1134" t="s">
        <v>1478</v>
      </c>
      <c r="BL33" s="1134" t="s">
        <v>1478</v>
      </c>
    </row>
    <row customHeight="1" ht="11.25">
      <c r="A34" s="1140" t="s">
        <v>1589</v>
      </c>
      <c r="O34" s="1140" t="s">
        <v>1281</v>
      </c>
      <c r="AX34" s="1186" t="s">
        <v>1590</v>
      </c>
      <c r="BE34" s="1186">
        <v>2032</v>
      </c>
      <c r="BJ34" s="1134" t="s">
        <v>1489</v>
      </c>
      <c r="BL34" s="1134" t="s">
        <v>1489</v>
      </c>
    </row>
    <row customHeight="1" ht="11.25">
      <c r="A35" s="1140" t="s">
        <v>1591</v>
      </c>
      <c r="O35" s="1140" t="s">
        <v>1314</v>
      </c>
      <c r="AX35" s="1186" t="s">
        <v>1592</v>
      </c>
      <c r="AZ35" s="1133" t="s">
        <v>1593</v>
      </c>
      <c r="BE35" s="1186">
        <v>2033</v>
      </c>
      <c r="BL35" s="1134" t="s">
        <v>1594</v>
      </c>
    </row>
    <row customHeight="1" ht="11.25">
      <c r="A36" s="1936" t="s">
        <v>1595</v>
      </c>
      <c r="D36" s="1177" t="s">
        <v>1596</v>
      </c>
      <c r="E36" s="1178" t="s">
        <v>816</v>
      </c>
      <c r="F36" s="1179" t="str">
        <f>INDEX(E37:E41,MATCH(TEMPLATE_SPHERE,F37:F41,0))</f>
        <v>теплоснабжения</v>
      </c>
      <c r="G36" s="1179" t="str">
        <f>INDEX(G37:G41,MATCH(TEMPLATE_SPHERE,F37:F41,0))</f>
        <v>теплоснабжение</v>
      </c>
      <c r="O36" s="1140" t="s">
        <v>1338</v>
      </c>
      <c r="AX36" s="1186" t="s">
        <v>1597</v>
      </c>
      <c r="AZ36" s="1186" t="s">
        <v>456</v>
      </c>
      <c r="BE36" s="1186">
        <v>2034</v>
      </c>
      <c r="BL36" s="1134" t="s">
        <v>1598</v>
      </c>
    </row>
    <row customHeight="1" ht="11.25">
      <c r="A37" s="1140" t="s">
        <v>1599</v>
      </c>
      <c r="E37" s="473" t="s">
        <v>1600</v>
      </c>
      <c r="F37" s="1180" t="s">
        <v>816</v>
      </c>
      <c r="G37" s="473" t="s">
        <v>1601</v>
      </c>
      <c r="O37" s="1140" t="s">
        <v>1357</v>
      </c>
      <c r="AX37" s="1186" t="s">
        <v>1602</v>
      </c>
      <c r="AZ37" s="1186" t="s">
        <v>1247</v>
      </c>
      <c r="BE37" s="1186">
        <v>2035</v>
      </c>
    </row>
    <row customHeight="1" ht="11.25">
      <c r="A38" s="1140" t="s">
        <v>1603</v>
      </c>
      <c r="E38" s="473" t="s">
        <v>1604</v>
      </c>
      <c r="F38" s="1181" t="s">
        <v>862</v>
      </c>
      <c r="G38" s="473" t="s">
        <v>1605</v>
      </c>
      <c r="O38" s="1140" t="s">
        <v>1374</v>
      </c>
      <c r="AX38" s="1186" t="s">
        <v>1606</v>
      </c>
      <c r="AZ38" s="1186" t="s">
        <v>1282</v>
      </c>
      <c r="BE38" s="1186">
        <v>2036</v>
      </c>
      <c r="BH38" s="1133" t="s">
        <v>1607</v>
      </c>
      <c r="BJ38" s="1133" t="s">
        <v>1608</v>
      </c>
      <c r="BL38" s="1133" t="s">
        <v>1609</v>
      </c>
      <c r="BN38" s="1133" t="s">
        <v>1610</v>
      </c>
    </row>
    <row customHeight="1" ht="11.25">
      <c r="A39" s="1140" t="s">
        <v>1611</v>
      </c>
      <c r="E39" s="473" t="s">
        <v>1612</v>
      </c>
      <c r="F39" s="1181" t="s">
        <v>915</v>
      </c>
      <c r="G39" s="473" t="s">
        <v>1613</v>
      </c>
      <c r="O39" s="1140" t="s">
        <v>1390</v>
      </c>
      <c r="AX39" s="1186" t="s">
        <v>1614</v>
      </c>
      <c r="AZ39" s="1186" t="s">
        <v>1315</v>
      </c>
      <c r="BE39" s="1186">
        <v>2037</v>
      </c>
      <c r="BH39" s="1134" t="s">
        <v>1615</v>
      </c>
      <c r="BJ39" s="1283" t="s">
        <v>1615</v>
      </c>
      <c r="BL39" s="1283" t="s">
        <v>1615</v>
      </c>
      <c r="BN39" s="1134" t="s">
        <v>1616</v>
      </c>
    </row>
    <row customHeight="1" ht="11.25">
      <c r="A40" s="1140" t="s">
        <v>1617</v>
      </c>
      <c r="E40" s="473" t="s">
        <v>1618</v>
      </c>
      <c r="F40" s="1181" t="s">
        <v>902</v>
      </c>
      <c r="G40" s="473" t="s">
        <v>1619</v>
      </c>
      <c r="O40" s="1140" t="s">
        <v>1406</v>
      </c>
      <c r="AX40" s="1186" t="s">
        <v>1620</v>
      </c>
      <c r="BE40" s="1186">
        <v>2038</v>
      </c>
      <c r="BH40" s="1134" t="s">
        <v>1621</v>
      </c>
      <c r="BJ40" s="1283" t="s">
        <v>1035</v>
      </c>
      <c r="BL40" s="1283" t="s">
        <v>1035</v>
      </c>
      <c r="BN40" s="1134" t="s">
        <v>1069</v>
      </c>
    </row>
    <row customHeight="1" ht="11.25">
      <c r="A41" s="1140" t="s">
        <v>1622</v>
      </c>
      <c r="E41" s="473" t="s">
        <v>1623</v>
      </c>
      <c r="F41" s="1181" t="s">
        <v>1624</v>
      </c>
      <c r="G41" s="473" t="s">
        <v>1623</v>
      </c>
      <c r="O41" s="1140" t="s">
        <v>1422</v>
      </c>
      <c r="AX41" s="1186" t="s">
        <v>1625</v>
      </c>
      <c r="AZ41" s="1133" t="s">
        <v>1626</v>
      </c>
      <c r="BE41" s="1186">
        <v>2039</v>
      </c>
      <c r="BH41" s="1134" t="s">
        <v>1627</v>
      </c>
      <c r="BJ41" s="1283" t="s">
        <v>1031</v>
      </c>
      <c r="BL41" s="1283" t="s">
        <v>1031</v>
      </c>
      <c r="BN41" s="1134" t="s">
        <v>1056</v>
      </c>
    </row>
    <row customHeight="1" ht="11.25">
      <c r="A42" s="1140" t="s">
        <v>1628</v>
      </c>
      <c r="AX42" s="1186" t="s">
        <v>1629</v>
      </c>
      <c r="AZ42" s="1186" t="s">
        <v>458</v>
      </c>
      <c r="BE42" s="1186">
        <v>2040</v>
      </c>
      <c r="BH42" s="1134" t="s">
        <v>1053</v>
      </c>
      <c r="BJ42" s="1283" t="s">
        <v>1033</v>
      </c>
      <c r="BL42" s="1283" t="s">
        <v>1033</v>
      </c>
      <c r="BN42" s="1134" t="s">
        <v>1630</v>
      </c>
    </row>
    <row customHeight="1" ht="11.25">
      <c r="A43" s="1140" t="s">
        <v>1631</v>
      </c>
      <c r="AX43" s="1186" t="s">
        <v>1632</v>
      </c>
      <c r="AZ43" s="1186" t="s">
        <v>1246</v>
      </c>
      <c r="BE43" s="1186">
        <v>2041</v>
      </c>
      <c r="BH43" s="1134" t="s">
        <v>1633</v>
      </c>
      <c r="BJ43" s="1283" t="s">
        <v>1627</v>
      </c>
      <c r="BL43" s="1283" t="s">
        <v>1627</v>
      </c>
      <c r="BN43" s="1134" t="s">
        <v>1634</v>
      </c>
    </row>
    <row customHeight="1" ht="11.25">
      <c r="A44" s="1140" t="s">
        <v>1635</v>
      </c>
      <c r="G44" s="1160">
        <f>YEAR(TODAY())</f>
        <v>2024</v>
      </c>
      <c r="I44" s="865" t="s">
        <v>1636</v>
      </c>
      <c r="J44" s="1155" t="s">
        <v>1637</v>
      </c>
      <c r="K44" s="1155" t="s">
        <v>1638</v>
      </c>
      <c r="AX44" s="1186" t="s">
        <v>1639</v>
      </c>
      <c r="AZ44" s="1186" t="s">
        <v>1281</v>
      </c>
      <c r="BE44" s="1186">
        <v>2042</v>
      </c>
      <c r="BH44" s="1134" t="s">
        <v>1640</v>
      </c>
      <c r="BJ44" s="1283" t="s">
        <v>1053</v>
      </c>
      <c r="BL44" s="1283" t="s">
        <v>1053</v>
      </c>
      <c r="BN44" s="1134" t="s">
        <v>1641</v>
      </c>
    </row>
    <row customHeight="1" ht="11.25">
      <c r="A45" s="1140" t="s">
        <v>1642</v>
      </c>
      <c r="D45" s="1177" t="s">
        <v>1643</v>
      </c>
      <c r="E45" s="1178" t="s">
        <v>1644</v>
      </c>
      <c r="F45" s="863" t="s">
        <v>1645</v>
      </c>
      <c r="G45" s="862" t="s">
        <v>1646</v>
      </c>
      <c r="H45" s="865" t="s">
        <v>1647</v>
      </c>
      <c r="I45" s="1807">
        <f>INDEX(PeriodIsEmptyList,MATCH(TEMPLATE_GROUP,CodeTemplateList,0),1)</f>
        <v>0</v>
      </c>
      <c r="J45" s="1810" t="str">
        <f>INDEX(NameTemplatesInTitleList,MATCH(TEMPLATE_GROUP,CodeTemplateList,0),1)</f>
        <v>Показатели, подлежащие раскрытию в сфере теплоснабжения (цены и тарифы)</v>
      </c>
      <c r="K45" s="18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6" t="s">
        <v>1648</v>
      </c>
      <c r="AZ45" s="1186" t="s">
        <v>1314</v>
      </c>
      <c r="BE45" s="1186">
        <v>2043</v>
      </c>
      <c r="BH45" s="1134" t="s">
        <v>1649</v>
      </c>
      <c r="BJ45" s="1283" t="s">
        <v>1047</v>
      </c>
      <c r="BL45" s="1283" t="s">
        <v>1047</v>
      </c>
      <c r="BN45" s="1134" t="s">
        <v>1650</v>
      </c>
    </row>
    <row customHeight="1" ht="11.25">
      <c r="A46" s="1140" t="s">
        <v>1651</v>
      </c>
      <c r="E46" s="473" t="s">
        <v>26</v>
      </c>
      <c r="F46" s="1180" t="s">
        <v>1652</v>
      </c>
      <c r="G46" s="1182" t="str">
        <f>_xlfn.IFERROR(IF(TITLE_DATE_FIL="","01.01."&amp;CURRENT_YEAR,"01.01."&amp;YEAR(TITLE_DATE_FIL)),"01.01."&amp;CURRENT_YEAR)</f>
        <v>01.01.2024</v>
      </c>
      <c r="H46" s="1182" t="str">
        <f>_xlfn.IFERROR(IF(TITLE_DATE_FIL="","31.12."&amp;CURRENT_YEAR,"31.12."&amp;YEAR(TITLE_DATE_FIL)),"31.12."&amp;CURRENT_YEAR)</f>
        <v>31.12.2024</v>
      </c>
      <c r="I46" s="1808">
        <f>IF(TITLE_DATE_FIL="",TRUE,FALSE)</f>
        <v>1</v>
      </c>
      <c r="J46" s="1811" t="str">
        <f>"Общая информация о регулируемой организации ("&amp;TEMPLATE_SPHERE_RUS&amp;")"</f>
        <v>Общая информация о регулируемой организации (теплоснабжения)</v>
      </c>
      <c r="K46" s="1812"/>
      <c r="AX46" s="1186" t="s">
        <v>1653</v>
      </c>
      <c r="AZ46" s="1186" t="s">
        <v>1338</v>
      </c>
      <c r="BE46" s="1186">
        <v>2044</v>
      </c>
      <c r="BH46" s="1134" t="s">
        <v>1056</v>
      </c>
      <c r="BJ46" s="1283" t="s">
        <v>1037</v>
      </c>
      <c r="BL46" s="1283" t="s">
        <v>1037</v>
      </c>
      <c r="BN46" s="1134" t="s">
        <v>1654</v>
      </c>
    </row>
    <row customHeight="1" ht="11.25">
      <c r="A47" s="1140" t="s">
        <v>1655</v>
      </c>
      <c r="E47" s="473" t="s">
        <v>33</v>
      </c>
      <c r="F47" s="1181" t="s">
        <v>1656</v>
      </c>
      <c r="G47" s="1182" t="str">
        <f>_xlfn.IFERROR(IF(f_year="","01.01."&amp;CURRENT_YEAR,IF(LEN(f_quart)=0,"01.01."&amp;f_year,IF(f_quart="I квартал","01.01."&amp;f_year,IF(f_quart="II квартал","01.04."&amp;f_year,(IF(f_quart="III квартал","01.07."&amp;f_year,"01.10."&amp;f_year)))))),"01.01."&amp;CURRENT_YEAR)</f>
        <v>01.01.2024</v>
      </c>
      <c r="H47" s="1182" t="str">
        <f>_xlfn.IFERROR(IF(f_year="","31.12."&amp;CURRENT_YEAR,IF(LEN(f_quart)=0,"31.12."&amp;f_year,IF(f_quart="I квартал","31.03."&amp;f_year,IF(f_quart="II квартал","30.06."&amp;f_year,(IF(f_quart="III квартал","30.09."&amp;f_year,"31.12."&amp;f_year)))))),"31.12."&amp;CURRENT_YEAR)</f>
        <v>31.12.2024</v>
      </c>
      <c r="I47" s="1809">
        <f>IF(OR(f_year="",f_quart=""),TRUE,FALSE)</f>
        <v>1</v>
      </c>
      <c r="J47" s="18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2"/>
      <c r="AX47" s="1186" t="s">
        <v>1657</v>
      </c>
      <c r="AZ47" s="1186" t="s">
        <v>1357</v>
      </c>
      <c r="BE47" s="1186">
        <v>2045</v>
      </c>
      <c r="BH47" s="1134" t="s">
        <v>1630</v>
      </c>
      <c r="BJ47" s="1283" t="s">
        <v>1039</v>
      </c>
      <c r="BL47" s="1283" t="s">
        <v>1039</v>
      </c>
      <c r="BN47" s="1134" t="s">
        <v>1658</v>
      </c>
    </row>
    <row customHeight="1" ht="11.25">
      <c r="A48" s="1140" t="s">
        <v>1659</v>
      </c>
      <c r="E48" s="473" t="s">
        <v>1660</v>
      </c>
      <c r="F48" s="1181" t="s">
        <v>1661</v>
      </c>
      <c r="G48" s="1182" t="str">
        <f>_xlfn.IFERROR(IF(f_year="","01.01."&amp;CURRENT_YEAR,"01.01."&amp;f_year),"01.01."&amp;CURRENT_YEAR)</f>
        <v>01.01.2024</v>
      </c>
      <c r="H48" s="1182" t="str">
        <f>_xlfn.IFERROR(IF(f_year="","31.12."&amp;CURRENT_YEAR,"31.12."&amp;f_year),"31.12."&amp;CURRENT_YEAR)</f>
        <v>31.12.2024</v>
      </c>
      <c r="I48" s="1808">
        <f>IF(f_year="",TRUE,FALSE)</f>
        <v>1</v>
      </c>
      <c r="J48" s="1811" t="s">
        <v>1662</v>
      </c>
      <c r="K48" s="1812"/>
      <c r="AX48" s="1186" t="s">
        <v>1663</v>
      </c>
      <c r="AZ48" s="1186" t="s">
        <v>1374</v>
      </c>
      <c r="BE48" s="1186">
        <v>2046</v>
      </c>
      <c r="BH48" s="1134" t="s">
        <v>1634</v>
      </c>
      <c r="BJ48" s="1283" t="s">
        <v>1041</v>
      </c>
      <c r="BL48" s="1283" t="s">
        <v>1041</v>
      </c>
      <c r="BN48" s="1134" t="s">
        <v>1664</v>
      </c>
    </row>
    <row customHeight="1" ht="11.25">
      <c r="A49" s="1140" t="s">
        <v>1665</v>
      </c>
      <c r="E49" s="473" t="s">
        <v>1666</v>
      </c>
      <c r="F49" s="1181" t="s">
        <v>1667</v>
      </c>
      <c r="G49" s="1182" t="str">
        <f>_xlfn.IFERROR(IF(f_year="","01.01."&amp;CURRENT_YEAR,"01.01."&amp;f_year),"01.01."&amp;CURRENT_YEAR)</f>
        <v>01.01.2024</v>
      </c>
      <c r="H49" s="1182" t="str">
        <f>_xlfn.IFERROR(IF(f_year="","31.12."&amp;CURRENT_YEAR,"31.12."&amp;f_year),"31.12."&amp;CURRENT_YEAR)</f>
        <v>31.12.2024</v>
      </c>
      <c r="I49" s="1808">
        <f>IF(f_year="",TRUE,FALSE)</f>
        <v>1</v>
      </c>
      <c r="J49" s="18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2"/>
      <c r="AX49" s="1186" t="s">
        <v>1668</v>
      </c>
      <c r="AZ49" s="1186" t="s">
        <v>1390</v>
      </c>
      <c r="BE49" s="1186">
        <v>2047</v>
      </c>
      <c r="BH49" s="1134" t="s">
        <v>1057</v>
      </c>
      <c r="BJ49" s="1283" t="s">
        <v>1043</v>
      </c>
      <c r="BL49" s="1283" t="s">
        <v>1043</v>
      </c>
    </row>
    <row customHeight="1" ht="11.25">
      <c r="A50" s="1140" t="s">
        <v>1669</v>
      </c>
      <c r="E50" s="473" t="s">
        <v>1670</v>
      </c>
      <c r="F50" s="1181" t="s">
        <v>1027</v>
      </c>
      <c r="G50" s="1182" t="str">
        <f>_xlfn.IFERROR(IF(f_year="","01.01."&amp;CURRENT_YEAR,"01.01."&amp;f_year),"01.01."&amp;CURRENT_YEAR)</f>
        <v>01.01.2024</v>
      </c>
      <c r="H50" s="1182" t="str">
        <f>_xlfn.IFERROR(IF(f_year="","31.12."&amp;CURRENT_YEAR,"31.12."&amp;f_year),"31.12."&amp;CURRENT_YEAR)</f>
        <v>31.12.2024</v>
      </c>
      <c r="I50" s="1808">
        <f>IF(f_year="",TRUE,FALSE)</f>
        <v>1</v>
      </c>
      <c r="J50" s="18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2"/>
      <c r="AX50" s="1186" t="s">
        <v>1671</v>
      </c>
      <c r="AZ50" s="1186" t="s">
        <v>1406</v>
      </c>
      <c r="BE50" s="1186">
        <v>2048</v>
      </c>
      <c r="BH50" s="1134" t="s">
        <v>1641</v>
      </c>
      <c r="BJ50" s="1283" t="s">
        <v>1045</v>
      </c>
      <c r="BL50" s="1283" t="s">
        <v>1045</v>
      </c>
    </row>
    <row customHeight="1" ht="11.25">
      <c r="A51" s="1140" t="s">
        <v>1672</v>
      </c>
      <c r="E51" s="473" t="s">
        <v>1673</v>
      </c>
      <c r="F51" s="1181" t="s">
        <v>1674</v>
      </c>
      <c r="G51" s="1182" t="str">
        <f>_xlfn.IFERROR(IF(TITLE_PERIOD_START="","01.01."&amp;CURRENT_YEAR,"01.01."&amp;YEAR(TITLE_PERIOD_START)),"01.01."&amp;CURRENT_YEAR)</f>
        <v>01.01.2024</v>
      </c>
      <c r="H51" s="1182" t="str">
        <f>_xlfn.IFERROR(IF(TITLE_PERIOD_END="","31.12."&amp;CURRENT_YEAR,"31.12."&amp;YEAR(TITLE_PERIOD_END)),"31.12."&amp;CURRENT_YEAR)</f>
        <v>31.12.2028</v>
      </c>
      <c r="I51" s="1809">
        <f>IF(OR(TITLE_PERIOD_START="",TITLE_PERIOD_END=""),TRUE,FALSE)</f>
        <v>0</v>
      </c>
      <c r="J51" s="18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2"/>
      <c r="AX51" s="1186" t="s">
        <v>1675</v>
      </c>
      <c r="AZ51" s="1186" t="s">
        <v>1422</v>
      </c>
      <c r="BE51" s="1186">
        <v>2049</v>
      </c>
      <c r="BH51" s="1134" t="s">
        <v>1650</v>
      </c>
      <c r="BJ51" s="1283" t="s">
        <v>1676</v>
      </c>
      <c r="BL51" s="1283" t="s">
        <v>1676</v>
      </c>
    </row>
    <row customHeight="1" ht="11.25">
      <c r="A52" s="1140" t="s">
        <v>1677</v>
      </c>
      <c r="E52" s="473" t="s">
        <v>1678</v>
      </c>
      <c r="F52" s="1181" t="s">
        <v>1644</v>
      </c>
      <c r="G52" s="1182" t="str">
        <f>_xlfn.IFERROR(IF(TITLE_PERIOD_START="","01.01."&amp;CURRENT_YEAR,"01.01."&amp;YEAR(TITLE_PERIOD_START)),"01.01."&amp;CURRENT_YEAR)</f>
        <v>01.01.2024</v>
      </c>
      <c r="H52" s="1182" t="str">
        <f>_xlfn.IFERROR(IF(TITLE_PERIOD_END="","31.12."&amp;CURRENT_YEAR,"31.12."&amp;YEAR(TITLE_PERIOD_END)),"31.12."&amp;CURRENT_YEAR)</f>
        <v>31.12.2028</v>
      </c>
      <c r="I52" s="1809">
        <f>IF(OR(TITLE_PERIOD_START="",TITLE_PERIOD_END=""),TRUE,FALSE)</f>
        <v>0</v>
      </c>
      <c r="J52" s="1811" t="str">
        <f>"Показатели, подлежащие раскрытию в сфере "&amp;TEMPLATE_SPHERE_RUS&amp;" (цены и тарифы)"</f>
        <v>Показатели, подлежащие раскрытию в сфере теплоснабжения (цены и тарифы)</v>
      </c>
      <c r="K52" s="1812"/>
      <c r="AX52" s="1186" t="s">
        <v>1679</v>
      </c>
      <c r="AZ52" s="1186" t="s">
        <v>456</v>
      </c>
      <c r="BE52" s="1186">
        <v>2050</v>
      </c>
      <c r="BH52" s="1134" t="s">
        <v>1654</v>
      </c>
      <c r="BJ52" s="1283" t="s">
        <v>1056</v>
      </c>
      <c r="BL52" s="1283" t="s">
        <v>1056</v>
      </c>
    </row>
    <row customHeight="1" ht="11.25">
      <c r="A53" s="1140" t="s">
        <v>1680</v>
      </c>
      <c r="E53" s="473" t="s">
        <v>1681</v>
      </c>
      <c r="F53" s="1181" t="s">
        <v>1681</v>
      </c>
      <c r="G53" s="1182" t="str">
        <f>_xlfn.IFERROR(IF(f_year="","01.01."&amp;CURRENT_YEAR,"01.01."&amp;f_year),"01.01."&amp;CURRENT_YEAR)</f>
        <v>01.01.2024</v>
      </c>
      <c r="H53" s="1182" t="str">
        <f>_xlfn.IFERROR(IF(f_year="","31.12."&amp;CURRENT_YEAR,"31.12."&amp;f_year),"31.12."&amp;CURRENT_YEAR)</f>
        <v>31.12.2024</v>
      </c>
      <c r="I53" s="1808">
        <f>IF(AND(f_year="",TITLE_DATE_FIL=""),TRUE,FALSE)</f>
        <v>1</v>
      </c>
      <c r="J53" s="1811" t="s">
        <v>1682</v>
      </c>
      <c r="K53" s="1812"/>
      <c r="AX53" s="1186" t="s">
        <v>1683</v>
      </c>
      <c r="BE53" s="1186">
        <v>2051</v>
      </c>
      <c r="BH53" s="1134" t="s">
        <v>1658</v>
      </c>
      <c r="BJ53" s="1283" t="s">
        <v>1630</v>
      </c>
      <c r="BL53" s="1283" t="s">
        <v>1630</v>
      </c>
    </row>
    <row customHeight="1" ht="11.25">
      <c r="A54" s="1140" t="s">
        <v>1684</v>
      </c>
      <c r="AX54" s="1186" t="s">
        <v>1685</v>
      </c>
      <c r="AZ54" s="1133" t="s">
        <v>1686</v>
      </c>
      <c r="BE54" s="1186">
        <v>2052</v>
      </c>
      <c r="BH54" s="1134" t="s">
        <v>1664</v>
      </c>
      <c r="BJ54" s="1283" t="s">
        <v>1634</v>
      </c>
      <c r="BL54" s="1283" t="s">
        <v>1634</v>
      </c>
    </row>
    <row customHeight="1" ht="11.25">
      <c r="A55" s="1140" t="s">
        <v>1687</v>
      </c>
      <c r="AX55" s="1186" t="s">
        <v>1688</v>
      </c>
      <c r="AZ55" s="1186" t="s">
        <v>1223</v>
      </c>
      <c r="BE55" s="1186">
        <v>2053</v>
      </c>
      <c r="BH55" s="1136" t="s">
        <v>28</v>
      </c>
      <c r="BJ55" s="1283" t="s">
        <v>1057</v>
      </c>
      <c r="BL55" s="1283" t="s">
        <v>1057</v>
      </c>
    </row>
    <row customHeight="1" ht="11.25">
      <c r="A56" s="1140" t="s">
        <v>1689</v>
      </c>
      <c r="D56" s="1184" t="s">
        <v>1690</v>
      </c>
      <c r="E56" s="1161" t="s">
        <v>116</v>
      </c>
      <c r="F56" s="1140" t="s">
        <v>1691</v>
      </c>
      <c r="AX56" s="1186" t="s">
        <v>1692</v>
      </c>
      <c r="AZ56" s="1186" t="s">
        <v>1249</v>
      </c>
      <c r="BE56" s="1186">
        <v>2054</v>
      </c>
      <c r="BH56" s="1136" t="s">
        <v>28</v>
      </c>
      <c r="BJ56" s="1283" t="s">
        <v>1641</v>
      </c>
      <c r="BL56" s="1283" t="s">
        <v>1641</v>
      </c>
    </row>
    <row customHeight="1" ht="11.25">
      <c r="A57" s="1140" t="s">
        <v>1693</v>
      </c>
      <c r="D57" s="1184" t="s">
        <v>1694</v>
      </c>
      <c r="E57" s="1161" t="s">
        <v>116</v>
      </c>
      <c r="F57" s="1140" t="s">
        <v>1691</v>
      </c>
      <c r="AX57" s="1186" t="s">
        <v>1695</v>
      </c>
      <c r="AZ57" s="1186" t="s">
        <v>1284</v>
      </c>
      <c r="BE57" s="1186">
        <v>2055</v>
      </c>
      <c r="BJ57" s="1283" t="s">
        <v>1650</v>
      </c>
      <c r="BL57" s="1283" t="s">
        <v>1650</v>
      </c>
    </row>
    <row customHeight="1" ht="11.25">
      <c r="A58" s="1140" t="s">
        <v>1696</v>
      </c>
      <c r="D58" s="1184" t="s">
        <v>1697</v>
      </c>
      <c r="E58" s="1161" t="s">
        <v>116</v>
      </c>
      <c r="F58" s="1140" t="s">
        <v>1691</v>
      </c>
      <c r="AX58" s="1186" t="s">
        <v>1698</v>
      </c>
      <c r="BE58" s="1186">
        <v>2056</v>
      </c>
      <c r="BJ58" s="1283" t="s">
        <v>1654</v>
      </c>
      <c r="BL58" s="1283" t="s">
        <v>1654</v>
      </c>
    </row>
    <row customHeight="1" ht="11.25">
      <c r="A59" s="1140" t="s">
        <v>1699</v>
      </c>
      <c r="D59" s="1184" t="s">
        <v>136</v>
      </c>
      <c r="E59" s="1161" t="s">
        <v>1586</v>
      </c>
      <c r="F59" s="1140" t="s">
        <v>1700</v>
      </c>
      <c r="AX59" s="1186" t="s">
        <v>1701</v>
      </c>
      <c r="AZ59" s="1133" t="s">
        <v>1702</v>
      </c>
      <c r="BE59" s="1186">
        <v>2057</v>
      </c>
      <c r="BJ59" s="1283" t="s">
        <v>1658</v>
      </c>
      <c r="BL59" s="1283" t="s">
        <v>1658</v>
      </c>
    </row>
    <row customHeight="1" ht="11.25">
      <c r="A60" s="1140" t="s">
        <v>1703</v>
      </c>
      <c r="D60" s="1184" t="s">
        <v>1704</v>
      </c>
      <c r="E60" s="1161" t="s">
        <v>1586</v>
      </c>
      <c r="F60" s="1140" t="s">
        <v>1700</v>
      </c>
      <c r="AX60" s="1186" t="s">
        <v>1705</v>
      </c>
      <c r="AZ60" s="1186" t="s">
        <v>1224</v>
      </c>
      <c r="BE60" s="1186">
        <v>2058</v>
      </c>
      <c r="BJ60" s="1283" t="s">
        <v>1664</v>
      </c>
      <c r="BL60" s="1283" t="s">
        <v>1664</v>
      </c>
    </row>
    <row customHeight="1" ht="11.25">
      <c r="A61" s="1140" t="s">
        <v>1706</v>
      </c>
      <c r="D61" s="1184" t="s">
        <v>1707</v>
      </c>
      <c r="E61" s="1161" t="s">
        <v>1586</v>
      </c>
      <c r="F61" s="1140" t="s">
        <v>1700</v>
      </c>
      <c r="AX61" s="1186" t="s">
        <v>1708</v>
      </c>
      <c r="AZ61" s="1186" t="s">
        <v>1250</v>
      </c>
      <c r="BE61" s="1186">
        <v>2059</v>
      </c>
      <c r="BL61" s="1283" t="s">
        <v>1049</v>
      </c>
    </row>
    <row customHeight="1" ht="11.25">
      <c r="A62" s="1140" t="s">
        <v>1709</v>
      </c>
      <c r="D62" s="1184" t="s">
        <v>135</v>
      </c>
      <c r="E62" s="1161">
        <v>30</v>
      </c>
      <c r="F62" s="1140" t="s">
        <v>1700</v>
      </c>
      <c r="AZ62" s="1186" t="s">
        <v>1285</v>
      </c>
      <c r="BE62" s="1186">
        <v>2060</v>
      </c>
      <c r="BL62" s="1283" t="s">
        <v>1051</v>
      </c>
    </row>
    <row customHeight="1" ht="11.25">
      <c r="A63" s="1140" t="s">
        <v>1710</v>
      </c>
      <c r="D63" s="1184" t="s">
        <v>1711</v>
      </c>
      <c r="E63" s="1161">
        <v>30</v>
      </c>
      <c r="F63" s="1140" t="s">
        <v>1700</v>
      </c>
      <c r="AZ63" s="1186" t="s">
        <v>1316</v>
      </c>
      <c r="BE63" s="1186">
        <v>2061</v>
      </c>
    </row>
    <row customHeight="1" ht="11.25">
      <c r="A64" s="1140" t="s">
        <v>1712</v>
      </c>
      <c r="D64" s="1184" t="s">
        <v>1713</v>
      </c>
      <c r="E64" s="1161">
        <v>30</v>
      </c>
      <c r="F64" s="1140" t="s">
        <v>1700</v>
      </c>
      <c r="AZ64" s="1186" t="s">
        <v>1339</v>
      </c>
      <c r="BE64" s="1186">
        <v>2062</v>
      </c>
    </row>
    <row customHeight="1" ht="11.25">
      <c r="A65" s="1140" t="s">
        <v>1714</v>
      </c>
      <c r="D65" s="1140"/>
      <c r="BE65" s="1186">
        <v>2063</v>
      </c>
    </row>
    <row customHeight="1" ht="11.25">
      <c r="A66" s="1140" t="s">
        <v>1715</v>
      </c>
      <c r="AZ66" s="1133" t="s">
        <v>1716</v>
      </c>
      <c r="BE66" s="1186">
        <v>2064</v>
      </c>
    </row>
    <row customHeight="1" ht="11.25">
      <c r="A67" s="1140" t="s">
        <v>1717</v>
      </c>
      <c r="AZ67" s="1186" t="s">
        <v>1225</v>
      </c>
      <c r="BE67" s="1186">
        <v>2065</v>
      </c>
    </row>
    <row customHeight="1" ht="11.25">
      <c r="A68" s="1140" t="s">
        <v>1718</v>
      </c>
      <c r="AZ68" s="1186" t="s">
        <v>1251</v>
      </c>
      <c r="BE68" s="1186">
        <v>2066</v>
      </c>
      <c r="BH68" s="1133" t="s">
        <v>1719</v>
      </c>
      <c r="BJ68" s="1133" t="s">
        <v>1720</v>
      </c>
      <c r="BL68" s="1133" t="s">
        <v>1721</v>
      </c>
      <c r="BN68" s="1133" t="s">
        <v>1722</v>
      </c>
    </row>
    <row customHeight="1" ht="11.25">
      <c r="A69" s="1140" t="s">
        <v>1723</v>
      </c>
      <c r="AZ69" s="1186" t="s">
        <v>1286</v>
      </c>
      <c r="BE69" s="1186">
        <v>2067</v>
      </c>
      <c r="BH69" s="1134" t="s">
        <v>1724</v>
      </c>
      <c r="BI69" s="1183" t="s">
        <v>114</v>
      </c>
      <c r="BJ69" s="1134" t="s">
        <v>1725</v>
      </c>
      <c r="BK69" s="1183" t="s">
        <v>114</v>
      </c>
      <c r="BL69" s="1134" t="s">
        <v>1726</v>
      </c>
      <c r="BM69" s="1136" t="s">
        <v>114</v>
      </c>
      <c r="BN69" s="1134" t="s">
        <v>1727</v>
      </c>
    </row>
    <row customHeight="1" ht="11.25">
      <c r="A70" s="1140" t="s">
        <v>1728</v>
      </c>
      <c r="AZ70" s="1186" t="s">
        <v>1317</v>
      </c>
      <c r="BE70" s="1186">
        <v>2068</v>
      </c>
      <c r="BH70" s="1134" t="s">
        <v>1729</v>
      </c>
      <c r="BJ70" s="1134" t="s">
        <v>1730</v>
      </c>
      <c r="BL70" s="1134" t="s">
        <v>1731</v>
      </c>
      <c r="BN70" s="1134" t="s">
        <v>1732</v>
      </c>
    </row>
    <row customHeight="1" ht="11.25">
      <c r="A71" s="1140" t="s">
        <v>1733</v>
      </c>
      <c r="AZ71" s="1186" t="s">
        <v>1319</v>
      </c>
      <c r="BE71" s="1186">
        <v>2069</v>
      </c>
      <c r="BH71" s="1134" t="s">
        <v>1734</v>
      </c>
      <c r="BI71" s="1183" t="s">
        <v>95</v>
      </c>
      <c r="BJ71" s="1134" t="s">
        <v>1735</v>
      </c>
      <c r="BK71" s="1183" t="s">
        <v>95</v>
      </c>
      <c r="BL71" s="1134" t="s">
        <v>1736</v>
      </c>
      <c r="BM71" s="1136" t="s">
        <v>95</v>
      </c>
      <c r="BN71" s="1134" t="s">
        <v>1737</v>
      </c>
    </row>
    <row customHeight="1" ht="11.25">
      <c r="A72" s="1140" t="s">
        <v>1738</v>
      </c>
      <c r="AZ72" s="1186" t="s">
        <v>19</v>
      </c>
      <c r="BE72" s="1186">
        <v>2070</v>
      </c>
      <c r="BH72" s="1134" t="s">
        <v>1739</v>
      </c>
      <c r="BJ72" s="1134" t="s">
        <v>1739</v>
      </c>
      <c r="BL72" s="1134" t="s">
        <v>1739</v>
      </c>
      <c r="BN72" s="1134" t="s">
        <v>1740</v>
      </c>
    </row>
    <row customHeight="1" ht="11.25">
      <c r="A73" s="1140" t="s">
        <v>1741</v>
      </c>
      <c r="BH73" s="1134" t="s">
        <v>1742</v>
      </c>
      <c r="BI73" s="1183" t="s">
        <v>116</v>
      </c>
      <c r="BJ73" s="1134" t="s">
        <v>1743</v>
      </c>
      <c r="BK73" s="1183" t="s">
        <v>116</v>
      </c>
      <c r="BL73" s="1134" t="s">
        <v>1744</v>
      </c>
      <c r="BM73" s="1136" t="s">
        <v>116</v>
      </c>
      <c r="BN73" s="1134" t="s">
        <v>1745</v>
      </c>
    </row>
    <row customHeight="1" ht="11.25">
      <c r="A74" s="1140" t="s">
        <v>1746</v>
      </c>
      <c r="BH74" s="1134" t="s">
        <v>1747</v>
      </c>
      <c r="BJ74" s="1134" t="s">
        <v>1748</v>
      </c>
      <c r="BL74" s="1134" t="s">
        <v>1749</v>
      </c>
      <c r="BN74" s="1134" t="s">
        <v>1750</v>
      </c>
    </row>
    <row customHeight="1" ht="11.25">
      <c r="A75" s="1140" t="s">
        <v>1751</v>
      </c>
      <c r="AZ75" s="1133" t="s">
        <v>1752</v>
      </c>
      <c r="BH75" s="1134" t="s">
        <v>1753</v>
      </c>
      <c r="BJ75" s="1134" t="s">
        <v>1753</v>
      </c>
      <c r="BL75" s="1134" t="s">
        <v>1753</v>
      </c>
    </row>
    <row customHeight="1" ht="11.25">
      <c r="A76" s="1140" t="s">
        <v>1754</v>
      </c>
      <c r="AZ76" s="1186" t="s">
        <v>1234</v>
      </c>
      <c r="BH76" s="1134" t="s">
        <v>1755</v>
      </c>
      <c r="BJ76" s="1134" t="s">
        <v>1756</v>
      </c>
      <c r="BL76" s="1134" t="s">
        <v>1757</v>
      </c>
    </row>
    <row customHeight="1" ht="11.25">
      <c r="A77" s="1140" t="s">
        <v>1758</v>
      </c>
      <c r="AZ77" s="1186" t="s">
        <v>1261</v>
      </c>
    </row>
    <row customHeight="1" ht="11.25">
      <c r="A78" s="1140" t="s">
        <v>1759</v>
      </c>
      <c r="AZ78" s="1186" t="s">
        <v>1293</v>
      </c>
    </row>
    <row customHeight="1" ht="11.25">
      <c r="A79" s="1140" t="s">
        <v>1760</v>
      </c>
      <c r="AZ79" s="1186" t="s">
        <v>1323</v>
      </c>
      <c r="BH79" s="1133" t="s">
        <v>1761</v>
      </c>
      <c r="BJ79" s="1133" t="s">
        <v>1762</v>
      </c>
      <c r="BL79" s="1133" t="s">
        <v>1763</v>
      </c>
    </row>
    <row customHeight="1" ht="11.25">
      <c r="A80" s="1140" t="s">
        <v>1764</v>
      </c>
      <c r="AZ80" s="1186" t="s">
        <v>1344</v>
      </c>
      <c r="BH80" s="1134" t="s">
        <v>1765</v>
      </c>
      <c r="BJ80" s="1134" t="s">
        <v>1766</v>
      </c>
      <c r="BL80" s="1134" t="s">
        <v>1767</v>
      </c>
    </row>
    <row customHeight="1" ht="11.25">
      <c r="A81" s="1140" t="s">
        <v>1768</v>
      </c>
      <c r="AZ81" s="1186" t="s">
        <v>1361</v>
      </c>
      <c r="BH81" s="1134" t="s">
        <v>1769</v>
      </c>
      <c r="BJ81" s="1134" t="s">
        <v>1770</v>
      </c>
      <c r="BL81" s="1134" t="s">
        <v>1771</v>
      </c>
    </row>
    <row customHeight="1" ht="11.25">
      <c r="A82" s="1140" t="s">
        <v>1772</v>
      </c>
      <c r="AZ82" s="1186" t="s">
        <v>1376</v>
      </c>
      <c r="BH82" s="1134" t="s">
        <v>1773</v>
      </c>
      <c r="BJ82" s="1134" t="s">
        <v>1774</v>
      </c>
      <c r="BL82" s="1134" t="s">
        <v>1775</v>
      </c>
    </row>
    <row customHeight="1" ht="11.25">
      <c r="A83" s="1140" t="s">
        <v>1776</v>
      </c>
      <c r="BH83" s="1134" t="s">
        <v>1777</v>
      </c>
      <c r="BJ83" s="1134" t="s">
        <v>1778</v>
      </c>
      <c r="BL83" s="1134" t="s">
        <v>1779</v>
      </c>
    </row>
    <row customHeight="1" ht="11.25">
      <c r="A84" s="1140" t="s">
        <v>1780</v>
      </c>
      <c r="AZ84" s="1133" t="s">
        <v>1781</v>
      </c>
    </row>
    <row customHeight="1" ht="11.25">
      <c r="A85" s="1936" t="s">
        <v>1782</v>
      </c>
      <c r="AZ85" s="1186" t="s">
        <v>1783</v>
      </c>
    </row>
    <row customHeight="1" ht="11.25">
      <c r="A86" s="1140" t="s">
        <v>1784</v>
      </c>
      <c r="AZ86" s="1186" t="s">
        <v>1785</v>
      </c>
      <c r="BH86" s="1133" t="s">
        <v>1786</v>
      </c>
      <c r="BJ86" s="1133" t="s">
        <v>1787</v>
      </c>
      <c r="BL86" s="1133" t="s">
        <v>1788</v>
      </c>
    </row>
    <row customHeight="1" ht="11.25">
      <c r="A87" s="1140" t="s">
        <v>1789</v>
      </c>
      <c r="AZ87" s="1186" t="s">
        <v>1790</v>
      </c>
      <c r="BH87" s="1134" t="s">
        <v>1791</v>
      </c>
      <c r="BJ87" s="1134" t="s">
        <v>1792</v>
      </c>
      <c r="BL87" s="1134" t="s">
        <v>1793</v>
      </c>
    </row>
    <row customHeight="1" ht="11.25">
      <c r="A88" s="1140" t="s">
        <v>1794</v>
      </c>
      <c r="AZ88" s="1672"/>
      <c r="BH88" s="1134" t="s">
        <v>1795</v>
      </c>
      <c r="BJ88" s="1134" t="s">
        <v>1796</v>
      </c>
      <c r="BL88" s="1134" t="s">
        <v>1797</v>
      </c>
    </row>
    <row customHeight="1" ht="11.25">
      <c r="A89" s="1140" t="s">
        <v>1798</v>
      </c>
      <c r="AZ89" s="1133" t="s">
        <v>1799</v>
      </c>
    </row>
    <row customHeight="1" ht="11.25">
      <c r="A90" s="1140" t="s">
        <v>16</v>
      </c>
      <c r="AZ90" s="1186" t="s">
        <v>1027</v>
      </c>
    </row>
    <row customHeight="1" ht="11.25">
      <c r="A91" s="1140" t="s">
        <v>1800</v>
      </c>
      <c r="AZ91" s="1186" t="s">
        <v>1063</v>
      </c>
      <c r="BH91" s="1133" t="s">
        <v>1801</v>
      </c>
      <c r="BJ91" s="1133" t="s">
        <v>1802</v>
      </c>
      <c r="BL91" s="1133" t="s">
        <v>1803</v>
      </c>
    </row>
    <row customHeight="1" ht="11.25">
      <c r="AZ92" s="1186" t="s">
        <v>1804</v>
      </c>
      <c r="BH92" s="1134" t="s">
        <v>1805</v>
      </c>
      <c r="BJ92" s="1134" t="s">
        <v>1806</v>
      </c>
      <c r="BL92" s="1134" t="s">
        <v>1807</v>
      </c>
    </row>
    <row customHeight="1" ht="11.25">
      <c r="AZ93" s="1186" t="s">
        <v>1808</v>
      </c>
      <c r="BH93" s="1134" t="s">
        <v>1809</v>
      </c>
      <c r="BJ93" s="1134" t="s">
        <v>1810</v>
      </c>
      <c r="BL93" s="1134" t="s">
        <v>1811</v>
      </c>
    </row>
    <row customHeight="1" ht="11.25">
      <c r="AZ94" s="1186" t="s">
        <v>1812</v>
      </c>
    </row>
    <row r="96" customHeight="1" ht="11.25">
      <c r="AZ96" s="1133" t="s">
        <v>1813</v>
      </c>
      <c r="BH96" s="1133" t="s">
        <v>1814</v>
      </c>
      <c r="BJ96" s="1133" t="s">
        <v>1815</v>
      </c>
      <c r="BL96" s="1133" t="s">
        <v>1816</v>
      </c>
      <c r="BN96" s="1133" t="s">
        <v>1817</v>
      </c>
    </row>
    <row customHeight="1" ht="11.25">
      <c r="AZ97" s="1967" t="s">
        <v>1818</v>
      </c>
      <c r="BA97" s="1968" t="s">
        <v>1819</v>
      </c>
      <c r="BH97" s="1134" t="s">
        <v>1820</v>
      </c>
      <c r="BJ97" s="1134" t="s">
        <v>1821</v>
      </c>
      <c r="BL97" s="1134" t="s">
        <v>1822</v>
      </c>
      <c r="BN97" s="1134" t="s">
        <v>1823</v>
      </c>
    </row>
    <row customHeight="1" ht="11.25">
      <c r="AZ98" s="1967" t="s">
        <v>1824</v>
      </c>
      <c r="BA98" s="1968" t="s">
        <v>1825</v>
      </c>
      <c r="BH98" s="1134" t="s">
        <v>1826</v>
      </c>
      <c r="BJ98" s="1134" t="s">
        <v>1827</v>
      </c>
      <c r="BL98" s="1134" t="s">
        <v>1828</v>
      </c>
      <c r="BN98" s="1134" t="s">
        <v>1829</v>
      </c>
    </row>
    <row customHeight="1" ht="22.5">
      <c r="AZ99" s="1967" t="s">
        <v>1830</v>
      </c>
      <c r="BA99" s="196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4" t="s">
        <v>1831</v>
      </c>
      <c r="BJ99" s="1134" t="s">
        <v>1832</v>
      </c>
      <c r="BL99" s="1134" t="s">
        <v>1833</v>
      </c>
      <c r="BN99" s="1134" t="s">
        <v>1834</v>
      </c>
    </row>
    <row customHeight="1" ht="22.5">
      <c r="AZ100" s="1967" t="s">
        <v>1835</v>
      </c>
      <c r="BA100"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4" t="s">
        <v>1422</v>
      </c>
      <c r="BL100" s="1134" t="s">
        <v>1422</v>
      </c>
      <c r="BN100" s="1134" t="s">
        <v>1836</v>
      </c>
    </row>
    <row customHeight="1" ht="22.5">
      <c r="AZ101" s="1967" t="s">
        <v>1837</v>
      </c>
      <c r="BA101" s="1968" t="s">
        <v>1838</v>
      </c>
      <c r="BN101" s="1134" t="s">
        <v>1839</v>
      </c>
    </row>
    <row customHeight="1" ht="22.5">
      <c r="AZ102" s="1967" t="s">
        <v>1840</v>
      </c>
      <c r="BA102"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4" t="s">
        <v>1841</v>
      </c>
    </row>
    <row customHeight="1" ht="11.25">
      <c r="AZ103" s="1967" t="s">
        <v>1842</v>
      </c>
      <c r="BA103" s="1968" t="s">
        <v>1843</v>
      </c>
      <c r="BN103" s="1134" t="s">
        <v>1844</v>
      </c>
    </row>
    <row customHeight="1" ht="11.25">
      <c r="BN104" s="1134" t="s">
        <v>1845</v>
      </c>
    </row>
    <row customHeight="1" ht="11.25">
      <c r="AZ105" s="1758" t="s">
        <v>1846</v>
      </c>
    </row>
    <row customHeight="1" ht="11.25">
      <c r="AZ106" s="1186" t="s">
        <v>1847</v>
      </c>
    </row>
    <row customHeight="1" ht="11.25">
      <c r="AZ107" s="1186" t="s">
        <v>1848</v>
      </c>
      <c r="BH107" s="1133" t="s">
        <v>1849</v>
      </c>
      <c r="BJ107" s="1133" t="s">
        <v>1850</v>
      </c>
      <c r="BL107" s="1133" t="s">
        <v>1851</v>
      </c>
      <c r="BN107" s="1133" t="s">
        <v>1852</v>
      </c>
    </row>
    <row customHeight="1" ht="11.25">
      <c r="AZ108" s="1186" t="s">
        <v>580</v>
      </c>
      <c r="BH108" s="1134" t="s">
        <v>1853</v>
      </c>
      <c r="BJ108" s="1134" t="s">
        <v>1854</v>
      </c>
      <c r="BL108" s="1134" t="s">
        <v>1508</v>
      </c>
      <c r="BN108" s="1134" t="s">
        <v>1855</v>
      </c>
    </row>
    <row customHeight="1" ht="11.25">
      <c r="BH109" s="1134" t="s">
        <v>1856</v>
      </c>
    </row>
    <row customHeight="1" ht="11.25">
      <c r="AZ110" s="1758" t="s">
        <v>1857</v>
      </c>
      <c r="BH110" s="1134" t="s">
        <v>1856</v>
      </c>
    </row>
    <row customHeight="1" ht="11.25">
      <c r="AZ111" s="1967" t="s">
        <v>1818</v>
      </c>
      <c r="BA111" s="1968" t="s">
        <v>1819</v>
      </c>
    </row>
    <row customHeight="1" ht="11.25">
      <c r="AZ112" s="1967" t="s">
        <v>1824</v>
      </c>
      <c r="BA112" s="1968" t="s">
        <v>1825</v>
      </c>
    </row>
    <row customHeight="1" ht="22.5">
      <c r="AZ113" s="1967" t="s">
        <v>1830</v>
      </c>
      <c r="BA113" s="196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7" t="s">
        <v>1835</v>
      </c>
      <c r="BA114"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3" t="s">
        <v>1858</v>
      </c>
    </row>
    <row customHeight="1" ht="22.5">
      <c r="AZ115" s="1967" t="s">
        <v>1840</v>
      </c>
      <c r="BA115"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4" t="s">
        <v>456</v>
      </c>
    </row>
    <row customHeight="1" ht="11.25">
      <c r="AZ116" s="1967" t="s">
        <v>1842</v>
      </c>
      <c r="BA116" s="1968" t="s">
        <v>1843</v>
      </c>
      <c r="BH116" s="1134" t="s">
        <v>1247</v>
      </c>
    </row>
    <row customHeight="1" ht="11.25">
      <c r="BH117" s="1134" t="s">
        <v>1282</v>
      </c>
    </row>
    <row customHeight="1" ht="11.25">
      <c r="BH118" s="1134"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BF07E-92FB-564A-4F4F-C104572D235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92" width="15.00390625" hidden="1" customWidth="1"/>
    <col min="3" max="3" style="3290" width="3.00390625" customWidth="1"/>
    <col min="4" max="4" style="3371" width="6.00390625" customWidth="1"/>
    <col min="5" max="5" style="3290" width="52.00390625" customWidth="1"/>
    <col min="6" max="6" style="3290" width="48.00390625" customWidth="1"/>
    <col min="7" max="7" style="3290" width="93.00390625" customWidth="1"/>
    <col min="8" max="8" style="3290" width="8.00390625" customWidth="1"/>
    <col min="9" max="9" style="3290" width="64.00390625" customWidth="1"/>
    <col min="10" max="10" style="3290" width="9.140625" hidden="1"/>
  </cols>
  <sheetData>
    <row customHeight="1" ht="11.25" hidden="1">
      <c r="A1" s="567" t="s">
        <v>308</v>
      </c>
      <c r="J1" s="521" t="s">
        <v>14</v>
      </c>
    </row>
    <row customHeight="1" ht="22.5" hidden="1">
      <c r="A2" s="568"/>
      <c r="B2" s="568"/>
      <c r="C2" s="1796" t="s">
        <v>454</v>
      </c>
      <c r="D2" s="1586"/>
      <c r="E2" s="1592"/>
      <c r="F2" s="1615"/>
      <c r="H2" s="541"/>
      <c r="J2" s="521">
        <v>0</v>
      </c>
    </row>
    <row customHeight="1" ht="11.25" hidden="1">
      <c r="J3" s="521">
        <v>0</v>
      </c>
    </row>
    <row customHeight="1" ht="11.549999999999999">
      <c r="A4" s="1616"/>
      <c r="B4" s="1616"/>
      <c r="J4" s="521">
        <v>11</v>
      </c>
    </row>
    <row customHeight="1" ht="27.299999999999997">
      <c r="D5" s="230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5"/>
      <c r="F5" s="2306"/>
      <c r="I5" s="781"/>
      <c r="J5" s="521">
        <v>26</v>
      </c>
    </row>
    <row customHeight="1" ht="18">
      <c r="D6" s="2242" t="str">
        <f>IF(region_name=0,"Не определено",region_name)</f>
        <v>Ямало-Ненецкий автономный округ</v>
      </c>
      <c r="E6" s="2242"/>
      <c r="F6" s="2242"/>
      <c r="I6" s="781"/>
      <c r="J6" s="521">
        <v>17</v>
      </c>
    </row>
    <row s="3291" customFormat="1" customHeight="1" ht="11.549999999999999">
      <c r="A7" s="567"/>
      <c r="B7" s="567"/>
      <c r="D7" s="780"/>
      <c r="E7" s="780"/>
      <c r="F7" s="818"/>
      <c r="G7" s="780"/>
      <c r="J7" s="543">
        <v>11</v>
      </c>
    </row>
    <row customHeight="1" ht="11.25" hidden="1">
      <c r="A8" s="568"/>
      <c r="B8" s="568"/>
      <c r="C8" s="523"/>
      <c r="D8" s="529"/>
      <c r="E8" s="2273"/>
      <c r="F8" s="2273"/>
      <c r="J8" s="521">
        <v>0</v>
      </c>
    </row>
    <row customHeight="1" ht="11.549999999999999">
      <c r="A9" s="568"/>
      <c r="B9" s="568"/>
      <c r="C9" s="523"/>
      <c r="D9" s="2270" t="s">
        <v>309</v>
      </c>
      <c r="E9" s="2271"/>
      <c r="F9" s="2271"/>
      <c r="G9" s="2274" t="s">
        <v>310</v>
      </c>
      <c r="J9" s="521">
        <v>11</v>
      </c>
    </row>
    <row customHeight="1" ht="11.549999999999999">
      <c r="A10" s="568"/>
      <c r="B10" s="568"/>
      <c r="C10" s="523"/>
      <c r="D10" s="1540" t="s">
        <v>93</v>
      </c>
      <c r="E10" s="1542" t="s">
        <v>311</v>
      </c>
      <c r="F10" s="1542" t="s">
        <v>312</v>
      </c>
      <c r="G10" s="2275"/>
      <c r="J10" s="521">
        <v>11</v>
      </c>
    </row>
    <row customHeight="1" ht="1.05">
      <c r="A11" s="568"/>
      <c r="B11" s="568"/>
      <c r="C11" s="523"/>
      <c r="D11" s="530"/>
      <c r="E11" s="530"/>
      <c r="F11" s="530"/>
      <c r="G11" s="530"/>
      <c r="J11" s="521">
        <v>1</v>
      </c>
    </row>
    <row customHeight="1" ht="24">
      <c r="A12" s="568"/>
      <c r="B12" s="568"/>
      <c r="C12" s="523"/>
      <c r="D12" s="1586">
        <v>1</v>
      </c>
      <c r="E12" s="54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4" t="str">
        <f>IF(org="","",org)</f>
        <v>Филиал "Уренгойская ГРЭС" АО "Интер РАО - Электрогенерация"</v>
      </c>
      <c r="G12" s="54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9"/>
      <c r="J12" s="521">
        <v>23</v>
      </c>
    </row>
    <row customHeight="1" ht="19.95">
      <c r="A13" s="568"/>
      <c r="B13" s="568"/>
      <c r="C13" s="523"/>
      <c r="D13" s="1586">
        <v>2</v>
      </c>
      <c r="E13" s="1593" t="s">
        <v>1859</v>
      </c>
      <c r="F13" s="1587" t="s">
        <v>315</v>
      </c>
      <c r="G13" s="540"/>
      <c r="H13" s="1599"/>
      <c r="J13" s="521">
        <v>19</v>
      </c>
    </row>
    <row customHeight="1" ht="19.95">
      <c r="A14" s="568"/>
      <c r="B14" s="568"/>
      <c r="C14" s="523"/>
      <c r="D14" s="1589" t="s">
        <v>717</v>
      </c>
      <c r="E14" s="1590" t="s">
        <v>1860</v>
      </c>
      <c r="F14" s="1592"/>
      <c r="G14" s="1591" t="s">
        <v>1861</v>
      </c>
      <c r="H14" s="1599"/>
      <c r="J14" s="521">
        <v>19</v>
      </c>
    </row>
    <row customHeight="1" ht="19.95">
      <c r="A15" s="568"/>
      <c r="B15" s="568"/>
      <c r="C15" s="523"/>
      <c r="D15" s="1589" t="s">
        <v>316</v>
      </c>
      <c r="E15" s="1590" t="s">
        <v>1862</v>
      </c>
      <c r="F15" s="1592"/>
      <c r="G15" s="1591" t="s">
        <v>1863</v>
      </c>
      <c r="H15" s="1599"/>
      <c r="J15" s="521">
        <v>19</v>
      </c>
    </row>
    <row customHeight="1" ht="24">
      <c r="A16" s="568"/>
      <c r="B16" s="568"/>
      <c r="C16" s="523"/>
      <c r="D16" s="1589" t="s">
        <v>319</v>
      </c>
      <c r="E16" s="1588" t="s">
        <v>1864</v>
      </c>
      <c r="F16" s="1597"/>
      <c r="G16" s="540" t="s">
        <v>1865</v>
      </c>
      <c r="H16" s="1599"/>
      <c r="J16" s="521">
        <v>23</v>
      </c>
    </row>
    <row customHeight="1" ht="48.29999999999999">
      <c r="A17" s="568"/>
      <c r="B17" s="568"/>
      <c r="C17" s="523"/>
      <c r="D17" s="1586">
        <v>3</v>
      </c>
      <c r="E17" s="1593" t="s">
        <v>1866</v>
      </c>
      <c r="F17" s="1592"/>
      <c r="G17" s="540" t="s">
        <v>1867</v>
      </c>
      <c r="H17" s="1599"/>
      <c r="J17" s="521">
        <v>46</v>
      </c>
    </row>
    <row customHeight="1" ht="48.29999999999999">
      <c r="A18" s="1541">
        <v>1</v>
      </c>
      <c r="B18" s="568"/>
      <c r="C18" s="1543"/>
      <c r="D18" s="1586" t="s">
        <v>96</v>
      </c>
      <c r="E18" s="1593" t="s">
        <v>1868</v>
      </c>
      <c r="F18" s="1592"/>
      <c r="G18" s="540" t="s">
        <v>1867</v>
      </c>
      <c r="H18" s="1599"/>
      <c r="I18" s="918"/>
      <c r="J18" s="521">
        <v>46</v>
      </c>
    </row>
    <row customHeight="1" ht="23.25">
      <c r="A19" s="568"/>
      <c r="B19" s="568"/>
      <c r="C19" s="523"/>
      <c r="D19" s="1586" t="s">
        <v>116</v>
      </c>
      <c r="E19" s="1593" t="s">
        <v>1869</v>
      </c>
      <c r="F19" s="1587" t="s">
        <v>315</v>
      </c>
      <c r="G19" s="2537" t="s">
        <v>1870</v>
      </c>
      <c r="H19" s="541"/>
      <c r="J19" s="521">
        <v>22</v>
      </c>
    </row>
    <row s="5212" customFormat="1" customHeight="1" ht="5.25" hidden="1">
      <c r="A20" s="568"/>
      <c r="B20" s="568"/>
      <c r="C20" s="1595"/>
      <c r="D20" s="1594" t="s">
        <v>1124</v>
      </c>
      <c r="E20" s="1080"/>
      <c r="F20" s="1079"/>
      <c r="G20" s="2538"/>
      <c r="J20" s="1596">
        <v>0</v>
      </c>
    </row>
    <row customHeight="1" ht="15.75">
      <c r="A21" s="568"/>
      <c r="B21" s="568"/>
      <c r="C21" s="523"/>
      <c r="D21" s="533"/>
      <c r="E21" s="481" t="s">
        <v>348</v>
      </c>
      <c r="F21" s="535"/>
      <c r="G21" s="2539"/>
      <c r="H21" s="1599"/>
      <c r="J21" s="521">
        <v>15</v>
      </c>
    </row>
    <row s="3292" customFormat="1" customHeight="1" ht="26.25">
      <c r="A22" s="568"/>
      <c r="B22" s="568"/>
      <c r="C22" s="568"/>
      <c r="D22" s="1586" t="s">
        <v>97</v>
      </c>
      <c r="E22" s="540" t="s">
        <v>1871</v>
      </c>
      <c r="F22" s="1592"/>
      <c r="G22" s="540" t="s">
        <v>1872</v>
      </c>
      <c r="H22" s="1598"/>
      <c r="J22" s="567">
        <v>25</v>
      </c>
    </row>
    <row s="3292" customFormat="1" customHeight="1" ht="19.95">
      <c r="A23" s="568"/>
      <c r="B23" s="568"/>
      <c r="C23" s="568"/>
      <c r="D23" s="1586" t="s">
        <v>98</v>
      </c>
      <c r="E23" s="1593" t="s">
        <v>1873</v>
      </c>
      <c r="F23" s="1597"/>
      <c r="G23" s="540" t="s">
        <v>1874</v>
      </c>
      <c r="H23" s="1598"/>
      <c r="J23" s="567">
        <v>19</v>
      </c>
    </row>
    <row s="3292" customFormat="1" customHeight="1" ht="144" hidden="1">
      <c r="A24" s="568"/>
      <c r="B24" s="568"/>
      <c r="C24" s="568"/>
      <c r="D24" s="1586" t="s">
        <v>117</v>
      </c>
      <c r="E24" s="196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4"/>
      <c r="G24" s="196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8"/>
      <c r="J24" s="567">
        <v>0</v>
      </c>
    </row>
    <row customHeight="1" ht="11.25" hidden="1">
      <c r="A25" s="567" t="s">
        <v>87</v>
      </c>
      <c r="B25" s="567">
        <v>0</v>
      </c>
      <c r="C25" s="521">
        <v>3</v>
      </c>
      <c r="D25" s="522">
        <v>6</v>
      </c>
      <c r="E25" s="521">
        <v>52</v>
      </c>
      <c r="F25" s="521">
        <v>48</v>
      </c>
      <c r="G25" s="521">
        <v>93</v>
      </c>
      <c r="H25" s="521">
        <v>8</v>
      </c>
      <c r="I25" s="521">
        <v>64</v>
      </c>
      <c r="J25" s="52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3E53A-238B-04D1-53A6-6E94D4BA529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5053" width="9.140625" hidden="1"/>
    <col min="2" max="2" style="5002" width="9.140625" hidden="1"/>
    <col min="3" max="3" style="5053" width="3.7109375" hidden="1" customWidth="1"/>
    <col min="4" max="4" style="5349" width="3.00390625" customWidth="1"/>
    <col min="5" max="5" style="5053" width="6.00390625" customWidth="1"/>
    <col min="6" max="6" style="5053" width="46.00390625" customWidth="1"/>
    <col min="7" max="8" style="5053" width="16.00390625" customWidth="1"/>
    <col min="9" max="9" style="5053" width="35.00390625" customWidth="1"/>
    <col min="10" max="10" style="5053" width="89.00390625" customWidth="1"/>
    <col min="11" max="11" style="5005" width="3.00390625" customWidth="1"/>
    <col min="12" max="14" style="5005" width="8.00390625" customWidth="1"/>
    <col min="15" max="15" style="5005" width="25.00390625" customWidth="1"/>
    <col min="16" max="16" style="5005" width="14.00390625" customWidth="1"/>
    <col min="17" max="20" style="2882" width="8.00390625" customWidth="1"/>
    <col min="21" max="254" style="5053" width="8.00390625" customWidth="1"/>
    <col min="255" max="255" style="5053" width="9.140625" hidden="1"/>
  </cols>
  <sheetData>
    <row customHeight="1" ht="22.5" hidden="1">
      <c r="F1" s="1697" t="s">
        <v>1875</v>
      </c>
      <c r="G1" s="1697" t="s">
        <v>53</v>
      </c>
      <c r="H1" s="1697" t="s">
        <v>55</v>
      </c>
      <c r="IU1" s="1221" t="s">
        <v>14</v>
      </c>
    </row>
    <row s="5774" customFormat="1" customHeight="1" ht="22.5" hidden="1">
      <c r="A2" s="897"/>
      <c r="B2" s="1226">
        <v>1</v>
      </c>
      <c r="C2" s="1226"/>
      <c r="D2" s="1994" t="s">
        <v>454</v>
      </c>
      <c r="E2" s="1550"/>
      <c r="F2" s="1557"/>
      <c r="G2" s="1557"/>
      <c r="H2" s="1557"/>
      <c r="I2" s="2050"/>
      <c r="J2" s="2051"/>
      <c r="K2" s="1601"/>
      <c r="L2" s="577"/>
      <c r="M2" s="577"/>
      <c r="N2" s="566" t="str">
        <f t="array" ref="N2:N2">IF(ISERROR(MATCH(MID(O2,1,250),MID(note_ter,1,250),0)),"n","y")</f>
        <v>n</v>
      </c>
      <c r="O2" s="577"/>
      <c r="P2" s="566" t="str">
        <f>G2&amp;"("&amp;J2&amp;")"</f>
        <v>()</v>
      </c>
      <c r="Q2" s="1226"/>
      <c r="R2" s="1226"/>
      <c r="S2" s="486"/>
      <c r="T2" s="1226"/>
      <c r="U2" s="1226"/>
      <c r="V2" s="1226"/>
      <c r="W2" s="488"/>
      <c r="X2" s="488"/>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8"/>
      <c r="BU2" s="488"/>
      <c r="BV2" s="488"/>
      <c r="BW2" s="488"/>
      <c r="BX2" s="488"/>
      <c r="BY2" s="488"/>
      <c r="BZ2" s="488"/>
      <c r="CA2" s="488"/>
      <c r="CB2" s="488"/>
      <c r="CC2" s="488"/>
      <c r="IU2" s="489">
        <v>0</v>
      </c>
    </row>
    <row s="4562" customFormat="1" customHeight="1" ht="4.2">
      <c r="A3" s="562"/>
      <c r="D3" s="560"/>
      <c r="F3" s="313" t="s">
        <v>88</v>
      </c>
      <c r="G3" s="560" t="s">
        <v>89</v>
      </c>
      <c r="H3" s="560"/>
      <c r="I3" s="560"/>
      <c r="J3" s="293" t="s">
        <v>90</v>
      </c>
      <c r="K3" s="313" t="s">
        <v>88</v>
      </c>
      <c r="L3" s="313"/>
      <c r="M3" s="313"/>
      <c r="N3" s="313"/>
      <c r="O3" s="314"/>
      <c r="P3" s="313"/>
      <c r="Q3" s="313"/>
      <c r="R3" s="313"/>
      <c r="S3" s="313"/>
      <c r="T3" s="31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577">
        <v>4</v>
      </c>
    </row>
    <row s="3439" customFormat="1" customHeight="1" ht="14.699999999999998">
      <c r="A4" s="1221"/>
      <c r="B4" s="1226"/>
      <c r="C4" s="1221"/>
      <c r="D4" s="1561"/>
      <c r="E4" s="575"/>
      <c r="F4" s="1708"/>
      <c r="G4" s="575"/>
      <c r="H4" s="575"/>
      <c r="I4" s="575"/>
      <c r="J4" s="232"/>
      <c r="K4" s="313"/>
      <c r="L4" s="566"/>
      <c r="M4" s="566"/>
      <c r="N4" s="566"/>
      <c r="O4" s="292"/>
      <c r="P4" s="566"/>
      <c r="Q4" s="291"/>
      <c r="R4" s="291"/>
      <c r="S4" s="291"/>
      <c r="T4" s="291"/>
      <c r="IU4" s="573">
        <v>14</v>
      </c>
    </row>
    <row s="3439" customFormat="1" customHeight="1" ht="27.299999999999997">
      <c r="A5" s="1221"/>
      <c r="B5" s="1226"/>
      <c r="C5" s="1221"/>
      <c r="D5" s="1561"/>
      <c r="E5" s="21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6"/>
      <c r="G5" s="2166"/>
      <c r="H5" s="2166"/>
      <c r="I5" s="2166"/>
      <c r="J5" s="2166"/>
      <c r="K5" s="313"/>
      <c r="L5" s="566"/>
      <c r="M5" s="566"/>
      <c r="N5" s="566"/>
      <c r="O5" s="292"/>
      <c r="P5" s="566"/>
      <c r="Q5" s="291"/>
      <c r="R5" s="291"/>
      <c r="S5" s="291"/>
      <c r="T5" s="291"/>
      <c r="IU5" s="573">
        <v>26</v>
      </c>
    </row>
    <row s="3439" customFormat="1" customHeight="1" ht="14.699999999999998">
      <c r="A6" s="1221"/>
      <c r="B6" s="1226"/>
      <c r="C6" s="1221"/>
      <c r="D6" s="1561"/>
      <c r="E6" s="575"/>
      <c r="F6" s="233"/>
      <c r="G6" s="233"/>
      <c r="H6" s="233"/>
      <c r="I6" s="233"/>
      <c r="J6" s="234"/>
      <c r="K6" s="566"/>
      <c r="L6" s="566"/>
      <c r="M6" s="566"/>
      <c r="N6" s="566"/>
      <c r="O6" s="292"/>
      <c r="P6" s="566"/>
      <c r="Q6" s="291"/>
      <c r="R6" s="291"/>
      <c r="S6" s="291"/>
      <c r="T6" s="291"/>
      <c r="IU6" s="573">
        <v>14</v>
      </c>
    </row>
    <row s="3439" customFormat="1" customHeight="1" ht="14.699999999999998">
      <c r="A7" s="1221"/>
      <c r="B7" s="1226"/>
      <c r="C7" s="1221"/>
      <c r="D7" s="1561"/>
      <c r="E7" s="2167" t="s">
        <v>309</v>
      </c>
      <c r="F7" s="2168"/>
      <c r="G7" s="2168"/>
      <c r="H7" s="2168"/>
      <c r="I7" s="2168"/>
      <c r="J7" s="2540" t="s">
        <v>310</v>
      </c>
      <c r="K7" s="566"/>
      <c r="L7" s="566"/>
      <c r="M7" s="566"/>
      <c r="N7" s="566"/>
      <c r="O7" s="292"/>
      <c r="P7" s="566"/>
      <c r="Q7" s="291"/>
      <c r="R7" s="291"/>
      <c r="S7" s="291"/>
      <c r="T7" s="291"/>
      <c r="IU7" s="573">
        <v>14</v>
      </c>
    </row>
    <row s="3439" customFormat="1" customHeight="1" ht="21">
      <c r="A8" s="1221"/>
      <c r="B8" s="1226"/>
      <c r="C8" s="1221"/>
      <c r="D8" s="1561"/>
      <c r="E8" s="1614" t="s">
        <v>93</v>
      </c>
      <c r="F8" s="1606" t="s">
        <v>1875</v>
      </c>
      <c r="G8" s="1606" t="s">
        <v>53</v>
      </c>
      <c r="H8" s="1606" t="s">
        <v>55</v>
      </c>
      <c r="I8" s="1606" t="s">
        <v>1876</v>
      </c>
      <c r="J8" s="2541"/>
      <c r="K8" s="566"/>
      <c r="L8" s="566"/>
      <c r="M8" s="566"/>
      <c r="N8" s="566"/>
      <c r="O8" s="292"/>
      <c r="P8" s="566"/>
      <c r="Q8" s="291"/>
      <c r="R8" s="291"/>
      <c r="S8" s="291"/>
      <c r="T8" s="291"/>
      <c r="IU8" s="573">
        <v>20</v>
      </c>
    </row>
    <row s="5774" customFormat="1" customHeight="1" ht="23.25">
      <c r="A9" s="1697"/>
      <c r="B9" s="1226">
        <v>1</v>
      </c>
      <c r="C9" s="1226"/>
      <c r="D9" s="867"/>
      <c r="E9" s="1550">
        <v>1</v>
      </c>
      <c r="F9" s="1613"/>
      <c r="G9" s="1557"/>
      <c r="H9" s="1557"/>
      <c r="I9" s="1604"/>
      <c r="J9" s="223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1"/>
      <c r="L9" s="577"/>
      <c r="M9" s="577"/>
      <c r="N9" s="566" t="str">
        <f t="array" ref="N9:N9">IF(ISERROR(MATCH(MID(O9,1,250),MID(note_ter,1,250),0)),"n","y")</f>
        <v>n</v>
      </c>
      <c r="O9" s="577"/>
      <c r="P9" s="56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6"/>
      <c r="R9" s="1226"/>
      <c r="S9" s="486"/>
      <c r="T9" s="1226"/>
      <c r="U9" s="1226"/>
      <c r="V9" s="1226"/>
      <c r="W9" s="488"/>
      <c r="X9" s="488"/>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5"/>
      <c r="BA9" s="485"/>
      <c r="BB9" s="485"/>
      <c r="BC9" s="485"/>
      <c r="BD9" s="485"/>
      <c r="BE9" s="485"/>
      <c r="BF9" s="485"/>
      <c r="BG9" s="485"/>
      <c r="BH9" s="485"/>
      <c r="BI9" s="485"/>
      <c r="BJ9" s="485"/>
      <c r="BK9" s="485"/>
      <c r="BL9" s="485"/>
      <c r="BM9" s="485"/>
      <c r="BN9" s="485"/>
      <c r="BO9" s="485"/>
      <c r="BP9" s="485"/>
      <c r="BQ9" s="485"/>
      <c r="BR9" s="485"/>
      <c r="BS9" s="485"/>
      <c r="BT9" s="488"/>
      <c r="BU9" s="488"/>
      <c r="BV9" s="488"/>
      <c r="BW9" s="488"/>
      <c r="BX9" s="488"/>
      <c r="BY9" s="488"/>
      <c r="BZ9" s="488"/>
      <c r="CA9" s="488"/>
      <c r="CB9" s="488"/>
      <c r="CC9" s="488"/>
      <c r="IU9" s="489">
        <v>22</v>
      </c>
    </row>
    <row s="5774" customFormat="1" customHeight="1" ht="15.75">
      <c r="A10" s="1697"/>
      <c r="B10" s="1226"/>
      <c r="C10" s="478"/>
      <c r="D10" s="867"/>
      <c r="E10" s="1607"/>
      <c r="F10" s="1566" t="s">
        <v>1877</v>
      </c>
      <c r="G10" s="1608"/>
      <c r="H10" s="1608"/>
      <c r="I10" s="1965"/>
      <c r="J10" s="2237"/>
      <c r="K10" s="1602"/>
      <c r="L10" s="577"/>
      <c r="M10" s="577"/>
      <c r="N10" s="577"/>
      <c r="O10" s="566"/>
      <c r="P10" s="577"/>
      <c r="Q10" s="1226"/>
      <c r="R10" s="1226"/>
      <c r="S10" s="486"/>
      <c r="T10" s="1226"/>
      <c r="U10" s="1226"/>
      <c r="V10" s="1226"/>
      <c r="W10" s="488"/>
      <c r="X10" s="488"/>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8"/>
      <c r="BU10" s="488"/>
      <c r="BV10" s="488"/>
      <c r="BW10" s="488"/>
      <c r="BX10" s="488"/>
      <c r="BY10" s="488"/>
      <c r="BZ10" s="488"/>
      <c r="CA10" s="488"/>
      <c r="CB10" s="488"/>
      <c r="CC10" s="488"/>
      <c r="IU10" s="489">
        <v>15</v>
      </c>
    </row>
    <row s="3439" customFormat="1" customHeight="1" ht="22.049999999999997">
      <c r="A11" s="1221"/>
      <c r="B11" s="1226"/>
      <c r="C11" s="1221"/>
      <c r="D11" s="517"/>
      <c r="E11" s="246"/>
      <c r="F11" s="246"/>
      <c r="G11" s="246"/>
      <c r="H11" s="246"/>
      <c r="I11" s="246"/>
      <c r="J11" s="246"/>
      <c r="K11" s="566"/>
      <c r="L11" s="566"/>
      <c r="M11" s="566"/>
      <c r="N11" s="566"/>
      <c r="O11" s="292"/>
      <c r="P11" s="566"/>
      <c r="Q11" s="291"/>
      <c r="R11" s="291"/>
      <c r="S11" s="291"/>
      <c r="T11" s="291"/>
      <c r="IU11" s="573">
        <v>21</v>
      </c>
    </row>
    <row s="3439" customFormat="1" customHeight="1" ht="14.699999999999998">
      <c r="A12" s="1221"/>
      <c r="B12" s="1226"/>
      <c r="C12" s="1221"/>
      <c r="D12" s="517"/>
      <c r="E12" s="1221"/>
      <c r="F12" s="1221"/>
      <c r="G12" s="1221"/>
      <c r="H12" s="1221"/>
      <c r="I12" s="1221"/>
      <c r="J12" s="1221"/>
      <c r="K12" s="566"/>
      <c r="L12" s="566"/>
      <c r="M12" s="566"/>
      <c r="N12" s="566"/>
      <c r="O12" s="292"/>
      <c r="P12" s="566"/>
      <c r="Q12" s="291"/>
      <c r="R12" s="291"/>
      <c r="S12" s="291"/>
      <c r="T12" s="291"/>
      <c r="IU12" s="573">
        <v>14</v>
      </c>
    </row>
    <row s="3439" customFormat="1" customHeight="1" ht="1.05">
      <c r="A13" s="1221"/>
      <c r="B13" s="1226"/>
      <c r="C13" s="1221"/>
      <c r="D13" s="517"/>
      <c r="E13" s="1221"/>
      <c r="F13" s="1221"/>
      <c r="G13" s="1221"/>
      <c r="H13" s="1221"/>
      <c r="I13" s="1221"/>
      <c r="J13" s="1221"/>
      <c r="K13" s="566"/>
      <c r="L13" s="566"/>
      <c r="M13" s="566"/>
      <c r="N13" s="566"/>
      <c r="O13" s="292"/>
      <c r="P13" s="566"/>
      <c r="Q13" s="291"/>
      <c r="R13" s="291"/>
      <c r="S13" s="291"/>
      <c r="T13" s="291"/>
      <c r="IU13" s="573">
        <v>1</v>
      </c>
    </row>
    <row s="3364" customFormat="1" customHeight="1" ht="10.5">
      <c r="B14" s="900"/>
      <c r="D14" s="248"/>
      <c r="K14" s="566"/>
      <c r="L14" s="566"/>
      <c r="M14" s="566"/>
      <c r="N14" s="566"/>
      <c r="O14" s="292"/>
      <c r="P14" s="566"/>
      <c r="Q14" s="291"/>
      <c r="R14" s="291"/>
      <c r="S14" s="291"/>
      <c r="T14" s="291"/>
      <c r="IU14" s="247">
        <v>10</v>
      </c>
    </row>
    <row s="3364" customFormat="1" customHeight="1" ht="10.5">
      <c r="B15" s="900"/>
      <c r="D15" s="248"/>
      <c r="K15" s="566"/>
      <c r="L15" s="566"/>
      <c r="M15" s="566"/>
      <c r="N15" s="566"/>
      <c r="O15" s="292"/>
      <c r="P15" s="566"/>
      <c r="Q15" s="291"/>
      <c r="R15" s="291"/>
      <c r="S15" s="291"/>
      <c r="T15" s="291"/>
      <c r="IU15" s="247">
        <v>10</v>
      </c>
    </row>
    <row customHeight="1" ht="14.699999999999998">
      <c r="IU16" s="1221">
        <v>14</v>
      </c>
    </row>
    <row customHeight="1" ht="14.699999999999998">
      <c r="IU17" s="1221">
        <v>14</v>
      </c>
    </row>
    <row customHeight="1" ht="14.699999999999998">
      <c r="IU18" s="1221">
        <v>14</v>
      </c>
    </row>
    <row customHeight="1" ht="14.699999999999998">
      <c r="G19" s="439"/>
      <c r="H19" s="439"/>
      <c r="I19" s="439"/>
      <c r="IU19" s="1221">
        <v>14</v>
      </c>
    </row>
    <row customHeight="1" ht="14.699999999999998">
      <c r="IU20" s="1221">
        <v>14</v>
      </c>
    </row>
    <row customHeight="1" ht="14.699999999999998">
      <c r="IU21" s="1221">
        <v>14</v>
      </c>
    </row>
    <row customHeight="1" ht="14.699999999999998">
      <c r="IU22" s="1221">
        <v>14</v>
      </c>
    </row>
    <row customHeight="1" ht="14.699999999999998">
      <c r="K23" s="1221"/>
      <c r="L23" s="1221"/>
      <c r="M23" s="1221"/>
      <c r="IU23" s="1221">
        <v>14</v>
      </c>
    </row>
    <row customHeight="1" ht="22.5" hidden="1">
      <c r="A24" s="1221" t="s">
        <v>87</v>
      </c>
      <c r="B24" s="1226">
        <v>0</v>
      </c>
      <c r="C24" s="1221">
        <v>0</v>
      </c>
      <c r="D24" s="517">
        <v>3</v>
      </c>
      <c r="E24" s="1221">
        <v>6</v>
      </c>
      <c r="F24" s="1221">
        <v>46</v>
      </c>
      <c r="G24" s="1221">
        <v>16</v>
      </c>
      <c r="H24" s="1221">
        <v>16</v>
      </c>
      <c r="I24" s="1221">
        <v>35</v>
      </c>
      <c r="J24" s="1221">
        <v>89</v>
      </c>
      <c r="K24" s="566">
        <v>3</v>
      </c>
      <c r="L24" s="566">
        <v>8</v>
      </c>
      <c r="M24" s="566">
        <v>8</v>
      </c>
      <c r="N24" s="566">
        <v>8</v>
      </c>
      <c r="O24" s="292">
        <v>25</v>
      </c>
      <c r="P24" s="566">
        <v>14</v>
      </c>
      <c r="Q24" s="291">
        <v>8</v>
      </c>
      <c r="R24" s="291">
        <v>8</v>
      </c>
      <c r="S24" s="291">
        <v>8</v>
      </c>
      <c r="T24" s="291">
        <v>8</v>
      </c>
      <c r="U24" s="1221">
        <v>8</v>
      </c>
      <c r="V24" s="1221">
        <v>8</v>
      </c>
      <c r="W24" s="1221">
        <v>8</v>
      </c>
      <c r="X24" s="1221">
        <v>8</v>
      </c>
      <c r="Y24" s="1221">
        <v>8</v>
      </c>
      <c r="Z24" s="1221">
        <v>8</v>
      </c>
      <c r="AA24" s="1221">
        <v>8</v>
      </c>
      <c r="AB24" s="1221">
        <v>8</v>
      </c>
      <c r="AC24" s="1221">
        <v>8</v>
      </c>
      <c r="AD24" s="1221">
        <v>8</v>
      </c>
      <c r="AE24" s="1221">
        <v>8</v>
      </c>
      <c r="AF24" s="1221">
        <v>8</v>
      </c>
      <c r="AG24" s="1221">
        <v>8</v>
      </c>
      <c r="AH24" s="1221">
        <v>8</v>
      </c>
      <c r="AI24" s="1221">
        <v>8</v>
      </c>
      <c r="AJ24" s="1221">
        <v>8</v>
      </c>
      <c r="AK24" s="1221">
        <v>8</v>
      </c>
      <c r="AL24" s="1221">
        <v>8</v>
      </c>
      <c r="AM24" s="1221">
        <v>8</v>
      </c>
      <c r="AN24" s="1221">
        <v>8</v>
      </c>
      <c r="AO24" s="1221">
        <v>8</v>
      </c>
      <c r="AP24" s="1221">
        <v>8</v>
      </c>
      <c r="AQ24" s="1221">
        <v>8</v>
      </c>
      <c r="AR24" s="1221">
        <v>8</v>
      </c>
      <c r="AS24" s="1221">
        <v>8</v>
      </c>
      <c r="AT24" s="1221">
        <v>8</v>
      </c>
      <c r="AU24" s="1221">
        <v>8</v>
      </c>
      <c r="AV24" s="1221">
        <v>8</v>
      </c>
      <c r="AW24" s="1221">
        <v>8</v>
      </c>
      <c r="AX24" s="1221">
        <v>8</v>
      </c>
      <c r="AY24" s="1221">
        <v>8</v>
      </c>
      <c r="AZ24" s="1221">
        <v>8</v>
      </c>
      <c r="BA24" s="1221">
        <v>8</v>
      </c>
      <c r="BB24" s="1221">
        <v>8</v>
      </c>
      <c r="BC24" s="1221">
        <v>8</v>
      </c>
      <c r="BD24" s="1221">
        <v>8</v>
      </c>
      <c r="BE24" s="1221">
        <v>8</v>
      </c>
      <c r="BF24" s="1221">
        <v>8</v>
      </c>
      <c r="BG24" s="1221">
        <v>8</v>
      </c>
      <c r="BH24" s="1221">
        <v>8</v>
      </c>
      <c r="BI24" s="1221">
        <v>8</v>
      </c>
      <c r="BJ24" s="1221">
        <v>8</v>
      </c>
      <c r="BK24" s="1221">
        <v>8</v>
      </c>
      <c r="BL24" s="1221">
        <v>8</v>
      </c>
      <c r="BM24" s="1221">
        <v>8</v>
      </c>
      <c r="BN24" s="1221">
        <v>8</v>
      </c>
      <c r="BO24" s="1221">
        <v>8</v>
      </c>
      <c r="BP24" s="1221">
        <v>8</v>
      </c>
      <c r="BQ24" s="1221">
        <v>8</v>
      </c>
      <c r="BR24" s="1221">
        <v>8</v>
      </c>
      <c r="BS24" s="1221">
        <v>8</v>
      </c>
      <c r="BT24" s="1221">
        <v>8</v>
      </c>
      <c r="BU24" s="1221">
        <v>8</v>
      </c>
      <c r="BV24" s="1221">
        <v>8</v>
      </c>
      <c r="BW24" s="1221">
        <v>8</v>
      </c>
      <c r="BX24" s="1221">
        <v>8</v>
      </c>
      <c r="BY24" s="1221">
        <v>8</v>
      </c>
      <c r="BZ24" s="1221">
        <v>8</v>
      </c>
      <c r="CA24" s="1221">
        <v>8</v>
      </c>
      <c r="CB24" s="1221">
        <v>8</v>
      </c>
      <c r="CC24" s="1221">
        <v>8</v>
      </c>
      <c r="CD24" s="1221">
        <v>8</v>
      </c>
      <c r="CE24" s="1221">
        <v>8</v>
      </c>
      <c r="CF24" s="1221">
        <v>8</v>
      </c>
      <c r="CG24" s="1221">
        <v>8</v>
      </c>
      <c r="CH24" s="1221">
        <v>8</v>
      </c>
      <c r="CI24" s="1221">
        <v>8</v>
      </c>
      <c r="CJ24" s="1221">
        <v>8</v>
      </c>
      <c r="CK24" s="1221">
        <v>8</v>
      </c>
      <c r="CL24" s="1221">
        <v>8</v>
      </c>
      <c r="CM24" s="1221">
        <v>8</v>
      </c>
      <c r="CN24" s="1221">
        <v>8</v>
      </c>
      <c r="CO24" s="1221">
        <v>8</v>
      </c>
      <c r="CP24" s="1221">
        <v>8</v>
      </c>
      <c r="CQ24" s="1221">
        <v>8</v>
      </c>
      <c r="CR24" s="1221">
        <v>8</v>
      </c>
      <c r="CS24" s="1221">
        <v>8</v>
      </c>
      <c r="CT24" s="1221">
        <v>8</v>
      </c>
      <c r="CU24" s="1221">
        <v>8</v>
      </c>
      <c r="CV24" s="1221">
        <v>8</v>
      </c>
      <c r="CW24" s="1221">
        <v>8</v>
      </c>
      <c r="CX24" s="1221">
        <v>8</v>
      </c>
      <c r="CY24" s="1221">
        <v>8</v>
      </c>
      <c r="CZ24" s="1221">
        <v>8</v>
      </c>
      <c r="DA24" s="1221">
        <v>8</v>
      </c>
      <c r="DB24" s="1221">
        <v>8</v>
      </c>
      <c r="DC24" s="1221">
        <v>8</v>
      </c>
      <c r="DD24" s="1221">
        <v>8</v>
      </c>
      <c r="DE24" s="1221">
        <v>8</v>
      </c>
      <c r="DF24" s="1221">
        <v>8</v>
      </c>
      <c r="DG24" s="1221">
        <v>8</v>
      </c>
      <c r="DH24" s="1221">
        <v>8</v>
      </c>
      <c r="DI24" s="1221">
        <v>8</v>
      </c>
      <c r="DJ24" s="1221">
        <v>8</v>
      </c>
      <c r="DK24" s="1221">
        <v>8</v>
      </c>
      <c r="DL24" s="1221">
        <v>8</v>
      </c>
      <c r="DM24" s="1221">
        <v>8</v>
      </c>
      <c r="DN24" s="1221">
        <v>8</v>
      </c>
      <c r="DO24" s="1221">
        <v>8</v>
      </c>
      <c r="DP24" s="1221">
        <v>8</v>
      </c>
      <c r="DQ24" s="1221">
        <v>8</v>
      </c>
      <c r="DR24" s="1221">
        <v>8</v>
      </c>
      <c r="DS24" s="1221">
        <v>8</v>
      </c>
      <c r="DT24" s="1221">
        <v>8</v>
      </c>
      <c r="DU24" s="1221">
        <v>8</v>
      </c>
      <c r="DV24" s="1221">
        <v>8</v>
      </c>
      <c r="DW24" s="1221">
        <v>8</v>
      </c>
      <c r="DX24" s="1221">
        <v>8</v>
      </c>
      <c r="DY24" s="1221">
        <v>8</v>
      </c>
      <c r="DZ24" s="1221">
        <v>8</v>
      </c>
      <c r="EA24" s="1221">
        <v>8</v>
      </c>
      <c r="EB24" s="1221">
        <v>8</v>
      </c>
      <c r="EC24" s="1221">
        <v>8</v>
      </c>
      <c r="ED24" s="1221">
        <v>8</v>
      </c>
      <c r="EE24" s="1221">
        <v>8</v>
      </c>
      <c r="EF24" s="1221">
        <v>8</v>
      </c>
      <c r="EG24" s="1221">
        <v>8</v>
      </c>
      <c r="EH24" s="1221">
        <v>8</v>
      </c>
      <c r="EI24" s="1221">
        <v>8</v>
      </c>
      <c r="EJ24" s="1221">
        <v>8</v>
      </c>
      <c r="EK24" s="1221">
        <v>8</v>
      </c>
      <c r="EL24" s="1221">
        <v>8</v>
      </c>
      <c r="EM24" s="1221">
        <v>8</v>
      </c>
      <c r="EN24" s="1221">
        <v>8</v>
      </c>
      <c r="EO24" s="1221">
        <v>8</v>
      </c>
      <c r="EP24" s="1221">
        <v>8</v>
      </c>
      <c r="EQ24" s="1221">
        <v>8</v>
      </c>
      <c r="ER24" s="1221">
        <v>8</v>
      </c>
      <c r="ES24" s="1221">
        <v>8</v>
      </c>
      <c r="ET24" s="1221">
        <v>8</v>
      </c>
      <c r="EU24" s="1221">
        <v>8</v>
      </c>
      <c r="EV24" s="1221">
        <v>8</v>
      </c>
      <c r="EW24" s="1221">
        <v>8</v>
      </c>
      <c r="EX24" s="1221">
        <v>8</v>
      </c>
      <c r="EY24" s="1221">
        <v>8</v>
      </c>
      <c r="EZ24" s="1221">
        <v>8</v>
      </c>
      <c r="FA24" s="1221">
        <v>8</v>
      </c>
      <c r="FB24" s="1221">
        <v>8</v>
      </c>
      <c r="FC24" s="1221">
        <v>8</v>
      </c>
      <c r="FD24" s="1221">
        <v>8</v>
      </c>
      <c r="FE24" s="1221">
        <v>8</v>
      </c>
      <c r="FF24" s="1221">
        <v>8</v>
      </c>
      <c r="FG24" s="1221">
        <v>8</v>
      </c>
      <c r="FH24" s="1221">
        <v>8</v>
      </c>
      <c r="FI24" s="1221">
        <v>8</v>
      </c>
      <c r="FJ24" s="1221">
        <v>8</v>
      </c>
      <c r="FK24" s="1221">
        <v>8</v>
      </c>
      <c r="FL24" s="1221">
        <v>8</v>
      </c>
      <c r="FM24" s="1221">
        <v>8</v>
      </c>
      <c r="FN24" s="1221">
        <v>8</v>
      </c>
      <c r="FO24" s="1221">
        <v>8</v>
      </c>
      <c r="FP24" s="1221">
        <v>8</v>
      </c>
      <c r="FQ24" s="1221">
        <v>8</v>
      </c>
      <c r="FR24" s="1221">
        <v>8</v>
      </c>
      <c r="FS24" s="1221">
        <v>8</v>
      </c>
      <c r="FT24" s="1221">
        <v>8</v>
      </c>
      <c r="FU24" s="1221">
        <v>8</v>
      </c>
      <c r="FV24" s="1221">
        <v>8</v>
      </c>
      <c r="FW24" s="1221">
        <v>8</v>
      </c>
      <c r="FX24" s="1221">
        <v>8</v>
      </c>
      <c r="FY24" s="1221">
        <v>8</v>
      </c>
      <c r="FZ24" s="1221">
        <v>8</v>
      </c>
      <c r="GA24" s="1221">
        <v>8</v>
      </c>
      <c r="GB24" s="1221">
        <v>8</v>
      </c>
      <c r="GC24" s="1221">
        <v>8</v>
      </c>
      <c r="GD24" s="1221">
        <v>8</v>
      </c>
      <c r="GE24" s="1221">
        <v>8</v>
      </c>
      <c r="GF24" s="1221">
        <v>8</v>
      </c>
      <c r="GG24" s="1221">
        <v>8</v>
      </c>
      <c r="GH24" s="1221">
        <v>8</v>
      </c>
      <c r="GI24" s="1221">
        <v>8</v>
      </c>
      <c r="GJ24" s="1221">
        <v>8</v>
      </c>
      <c r="GK24" s="1221">
        <v>8</v>
      </c>
      <c r="GL24" s="1221">
        <v>8</v>
      </c>
      <c r="GM24" s="1221">
        <v>8</v>
      </c>
      <c r="GN24" s="1221">
        <v>8</v>
      </c>
      <c r="GO24" s="1221">
        <v>8</v>
      </c>
      <c r="GP24" s="1221">
        <v>8</v>
      </c>
      <c r="GQ24" s="1221">
        <v>8</v>
      </c>
      <c r="GR24" s="1221">
        <v>8</v>
      </c>
      <c r="GS24" s="1221">
        <v>8</v>
      </c>
      <c r="GT24" s="1221">
        <v>8</v>
      </c>
      <c r="GU24" s="1221">
        <v>8</v>
      </c>
      <c r="GV24" s="1221">
        <v>8</v>
      </c>
      <c r="GW24" s="1221">
        <v>8</v>
      </c>
      <c r="GX24" s="1221">
        <v>8</v>
      </c>
      <c r="GY24" s="1221">
        <v>8</v>
      </c>
      <c r="GZ24" s="1221">
        <v>8</v>
      </c>
      <c r="HA24" s="1221">
        <v>8</v>
      </c>
      <c r="HB24" s="1221">
        <v>8</v>
      </c>
      <c r="HC24" s="1221">
        <v>8</v>
      </c>
      <c r="HD24" s="1221">
        <v>8</v>
      </c>
      <c r="HE24" s="1221">
        <v>8</v>
      </c>
      <c r="HF24" s="1221">
        <v>8</v>
      </c>
      <c r="HG24" s="1221">
        <v>8</v>
      </c>
      <c r="HH24" s="1221">
        <v>8</v>
      </c>
      <c r="HI24" s="1221">
        <v>8</v>
      </c>
      <c r="HJ24" s="1221">
        <v>8</v>
      </c>
      <c r="HK24" s="1221">
        <v>8</v>
      </c>
      <c r="HL24" s="1221">
        <v>8</v>
      </c>
      <c r="HM24" s="1221">
        <v>8</v>
      </c>
      <c r="HN24" s="1221">
        <v>8</v>
      </c>
      <c r="HO24" s="1221">
        <v>8</v>
      </c>
      <c r="HP24" s="1221">
        <v>8</v>
      </c>
      <c r="HQ24" s="1221">
        <v>8</v>
      </c>
      <c r="HR24" s="1221">
        <v>8</v>
      </c>
      <c r="HS24" s="1221">
        <v>8</v>
      </c>
      <c r="HT24" s="1221">
        <v>8</v>
      </c>
      <c r="HU24" s="1221">
        <v>8</v>
      </c>
      <c r="HV24" s="1221">
        <v>8</v>
      </c>
      <c r="HW24" s="1221">
        <v>8</v>
      </c>
      <c r="HX24" s="1221">
        <v>8</v>
      </c>
      <c r="HY24" s="1221">
        <v>8</v>
      </c>
      <c r="HZ24" s="1221">
        <v>8</v>
      </c>
      <c r="IA24" s="1221">
        <v>8</v>
      </c>
      <c r="IB24" s="1221">
        <v>8</v>
      </c>
      <c r="IC24" s="1221">
        <v>8</v>
      </c>
      <c r="ID24" s="1221">
        <v>8</v>
      </c>
      <c r="IE24" s="1221">
        <v>8</v>
      </c>
      <c r="IF24" s="1221">
        <v>8</v>
      </c>
      <c r="IG24" s="1221">
        <v>8</v>
      </c>
      <c r="IH24" s="1221">
        <v>8</v>
      </c>
      <c r="II24" s="1221">
        <v>8</v>
      </c>
      <c r="IJ24" s="1221">
        <v>8</v>
      </c>
      <c r="IK24" s="1221">
        <v>8</v>
      </c>
      <c r="IL24" s="1221">
        <v>8</v>
      </c>
      <c r="IM24" s="1221">
        <v>8</v>
      </c>
      <c r="IN24" s="1221">
        <v>8</v>
      </c>
      <c r="IO24" s="1221">
        <v>8</v>
      </c>
      <c r="IP24" s="1221">
        <v>8</v>
      </c>
      <c r="IQ24" s="1221">
        <v>8</v>
      </c>
      <c r="IR24" s="1221">
        <v>8</v>
      </c>
      <c r="IS24" s="1221">
        <v>8</v>
      </c>
      <c r="IT24" s="1221">
        <v>8</v>
      </c>
      <c r="IU24" s="122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88A97-850D-FB26-A284-ABEA8A50257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5053" width="9.140625" hidden="1"/>
    <col min="2" max="2" style="5002" width="9.140625" hidden="1"/>
    <col min="3" max="3" style="5053" width="3.7109375" hidden="1" customWidth="1"/>
    <col min="4" max="4" style="5349" width="3.00390625" customWidth="1"/>
    <col min="5" max="5" style="5053" width="6.00390625" customWidth="1"/>
    <col min="6" max="6" style="5053" width="27.00390625" customWidth="1"/>
    <col min="7" max="7" style="5053" width="16.00390625" customWidth="1"/>
    <col min="8" max="8" style="5053" width="12.00390625" customWidth="1"/>
    <col min="9" max="9" style="5053" width="32.00390625" customWidth="1"/>
    <col min="10" max="11" style="5053" width="41.00390625" customWidth="1"/>
    <col min="12" max="12" style="5053" width="89.00390625" customWidth="1"/>
    <col min="13" max="13" style="5005" width="3.00390625" customWidth="1"/>
    <col min="14" max="16" style="5005" width="8.00390625" customWidth="1"/>
    <col min="17" max="17" style="5005" width="25.00390625" customWidth="1"/>
    <col min="18" max="18" style="5005" width="14.00390625" customWidth="1"/>
    <col min="19" max="22" style="2882" width="8.00390625" customWidth="1"/>
    <col min="23" max="256" style="5053" width="8.00390625" customWidth="1"/>
    <col min="257" max="257" style="5053" width="9.140625" hidden="1"/>
  </cols>
  <sheetData>
    <row customHeight="1" ht="22.5" hidden="1">
      <c r="IW1" s="1221" t="s">
        <v>14</v>
      </c>
    </row>
    <row s="5774" customFormat="1" customHeight="1" ht="22.5" hidden="1">
      <c r="A2" s="897"/>
      <c r="B2" s="1226">
        <v>1</v>
      </c>
      <c r="C2" s="1226"/>
      <c r="D2" s="1994" t="s">
        <v>454</v>
      </c>
      <c r="E2" s="1955"/>
      <c r="F2" s="1958" t="str">
        <f>IF(ROIV_INFO_NAME="","",ROIV_INFO_NAME)</f>
        <v>Филиал "Уренгойская ГРЭС" АО "Интер РАО - Электрогенерация"</v>
      </c>
      <c r="G2" s="1983" t="s">
        <v>28</v>
      </c>
      <c r="H2" s="1982"/>
      <c r="I2" s="1604"/>
      <c r="J2" s="884"/>
      <c r="K2" s="884"/>
      <c r="L2" s="294"/>
      <c r="M2" s="1601">
        <f>MERGEVALUE(F2)</f>
      </c>
      <c r="N2" s="577"/>
      <c r="O2" s="577"/>
      <c r="P2" s="566" t="str">
        <f t="array" ref="P2:P2">IF(ISERROR(MATCH(MID(Q2,1,250),MID(note_ter,1,250),0)),"n","y")</f>
        <v>n</v>
      </c>
      <c r="Q2" s="577"/>
      <c r="R2" s="566" t="str">
        <f>G2&amp;"("&amp;L2&amp;")"</f>
        <v>()</v>
      </c>
      <c r="S2" s="1226"/>
      <c r="T2" s="1226"/>
      <c r="U2" s="486"/>
      <c r="V2" s="1226"/>
      <c r="W2" s="1226"/>
      <c r="X2" s="1226"/>
      <c r="Y2" s="488"/>
      <c r="Z2" s="488"/>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8"/>
      <c r="BW2" s="488"/>
      <c r="BX2" s="488"/>
      <c r="BY2" s="488"/>
      <c r="BZ2" s="488"/>
      <c r="CA2" s="488"/>
      <c r="CB2" s="488"/>
      <c r="CC2" s="488"/>
      <c r="CD2" s="488"/>
      <c r="CE2" s="488"/>
      <c r="IW2" s="489">
        <v>0</v>
      </c>
    </row>
    <row s="4562" customFormat="1" customHeight="1" ht="5.25" hidden="1">
      <c r="A3" s="562"/>
      <c r="D3" s="560"/>
      <c r="F3" s="313" t="s">
        <v>88</v>
      </c>
      <c r="G3" s="1801" t="s">
        <v>89</v>
      </c>
      <c r="H3" s="560"/>
      <c r="I3" s="560"/>
      <c r="J3" s="560"/>
      <c r="K3" s="560"/>
      <c r="L3" s="293" t="s">
        <v>90</v>
      </c>
      <c r="M3" s="313" t="s">
        <v>88</v>
      </c>
      <c r="N3" s="313"/>
      <c r="O3" s="313"/>
      <c r="P3" s="313"/>
      <c r="Q3" s="314"/>
      <c r="R3" s="313"/>
      <c r="S3" s="313"/>
      <c r="T3" s="313"/>
      <c r="U3" s="313"/>
      <c r="V3" s="31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577">
        <v>0</v>
      </c>
    </row>
    <row s="3439" customFormat="1" customHeight="1" ht="14.699999999999998">
      <c r="A4" s="1221"/>
      <c r="B4" s="1226"/>
      <c r="C4" s="1221"/>
      <c r="D4" s="1561"/>
      <c r="E4" s="575"/>
      <c r="F4" s="575"/>
      <c r="G4" s="575"/>
      <c r="H4" s="575"/>
      <c r="I4" s="575"/>
      <c r="J4" s="575"/>
      <c r="K4" s="575"/>
      <c r="L4" s="232"/>
      <c r="M4" s="313"/>
      <c r="N4" s="566"/>
      <c r="O4" s="566"/>
      <c r="P4" s="566"/>
      <c r="Q4" s="292"/>
      <c r="R4" s="566"/>
      <c r="S4" s="291"/>
      <c r="T4" s="291"/>
      <c r="U4" s="291"/>
      <c r="V4" s="291"/>
      <c r="IW4" s="573">
        <v>14</v>
      </c>
    </row>
    <row s="3439" customFormat="1" customHeight="1" ht="27.299999999999997">
      <c r="A5" s="1221"/>
      <c r="B5" s="1226"/>
      <c r="C5" s="1221"/>
      <c r="D5" s="156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654"/>
      <c r="M5" s="313"/>
      <c r="N5" s="566"/>
      <c r="O5" s="566"/>
      <c r="P5" s="566"/>
      <c r="Q5" s="292"/>
      <c r="R5" s="566"/>
      <c r="S5" s="291"/>
      <c r="T5" s="291"/>
      <c r="U5" s="291"/>
      <c r="V5" s="291"/>
      <c r="IW5" s="573">
        <v>26</v>
      </c>
    </row>
    <row s="3439" customFormat="1" customHeight="1" ht="14.699999999999998">
      <c r="A6" s="1221"/>
      <c r="B6" s="1226"/>
      <c r="C6" s="1221"/>
      <c r="D6" s="1561"/>
      <c r="E6" s="575"/>
      <c r="F6" s="233"/>
      <c r="G6" s="233"/>
      <c r="H6" s="233"/>
      <c r="I6" s="233"/>
      <c r="J6" s="233"/>
      <c r="K6" s="233"/>
      <c r="L6" s="234"/>
      <c r="M6" s="566"/>
      <c r="N6" s="566"/>
      <c r="O6" s="566"/>
      <c r="P6" s="566"/>
      <c r="Q6" s="292"/>
      <c r="R6" s="566"/>
      <c r="S6" s="291"/>
      <c r="T6" s="291"/>
      <c r="U6" s="291"/>
      <c r="V6" s="291"/>
      <c r="IW6" s="573">
        <v>14</v>
      </c>
    </row>
    <row s="3439" customFormat="1" customHeight="1" ht="14.699999999999998">
      <c r="A7" s="1221"/>
      <c r="B7" s="1226"/>
      <c r="C7" s="1221"/>
      <c r="D7" s="1561"/>
      <c r="E7" s="2167" t="s">
        <v>309</v>
      </c>
      <c r="F7" s="2168"/>
      <c r="G7" s="2168"/>
      <c r="H7" s="2168"/>
      <c r="I7" s="2168"/>
      <c r="J7" s="2168"/>
      <c r="K7" s="2168"/>
      <c r="L7" s="2540" t="s">
        <v>310</v>
      </c>
      <c r="M7" s="566"/>
      <c r="N7" s="566"/>
      <c r="O7" s="566"/>
      <c r="P7" s="566"/>
      <c r="Q7" s="292"/>
      <c r="R7" s="566"/>
      <c r="S7" s="291"/>
      <c r="T7" s="291"/>
      <c r="U7" s="291"/>
      <c r="V7" s="291"/>
      <c r="IW7" s="573">
        <v>14</v>
      </c>
    </row>
    <row s="3439" customFormat="1" customHeight="1" ht="67.2">
      <c r="A8" s="1221"/>
      <c r="B8" s="1226"/>
      <c r="C8" s="1221"/>
      <c r="D8" s="1561"/>
      <c r="E8" s="2544" t="s">
        <v>93</v>
      </c>
      <c r="F8" s="25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7"/>
      <c r="I8" s="2548"/>
      <c r="J8" s="25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566"/>
      <c r="N8" s="566"/>
      <c r="O8" s="566"/>
      <c r="P8" s="566"/>
      <c r="Q8" s="292"/>
      <c r="R8" s="566"/>
      <c r="S8" s="291"/>
      <c r="T8" s="291"/>
      <c r="U8" s="291"/>
      <c r="V8" s="291"/>
      <c r="IW8" s="573">
        <v>64</v>
      </c>
    </row>
    <row s="3439" customFormat="1" customHeight="1" ht="29.25">
      <c r="A9" s="1221"/>
      <c r="B9" s="1226"/>
      <c r="C9" s="1221"/>
      <c r="D9" s="1561"/>
      <c r="E9" s="2545"/>
      <c r="F9" s="2545"/>
      <c r="G9" s="1603" t="s">
        <v>1878</v>
      </c>
      <c r="H9" s="1603" t="s">
        <v>1879</v>
      </c>
      <c r="I9" s="1603" t="s">
        <v>1880</v>
      </c>
      <c r="J9" s="2545"/>
      <c r="K9" s="2545"/>
      <c r="L9" s="2541"/>
      <c r="M9" s="566"/>
      <c r="N9" s="566"/>
      <c r="O9" s="566"/>
      <c r="P9" s="566"/>
      <c r="Q9" s="292"/>
      <c r="R9" s="566"/>
      <c r="S9" s="291"/>
      <c r="T9" s="291"/>
      <c r="U9" s="291"/>
      <c r="V9" s="291"/>
      <c r="IW9" s="573">
        <v>28</v>
      </c>
    </row>
    <row s="5774" customFormat="1" customHeight="1" ht="23.25">
      <c r="A10" s="2165"/>
      <c r="B10" s="1226">
        <v>1</v>
      </c>
      <c r="C10" s="1226"/>
      <c r="D10" s="866"/>
      <c r="E10" s="864">
        <v>1</v>
      </c>
      <c r="F10" s="1605" t="str">
        <f>IF(ROIV_INFO_NAME="","",ROIV_INFO_NAME)</f>
        <v>Филиал "Уренгойская ГРЭС" АО "Интер РАО - Электрогенерация"</v>
      </c>
      <c r="G10" s="1798" t="s">
        <v>28</v>
      </c>
      <c r="H10" s="1982"/>
      <c r="I10" s="1600"/>
      <c r="J10" s="884"/>
      <c r="K10" s="884"/>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577"/>
      <c r="O10" s="577"/>
      <c r="P10" s="566" t="str">
        <f t="array" ref="P10:P10">IF(ISERROR(MATCH(MID(Q10,1,250),MID(note_ter,1,250),0)),"n","y")</f>
        <v>n</v>
      </c>
      <c r="Q10" s="577"/>
      <c r="R10" s="56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6"/>
      <c r="T10" s="1226"/>
      <c r="U10" s="486"/>
      <c r="V10" s="1226"/>
      <c r="W10" s="1226"/>
      <c r="X10" s="1226"/>
      <c r="Y10" s="488"/>
      <c r="Z10" s="488"/>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5"/>
      <c r="BU10" s="485"/>
      <c r="BV10" s="488"/>
      <c r="BW10" s="488"/>
      <c r="BX10" s="488"/>
      <c r="BY10" s="488"/>
      <c r="BZ10" s="488"/>
      <c r="CA10" s="488"/>
      <c r="CB10" s="488"/>
      <c r="CC10" s="488"/>
      <c r="CD10" s="488"/>
      <c r="CE10" s="488"/>
      <c r="IW10" s="489">
        <v>22</v>
      </c>
    </row>
    <row s="5774" customFormat="1" customHeight="1" ht="15.75">
      <c r="A11" s="2165"/>
      <c r="B11" s="1226"/>
      <c r="C11" s="478"/>
      <c r="D11" s="867"/>
      <c r="E11" s="487"/>
      <c r="F11" s="482" t="s">
        <v>1881</v>
      </c>
      <c r="G11" s="253"/>
      <c r="H11" s="253"/>
      <c r="I11" s="253"/>
      <c r="J11" s="253"/>
      <c r="K11" s="490"/>
      <c r="L11" s="2543"/>
      <c r="M11" s="1602"/>
      <c r="N11" s="577"/>
      <c r="O11" s="577"/>
      <c r="P11" s="577"/>
      <c r="Q11" s="566"/>
      <c r="R11" s="577"/>
      <c r="S11" s="1226"/>
      <c r="T11" s="1226"/>
      <c r="U11" s="486"/>
      <c r="V11" s="1226"/>
      <c r="W11" s="1226"/>
      <c r="X11" s="1226"/>
      <c r="Y11" s="488"/>
      <c r="Z11" s="488"/>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5"/>
      <c r="AY11" s="485"/>
      <c r="AZ11" s="485"/>
      <c r="BA11" s="485"/>
      <c r="BB11" s="485"/>
      <c r="BC11" s="485"/>
      <c r="BD11" s="485"/>
      <c r="BE11" s="485"/>
      <c r="BF11" s="485"/>
      <c r="BG11" s="485"/>
      <c r="BH11" s="485"/>
      <c r="BI11" s="485"/>
      <c r="BJ11" s="485"/>
      <c r="BK11" s="485"/>
      <c r="BL11" s="485"/>
      <c r="BM11" s="485"/>
      <c r="BN11" s="485"/>
      <c r="BO11" s="485"/>
      <c r="BP11" s="485"/>
      <c r="BQ11" s="485"/>
      <c r="BR11" s="485"/>
      <c r="BS11" s="485"/>
      <c r="BT11" s="485"/>
      <c r="BU11" s="485"/>
      <c r="BV11" s="488"/>
      <c r="BW11" s="488"/>
      <c r="BX11" s="488"/>
      <c r="BY11" s="488"/>
      <c r="BZ11" s="488"/>
      <c r="CA11" s="488"/>
      <c r="CB11" s="488"/>
      <c r="CC11" s="488"/>
      <c r="CD11" s="488"/>
      <c r="CE11" s="488"/>
      <c r="IW11" s="489">
        <v>15</v>
      </c>
    </row>
    <row s="3439" customFormat="1" customHeight="1" ht="22.049999999999997">
      <c r="A12" s="1221"/>
      <c r="B12" s="1226"/>
      <c r="C12" s="1221"/>
      <c r="D12" s="517"/>
      <c r="E12" s="246"/>
      <c r="F12" s="246"/>
      <c r="G12" s="246"/>
      <c r="H12" s="246"/>
      <c r="I12" s="246"/>
      <c r="J12" s="246"/>
      <c r="K12" s="246"/>
      <c r="L12" s="246"/>
      <c r="M12" s="566"/>
      <c r="N12" s="566"/>
      <c r="O12" s="566"/>
      <c r="P12" s="566"/>
      <c r="Q12" s="292"/>
      <c r="R12" s="566"/>
      <c r="S12" s="291"/>
      <c r="T12" s="291"/>
      <c r="U12" s="291"/>
      <c r="V12" s="291"/>
      <c r="IW12" s="573">
        <v>21</v>
      </c>
    </row>
    <row s="3439" customFormat="1" customHeight="1" ht="14.699999999999998">
      <c r="A13" s="1221"/>
      <c r="B13" s="1226"/>
      <c r="C13" s="1221"/>
      <c r="D13" s="517"/>
      <c r="E13" s="1221"/>
      <c r="F13" s="1221"/>
      <c r="G13" s="1221"/>
      <c r="H13" s="1221"/>
      <c r="I13" s="1221"/>
      <c r="J13" s="1221"/>
      <c r="K13" s="1221"/>
      <c r="L13" s="1221"/>
      <c r="M13" s="566"/>
      <c r="N13" s="566"/>
      <c r="O13" s="566"/>
      <c r="P13" s="566"/>
      <c r="Q13" s="292"/>
      <c r="R13" s="566"/>
      <c r="S13" s="291"/>
      <c r="T13" s="291"/>
      <c r="U13" s="291"/>
      <c r="V13" s="291"/>
      <c r="IW13" s="573">
        <v>14</v>
      </c>
    </row>
    <row s="3439" customFormat="1" customHeight="1" ht="1.05">
      <c r="A14" s="1221"/>
      <c r="B14" s="1226"/>
      <c r="C14" s="1221"/>
      <c r="D14" s="517"/>
      <c r="E14" s="1221"/>
      <c r="F14" s="1221"/>
      <c r="G14" s="1221"/>
      <c r="H14" s="1221"/>
      <c r="I14" s="1221"/>
      <c r="J14" s="1221"/>
      <c r="K14" s="1221"/>
      <c r="L14" s="1221"/>
      <c r="M14" s="566"/>
      <c r="N14" s="566"/>
      <c r="O14" s="566"/>
      <c r="P14" s="566"/>
      <c r="Q14" s="292"/>
      <c r="R14" s="566"/>
      <c r="S14" s="291"/>
      <c r="T14" s="291"/>
      <c r="U14" s="291"/>
      <c r="V14" s="291"/>
      <c r="IW14" s="573">
        <v>1</v>
      </c>
    </row>
    <row customHeight="1" ht="22.5" hidden="1">
      <c r="A15" s="1221" t="s">
        <v>87</v>
      </c>
      <c r="B15" s="1226">
        <v>0</v>
      </c>
      <c r="C15" s="1221">
        <v>0</v>
      </c>
      <c r="D15" s="517">
        <v>3</v>
      </c>
      <c r="E15" s="1221">
        <v>6</v>
      </c>
      <c r="F15" s="1221">
        <v>27</v>
      </c>
      <c r="G15" s="1221">
        <v>16</v>
      </c>
      <c r="H15" s="1221">
        <v>12</v>
      </c>
      <c r="I15" s="1221">
        <v>32</v>
      </c>
      <c r="J15" s="1221">
        <v>41</v>
      </c>
      <c r="K15" s="1221">
        <v>41</v>
      </c>
      <c r="L15" s="1221">
        <v>89</v>
      </c>
      <c r="M15" s="566">
        <v>3</v>
      </c>
      <c r="N15" s="566">
        <v>8</v>
      </c>
      <c r="O15" s="566">
        <v>8</v>
      </c>
      <c r="P15" s="566">
        <v>8</v>
      </c>
      <c r="Q15" s="292">
        <v>25</v>
      </c>
      <c r="R15" s="566">
        <v>14</v>
      </c>
      <c r="S15" s="291">
        <v>8</v>
      </c>
      <c r="T15" s="291">
        <v>8</v>
      </c>
      <c r="U15" s="291">
        <v>8</v>
      </c>
      <c r="V15" s="291">
        <v>8</v>
      </c>
      <c r="W15" s="1221">
        <v>8</v>
      </c>
      <c r="X15" s="1221">
        <v>8</v>
      </c>
      <c r="Y15" s="1221">
        <v>8</v>
      </c>
      <c r="Z15" s="1221">
        <v>8</v>
      </c>
      <c r="AA15" s="1221">
        <v>8</v>
      </c>
      <c r="AB15" s="1221">
        <v>8</v>
      </c>
      <c r="AC15" s="1221">
        <v>8</v>
      </c>
      <c r="AD15" s="1221">
        <v>8</v>
      </c>
      <c r="AE15" s="1221">
        <v>8</v>
      </c>
      <c r="AF15" s="1221">
        <v>8</v>
      </c>
      <c r="AG15" s="1221">
        <v>8</v>
      </c>
      <c r="AH15" s="1221">
        <v>8</v>
      </c>
      <c r="AI15" s="1221">
        <v>8</v>
      </c>
      <c r="AJ15" s="1221">
        <v>8</v>
      </c>
      <c r="AK15" s="1221">
        <v>8</v>
      </c>
      <c r="AL15" s="1221">
        <v>8</v>
      </c>
      <c r="AM15" s="1221">
        <v>8</v>
      </c>
      <c r="AN15" s="1221">
        <v>8</v>
      </c>
      <c r="AO15" s="1221">
        <v>8</v>
      </c>
      <c r="AP15" s="1221">
        <v>8</v>
      </c>
      <c r="AQ15" s="1221">
        <v>8</v>
      </c>
      <c r="AR15" s="1221">
        <v>8</v>
      </c>
      <c r="AS15" s="1221">
        <v>8</v>
      </c>
      <c r="AT15" s="1221">
        <v>8</v>
      </c>
      <c r="AU15" s="1221">
        <v>8</v>
      </c>
      <c r="AV15" s="1221">
        <v>8</v>
      </c>
      <c r="AW15" s="1221">
        <v>8</v>
      </c>
      <c r="AX15" s="1221">
        <v>8</v>
      </c>
      <c r="AY15" s="1221">
        <v>8</v>
      </c>
      <c r="AZ15" s="1221">
        <v>8</v>
      </c>
      <c r="BA15" s="1221">
        <v>8</v>
      </c>
      <c r="BB15" s="1221">
        <v>8</v>
      </c>
      <c r="BC15" s="1221">
        <v>8</v>
      </c>
      <c r="BD15" s="1221">
        <v>8</v>
      </c>
      <c r="BE15" s="1221">
        <v>8</v>
      </c>
      <c r="BF15" s="1221">
        <v>8</v>
      </c>
      <c r="BG15" s="1221">
        <v>8</v>
      </c>
      <c r="BH15" s="1221">
        <v>8</v>
      </c>
      <c r="BI15" s="1221">
        <v>8</v>
      </c>
      <c r="BJ15" s="1221">
        <v>8</v>
      </c>
      <c r="BK15" s="1221">
        <v>8</v>
      </c>
      <c r="BL15" s="1221">
        <v>8</v>
      </c>
      <c r="BM15" s="1221">
        <v>8</v>
      </c>
      <c r="BN15" s="1221">
        <v>8</v>
      </c>
      <c r="BO15" s="1221">
        <v>8</v>
      </c>
      <c r="BP15" s="1221">
        <v>8</v>
      </c>
      <c r="BQ15" s="1221">
        <v>8</v>
      </c>
      <c r="BR15" s="1221">
        <v>8</v>
      </c>
      <c r="BS15" s="1221">
        <v>8</v>
      </c>
      <c r="BT15" s="1221">
        <v>8</v>
      </c>
      <c r="BU15" s="1221">
        <v>8</v>
      </c>
      <c r="BV15" s="1221">
        <v>8</v>
      </c>
      <c r="BW15" s="1221">
        <v>8</v>
      </c>
      <c r="BX15" s="1221">
        <v>8</v>
      </c>
      <c r="BY15" s="1221">
        <v>8</v>
      </c>
      <c r="BZ15" s="1221">
        <v>8</v>
      </c>
      <c r="CA15" s="1221">
        <v>8</v>
      </c>
      <c r="CB15" s="1221">
        <v>8</v>
      </c>
      <c r="CC15" s="1221">
        <v>8</v>
      </c>
      <c r="CD15" s="1221">
        <v>8</v>
      </c>
      <c r="CE15" s="1221">
        <v>8</v>
      </c>
      <c r="CF15" s="1221">
        <v>8</v>
      </c>
      <c r="CG15" s="1221">
        <v>8</v>
      </c>
      <c r="CH15" s="1221">
        <v>8</v>
      </c>
      <c r="CI15" s="1221">
        <v>8</v>
      </c>
      <c r="CJ15" s="1221">
        <v>8</v>
      </c>
      <c r="CK15" s="1221">
        <v>8</v>
      </c>
      <c r="CL15" s="1221">
        <v>8</v>
      </c>
      <c r="CM15" s="1221">
        <v>8</v>
      </c>
      <c r="CN15" s="1221">
        <v>8</v>
      </c>
      <c r="CO15" s="1221">
        <v>8</v>
      </c>
      <c r="CP15" s="1221">
        <v>8</v>
      </c>
      <c r="CQ15" s="1221">
        <v>8</v>
      </c>
      <c r="CR15" s="1221">
        <v>8</v>
      </c>
      <c r="CS15" s="1221">
        <v>8</v>
      </c>
      <c r="CT15" s="1221">
        <v>8</v>
      </c>
      <c r="CU15" s="1221">
        <v>8</v>
      </c>
      <c r="CV15" s="1221">
        <v>8</v>
      </c>
      <c r="CW15" s="1221">
        <v>8</v>
      </c>
      <c r="CX15" s="1221">
        <v>8</v>
      </c>
      <c r="CY15" s="1221">
        <v>8</v>
      </c>
      <c r="CZ15" s="1221">
        <v>8</v>
      </c>
      <c r="DA15" s="1221">
        <v>8</v>
      </c>
      <c r="DB15" s="1221">
        <v>8</v>
      </c>
      <c r="DC15" s="1221">
        <v>8</v>
      </c>
      <c r="DD15" s="1221">
        <v>8</v>
      </c>
      <c r="DE15" s="1221">
        <v>8</v>
      </c>
      <c r="DF15" s="1221">
        <v>8</v>
      </c>
      <c r="DG15" s="1221">
        <v>8</v>
      </c>
      <c r="DH15" s="1221">
        <v>8</v>
      </c>
      <c r="DI15" s="1221">
        <v>8</v>
      </c>
      <c r="DJ15" s="1221">
        <v>8</v>
      </c>
      <c r="DK15" s="1221">
        <v>8</v>
      </c>
      <c r="DL15" s="1221">
        <v>8</v>
      </c>
      <c r="DM15" s="1221">
        <v>8</v>
      </c>
      <c r="DN15" s="1221">
        <v>8</v>
      </c>
      <c r="DO15" s="1221">
        <v>8</v>
      </c>
      <c r="DP15" s="1221">
        <v>8</v>
      </c>
      <c r="DQ15" s="1221">
        <v>8</v>
      </c>
      <c r="DR15" s="1221">
        <v>8</v>
      </c>
      <c r="DS15" s="1221">
        <v>8</v>
      </c>
      <c r="DT15" s="1221">
        <v>8</v>
      </c>
      <c r="DU15" s="1221">
        <v>8</v>
      </c>
      <c r="DV15" s="1221">
        <v>8</v>
      </c>
      <c r="DW15" s="1221">
        <v>8</v>
      </c>
      <c r="DX15" s="1221">
        <v>8</v>
      </c>
      <c r="DY15" s="1221">
        <v>8</v>
      </c>
      <c r="DZ15" s="1221">
        <v>8</v>
      </c>
      <c r="EA15" s="1221">
        <v>8</v>
      </c>
      <c r="EB15" s="1221">
        <v>8</v>
      </c>
      <c r="EC15" s="1221">
        <v>8</v>
      </c>
      <c r="ED15" s="1221">
        <v>8</v>
      </c>
      <c r="EE15" s="1221">
        <v>8</v>
      </c>
      <c r="EF15" s="1221">
        <v>8</v>
      </c>
      <c r="EG15" s="1221">
        <v>8</v>
      </c>
      <c r="EH15" s="1221">
        <v>8</v>
      </c>
      <c r="EI15" s="1221">
        <v>8</v>
      </c>
      <c r="EJ15" s="1221">
        <v>8</v>
      </c>
      <c r="EK15" s="1221">
        <v>8</v>
      </c>
      <c r="EL15" s="1221">
        <v>8</v>
      </c>
      <c r="EM15" s="1221">
        <v>8</v>
      </c>
      <c r="EN15" s="1221">
        <v>8</v>
      </c>
      <c r="EO15" s="1221">
        <v>8</v>
      </c>
      <c r="EP15" s="1221">
        <v>8</v>
      </c>
      <c r="EQ15" s="1221">
        <v>8</v>
      </c>
      <c r="ER15" s="1221">
        <v>8</v>
      </c>
      <c r="ES15" s="1221">
        <v>8</v>
      </c>
      <c r="ET15" s="1221">
        <v>8</v>
      </c>
      <c r="EU15" s="1221">
        <v>8</v>
      </c>
      <c r="EV15" s="1221">
        <v>8</v>
      </c>
      <c r="EW15" s="1221">
        <v>8</v>
      </c>
      <c r="EX15" s="1221">
        <v>8</v>
      </c>
      <c r="EY15" s="1221">
        <v>8</v>
      </c>
      <c r="EZ15" s="1221">
        <v>8</v>
      </c>
      <c r="FA15" s="1221">
        <v>8</v>
      </c>
      <c r="FB15" s="1221">
        <v>8</v>
      </c>
      <c r="FC15" s="1221">
        <v>8</v>
      </c>
      <c r="FD15" s="1221">
        <v>8</v>
      </c>
      <c r="FE15" s="1221">
        <v>8</v>
      </c>
      <c r="FF15" s="1221">
        <v>8</v>
      </c>
      <c r="FG15" s="1221">
        <v>8</v>
      </c>
      <c r="FH15" s="1221">
        <v>8</v>
      </c>
      <c r="FI15" s="1221">
        <v>8</v>
      </c>
      <c r="FJ15" s="1221">
        <v>8</v>
      </c>
      <c r="FK15" s="1221">
        <v>8</v>
      </c>
      <c r="FL15" s="1221">
        <v>8</v>
      </c>
      <c r="FM15" s="1221">
        <v>8</v>
      </c>
      <c r="FN15" s="1221">
        <v>8</v>
      </c>
      <c r="FO15" s="1221">
        <v>8</v>
      </c>
      <c r="FP15" s="1221">
        <v>8</v>
      </c>
      <c r="FQ15" s="1221">
        <v>8</v>
      </c>
      <c r="FR15" s="1221">
        <v>8</v>
      </c>
      <c r="FS15" s="1221">
        <v>8</v>
      </c>
      <c r="FT15" s="1221">
        <v>8</v>
      </c>
      <c r="FU15" s="1221">
        <v>8</v>
      </c>
      <c r="FV15" s="1221">
        <v>8</v>
      </c>
      <c r="FW15" s="1221">
        <v>8</v>
      </c>
      <c r="FX15" s="1221">
        <v>8</v>
      </c>
      <c r="FY15" s="1221">
        <v>8</v>
      </c>
      <c r="FZ15" s="1221">
        <v>8</v>
      </c>
      <c r="GA15" s="1221">
        <v>8</v>
      </c>
      <c r="GB15" s="1221">
        <v>8</v>
      </c>
      <c r="GC15" s="1221">
        <v>8</v>
      </c>
      <c r="GD15" s="1221">
        <v>8</v>
      </c>
      <c r="GE15" s="1221">
        <v>8</v>
      </c>
      <c r="GF15" s="1221">
        <v>8</v>
      </c>
      <c r="GG15" s="1221">
        <v>8</v>
      </c>
      <c r="GH15" s="1221">
        <v>8</v>
      </c>
      <c r="GI15" s="1221">
        <v>8</v>
      </c>
      <c r="GJ15" s="1221">
        <v>8</v>
      </c>
      <c r="GK15" s="1221">
        <v>8</v>
      </c>
      <c r="GL15" s="1221">
        <v>8</v>
      </c>
      <c r="GM15" s="1221">
        <v>8</v>
      </c>
      <c r="GN15" s="1221">
        <v>8</v>
      </c>
      <c r="GO15" s="1221">
        <v>8</v>
      </c>
      <c r="GP15" s="1221">
        <v>8</v>
      </c>
      <c r="GQ15" s="1221">
        <v>8</v>
      </c>
      <c r="GR15" s="1221">
        <v>8</v>
      </c>
      <c r="GS15" s="1221">
        <v>8</v>
      </c>
      <c r="GT15" s="1221">
        <v>8</v>
      </c>
      <c r="GU15" s="1221">
        <v>8</v>
      </c>
      <c r="GV15" s="1221">
        <v>8</v>
      </c>
      <c r="GW15" s="1221">
        <v>8</v>
      </c>
      <c r="GX15" s="1221">
        <v>8</v>
      </c>
      <c r="GY15" s="1221">
        <v>8</v>
      </c>
      <c r="GZ15" s="1221">
        <v>8</v>
      </c>
      <c r="HA15" s="1221">
        <v>8</v>
      </c>
      <c r="HB15" s="1221">
        <v>8</v>
      </c>
      <c r="HC15" s="1221">
        <v>8</v>
      </c>
      <c r="HD15" s="1221">
        <v>8</v>
      </c>
      <c r="HE15" s="1221">
        <v>8</v>
      </c>
      <c r="HF15" s="1221">
        <v>8</v>
      </c>
      <c r="HG15" s="1221">
        <v>8</v>
      </c>
      <c r="HH15" s="1221">
        <v>8</v>
      </c>
      <c r="HI15" s="1221">
        <v>8</v>
      </c>
      <c r="HJ15" s="1221">
        <v>8</v>
      </c>
      <c r="HK15" s="1221">
        <v>8</v>
      </c>
      <c r="HL15" s="1221">
        <v>8</v>
      </c>
      <c r="HM15" s="1221">
        <v>8</v>
      </c>
      <c r="HN15" s="1221">
        <v>8</v>
      </c>
      <c r="HO15" s="1221">
        <v>8</v>
      </c>
      <c r="HP15" s="1221">
        <v>8</v>
      </c>
      <c r="HQ15" s="1221">
        <v>8</v>
      </c>
      <c r="HR15" s="1221">
        <v>8</v>
      </c>
      <c r="HS15" s="1221">
        <v>8</v>
      </c>
      <c r="HT15" s="1221">
        <v>8</v>
      </c>
      <c r="HU15" s="1221">
        <v>8</v>
      </c>
      <c r="HV15" s="1221">
        <v>8</v>
      </c>
      <c r="HW15" s="1221">
        <v>8</v>
      </c>
      <c r="HX15" s="1221">
        <v>8</v>
      </c>
      <c r="HY15" s="1221">
        <v>8</v>
      </c>
      <c r="HZ15" s="1221">
        <v>8</v>
      </c>
      <c r="IA15" s="1221">
        <v>8</v>
      </c>
      <c r="IB15" s="1221">
        <v>8</v>
      </c>
      <c r="IC15" s="1221">
        <v>8</v>
      </c>
      <c r="ID15" s="1221">
        <v>8</v>
      </c>
      <c r="IE15" s="1221">
        <v>8</v>
      </c>
      <c r="IF15" s="1221">
        <v>8</v>
      </c>
      <c r="IG15" s="1221">
        <v>8</v>
      </c>
      <c r="IH15" s="1221">
        <v>8</v>
      </c>
      <c r="II15" s="1221">
        <v>8</v>
      </c>
      <c r="IJ15" s="1221">
        <v>8</v>
      </c>
      <c r="IK15" s="1221">
        <v>8</v>
      </c>
      <c r="IL15" s="1221">
        <v>8</v>
      </c>
      <c r="IM15" s="1221">
        <v>8</v>
      </c>
      <c r="IN15" s="1221">
        <v>8</v>
      </c>
      <c r="IO15" s="1221">
        <v>8</v>
      </c>
      <c r="IP15" s="1221">
        <v>8</v>
      </c>
      <c r="IQ15" s="1221">
        <v>8</v>
      </c>
      <c r="IR15" s="1221">
        <v>8</v>
      </c>
      <c r="IS15" s="1221">
        <v>8</v>
      </c>
      <c r="IT15" s="1221">
        <v>8</v>
      </c>
      <c r="IU15" s="1221">
        <v>8</v>
      </c>
      <c r="IV15" s="1221">
        <v>8</v>
      </c>
      <c r="IW15" s="122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85175-7813-8D1B-B7BE-A82709F5774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5053" width="9.140625" hidden="1"/>
    <col min="2" max="2" style="5002" width="9.140625" hidden="1"/>
    <col min="3" max="3" style="5053" width="3.7109375" hidden="1" customWidth="1"/>
    <col min="4" max="4" style="5349" width="3.00390625" customWidth="1"/>
    <col min="5" max="5" style="5053" width="6.00390625" customWidth="1"/>
    <col min="6" max="6" style="5053" width="27.00390625" customWidth="1"/>
    <col min="7" max="7" style="5053" width="16.00390625" customWidth="1"/>
    <col min="8" max="8" style="5053" width="12.00390625" customWidth="1"/>
    <col min="9" max="9" style="5053" width="32.00390625" customWidth="1"/>
    <col min="10" max="11" style="5053" width="41.00390625" customWidth="1"/>
    <col min="12" max="12" style="5053" width="89.00390625" customWidth="1"/>
    <col min="13" max="13" style="5005" width="3.00390625" customWidth="1"/>
    <col min="14" max="16" style="5005" width="8.00390625" customWidth="1"/>
    <col min="17" max="17" style="5005" width="25.00390625" customWidth="1"/>
    <col min="18" max="18" style="5005" width="14.00390625" customWidth="1"/>
    <col min="19" max="22" style="2882" width="8.00390625" customWidth="1"/>
    <col min="23" max="256" style="5053" width="8.00390625" customWidth="1"/>
    <col min="257" max="257" style="5053" width="9.140625" hidden="1"/>
  </cols>
  <sheetData>
    <row customHeight="1" ht="22.5" hidden="1">
      <c r="IW1" s="1697" t="s">
        <v>14</v>
      </c>
    </row>
    <row s="5774" customFormat="1" customHeight="1" ht="22.5" hidden="1">
      <c r="A2" s="897"/>
      <c r="B2" s="1432">
        <v>1</v>
      </c>
      <c r="C2" s="1432"/>
      <c r="D2" s="1994" t="s">
        <v>454</v>
      </c>
      <c r="E2" s="1970"/>
      <c r="F2" s="1972" t="str">
        <f>IF(ROIV_INFO_NAME="","",ROIV_INFO_NAME)</f>
        <v>Филиал "Уренгойская ГРЭС" АО "Интер РАО - Электрогенерация"</v>
      </c>
      <c r="G2" s="1798" t="s">
        <v>28</v>
      </c>
      <c r="H2" s="1982"/>
      <c r="I2" s="1604"/>
      <c r="J2" s="884"/>
      <c r="K2" s="884"/>
      <c r="L2" s="294"/>
      <c r="M2" s="1601">
        <f>MERGEVALUE(F2)</f>
      </c>
      <c r="N2" s="1702"/>
      <c r="O2" s="1702"/>
      <c r="P2" s="1690" t="str">
        <f t="array" ref="P2:P2">IF(ISERROR(MATCH(MID(Q2,1,250),MID(note_ter,1,250),0)),"n","y")</f>
        <v>n</v>
      </c>
      <c r="Q2" s="1702"/>
      <c r="R2" s="1690" t="str">
        <f>G2&amp;"("&amp;L2&amp;")"</f>
        <v>()</v>
      </c>
      <c r="S2" s="1432"/>
      <c r="T2" s="1432"/>
      <c r="U2" s="486"/>
      <c r="V2" s="1432"/>
      <c r="W2" s="1432"/>
      <c r="X2" s="1432"/>
      <c r="Y2" s="899"/>
      <c r="Z2" s="899"/>
      <c r="AA2" s="693"/>
      <c r="AB2" s="693"/>
      <c r="AC2" s="693"/>
      <c r="AD2" s="693"/>
      <c r="AE2" s="693"/>
      <c r="AF2" s="693"/>
      <c r="AG2" s="693"/>
      <c r="AH2" s="693"/>
      <c r="AI2" s="693"/>
      <c r="AJ2" s="693"/>
      <c r="AK2" s="693"/>
      <c r="AL2" s="693"/>
      <c r="AM2" s="693"/>
      <c r="AN2" s="693"/>
      <c r="AO2" s="693"/>
      <c r="AP2" s="693"/>
      <c r="AQ2" s="693"/>
      <c r="AR2" s="693"/>
      <c r="AS2" s="693"/>
      <c r="AT2" s="693"/>
      <c r="AU2" s="693"/>
      <c r="AV2" s="693"/>
      <c r="AW2" s="693"/>
      <c r="AX2" s="693"/>
      <c r="AY2" s="693"/>
      <c r="AZ2" s="693"/>
      <c r="BA2" s="693"/>
      <c r="BB2" s="693"/>
      <c r="BC2" s="693"/>
      <c r="BD2" s="693"/>
      <c r="BE2" s="693"/>
      <c r="BF2" s="693"/>
      <c r="BG2" s="693"/>
      <c r="BH2" s="693"/>
      <c r="BI2" s="693"/>
      <c r="BJ2" s="693"/>
      <c r="BK2" s="693"/>
      <c r="BL2" s="693"/>
      <c r="BM2" s="693"/>
      <c r="BN2" s="693"/>
      <c r="BO2" s="693"/>
      <c r="BP2" s="693"/>
      <c r="BQ2" s="693"/>
      <c r="BR2" s="693"/>
      <c r="BS2" s="693"/>
      <c r="BT2" s="693"/>
      <c r="BU2" s="693"/>
      <c r="BV2" s="899"/>
      <c r="BW2" s="899"/>
      <c r="BX2" s="899"/>
      <c r="BY2" s="899"/>
      <c r="BZ2" s="899"/>
      <c r="CA2" s="899"/>
      <c r="CB2" s="899"/>
      <c r="CC2" s="899"/>
      <c r="CD2" s="899"/>
      <c r="CE2" s="899"/>
      <c r="IW2" s="690">
        <v>0</v>
      </c>
    </row>
    <row s="4562" customFormat="1" customHeight="1" ht="5.25" hidden="1">
      <c r="A3" s="1707"/>
      <c r="D3" s="1959"/>
      <c r="F3" s="314" t="s">
        <v>88</v>
      </c>
      <c r="G3" s="1801" t="s">
        <v>89</v>
      </c>
      <c r="H3" s="1959"/>
      <c r="I3" s="1959"/>
      <c r="J3" s="1959"/>
      <c r="K3" s="1959"/>
      <c r="L3" s="293" t="s">
        <v>90</v>
      </c>
      <c r="M3" s="314" t="s">
        <v>88</v>
      </c>
      <c r="N3" s="314"/>
      <c r="O3" s="314"/>
      <c r="P3" s="314"/>
      <c r="Q3" s="314"/>
      <c r="R3" s="314"/>
      <c r="S3" s="314"/>
      <c r="T3" s="314"/>
      <c r="U3" s="314"/>
      <c r="V3" s="314"/>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1702">
        <v>0</v>
      </c>
    </row>
    <row s="3439" customFormat="1" customHeight="1" ht="14.699999999999998">
      <c r="A4" s="1697"/>
      <c r="B4" s="1432"/>
      <c r="C4" s="1697"/>
      <c r="D4" s="1581"/>
      <c r="E4" s="1701"/>
      <c r="F4" s="1701"/>
      <c r="G4" s="1701"/>
      <c r="H4" s="1701"/>
      <c r="I4" s="1701"/>
      <c r="J4" s="1701"/>
      <c r="K4" s="1701"/>
      <c r="L4" s="1961"/>
      <c r="M4" s="314"/>
      <c r="N4" s="1690"/>
      <c r="O4" s="1690"/>
      <c r="P4" s="1690"/>
      <c r="Q4" s="1690"/>
      <c r="R4" s="1690"/>
      <c r="S4" s="291"/>
      <c r="T4" s="291"/>
      <c r="U4" s="291"/>
      <c r="V4" s="291"/>
      <c r="IW4" s="1675">
        <v>14</v>
      </c>
    </row>
    <row s="3439" customFormat="1" customHeight="1" ht="27.299999999999997">
      <c r="A5" s="1697"/>
      <c r="B5" s="1432"/>
      <c r="C5" s="1697"/>
      <c r="D5" s="158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1701"/>
      <c r="M5" s="314"/>
      <c r="N5" s="1690"/>
      <c r="O5" s="1690"/>
      <c r="P5" s="1690"/>
      <c r="Q5" s="1690"/>
      <c r="R5" s="1690"/>
      <c r="S5" s="291"/>
      <c r="T5" s="291"/>
      <c r="U5" s="291"/>
      <c r="V5" s="291"/>
      <c r="IW5" s="1675">
        <v>26</v>
      </c>
    </row>
    <row s="3439" customFormat="1" customHeight="1" ht="14.699999999999998">
      <c r="A6" s="1697"/>
      <c r="B6" s="1432"/>
      <c r="C6" s="1697"/>
      <c r="D6" s="1581"/>
      <c r="E6" s="1701"/>
      <c r="F6" s="682"/>
      <c r="G6" s="682"/>
      <c r="H6" s="682"/>
      <c r="I6" s="682"/>
      <c r="J6" s="682"/>
      <c r="K6" s="682"/>
      <c r="L6" s="1318"/>
      <c r="M6" s="1690"/>
      <c r="N6" s="1690"/>
      <c r="O6" s="1690"/>
      <c r="P6" s="1690"/>
      <c r="Q6" s="1690"/>
      <c r="R6" s="1690"/>
      <c r="S6" s="291"/>
      <c r="T6" s="291"/>
      <c r="U6" s="291"/>
      <c r="V6" s="291"/>
      <c r="IW6" s="1675">
        <v>14</v>
      </c>
    </row>
    <row s="3439" customFormat="1" customHeight="1" ht="14.699999999999998">
      <c r="A7" s="1697"/>
      <c r="B7" s="1432"/>
      <c r="C7" s="1697"/>
      <c r="D7" s="1581"/>
      <c r="E7" s="2167" t="s">
        <v>309</v>
      </c>
      <c r="F7" s="2168"/>
      <c r="G7" s="2168"/>
      <c r="H7" s="2168"/>
      <c r="I7" s="2168"/>
      <c r="J7" s="2168"/>
      <c r="K7" s="2168"/>
      <c r="L7" s="2540" t="s">
        <v>310</v>
      </c>
      <c r="M7" s="1690"/>
      <c r="N7" s="1690"/>
      <c r="O7" s="1690"/>
      <c r="P7" s="1690"/>
      <c r="Q7" s="1690"/>
      <c r="R7" s="1690"/>
      <c r="S7" s="291"/>
      <c r="T7" s="291"/>
      <c r="U7" s="291"/>
      <c r="V7" s="291"/>
      <c r="IW7" s="1675">
        <v>14</v>
      </c>
    </row>
    <row s="3439" customFormat="1" customHeight="1" ht="67.2">
      <c r="A8" s="1697"/>
      <c r="B8" s="1432"/>
      <c r="C8" s="1697"/>
      <c r="D8" s="1581"/>
      <c r="E8" s="2544" t="s">
        <v>93</v>
      </c>
      <c r="F8" s="2544" t="s">
        <v>1882</v>
      </c>
      <c r="G8" s="2546" t="s">
        <v>1883</v>
      </c>
      <c r="H8" s="2547"/>
      <c r="I8" s="2548"/>
      <c r="J8" s="2544" t="s">
        <v>1884</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1690"/>
      <c r="N8" s="1690"/>
      <c r="O8" s="1690"/>
      <c r="P8" s="1690"/>
      <c r="Q8" s="1690"/>
      <c r="R8" s="1690"/>
      <c r="S8" s="291"/>
      <c r="T8" s="291"/>
      <c r="U8" s="291"/>
      <c r="V8" s="291"/>
      <c r="IW8" s="1675">
        <v>64</v>
      </c>
    </row>
    <row s="3439" customFormat="1" customHeight="1" ht="29.25">
      <c r="A9" s="1697"/>
      <c r="B9" s="1432"/>
      <c r="C9" s="1697"/>
      <c r="D9" s="1581"/>
      <c r="E9" s="2545"/>
      <c r="F9" s="2545"/>
      <c r="G9" s="1960" t="s">
        <v>1878</v>
      </c>
      <c r="H9" s="1960" t="s">
        <v>1879</v>
      </c>
      <c r="I9" s="1960" t="s">
        <v>1880</v>
      </c>
      <c r="J9" s="2545"/>
      <c r="K9" s="2545"/>
      <c r="L9" s="2541"/>
      <c r="M9" s="1690"/>
      <c r="N9" s="1690"/>
      <c r="O9" s="1690"/>
      <c r="P9" s="1690"/>
      <c r="Q9" s="1690"/>
      <c r="R9" s="1690"/>
      <c r="S9" s="291"/>
      <c r="T9" s="291"/>
      <c r="U9" s="291"/>
      <c r="V9" s="291"/>
      <c r="IW9" s="1675">
        <v>28</v>
      </c>
    </row>
    <row s="5774" customFormat="1" customHeight="1" ht="1.05">
      <c r="A10" s="2165"/>
      <c r="B10" s="1432">
        <v>1</v>
      </c>
      <c r="C10" s="1432"/>
      <c r="D10" s="866"/>
      <c r="E10" s="861">
        <v>0</v>
      </c>
      <c r="F10" s="1957" t="str">
        <f>IF(ROIV_INFO_NAME="","",ROIV_INFO_NAME)</f>
        <v>Филиал "Уренгойская ГРЭС" АО "Интер РАО - Электрогенерация"</v>
      </c>
      <c r="G10" s="1799" t="s">
        <v>28</v>
      </c>
      <c r="H10" s="1969"/>
      <c r="I10" s="1969"/>
      <c r="J10" s="585"/>
      <c r="K10" s="585"/>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1702"/>
      <c r="O10" s="1702"/>
      <c r="P10" s="1690" t="str">
        <f t="array" ref="P10:P10">IF(ISERROR(MATCH(MID(Q10,1,250),MID(note_ter,1,250),0)),"n","y")</f>
        <v>n</v>
      </c>
      <c r="Q10" s="1702"/>
      <c r="R10" s="16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2"/>
      <c r="T10" s="1432"/>
      <c r="U10" s="486"/>
      <c r="V10" s="1432"/>
      <c r="W10" s="1432"/>
      <c r="X10" s="1432"/>
      <c r="Y10" s="899"/>
      <c r="Z10" s="899"/>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3"/>
      <c r="AY10" s="693"/>
      <c r="AZ10" s="693"/>
      <c r="BA10" s="693"/>
      <c r="BB10" s="693"/>
      <c r="BC10" s="693"/>
      <c r="BD10" s="693"/>
      <c r="BE10" s="693"/>
      <c r="BF10" s="693"/>
      <c r="BG10" s="693"/>
      <c r="BH10" s="693"/>
      <c r="BI10" s="693"/>
      <c r="BJ10" s="693"/>
      <c r="BK10" s="693"/>
      <c r="BL10" s="693"/>
      <c r="BM10" s="693"/>
      <c r="BN10" s="693"/>
      <c r="BO10" s="693"/>
      <c r="BP10" s="693"/>
      <c r="BQ10" s="693"/>
      <c r="BR10" s="693"/>
      <c r="BS10" s="693"/>
      <c r="BT10" s="693"/>
      <c r="BU10" s="693"/>
      <c r="BV10" s="899"/>
      <c r="BW10" s="899"/>
      <c r="BX10" s="899"/>
      <c r="BY10" s="899"/>
      <c r="BZ10" s="899"/>
      <c r="CA10" s="899"/>
      <c r="CB10" s="899"/>
      <c r="CC10" s="899"/>
      <c r="CD10" s="899"/>
      <c r="CE10" s="899"/>
      <c r="IW10" s="690">
        <v>1</v>
      </c>
    </row>
    <row s="5774" customFormat="1" customHeight="1" ht="15.75">
      <c r="A11" s="2165"/>
      <c r="B11" s="1432"/>
      <c r="C11" s="478"/>
      <c r="D11" s="867"/>
      <c r="E11" s="487"/>
      <c r="F11" s="717" t="s">
        <v>1881</v>
      </c>
      <c r="G11" s="253"/>
      <c r="H11" s="253"/>
      <c r="I11" s="253"/>
      <c r="J11" s="253"/>
      <c r="K11" s="490"/>
      <c r="L11" s="2543"/>
      <c r="M11" s="1602"/>
      <c r="N11" s="1702"/>
      <c r="O11" s="1702"/>
      <c r="P11" s="1702"/>
      <c r="Q11" s="1690"/>
      <c r="R11" s="1702"/>
      <c r="S11" s="1432"/>
      <c r="T11" s="1432"/>
      <c r="U11" s="486"/>
      <c r="V11" s="1432"/>
      <c r="W11" s="1432"/>
      <c r="X11" s="1432"/>
      <c r="Y11" s="899"/>
      <c r="Z11" s="899"/>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3"/>
      <c r="AY11" s="693"/>
      <c r="AZ11" s="693"/>
      <c r="BA11" s="693"/>
      <c r="BB11" s="693"/>
      <c r="BC11" s="693"/>
      <c r="BD11" s="693"/>
      <c r="BE11" s="693"/>
      <c r="BF11" s="693"/>
      <c r="BG11" s="693"/>
      <c r="BH11" s="693"/>
      <c r="BI11" s="693"/>
      <c r="BJ11" s="693"/>
      <c r="BK11" s="693"/>
      <c r="BL11" s="693"/>
      <c r="BM11" s="693"/>
      <c r="BN11" s="693"/>
      <c r="BO11" s="693"/>
      <c r="BP11" s="693"/>
      <c r="BQ11" s="693"/>
      <c r="BR11" s="693"/>
      <c r="BS11" s="693"/>
      <c r="BT11" s="693"/>
      <c r="BU11" s="693"/>
      <c r="BV11" s="899"/>
      <c r="BW11" s="899"/>
      <c r="BX11" s="899"/>
      <c r="BY11" s="899"/>
      <c r="BZ11" s="899"/>
      <c r="CA11" s="899"/>
      <c r="CB11" s="899"/>
      <c r="CC11" s="899"/>
      <c r="CD11" s="899"/>
      <c r="CE11" s="899"/>
      <c r="IW11" s="690">
        <v>15</v>
      </c>
    </row>
    <row s="3439" customFormat="1" customHeight="1" ht="22.049999999999997">
      <c r="A12" s="1697"/>
      <c r="B12" s="1432"/>
      <c r="C12" s="1697"/>
      <c r="D12" s="1699"/>
      <c r="E12" s="246"/>
      <c r="F12" s="246"/>
      <c r="G12" s="246"/>
      <c r="H12" s="246"/>
      <c r="I12" s="246"/>
      <c r="J12" s="246"/>
      <c r="K12" s="246"/>
      <c r="L12" s="246"/>
      <c r="M12" s="1690"/>
      <c r="N12" s="1690"/>
      <c r="O12" s="1690"/>
      <c r="P12" s="1690"/>
      <c r="Q12" s="1690"/>
      <c r="R12" s="1690"/>
      <c r="S12" s="291"/>
      <c r="T12" s="291"/>
      <c r="U12" s="291"/>
      <c r="V12" s="291"/>
      <c r="IW12" s="1675">
        <v>21</v>
      </c>
    </row>
    <row s="3439" customFormat="1" customHeight="1" ht="14.699999999999998">
      <c r="A13" s="1697"/>
      <c r="B13" s="1432"/>
      <c r="C13" s="1697"/>
      <c r="D13" s="1699"/>
      <c r="E13" s="1697"/>
      <c r="F13" s="1697"/>
      <c r="G13" s="1697"/>
      <c r="H13" s="1697"/>
      <c r="I13" s="1697"/>
      <c r="J13" s="1697"/>
      <c r="K13" s="1697"/>
      <c r="L13" s="1697"/>
      <c r="M13" s="1690"/>
      <c r="N13" s="1690"/>
      <c r="O13" s="1690"/>
      <c r="P13" s="1690"/>
      <c r="Q13" s="1690"/>
      <c r="R13" s="1690"/>
      <c r="S13" s="291"/>
      <c r="T13" s="291"/>
      <c r="U13" s="291"/>
      <c r="V13" s="291"/>
      <c r="IW13" s="1675">
        <v>14</v>
      </c>
    </row>
    <row s="3439" customFormat="1" customHeight="1" ht="1.05">
      <c r="A14" s="1697"/>
      <c r="B14" s="1432"/>
      <c r="C14" s="1697"/>
      <c r="D14" s="1699"/>
      <c r="E14" s="1697"/>
      <c r="F14" s="1697"/>
      <c r="G14" s="1697"/>
      <c r="H14" s="1697"/>
      <c r="I14" s="1697"/>
      <c r="J14" s="1697"/>
      <c r="K14" s="1697"/>
      <c r="L14" s="1697"/>
      <c r="M14" s="1690"/>
      <c r="N14" s="1690"/>
      <c r="O14" s="1690"/>
      <c r="P14" s="1690"/>
      <c r="Q14" s="1690"/>
      <c r="R14" s="1690"/>
      <c r="S14" s="291"/>
      <c r="T14" s="291"/>
      <c r="U14" s="291"/>
      <c r="V14" s="291"/>
      <c r="IW14" s="1675">
        <v>1</v>
      </c>
    </row>
    <row customHeight="1" ht="22.5" hidden="1">
      <c r="A15" s="1697" t="s">
        <v>87</v>
      </c>
      <c r="B15" s="1432">
        <v>0</v>
      </c>
      <c r="C15" s="1697">
        <v>0</v>
      </c>
      <c r="D15" s="1699">
        <v>3</v>
      </c>
      <c r="E15" s="1697">
        <v>6</v>
      </c>
      <c r="F15" s="1697">
        <v>27</v>
      </c>
      <c r="G15" s="1697">
        <v>16</v>
      </c>
      <c r="H15" s="1697">
        <v>12</v>
      </c>
      <c r="I15" s="1697">
        <v>32</v>
      </c>
      <c r="J15" s="1697">
        <v>41</v>
      </c>
      <c r="K15" s="1697">
        <v>41</v>
      </c>
      <c r="L15" s="1697">
        <v>89</v>
      </c>
      <c r="M15" s="1690">
        <v>3</v>
      </c>
      <c r="N15" s="1690">
        <v>8</v>
      </c>
      <c r="O15" s="1690">
        <v>8</v>
      </c>
      <c r="P15" s="1690">
        <v>8</v>
      </c>
      <c r="Q15" s="1690">
        <v>25</v>
      </c>
      <c r="R15" s="1690">
        <v>14</v>
      </c>
      <c r="S15" s="291">
        <v>8</v>
      </c>
      <c r="T15" s="291">
        <v>8</v>
      </c>
      <c r="U15" s="291">
        <v>8</v>
      </c>
      <c r="V15" s="291">
        <v>8</v>
      </c>
      <c r="W15" s="1697">
        <v>8</v>
      </c>
      <c r="X15" s="1697">
        <v>8</v>
      </c>
      <c r="Y15" s="1697">
        <v>8</v>
      </c>
      <c r="Z15" s="1697">
        <v>8</v>
      </c>
      <c r="AA15" s="1697">
        <v>8</v>
      </c>
      <c r="AB15" s="1697">
        <v>8</v>
      </c>
      <c r="AC15" s="1697">
        <v>8</v>
      </c>
      <c r="AD15" s="1697">
        <v>8</v>
      </c>
      <c r="AE15" s="1697">
        <v>8</v>
      </c>
      <c r="AF15" s="1697">
        <v>8</v>
      </c>
      <c r="AG15" s="1697">
        <v>8</v>
      </c>
      <c r="AH15" s="1697">
        <v>8</v>
      </c>
      <c r="AI15" s="1697">
        <v>8</v>
      </c>
      <c r="AJ15" s="1697">
        <v>8</v>
      </c>
      <c r="AK15" s="1697">
        <v>8</v>
      </c>
      <c r="AL15" s="1697">
        <v>8</v>
      </c>
      <c r="AM15" s="1697">
        <v>8</v>
      </c>
      <c r="AN15" s="1697">
        <v>8</v>
      </c>
      <c r="AO15" s="1697">
        <v>8</v>
      </c>
      <c r="AP15" s="1697">
        <v>8</v>
      </c>
      <c r="AQ15" s="1697">
        <v>8</v>
      </c>
      <c r="AR15" s="1697">
        <v>8</v>
      </c>
      <c r="AS15" s="1697">
        <v>8</v>
      </c>
      <c r="AT15" s="1697">
        <v>8</v>
      </c>
      <c r="AU15" s="1697">
        <v>8</v>
      </c>
      <c r="AV15" s="1697">
        <v>8</v>
      </c>
      <c r="AW15" s="1697">
        <v>8</v>
      </c>
      <c r="AX15" s="1697">
        <v>8</v>
      </c>
      <c r="AY15" s="1697">
        <v>8</v>
      </c>
      <c r="AZ15" s="1697">
        <v>8</v>
      </c>
      <c r="BA15" s="1697">
        <v>8</v>
      </c>
      <c r="BB15" s="1697">
        <v>8</v>
      </c>
      <c r="BC15" s="1697">
        <v>8</v>
      </c>
      <c r="BD15" s="1697">
        <v>8</v>
      </c>
      <c r="BE15" s="1697">
        <v>8</v>
      </c>
      <c r="BF15" s="1697">
        <v>8</v>
      </c>
      <c r="BG15" s="1697">
        <v>8</v>
      </c>
      <c r="BH15" s="1697">
        <v>8</v>
      </c>
      <c r="BI15" s="1697">
        <v>8</v>
      </c>
      <c r="BJ15" s="1697">
        <v>8</v>
      </c>
      <c r="BK15" s="1697">
        <v>8</v>
      </c>
      <c r="BL15" s="1697">
        <v>8</v>
      </c>
      <c r="BM15" s="1697">
        <v>8</v>
      </c>
      <c r="BN15" s="1697">
        <v>8</v>
      </c>
      <c r="BO15" s="1697">
        <v>8</v>
      </c>
      <c r="BP15" s="1697">
        <v>8</v>
      </c>
      <c r="BQ15" s="1697">
        <v>8</v>
      </c>
      <c r="BR15" s="1697">
        <v>8</v>
      </c>
      <c r="BS15" s="1697">
        <v>8</v>
      </c>
      <c r="BT15" s="1697">
        <v>8</v>
      </c>
      <c r="BU15" s="1697">
        <v>8</v>
      </c>
      <c r="BV15" s="1697">
        <v>8</v>
      </c>
      <c r="BW15" s="1697">
        <v>8</v>
      </c>
      <c r="BX15" s="1697">
        <v>8</v>
      </c>
      <c r="BY15" s="1697">
        <v>8</v>
      </c>
      <c r="BZ15" s="1697">
        <v>8</v>
      </c>
      <c r="CA15" s="1697">
        <v>8</v>
      </c>
      <c r="CB15" s="1697">
        <v>8</v>
      </c>
      <c r="CC15" s="1697">
        <v>8</v>
      </c>
      <c r="CD15" s="1697">
        <v>8</v>
      </c>
      <c r="CE15" s="1697">
        <v>8</v>
      </c>
      <c r="CF15" s="1697">
        <v>8</v>
      </c>
      <c r="CG15" s="1697">
        <v>8</v>
      </c>
      <c r="CH15" s="1697">
        <v>8</v>
      </c>
      <c r="CI15" s="1697">
        <v>8</v>
      </c>
      <c r="CJ15" s="1697">
        <v>8</v>
      </c>
      <c r="CK15" s="1697">
        <v>8</v>
      </c>
      <c r="CL15" s="1697">
        <v>8</v>
      </c>
      <c r="CM15" s="1697">
        <v>8</v>
      </c>
      <c r="CN15" s="1697">
        <v>8</v>
      </c>
      <c r="CO15" s="1697">
        <v>8</v>
      </c>
      <c r="CP15" s="1697">
        <v>8</v>
      </c>
      <c r="CQ15" s="1697">
        <v>8</v>
      </c>
      <c r="CR15" s="1697">
        <v>8</v>
      </c>
      <c r="CS15" s="1697">
        <v>8</v>
      </c>
      <c r="CT15" s="1697">
        <v>8</v>
      </c>
      <c r="CU15" s="1697">
        <v>8</v>
      </c>
      <c r="CV15" s="1697">
        <v>8</v>
      </c>
      <c r="CW15" s="1697">
        <v>8</v>
      </c>
      <c r="CX15" s="1697">
        <v>8</v>
      </c>
      <c r="CY15" s="1697">
        <v>8</v>
      </c>
      <c r="CZ15" s="1697">
        <v>8</v>
      </c>
      <c r="DA15" s="1697">
        <v>8</v>
      </c>
      <c r="DB15" s="1697">
        <v>8</v>
      </c>
      <c r="DC15" s="1697">
        <v>8</v>
      </c>
      <c r="DD15" s="1697">
        <v>8</v>
      </c>
      <c r="DE15" s="1697">
        <v>8</v>
      </c>
      <c r="DF15" s="1697">
        <v>8</v>
      </c>
      <c r="DG15" s="1697">
        <v>8</v>
      </c>
      <c r="DH15" s="1697">
        <v>8</v>
      </c>
      <c r="DI15" s="1697">
        <v>8</v>
      </c>
      <c r="DJ15" s="1697">
        <v>8</v>
      </c>
      <c r="DK15" s="1697">
        <v>8</v>
      </c>
      <c r="DL15" s="1697">
        <v>8</v>
      </c>
      <c r="DM15" s="1697">
        <v>8</v>
      </c>
      <c r="DN15" s="1697">
        <v>8</v>
      </c>
      <c r="DO15" s="1697">
        <v>8</v>
      </c>
      <c r="DP15" s="1697">
        <v>8</v>
      </c>
      <c r="DQ15" s="1697">
        <v>8</v>
      </c>
      <c r="DR15" s="1697">
        <v>8</v>
      </c>
      <c r="DS15" s="1697">
        <v>8</v>
      </c>
      <c r="DT15" s="1697">
        <v>8</v>
      </c>
      <c r="DU15" s="1697">
        <v>8</v>
      </c>
      <c r="DV15" s="1697">
        <v>8</v>
      </c>
      <c r="DW15" s="1697">
        <v>8</v>
      </c>
      <c r="DX15" s="1697">
        <v>8</v>
      </c>
      <c r="DY15" s="1697">
        <v>8</v>
      </c>
      <c r="DZ15" s="1697">
        <v>8</v>
      </c>
      <c r="EA15" s="1697">
        <v>8</v>
      </c>
      <c r="EB15" s="1697">
        <v>8</v>
      </c>
      <c r="EC15" s="1697">
        <v>8</v>
      </c>
      <c r="ED15" s="1697">
        <v>8</v>
      </c>
      <c r="EE15" s="1697">
        <v>8</v>
      </c>
      <c r="EF15" s="1697">
        <v>8</v>
      </c>
      <c r="EG15" s="1697">
        <v>8</v>
      </c>
      <c r="EH15" s="1697">
        <v>8</v>
      </c>
      <c r="EI15" s="1697">
        <v>8</v>
      </c>
      <c r="EJ15" s="1697">
        <v>8</v>
      </c>
      <c r="EK15" s="1697">
        <v>8</v>
      </c>
      <c r="EL15" s="1697">
        <v>8</v>
      </c>
      <c r="EM15" s="1697">
        <v>8</v>
      </c>
      <c r="EN15" s="1697">
        <v>8</v>
      </c>
      <c r="EO15" s="1697">
        <v>8</v>
      </c>
      <c r="EP15" s="1697">
        <v>8</v>
      </c>
      <c r="EQ15" s="1697">
        <v>8</v>
      </c>
      <c r="ER15" s="1697">
        <v>8</v>
      </c>
      <c r="ES15" s="1697">
        <v>8</v>
      </c>
      <c r="ET15" s="1697">
        <v>8</v>
      </c>
      <c r="EU15" s="1697">
        <v>8</v>
      </c>
      <c r="EV15" s="1697">
        <v>8</v>
      </c>
      <c r="EW15" s="1697">
        <v>8</v>
      </c>
      <c r="EX15" s="1697">
        <v>8</v>
      </c>
      <c r="EY15" s="1697">
        <v>8</v>
      </c>
      <c r="EZ15" s="1697">
        <v>8</v>
      </c>
      <c r="FA15" s="1697">
        <v>8</v>
      </c>
      <c r="FB15" s="1697">
        <v>8</v>
      </c>
      <c r="FC15" s="1697">
        <v>8</v>
      </c>
      <c r="FD15" s="1697">
        <v>8</v>
      </c>
      <c r="FE15" s="1697">
        <v>8</v>
      </c>
      <c r="FF15" s="1697">
        <v>8</v>
      </c>
      <c r="FG15" s="1697">
        <v>8</v>
      </c>
      <c r="FH15" s="1697">
        <v>8</v>
      </c>
      <c r="FI15" s="1697">
        <v>8</v>
      </c>
      <c r="FJ15" s="1697">
        <v>8</v>
      </c>
      <c r="FK15" s="1697">
        <v>8</v>
      </c>
      <c r="FL15" s="1697">
        <v>8</v>
      </c>
      <c r="FM15" s="1697">
        <v>8</v>
      </c>
      <c r="FN15" s="1697">
        <v>8</v>
      </c>
      <c r="FO15" s="1697">
        <v>8</v>
      </c>
      <c r="FP15" s="1697">
        <v>8</v>
      </c>
      <c r="FQ15" s="1697">
        <v>8</v>
      </c>
      <c r="FR15" s="1697">
        <v>8</v>
      </c>
      <c r="FS15" s="1697">
        <v>8</v>
      </c>
      <c r="FT15" s="1697">
        <v>8</v>
      </c>
      <c r="FU15" s="1697">
        <v>8</v>
      </c>
      <c r="FV15" s="1697">
        <v>8</v>
      </c>
      <c r="FW15" s="1697">
        <v>8</v>
      </c>
      <c r="FX15" s="1697">
        <v>8</v>
      </c>
      <c r="FY15" s="1697">
        <v>8</v>
      </c>
      <c r="FZ15" s="1697">
        <v>8</v>
      </c>
      <c r="GA15" s="1697">
        <v>8</v>
      </c>
      <c r="GB15" s="1697">
        <v>8</v>
      </c>
      <c r="GC15" s="1697">
        <v>8</v>
      </c>
      <c r="GD15" s="1697">
        <v>8</v>
      </c>
      <c r="GE15" s="1697">
        <v>8</v>
      </c>
      <c r="GF15" s="1697">
        <v>8</v>
      </c>
      <c r="GG15" s="1697">
        <v>8</v>
      </c>
      <c r="GH15" s="1697">
        <v>8</v>
      </c>
      <c r="GI15" s="1697">
        <v>8</v>
      </c>
      <c r="GJ15" s="1697">
        <v>8</v>
      </c>
      <c r="GK15" s="1697">
        <v>8</v>
      </c>
      <c r="GL15" s="1697">
        <v>8</v>
      </c>
      <c r="GM15" s="1697">
        <v>8</v>
      </c>
      <c r="GN15" s="1697">
        <v>8</v>
      </c>
      <c r="GO15" s="1697">
        <v>8</v>
      </c>
      <c r="GP15" s="1697">
        <v>8</v>
      </c>
      <c r="GQ15" s="1697">
        <v>8</v>
      </c>
      <c r="GR15" s="1697">
        <v>8</v>
      </c>
      <c r="GS15" s="1697">
        <v>8</v>
      </c>
      <c r="GT15" s="1697">
        <v>8</v>
      </c>
      <c r="GU15" s="1697">
        <v>8</v>
      </c>
      <c r="GV15" s="1697">
        <v>8</v>
      </c>
      <c r="GW15" s="1697">
        <v>8</v>
      </c>
      <c r="GX15" s="1697">
        <v>8</v>
      </c>
      <c r="GY15" s="1697">
        <v>8</v>
      </c>
      <c r="GZ15" s="1697">
        <v>8</v>
      </c>
      <c r="HA15" s="1697">
        <v>8</v>
      </c>
      <c r="HB15" s="1697">
        <v>8</v>
      </c>
      <c r="HC15" s="1697">
        <v>8</v>
      </c>
      <c r="HD15" s="1697">
        <v>8</v>
      </c>
      <c r="HE15" s="1697">
        <v>8</v>
      </c>
      <c r="HF15" s="1697">
        <v>8</v>
      </c>
      <c r="HG15" s="1697">
        <v>8</v>
      </c>
      <c r="HH15" s="1697">
        <v>8</v>
      </c>
      <c r="HI15" s="1697">
        <v>8</v>
      </c>
      <c r="HJ15" s="1697">
        <v>8</v>
      </c>
      <c r="HK15" s="1697">
        <v>8</v>
      </c>
      <c r="HL15" s="1697">
        <v>8</v>
      </c>
      <c r="HM15" s="1697">
        <v>8</v>
      </c>
      <c r="HN15" s="1697">
        <v>8</v>
      </c>
      <c r="HO15" s="1697">
        <v>8</v>
      </c>
      <c r="HP15" s="1697">
        <v>8</v>
      </c>
      <c r="HQ15" s="1697">
        <v>8</v>
      </c>
      <c r="HR15" s="1697">
        <v>8</v>
      </c>
      <c r="HS15" s="1697">
        <v>8</v>
      </c>
      <c r="HT15" s="1697">
        <v>8</v>
      </c>
      <c r="HU15" s="1697">
        <v>8</v>
      </c>
      <c r="HV15" s="1697">
        <v>8</v>
      </c>
      <c r="HW15" s="1697">
        <v>8</v>
      </c>
      <c r="HX15" s="1697">
        <v>8</v>
      </c>
      <c r="HY15" s="1697">
        <v>8</v>
      </c>
      <c r="HZ15" s="1697">
        <v>8</v>
      </c>
      <c r="IA15" s="1697">
        <v>8</v>
      </c>
      <c r="IB15" s="1697">
        <v>8</v>
      </c>
      <c r="IC15" s="1697">
        <v>8</v>
      </c>
      <c r="ID15" s="1697">
        <v>8</v>
      </c>
      <c r="IE15" s="1697">
        <v>8</v>
      </c>
      <c r="IF15" s="1697">
        <v>8</v>
      </c>
      <c r="IG15" s="1697">
        <v>8</v>
      </c>
      <c r="IH15" s="1697">
        <v>8</v>
      </c>
      <c r="II15" s="1697">
        <v>8</v>
      </c>
      <c r="IJ15" s="1697">
        <v>8</v>
      </c>
      <c r="IK15" s="1697">
        <v>8</v>
      </c>
      <c r="IL15" s="1697">
        <v>8</v>
      </c>
      <c r="IM15" s="1697">
        <v>8</v>
      </c>
      <c r="IN15" s="1697">
        <v>8</v>
      </c>
      <c r="IO15" s="1697">
        <v>8</v>
      </c>
      <c r="IP15" s="1697">
        <v>8</v>
      </c>
      <c r="IQ15" s="1697">
        <v>8</v>
      </c>
      <c r="IR15" s="1697">
        <v>8</v>
      </c>
      <c r="IS15" s="1697">
        <v>8</v>
      </c>
      <c r="IT15" s="1697">
        <v>8</v>
      </c>
      <c r="IU15" s="1697">
        <v>8</v>
      </c>
      <c r="IV15" s="1697">
        <v>8</v>
      </c>
      <c r="IW15" s="169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C4CBF-6E37-51A1-7608-4E540350E98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5053" width="9.140625" hidden="1"/>
    <col min="2" max="2" style="5002" width="9.140625" hidden="1"/>
    <col min="3" max="3" style="5053" width="3.7109375" hidden="1" customWidth="1"/>
    <col min="4" max="4" style="5349" width="3.00390625" customWidth="1"/>
    <col min="5" max="5" style="5053" width="6.00390625" customWidth="1"/>
    <col min="6" max="6" style="5053" width="27.00390625" customWidth="1"/>
    <col min="7" max="7" style="5053" width="29.00390625" customWidth="1"/>
    <col min="8" max="8" style="5053" width="25.00390625" customWidth="1"/>
    <col min="9" max="9" style="5053" width="5.00390625" customWidth="1"/>
    <col min="10" max="10" style="5053" width="6.00390625" customWidth="1"/>
    <col min="11" max="11" style="5053" width="41.00390625" customWidth="1"/>
    <col min="12" max="12" style="5053" width="42.00390625" customWidth="1"/>
    <col min="13" max="13" style="5053" width="41.00390625" customWidth="1"/>
    <col min="14" max="14" style="5053" width="89.00390625" customWidth="1"/>
    <col min="15" max="15" style="5005" width="3.00390625" customWidth="1"/>
    <col min="16" max="16" style="5005" width="8.00390625" customWidth="1"/>
    <col min="17" max="17" style="5053" width="9.140625" hidden="1"/>
  </cols>
  <sheetData>
    <row customHeight="1" ht="22.5" hidden="1">
      <c r="Q1" s="1221" t="s">
        <v>14</v>
      </c>
    </row>
    <row s="5774" customFormat="1" customHeight="1" ht="22.5" hidden="1">
      <c r="A2" s="562"/>
      <c r="B2" s="1226">
        <v>1</v>
      </c>
      <c r="C2" s="1226"/>
      <c r="D2" s="1994" t="s">
        <v>454</v>
      </c>
      <c r="E2" s="2193">
        <v>1</v>
      </c>
      <c r="F2" s="2369" t="str">
        <f>IF(region_name="","",region_name)</f>
        <v>Ямало-Ненецкий автономный округ</v>
      </c>
      <c r="G2" s="2549"/>
      <c r="H2" s="2550"/>
      <c r="I2" s="540"/>
      <c r="J2" s="1976">
        <v>1</v>
      </c>
      <c r="K2" s="1978"/>
      <c r="L2" s="1978"/>
      <c r="M2" s="1978"/>
      <c r="N2" s="558"/>
      <c r="O2" s="1601"/>
      <c r="P2" s="577"/>
      <c r="Q2" s="489">
        <v>0</v>
      </c>
    </row>
    <row s="5774" customFormat="1" customHeight="1" ht="22.5" hidden="1">
      <c r="A3" s="897"/>
      <c r="B3" s="1226"/>
      <c r="C3" s="1226"/>
      <c r="D3" s="867"/>
      <c r="E3" s="2193"/>
      <c r="F3" s="2369"/>
      <c r="G3" s="2549"/>
      <c r="H3" s="2551"/>
      <c r="I3" s="487"/>
      <c r="J3" s="1566"/>
      <c r="K3" s="1566" t="s">
        <v>1885</v>
      </c>
      <c r="L3" s="1609"/>
      <c r="M3" s="1986"/>
      <c r="N3" s="1979"/>
      <c r="O3" s="1601"/>
      <c r="P3" s="577"/>
      <c r="Q3" s="489">
        <v>0</v>
      </c>
    </row>
    <row s="4562" customFormat="1" customHeight="1" ht="5.25" hidden="1">
      <c r="A4" s="562"/>
      <c r="D4" s="560"/>
      <c r="F4" s="313" t="s">
        <v>88</v>
      </c>
      <c r="G4" s="560" t="s">
        <v>89</v>
      </c>
      <c r="H4" s="560"/>
      <c r="I4" s="1989"/>
      <c r="J4" s="1610"/>
      <c r="K4" s="1977"/>
      <c r="L4" s="1977"/>
      <c r="M4" s="1977"/>
      <c r="N4" s="1973"/>
      <c r="O4" s="313" t="s">
        <v>88</v>
      </c>
      <c r="P4" s="313"/>
      <c r="Q4" s="577">
        <v>0</v>
      </c>
    </row>
    <row s="5774" customFormat="1" customHeight="1" ht="22.5" hidden="1">
      <c r="A5" s="1707"/>
      <c r="B5" s="1432">
        <v>1</v>
      </c>
      <c r="C5" s="1432"/>
      <c r="D5" s="867"/>
      <c r="E5" s="1979"/>
      <c r="F5" s="1979"/>
      <c r="G5" s="1979"/>
      <c r="H5" s="1990"/>
      <c r="I5" s="1995" t="s">
        <v>454</v>
      </c>
      <c r="J5" s="1988">
        <v>1</v>
      </c>
      <c r="K5" s="1978"/>
      <c r="L5" s="1978"/>
      <c r="M5" s="1978"/>
      <c r="N5" s="558"/>
      <c r="O5" s="1601"/>
      <c r="P5" s="1702"/>
      <c r="Q5" s="690">
        <v>0</v>
      </c>
    </row>
    <row s="3439" customFormat="1" customHeight="1" ht="14.699999999999998">
      <c r="A6" s="1221"/>
      <c r="B6" s="1226"/>
      <c r="C6" s="1221"/>
      <c r="D6" s="1561"/>
      <c r="E6" s="575"/>
      <c r="F6" s="575"/>
      <c r="G6" s="575"/>
      <c r="H6" s="575"/>
      <c r="I6" s="575"/>
      <c r="J6" s="575"/>
      <c r="K6" s="575"/>
      <c r="L6" s="575"/>
      <c r="M6" s="575"/>
      <c r="N6" s="1701"/>
      <c r="O6" s="313"/>
      <c r="P6" s="566"/>
      <c r="Q6" s="573">
        <v>14</v>
      </c>
    </row>
    <row s="3439" customFormat="1" customHeight="1" ht="27.299999999999997">
      <c r="A7" s="1221"/>
      <c r="B7" s="1226"/>
      <c r="C7" s="1221"/>
      <c r="D7" s="1561"/>
      <c r="E7" s="255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6"/>
      <c r="G7" s="2556"/>
      <c r="H7" s="2556"/>
      <c r="I7" s="2556"/>
      <c r="J7" s="2556"/>
      <c r="K7" s="2556"/>
      <c r="L7" s="2556"/>
      <c r="M7" s="2556"/>
      <c r="N7" s="1318"/>
      <c r="O7" s="313"/>
      <c r="P7" s="566"/>
      <c r="Q7" s="573">
        <v>26</v>
      </c>
    </row>
    <row s="3439" customFormat="1" customHeight="1" ht="14.699999999999998">
      <c r="A8" s="1221"/>
      <c r="B8" s="1226"/>
      <c r="C8" s="1221"/>
      <c r="D8" s="1561"/>
      <c r="E8" s="575"/>
      <c r="F8" s="233"/>
      <c r="G8" s="233"/>
      <c r="H8" s="233"/>
      <c r="I8" s="233"/>
      <c r="J8" s="233"/>
      <c r="K8" s="233"/>
      <c r="L8" s="233"/>
      <c r="M8" s="233"/>
      <c r="N8" s="682"/>
      <c r="O8" s="566"/>
      <c r="P8" s="566"/>
      <c r="Q8" s="573">
        <v>14</v>
      </c>
    </row>
    <row s="5278" customFormat="1" customHeight="1" ht="14.25" hidden="1">
      <c r="A9" s="1534"/>
      <c r="B9" s="1544"/>
      <c r="C9" s="1534"/>
      <c r="D9" s="1561"/>
      <c r="E9" s="1980"/>
      <c r="F9" s="1980"/>
      <c r="G9" s="1980"/>
      <c r="H9" s="1980"/>
      <c r="I9" s="2559"/>
      <c r="J9" s="2559"/>
      <c r="K9" s="2559"/>
      <c r="L9" s="1980"/>
      <c r="M9" s="1981"/>
      <c r="O9" s="1611"/>
      <c r="P9" s="1611"/>
      <c r="Q9" s="1612">
        <v>0</v>
      </c>
    </row>
    <row s="3439" customFormat="1" customHeight="1" ht="14.699999999999998">
      <c r="A10" s="1221"/>
      <c r="B10" s="1226"/>
      <c r="C10" s="1221"/>
      <c r="D10" s="1561"/>
      <c r="E10" s="2193" t="s">
        <v>309</v>
      </c>
      <c r="F10" s="2193"/>
      <c r="G10" s="2193"/>
      <c r="H10" s="2193"/>
      <c r="I10" s="2193"/>
      <c r="J10" s="2193"/>
      <c r="K10" s="2193"/>
      <c r="L10" s="2193"/>
      <c r="M10" s="2167"/>
      <c r="N10" s="2544" t="s">
        <v>310</v>
      </c>
      <c r="O10" s="566"/>
      <c r="P10" s="566"/>
      <c r="Q10" s="573">
        <v>14</v>
      </c>
    </row>
    <row s="3439" customFormat="1" customHeight="1" ht="44.25">
      <c r="A11" s="1697"/>
      <c r="B11" s="1432"/>
      <c r="C11" s="1697"/>
      <c r="D11" s="1581"/>
      <c r="E11" s="2558" t="s">
        <v>93</v>
      </c>
      <c r="F11" s="2558" t="s">
        <v>313</v>
      </c>
      <c r="G11" s="2558" t="s">
        <v>1886</v>
      </c>
      <c r="H11" s="2558"/>
      <c r="I11" s="2558" t="s">
        <v>1887</v>
      </c>
      <c r="J11" s="2558"/>
      <c r="K11" s="2558"/>
      <c r="L11" s="2558" t="s">
        <v>1888</v>
      </c>
      <c r="M11" s="2546" t="s">
        <v>1889</v>
      </c>
      <c r="N11" s="2557"/>
      <c r="O11" s="1690"/>
      <c r="P11" s="1690"/>
      <c r="Q11" s="1675">
        <v>42</v>
      </c>
    </row>
    <row s="3439" customFormat="1" customHeight="1" ht="29.25">
      <c r="A12" s="1221"/>
      <c r="B12" s="1226"/>
      <c r="C12" s="1221"/>
      <c r="D12" s="1561"/>
      <c r="E12" s="2544"/>
      <c r="F12" s="2558"/>
      <c r="G12" s="1975" t="s">
        <v>1890</v>
      </c>
      <c r="H12" s="1975" t="s">
        <v>317</v>
      </c>
      <c r="I12" s="2558"/>
      <c r="J12" s="2558"/>
      <c r="K12" s="2558"/>
      <c r="L12" s="2558"/>
      <c r="M12" s="2546"/>
      <c r="N12" s="2545"/>
      <c r="O12" s="566"/>
      <c r="P12" s="566"/>
      <c r="Q12" s="573">
        <v>28</v>
      </c>
    </row>
    <row s="5774" customFormat="1" customHeight="1" ht="23.25">
      <c r="A13" s="2165">
        <v>26379339</v>
      </c>
      <c r="B13" s="1226">
        <v>1</v>
      </c>
      <c r="C13" s="1226"/>
      <c r="D13" s="867"/>
      <c r="E13" s="2193">
        <v>1</v>
      </c>
      <c r="F13" s="2552" t="str">
        <f>IF(region_name="","",region_name)</f>
        <v>Ямало-Ненецкий автономный округ</v>
      </c>
      <c r="G13" s="2553"/>
      <c r="H13" s="2560"/>
      <c r="I13" s="540"/>
      <c r="J13" s="1971">
        <v>1</v>
      </c>
      <c r="K13" s="1984"/>
      <c r="L13" s="1985"/>
      <c r="M13" s="1985"/>
      <c r="N13" s="2554" t="s">
        <v>1891</v>
      </c>
      <c r="O13" s="1601"/>
      <c r="P13" s="577"/>
      <c r="Q13" s="489">
        <v>22</v>
      </c>
    </row>
    <row s="5774" customFormat="1" customHeight="1" ht="23.25">
      <c r="A14" s="2165"/>
      <c r="B14" s="1226"/>
      <c r="C14" s="1226"/>
      <c r="D14" s="867"/>
      <c r="E14" s="2193"/>
      <c r="F14" s="2552"/>
      <c r="G14" s="2553"/>
      <c r="H14" s="2561"/>
      <c r="I14" s="487"/>
      <c r="J14" s="1566"/>
      <c r="K14" s="1566" t="s">
        <v>1885</v>
      </c>
      <c r="L14" s="1609"/>
      <c r="M14" s="1609"/>
      <c r="N14" s="2555"/>
      <c r="O14" s="1601"/>
      <c r="P14" s="577"/>
      <c r="Q14" s="489">
        <v>22</v>
      </c>
    </row>
    <row s="5774" customFormat="1" customHeight="1" ht="23.25">
      <c r="A15" s="2165"/>
      <c r="B15" s="1226"/>
      <c r="C15" s="478"/>
      <c r="D15" s="867"/>
      <c r="E15" s="487"/>
      <c r="F15" s="1566" t="s">
        <v>1877</v>
      </c>
      <c r="G15" s="1608"/>
      <c r="H15" s="1608"/>
      <c r="I15" s="253"/>
      <c r="J15" s="253"/>
      <c r="K15" s="253"/>
      <c r="L15" s="253"/>
      <c r="M15" s="253"/>
      <c r="N15" s="2555"/>
      <c r="O15" s="1602"/>
      <c r="P15" s="577"/>
      <c r="Q15" s="489">
        <v>22</v>
      </c>
    </row>
    <row s="3439" customFormat="1" customHeight="1" ht="22.049999999999997">
      <c r="A16" s="1221"/>
      <c r="B16" s="1226"/>
      <c r="C16" s="1221"/>
      <c r="D16" s="517"/>
      <c r="E16" s="246"/>
      <c r="F16" s="246"/>
      <c r="G16" s="246"/>
      <c r="H16" s="246"/>
      <c r="I16" s="246"/>
      <c r="J16" s="246"/>
      <c r="K16" s="246"/>
      <c r="L16" s="246"/>
      <c r="M16" s="575"/>
      <c r="N16" s="1701"/>
      <c r="O16" s="566"/>
      <c r="P16" s="566"/>
      <c r="Q16" s="573">
        <v>21</v>
      </c>
    </row>
    <row s="3439" customFormat="1" customHeight="1" ht="14.699999999999998">
      <c r="A17" s="1221"/>
      <c r="B17" s="1226"/>
      <c r="C17" s="1221"/>
      <c r="D17" s="517"/>
      <c r="E17" s="1221"/>
      <c r="F17" s="1221"/>
      <c r="G17" s="1221"/>
      <c r="H17" s="1221"/>
      <c r="I17" s="1221"/>
      <c r="J17" s="1221"/>
      <c r="K17" s="1221"/>
      <c r="L17" s="1221"/>
      <c r="M17" s="1221"/>
      <c r="N17" s="1697"/>
      <c r="O17" s="566"/>
      <c r="P17" s="566"/>
      <c r="Q17" s="573">
        <v>14</v>
      </c>
    </row>
    <row s="3439" customFormat="1" customHeight="1" ht="1.05">
      <c r="A18" s="1221"/>
      <c r="B18" s="1226"/>
      <c r="C18" s="1221"/>
      <c r="D18" s="517"/>
      <c r="E18" s="1221"/>
      <c r="F18" s="1221"/>
      <c r="G18" s="1221"/>
      <c r="H18" s="1221"/>
      <c r="I18" s="1221"/>
      <c r="J18" s="1221"/>
      <c r="K18" s="1221"/>
      <c r="L18" s="1221"/>
      <c r="M18" s="1221"/>
      <c r="N18" s="1697"/>
      <c r="O18" s="566"/>
      <c r="P18" s="566"/>
      <c r="Q18" s="573">
        <v>1</v>
      </c>
    </row>
    <row customHeight="1" ht="22.5" hidden="1">
      <c r="A19" s="1221" t="s">
        <v>87</v>
      </c>
      <c r="B19" s="1226">
        <v>0</v>
      </c>
      <c r="C19" s="1221">
        <v>0</v>
      </c>
      <c r="D19" s="517">
        <v>3</v>
      </c>
      <c r="E19" s="1221">
        <v>6</v>
      </c>
      <c r="F19" s="1221">
        <v>27</v>
      </c>
      <c r="G19" s="1221">
        <v>29</v>
      </c>
      <c r="H19" s="1221">
        <v>25</v>
      </c>
      <c r="I19" s="1221">
        <v>5</v>
      </c>
      <c r="J19" s="1221">
        <v>6</v>
      </c>
      <c r="K19" s="1221">
        <v>41</v>
      </c>
      <c r="L19" s="1221">
        <v>42</v>
      </c>
      <c r="M19" s="1221">
        <v>41</v>
      </c>
      <c r="N19" s="1697">
        <v>89</v>
      </c>
      <c r="O19" s="566">
        <v>3</v>
      </c>
      <c r="P19" s="566">
        <v>8</v>
      </c>
      <c r="Q19" s="122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26A61-50AB-9A39-0FDF-A085D7DD0A4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5304" width="9.140625" hidden="1"/>
    <col min="2" max="2" style="5516" width="9.140625" hidden="1"/>
    <col min="3" max="3" style="5301" width="3.00390625" customWidth="1"/>
    <col min="4" max="4" style="5516" width="6.00390625" customWidth="1"/>
    <col min="5" max="5" style="5516" width="22.00390625" customWidth="1"/>
    <col min="6" max="6" style="5516" width="15.00390625" customWidth="1"/>
    <col min="7" max="7" style="5516" width="14.00390625" customWidth="1"/>
    <col min="8" max="8" style="5516" width="47.00390625" customWidth="1"/>
    <col min="9" max="9" style="5516" width="115.00390625" customWidth="1"/>
    <col min="10" max="10" style="5516" width="3.00390625" customWidth="1"/>
    <col min="11" max="12" style="5516" width="8.00390625" customWidth="1"/>
    <col min="13" max="13" style="5516" width="9.140625" hidden="1"/>
  </cols>
  <sheetData>
    <row customHeight="1" ht="14.25" hidden="1">
      <c r="M1" s="187" t="s">
        <v>14</v>
      </c>
    </row>
    <row customHeight="1" ht="14.25" hidden="1">
      <c r="M2" s="187">
        <v>0</v>
      </c>
    </row>
    <row customHeight="1" ht="14.25" hidden="1">
      <c r="M3" s="187">
        <v>0</v>
      </c>
    </row>
    <row customHeight="1" ht="3">
      <c r="M4" s="187">
        <v>3</v>
      </c>
    </row>
    <row s="5053" customFormat="1" customHeight="1" ht="31.5">
      <c r="A5" s="181"/>
      <c r="C5" s="156"/>
      <c r="D5" s="2166" t="s">
        <v>1892</v>
      </c>
      <c r="E5" s="2166"/>
      <c r="F5" s="2166"/>
      <c r="G5" s="2166"/>
      <c r="H5" s="2166"/>
      <c r="I5" s="331"/>
      <c r="M5" s="149">
        <v>30</v>
      </c>
    </row>
    <row customHeight="1" ht="3" hidden="1">
      <c r="D6" s="188"/>
      <c r="E6" s="188"/>
      <c r="F6" s="188"/>
      <c r="G6" s="188"/>
      <c r="H6" s="188"/>
      <c r="I6" s="188"/>
      <c r="M6" s="187">
        <v>0</v>
      </c>
    </row>
    <row s="5304" customFormat="1" customHeight="1" ht="14.699999999999998">
      <c r="B7" s="185"/>
      <c r="C7" s="186"/>
      <c r="D7" s="189"/>
      <c r="E7" s="189"/>
      <c r="F7" s="189"/>
      <c r="G7" s="189"/>
      <c r="H7" s="818"/>
      <c r="I7" s="189"/>
      <c r="J7" s="190"/>
      <c r="M7" s="184">
        <v>14</v>
      </c>
    </row>
    <row customHeight="1" ht="14.699999999999998">
      <c r="D8" s="2275" t="s">
        <v>309</v>
      </c>
      <c r="E8" s="2275"/>
      <c r="F8" s="2275"/>
      <c r="G8" s="2275"/>
      <c r="H8" s="2275"/>
      <c r="I8" s="2275" t="s">
        <v>310</v>
      </c>
      <c r="M8" s="187">
        <v>14</v>
      </c>
    </row>
    <row customHeight="1" ht="29.25">
      <c r="D9" s="2275" t="s">
        <v>93</v>
      </c>
      <c r="E9" s="2275" t="s">
        <v>1893</v>
      </c>
      <c r="F9" s="2275"/>
      <c r="G9" s="2275"/>
      <c r="H9" s="2275"/>
      <c r="I9" s="2275"/>
      <c r="M9" s="187">
        <v>28</v>
      </c>
    </row>
    <row customHeight="1" ht="24">
      <c r="D10" s="2275"/>
      <c r="E10" s="193" t="s">
        <v>1894</v>
      </c>
      <c r="F10" s="193" t="s">
        <v>1895</v>
      </c>
      <c r="G10" s="193" t="s">
        <v>1896</v>
      </c>
      <c r="H10" s="193" t="s">
        <v>399</v>
      </c>
      <c r="I10" s="2275"/>
      <c r="M10" s="187">
        <v>23</v>
      </c>
    </row>
    <row customHeight="1" ht="12" hidden="1">
      <c r="D11" s="153" t="s">
        <v>114</v>
      </c>
      <c r="E11" s="153" t="s">
        <v>96</v>
      </c>
      <c r="F11" s="153" t="s">
        <v>116</v>
      </c>
      <c r="G11" s="153" t="s">
        <v>97</v>
      </c>
      <c r="H11" s="153" t="s">
        <v>98</v>
      </c>
      <c r="I11" s="153" t="s">
        <v>117</v>
      </c>
      <c r="M11" s="187">
        <v>0</v>
      </c>
    </row>
    <row s="5516" customFormat="1" customHeight="1" ht="26.25">
      <c r="A12" s="211" t="s">
        <v>95</v>
      </c>
      <c r="B12" s="191" t="s">
        <v>28</v>
      </c>
      <c r="C12" s="192"/>
      <c r="D12" s="194" t="s">
        <v>114</v>
      </c>
      <c r="E12" s="447"/>
      <c r="F12" s="447"/>
      <c r="G12" s="1800" t="s">
        <v>28</v>
      </c>
      <c r="H12" s="448"/>
      <c r="I12" s="2235" t="s">
        <v>1897</v>
      </c>
      <c r="K12" s="338"/>
      <c r="L12" s="339"/>
      <c r="M12" s="183">
        <v>25</v>
      </c>
    </row>
    <row customHeight="1" ht="15.75">
      <c r="A13" s="187"/>
      <c r="B13" s="187"/>
      <c r="C13" s="187"/>
      <c r="D13" s="175"/>
      <c r="E13" s="196" t="s">
        <v>477</v>
      </c>
      <c r="F13" s="195"/>
      <c r="G13" s="195"/>
      <c r="H13" s="280"/>
      <c r="I13" s="2237"/>
      <c r="M13" s="187">
        <v>15</v>
      </c>
    </row>
    <row customHeight="1" ht="3">
      <c r="A14" s="187"/>
      <c r="B14" s="187"/>
      <c r="C14" s="187"/>
      <c r="M14" s="187">
        <v>3</v>
      </c>
    </row>
    <row customHeight="1" ht="29.25">
      <c r="E15" s="2562" t="s">
        <v>1898</v>
      </c>
      <c r="F15" s="2562"/>
      <c r="G15" s="2562"/>
      <c r="H15" s="2562"/>
      <c r="M15" s="187">
        <v>28</v>
      </c>
    </row>
    <row customHeight="1" ht="14.25" hidden="1">
      <c r="A16" s="184" t="s">
        <v>87</v>
      </c>
      <c r="B16" s="185">
        <v>0</v>
      </c>
      <c r="C16" s="186">
        <v>3</v>
      </c>
      <c r="D16" s="187">
        <v>6</v>
      </c>
      <c r="E16" s="187">
        <v>22</v>
      </c>
      <c r="F16" s="187">
        <v>15</v>
      </c>
      <c r="G16" s="187">
        <v>14</v>
      </c>
      <c r="H16" s="187">
        <v>47</v>
      </c>
      <c r="I16" s="187">
        <v>115</v>
      </c>
      <c r="J16" s="187">
        <v>3</v>
      </c>
      <c r="K16" s="187">
        <v>8</v>
      </c>
      <c r="L16" s="187">
        <v>8</v>
      </c>
      <c r="M16" s="18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C6354-140A-4B2B-E4B4-A1A52F30BCE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5337" width="9.140625" hidden="1"/>
    <col min="3" max="3" style="5334" width="3.00390625" customWidth="1"/>
    <col min="4" max="4" style="5337" width="6.00390625" customWidth="1"/>
    <col min="5" max="5" style="5337" width="94.00390625" customWidth="1"/>
    <col min="6" max="9" style="5337" width="8.00390625" customWidth="1"/>
    <col min="10" max="10" style="5337" width="9.140625" hidden="1"/>
  </cols>
  <sheetData>
    <row customHeight="1" ht="14.25" hidden="1">
      <c r="J1" s="135" t="s">
        <v>14</v>
      </c>
    </row>
    <row customHeight="1" ht="14.25" hidden="1">
      <c r="J2" s="135">
        <v>0</v>
      </c>
    </row>
    <row customHeight="1" ht="14.25" hidden="1">
      <c r="J3" s="135">
        <v>0</v>
      </c>
    </row>
    <row customHeight="1" ht="14.25" hidden="1">
      <c r="J4" s="135">
        <v>0</v>
      </c>
    </row>
    <row customHeight="1" ht="14.25" hidden="1">
      <c r="J5" s="135">
        <v>0</v>
      </c>
    </row>
    <row customHeight="1" ht="3">
      <c r="C6" s="158"/>
      <c r="D6" s="136"/>
      <c r="E6" s="136"/>
      <c r="J6" s="135">
        <v>3</v>
      </c>
    </row>
    <row customHeight="1" ht="23.25">
      <c r="C7" s="158"/>
      <c r="D7" s="2563" t="s">
        <v>1899</v>
      </c>
      <c r="E7" s="2564"/>
      <c r="F7" s="333"/>
      <c r="J7" s="135">
        <v>22</v>
      </c>
    </row>
    <row customHeight="1" ht="3">
      <c r="C8" s="158"/>
      <c r="D8" s="136"/>
      <c r="E8" s="136"/>
      <c r="J8" s="135">
        <v>3</v>
      </c>
    </row>
    <row customHeight="1" ht="16.8">
      <c r="C9" s="158"/>
      <c r="D9" s="171" t="s">
        <v>93</v>
      </c>
      <c r="E9" s="326" t="s">
        <v>1900</v>
      </c>
      <c r="J9" s="135">
        <v>16</v>
      </c>
    </row>
    <row customHeight="1" ht="1.05">
      <c r="C10" s="158"/>
      <c r="D10" s="153"/>
      <c r="E10" s="153"/>
      <c r="J10" s="135">
        <v>1</v>
      </c>
    </row>
    <row customHeight="1" ht="11.25" hidden="1">
      <c r="C11" s="158"/>
      <c r="D11" s="216">
        <v>0</v>
      </c>
      <c r="E11" s="327"/>
      <c r="J11" s="135">
        <v>0</v>
      </c>
    </row>
    <row customHeight="1" ht="15.75">
      <c r="C12" s="202"/>
      <c r="D12" s="179">
        <v>1</v>
      </c>
      <c r="E12" s="443" t="s">
        <v>1901</v>
      </c>
      <c r="J12" s="135">
        <v>15</v>
      </c>
    </row>
    <row customHeight="1" ht="12.75">
      <c r="C13" s="158"/>
      <c r="D13" s="328"/>
      <c r="E13" s="329" t="s">
        <v>1902</v>
      </c>
      <c r="J13" s="135">
        <v>12</v>
      </c>
    </row>
    <row customHeight="1" ht="3">
      <c r="J14" s="135">
        <v>3</v>
      </c>
    </row>
    <row customHeight="1" ht="23.25">
      <c r="C15" s="203"/>
      <c r="D15" s="2565" t="s">
        <v>1903</v>
      </c>
      <c r="E15" s="2565"/>
      <c r="F15" s="204"/>
      <c r="G15" s="204"/>
      <c r="H15" s="204"/>
      <c r="I15" s="204"/>
      <c r="J15" s="135">
        <v>22</v>
      </c>
    </row>
    <row customHeight="1" ht="14.25" hidden="1">
      <c r="A16" s="135" t="s">
        <v>87</v>
      </c>
      <c r="B16" s="135">
        <v>0</v>
      </c>
      <c r="C16" s="157">
        <v>3</v>
      </c>
      <c r="D16" s="135">
        <v>6</v>
      </c>
      <c r="E16" s="135">
        <v>94</v>
      </c>
      <c r="F16" s="135">
        <v>8</v>
      </c>
      <c r="G16" s="135">
        <v>8</v>
      </c>
      <c r="H16" s="135">
        <v>8</v>
      </c>
      <c r="I16" s="135">
        <v>8</v>
      </c>
      <c r="J16" s="13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3002D-5532-923F-7A5A-25881EE19818}"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5337" width="9.140625" hidden="1"/>
    <col min="3" max="3" style="5334" width="3.00390625" customWidth="1"/>
    <col min="4" max="4" style="5337" width="6.00390625" customWidth="1"/>
    <col min="5" max="5" style="5337" width="94.00390625" customWidth="1"/>
    <col min="6" max="12" style="5337" width="8.00390625" customWidth="1"/>
    <col min="13" max="13" style="5337" width="9.140625" hidden="1"/>
  </cols>
  <sheetData>
    <row customHeight="1" ht="14.25" hidden="1">
      <c r="L1" s="330"/>
      <c r="M1" s="135" t="s">
        <v>14</v>
      </c>
    </row>
    <row customHeight="1" ht="14.25" hidden="1">
      <c r="M2" s="135">
        <v>0</v>
      </c>
    </row>
    <row customHeight="1" ht="14.25" hidden="1">
      <c r="M3" s="135">
        <v>0</v>
      </c>
    </row>
    <row customHeight="1" ht="14.25" hidden="1">
      <c r="M4" s="135">
        <v>0</v>
      </c>
    </row>
    <row customHeight="1" ht="14.25" hidden="1">
      <c r="M5" s="135">
        <v>0</v>
      </c>
    </row>
    <row customHeight="1" ht="3">
      <c r="C6" s="158"/>
      <c r="D6" s="136"/>
      <c r="E6" s="136"/>
      <c r="M6" s="135">
        <v>3</v>
      </c>
    </row>
    <row customHeight="1" ht="23.25">
      <c r="C7" s="158"/>
      <c r="D7" s="2166" t="s">
        <v>1904</v>
      </c>
      <c r="E7" s="2166"/>
      <c r="F7" s="333"/>
      <c r="M7" s="135">
        <v>22</v>
      </c>
    </row>
    <row customHeight="1" ht="3">
      <c r="C8" s="158"/>
      <c r="D8" s="136"/>
      <c r="E8" s="136"/>
      <c r="M8" s="135">
        <v>3</v>
      </c>
    </row>
    <row customHeight="1" ht="16.8">
      <c r="C9" s="158"/>
      <c r="D9" s="171" t="s">
        <v>93</v>
      </c>
      <c r="E9" s="174" t="s">
        <v>296</v>
      </c>
      <c r="M9" s="135">
        <v>16</v>
      </c>
    </row>
    <row customHeight="1" ht="12.75">
      <c r="C10" s="158"/>
      <c r="D10" s="153" t="s">
        <v>114</v>
      </c>
      <c r="E10" s="153" t="s">
        <v>115</v>
      </c>
      <c r="M10" s="135">
        <v>12</v>
      </c>
    </row>
    <row customHeight="1" ht="15" hidden="1">
      <c r="C11" s="158"/>
      <c r="D11" s="179">
        <v>0</v>
      </c>
      <c r="E11" s="215"/>
      <c r="M11" s="135">
        <v>0</v>
      </c>
    </row>
    <row customHeight="1" ht="24">
      <c r="A12" s="5337"/>
      <c r="B12" s="5337"/>
      <c r="C12" s="1883" t="s">
        <v>454</v>
      </c>
      <c r="D12" s="179" t="s">
        <v>114</v>
      </c>
      <c r="E12" s="180" t="s">
        <v>1905</v>
      </c>
      <c r="F12" s="5337"/>
      <c r="G12" s="5337"/>
      <c r="H12" s="5337"/>
      <c r="I12" s="5337"/>
      <c r="J12" s="5337"/>
      <c r="K12" s="5337"/>
      <c r="L12" s="5337"/>
      <c r="M12" s="5337"/>
    </row>
    <row customHeight="1" ht="14.699999999999998">
      <c r="C13" s="158"/>
      <c r="D13" s="175"/>
      <c r="E13" s="173" t="s">
        <v>1902</v>
      </c>
      <c r="M13" s="135">
        <v>14</v>
      </c>
    </row>
    <row customHeight="1" ht="14.25" hidden="1">
      <c r="A14" s="135" t="s">
        <v>87</v>
      </c>
      <c r="B14" s="135">
        <v>0</v>
      </c>
      <c r="C14" s="157">
        <v>3</v>
      </c>
      <c r="D14" s="135">
        <v>6</v>
      </c>
      <c r="E14" s="135">
        <v>94</v>
      </c>
      <c r="F14" s="135">
        <v>8</v>
      </c>
      <c r="G14" s="135">
        <v>8</v>
      </c>
      <c r="H14" s="135">
        <v>8</v>
      </c>
      <c r="I14" s="135">
        <v>8</v>
      </c>
      <c r="J14" s="135">
        <v>8</v>
      </c>
      <c r="K14" s="135">
        <v>8</v>
      </c>
      <c r="L14" s="135">
        <v>8</v>
      </c>
      <c r="M14" s="135">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D0CF2-2C91-CFD5-FEBB-95C92C8AEB0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774" width="9.140625" hidden="1"/>
    <col min="3" max="4" style="5774" width="3.00390625" customWidth="1"/>
    <col min="5" max="6" style="5774" width="15.00390625" customWidth="1"/>
    <col min="7" max="7" style="5774" width="11.57421875" customWidth="1"/>
    <col min="8" max="9" style="5774" width="3.00390625" customWidth="1"/>
    <col min="10" max="10" style="5774" width="12.00390625" customWidth="1"/>
    <col min="11" max="11" style="5774" width="0.28125" customWidth="1"/>
    <col min="12" max="13" style="5774" width="10.00390625" customWidth="1"/>
    <col min="14" max="15" style="5774" width="3.00390625" customWidth="1"/>
    <col min="16" max="16" style="5774" width="19.00390625" customWidth="1"/>
    <col min="17" max="17" style="5774" width="0.28125" customWidth="1"/>
    <col min="18" max="19" style="5774" width="10.00390625" customWidth="1"/>
    <col min="20" max="21" style="5774" width="3.00390625" customWidth="1"/>
    <col min="22" max="22" style="5774" width="25.00390625" customWidth="1"/>
    <col min="23" max="23" style="5774" width="0.28125" customWidth="1"/>
    <col min="24" max="25" style="5774" width="10.00390625" customWidth="1"/>
    <col min="26" max="27" style="5774" width="3.00390625" customWidth="1"/>
    <col min="28" max="28" style="5774" width="16.00390625" customWidth="1"/>
    <col min="29" max="29" style="5774" width="0.28125" customWidth="1"/>
    <col min="30" max="31" style="5774" width="10.00390625" customWidth="1"/>
    <col min="32" max="33" style="5774" width="3.00390625" customWidth="1"/>
    <col min="34" max="34" style="5774" width="8.00390625" customWidth="1"/>
    <col min="35" max="35" style="5774" width="21.00390625" customWidth="1"/>
    <col min="36" max="36" style="5774" width="8.00390625" customWidth="1"/>
    <col min="37" max="37" style="5304" width="8.00390625" customWidth="1"/>
    <col min="38" max="64" style="5774" width="8.00390625" customWidth="1"/>
    <col min="65" max="65" style="5774" width="9.140625" hidden="1"/>
  </cols>
  <sheetData>
    <row s="5735" customFormat="1" customHeight="1" ht="11.25" hidden="1">
      <c r="AJ1" s="488"/>
      <c r="AK1" s="488"/>
      <c r="AL1" s="488"/>
      <c r="AM1" s="488"/>
      <c r="AN1" s="488"/>
      <c r="AO1" s="488"/>
      <c r="AP1" s="488"/>
      <c r="AQ1" s="488"/>
      <c r="AR1" s="488"/>
      <c r="AS1" s="488"/>
      <c r="AT1" s="488"/>
      <c r="AU1" s="488"/>
      <c r="AV1" s="488"/>
      <c r="AW1" s="488"/>
      <c r="AX1" s="488"/>
      <c r="AY1" s="488"/>
      <c r="AZ1" s="488"/>
      <c r="BA1" s="488"/>
      <c r="BB1" s="488"/>
      <c r="BC1" s="488"/>
      <c r="BD1" s="488"/>
      <c r="BE1" s="488"/>
      <c r="BF1" s="488"/>
      <c r="BG1" s="488"/>
      <c r="BH1" s="488"/>
      <c r="BI1" s="488"/>
      <c r="BJ1" s="488"/>
      <c r="BK1" s="488"/>
      <c r="BL1" s="488"/>
      <c r="BM1" s="485" t="s">
        <v>14</v>
      </c>
    </row>
    <row s="3216" customFormat="1" customHeight="1" ht="11.25" hidden="1">
      <c r="L2" s="1619" t="s">
        <v>288</v>
      </c>
      <c r="M2" s="1619" t="s">
        <v>289</v>
      </c>
      <c r="R2" s="1619" t="s">
        <v>290</v>
      </c>
      <c r="S2" s="1619" t="s">
        <v>289</v>
      </c>
      <c r="X2" s="1619" t="s">
        <v>288</v>
      </c>
      <c r="Y2" s="1619" t="s">
        <v>289</v>
      </c>
      <c r="AD2" s="1619" t="s">
        <v>288</v>
      </c>
      <c r="AE2" s="1619" t="s">
        <v>289</v>
      </c>
      <c r="AJ2" s="1641"/>
      <c r="AK2" s="1641"/>
      <c r="AL2" s="1641"/>
      <c r="AM2" s="1641"/>
      <c r="AN2" s="1641"/>
      <c r="AO2" s="1641"/>
      <c r="AP2" s="1641"/>
      <c r="AQ2" s="1641"/>
      <c r="AR2" s="1641"/>
      <c r="AS2" s="1641"/>
      <c r="AT2" s="1641"/>
      <c r="AU2" s="1641"/>
      <c r="AV2" s="1641"/>
      <c r="AW2" s="1641"/>
      <c r="AX2" s="1641"/>
      <c r="AY2" s="1641"/>
      <c r="AZ2" s="1641"/>
      <c r="BA2" s="1641"/>
      <c r="BB2" s="1641"/>
      <c r="BC2" s="1641"/>
      <c r="BD2" s="1641"/>
      <c r="BE2" s="1641"/>
      <c r="BF2" s="1641"/>
      <c r="BG2" s="1641"/>
      <c r="BH2" s="1641"/>
      <c r="BI2" s="1641"/>
      <c r="BJ2" s="1641"/>
      <c r="BK2" s="1641"/>
      <c r="BL2" s="1641"/>
      <c r="BM2" s="1619">
        <v>0</v>
      </c>
    </row>
    <row s="3218" customFormat="1" customHeight="1" ht="11.549999999999999">
      <c r="AJ3" s="1640"/>
      <c r="AK3" s="372"/>
      <c r="AL3" s="1640"/>
      <c r="AM3" s="1640"/>
      <c r="AN3" s="1640"/>
      <c r="AO3" s="1640"/>
      <c r="AP3" s="1640"/>
      <c r="AQ3" s="1640"/>
      <c r="AR3" s="1640"/>
      <c r="AS3" s="1640"/>
      <c r="AT3" s="1640"/>
      <c r="AU3" s="1640"/>
      <c r="AV3" s="1640"/>
      <c r="AW3" s="1640"/>
      <c r="AX3" s="1640"/>
      <c r="AY3" s="1640"/>
      <c r="AZ3" s="1640"/>
      <c r="BA3" s="1640"/>
      <c r="BB3" s="1640"/>
      <c r="BC3" s="1640"/>
      <c r="BD3" s="1640"/>
      <c r="BE3" s="1640"/>
      <c r="BF3" s="1640"/>
      <c r="BG3" s="1640"/>
      <c r="BH3" s="1640"/>
      <c r="BI3" s="1640"/>
      <c r="BJ3" s="1640"/>
      <c r="BK3" s="1640"/>
      <c r="BL3" s="1640"/>
      <c r="BM3" s="1620">
        <v>11</v>
      </c>
    </row>
    <row s="3439" customFormat="1" customHeight="1" ht="34.5">
      <c r="A4" s="1222"/>
      <c r="B4" s="1221"/>
      <c r="C4" s="1581"/>
      <c r="D4" s="2257" t="s">
        <v>291</v>
      </c>
      <c r="E4" s="2257"/>
      <c r="F4" s="2257"/>
      <c r="G4" s="2257"/>
      <c r="H4" s="2257"/>
      <c r="I4" s="2257"/>
      <c r="J4" s="2257"/>
      <c r="K4" s="765"/>
      <c r="T4" s="1621"/>
      <c r="AJ4" s="1642"/>
      <c r="AK4" s="1643"/>
      <c r="AL4" s="1642"/>
      <c r="AM4" s="1642"/>
      <c r="AN4" s="1642"/>
      <c r="AO4" s="1642"/>
      <c r="AP4" s="1642"/>
      <c r="AQ4" s="1642"/>
      <c r="AR4" s="1642"/>
      <c r="AS4" s="1642"/>
      <c r="AT4" s="1642"/>
      <c r="AU4" s="1642"/>
      <c r="AV4" s="1642"/>
      <c r="AW4" s="1642"/>
      <c r="AX4" s="1642"/>
      <c r="AY4" s="1642"/>
      <c r="AZ4" s="1642"/>
      <c r="BA4" s="1642"/>
      <c r="BB4" s="1642"/>
      <c r="BC4" s="1642"/>
      <c r="BD4" s="1642"/>
      <c r="BE4" s="1642"/>
      <c r="BF4" s="1642"/>
      <c r="BG4" s="1642"/>
      <c r="BH4" s="1642"/>
      <c r="BI4" s="1642"/>
      <c r="BJ4" s="1642"/>
      <c r="BK4" s="1642"/>
      <c r="BL4" s="1642"/>
      <c r="BM4" s="573">
        <v>33</v>
      </c>
    </row>
    <row s="3439" customFormat="1" customHeight="1" ht="14.699999999999998">
      <c r="A5" s="1698"/>
      <c r="B5" s="1697"/>
      <c r="C5" s="1581"/>
      <c r="D5" s="2242" t="str">
        <f>IF(org=0,"Не определено",org)</f>
        <v>Филиал "Уренгойская ГРЭС" АО "Интер РАО - Электрогенерация"</v>
      </c>
      <c r="E5" s="2242"/>
      <c r="F5" s="2242"/>
      <c r="G5" s="2242"/>
      <c r="H5" s="2242"/>
      <c r="I5" s="2242"/>
      <c r="J5" s="2242"/>
      <c r="K5" s="765"/>
      <c r="T5" s="1621"/>
      <c r="AJ5" s="1642"/>
      <c r="AK5" s="1643"/>
      <c r="AL5" s="1642"/>
      <c r="AM5" s="1642"/>
      <c r="AN5" s="1642"/>
      <c r="AO5" s="1642"/>
      <c r="AP5" s="1642"/>
      <c r="AQ5" s="1642"/>
      <c r="AR5" s="1642"/>
      <c r="AS5" s="1642"/>
      <c r="AT5" s="1642"/>
      <c r="AU5" s="1642"/>
      <c r="AV5" s="1642"/>
      <c r="AW5" s="1642"/>
      <c r="AX5" s="1642"/>
      <c r="AY5" s="1642"/>
      <c r="AZ5" s="1642"/>
      <c r="BA5" s="1642"/>
      <c r="BB5" s="1642"/>
      <c r="BC5" s="1642"/>
      <c r="BD5" s="1642"/>
      <c r="BE5" s="1642"/>
      <c r="BF5" s="1642"/>
      <c r="BG5" s="1642"/>
      <c r="BH5" s="1642"/>
      <c r="BI5" s="1642"/>
      <c r="BJ5" s="1642"/>
      <c r="BK5" s="1642"/>
      <c r="BL5" s="1642"/>
      <c r="BM5" s="1675">
        <v>14</v>
      </c>
    </row>
    <row s="3439" customFormat="1" customHeight="1" ht="14.699999999999998">
      <c r="A6" s="1222"/>
      <c r="B6" s="1221"/>
      <c r="C6" s="1581"/>
      <c r="D6" s="765"/>
      <c r="E6" s="765"/>
      <c r="F6" s="765"/>
      <c r="G6" s="765"/>
      <c r="H6" s="765"/>
      <c r="I6" s="765"/>
      <c r="J6" s="765"/>
      <c r="K6" s="765"/>
      <c r="T6" s="1621"/>
      <c r="AJ6" s="1642"/>
      <c r="AK6" s="1643"/>
      <c r="AL6" s="1642"/>
      <c r="AM6" s="1642"/>
      <c r="AN6" s="1642"/>
      <c r="AO6" s="1642"/>
      <c r="AP6" s="1642"/>
      <c r="AQ6" s="1642"/>
      <c r="AR6" s="1642"/>
      <c r="AS6" s="1642"/>
      <c r="AT6" s="1642"/>
      <c r="AU6" s="1642"/>
      <c r="AV6" s="1642"/>
      <c r="AW6" s="1642"/>
      <c r="AX6" s="1642"/>
      <c r="AY6" s="1642"/>
      <c r="AZ6" s="1642"/>
      <c r="BA6" s="1642"/>
      <c r="BB6" s="1642"/>
      <c r="BC6" s="1642"/>
      <c r="BD6" s="1642"/>
      <c r="BE6" s="1642"/>
      <c r="BF6" s="1642"/>
      <c r="BG6" s="1642"/>
      <c r="BH6" s="1642"/>
      <c r="BI6" s="1642"/>
      <c r="BJ6" s="1642"/>
      <c r="BK6" s="1642"/>
      <c r="BL6" s="1642"/>
      <c r="BM6" s="573">
        <v>14</v>
      </c>
    </row>
    <row s="5735" customFormat="1" customHeight="1" ht="1.05">
      <c r="AJ7" s="488"/>
      <c r="AK7" s="488"/>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8"/>
      <c r="BJ7" s="488"/>
      <c r="BK7" s="488"/>
      <c r="BL7" s="488"/>
      <c r="BM7" s="485">
        <v>1</v>
      </c>
    </row>
    <row customHeight="1" ht="33.75">
      <c r="D8" s="2193" t="s">
        <v>93</v>
      </c>
      <c r="E8" s="2193" t="s">
        <v>110</v>
      </c>
      <c r="F8" s="2258" t="s">
        <v>127</v>
      </c>
      <c r="G8" s="2259"/>
      <c r="H8" s="2258" t="s">
        <v>93</v>
      </c>
      <c r="I8" s="2259"/>
      <c r="J8" s="2193" t="s">
        <v>128</v>
      </c>
      <c r="K8" s="1622"/>
      <c r="L8" s="2262" t="s">
        <v>292</v>
      </c>
      <c r="M8" s="2262"/>
      <c r="N8" s="2262"/>
      <c r="O8" s="2262"/>
      <c r="P8" s="2262"/>
      <c r="Q8" s="1623"/>
      <c r="R8" s="2162" t="s">
        <v>293</v>
      </c>
      <c r="S8" s="2263"/>
      <c r="T8" s="2263"/>
      <c r="U8" s="2263"/>
      <c r="V8" s="2263"/>
      <c r="W8" s="1623"/>
      <c r="X8" s="2264" t="s">
        <v>294</v>
      </c>
      <c r="Y8" s="2264"/>
      <c r="Z8" s="2264"/>
      <c r="AA8" s="2264"/>
      <c r="AB8" s="2264"/>
      <c r="AC8" s="1624"/>
      <c r="AD8" s="2193" t="s">
        <v>295</v>
      </c>
      <c r="AE8" s="2193"/>
      <c r="AF8" s="2193"/>
      <c r="AG8" s="2193"/>
      <c r="AH8" s="2167"/>
      <c r="AI8" s="2193" t="s">
        <v>296</v>
      </c>
      <c r="AJ8" s="1640"/>
      <c r="BM8" s="359">
        <v>32</v>
      </c>
    </row>
    <row customHeight="1" ht="23.25">
      <c r="D9" s="2193"/>
      <c r="E9" s="2193"/>
      <c r="F9" s="2241" t="s">
        <v>94</v>
      </c>
      <c r="G9" s="2241" t="s">
        <v>133</v>
      </c>
      <c r="H9" s="2260"/>
      <c r="I9" s="2261"/>
      <c r="J9" s="2167"/>
      <c r="K9" s="1625"/>
      <c r="L9" s="2193" t="s">
        <v>297</v>
      </c>
      <c r="M9" s="2167"/>
      <c r="N9" s="2258" t="s">
        <v>93</v>
      </c>
      <c r="O9" s="2259"/>
      <c r="P9" s="2193" t="s">
        <v>134</v>
      </c>
      <c r="Q9" s="1622"/>
      <c r="R9" s="2193" t="s">
        <v>297</v>
      </c>
      <c r="S9" s="2167"/>
      <c r="T9" s="2258" t="s">
        <v>93</v>
      </c>
      <c r="U9" s="2259"/>
      <c r="V9" s="2193" t="s">
        <v>134</v>
      </c>
      <c r="W9" s="1622"/>
      <c r="X9" s="2193" t="s">
        <v>297</v>
      </c>
      <c r="Y9" s="2167"/>
      <c r="Z9" s="2258" t="s">
        <v>93</v>
      </c>
      <c r="AA9" s="2259"/>
      <c r="AB9" s="2193" t="s">
        <v>298</v>
      </c>
      <c r="AC9" s="1622"/>
      <c r="AD9" s="2193" t="s">
        <v>297</v>
      </c>
      <c r="AE9" s="2167"/>
      <c r="AF9" s="2258" t="s">
        <v>93</v>
      </c>
      <c r="AG9" s="2259"/>
      <c r="AH9" s="2167" t="s">
        <v>298</v>
      </c>
      <c r="AI9" s="2193"/>
      <c r="AJ9" s="1640"/>
      <c r="BM9" s="359">
        <v>22</v>
      </c>
    </row>
    <row customHeight="1" ht="24">
      <c r="D10" s="2241"/>
      <c r="E10" s="2241"/>
      <c r="F10" s="2265"/>
      <c r="G10" s="2265"/>
      <c r="H10" s="2266"/>
      <c r="I10" s="2267"/>
      <c r="J10" s="2258"/>
      <c r="K10" s="1625"/>
      <c r="L10" s="1644" t="s">
        <v>299</v>
      </c>
      <c r="M10" s="1639" t="s">
        <v>300</v>
      </c>
      <c r="N10" s="2260"/>
      <c r="O10" s="2261"/>
      <c r="P10" s="2241"/>
      <c r="Q10" s="1622"/>
      <c r="R10" s="1644" t="s">
        <v>299</v>
      </c>
      <c r="S10" s="1639" t="s">
        <v>300</v>
      </c>
      <c r="T10" s="2260"/>
      <c r="U10" s="2261"/>
      <c r="V10" s="2241"/>
      <c r="W10" s="1622"/>
      <c r="X10" s="1644" t="s">
        <v>299</v>
      </c>
      <c r="Y10" s="1639" t="s">
        <v>300</v>
      </c>
      <c r="Z10" s="2260"/>
      <c r="AA10" s="2261"/>
      <c r="AB10" s="2241"/>
      <c r="AC10" s="1622"/>
      <c r="AD10" s="1644" t="s">
        <v>299</v>
      </c>
      <c r="AE10" s="1639" t="s">
        <v>300</v>
      </c>
      <c r="AF10" s="2260"/>
      <c r="AG10" s="2261"/>
      <c r="AH10" s="2258"/>
      <c r="AI10" s="2241"/>
      <c r="AJ10" s="1640"/>
      <c r="AK10" s="320" t="s">
        <v>301</v>
      </c>
      <c r="AL10" s="320" t="s">
        <v>135</v>
      </c>
      <c r="BM10" s="359">
        <v>23</v>
      </c>
    </row>
    <row customHeight="1" ht="15">
      <c r="D11" s="2249" t="s">
        <v>114</v>
      </c>
      <c r="E11" s="2245" t="s">
        <v>302</v>
      </c>
      <c r="F11" s="2245" t="s">
        <v>303</v>
      </c>
      <c r="G11" s="2251" t="s">
        <v>19</v>
      </c>
      <c r="H11" s="1665"/>
      <c r="I11" s="2247"/>
      <c r="J11" s="2218"/>
      <c r="K11" s="1580"/>
      <c r="L11" s="2203"/>
      <c r="M11" s="2203"/>
      <c r="N11" s="1650"/>
      <c r="O11" s="2203"/>
      <c r="P11" s="2218"/>
      <c r="Q11" s="1651"/>
      <c r="R11" s="2203"/>
      <c r="S11" s="2203"/>
      <c r="T11" s="1652"/>
      <c r="U11" s="2203"/>
      <c r="V11" s="2218"/>
      <c r="W11" s="1653"/>
      <c r="X11" s="2203"/>
      <c r="Y11" s="2203"/>
      <c r="Z11" s="1650"/>
      <c r="AA11" s="2203"/>
      <c r="AB11" s="2218"/>
      <c r="AC11" s="1654"/>
      <c r="AD11" s="2203"/>
      <c r="AE11" s="2203"/>
      <c r="AF11" s="1579"/>
      <c r="AG11" s="1579"/>
      <c r="AH11" s="1655"/>
      <c r="AI11" s="1362"/>
      <c r="AJ11" s="1640"/>
      <c r="BM11" s="359">
        <v>14</v>
      </c>
    </row>
    <row customHeight="1" ht="14.699999999999998">
      <c r="D12" s="2249"/>
      <c r="E12" s="2245"/>
      <c r="F12" s="2245"/>
      <c r="G12" s="2252"/>
      <c r="H12" s="1666"/>
      <c r="I12" s="2248"/>
      <c r="J12" s="2219"/>
      <c r="K12" s="1676"/>
      <c r="L12" s="2204"/>
      <c r="M12" s="2204"/>
      <c r="N12" s="1656"/>
      <c r="O12" s="2204"/>
      <c r="P12" s="2219"/>
      <c r="Q12" s="1657"/>
      <c r="R12" s="2204"/>
      <c r="S12" s="2204"/>
      <c r="T12" s="1658"/>
      <c r="U12" s="2204"/>
      <c r="V12" s="2219"/>
      <c r="W12" s="1659"/>
      <c r="X12" s="2204"/>
      <c r="Y12" s="2204"/>
      <c r="Z12" s="1656"/>
      <c r="AA12" s="2204"/>
      <c r="AB12" s="2219"/>
      <c r="AC12" s="1660"/>
      <c r="AD12" s="2204"/>
      <c r="AE12" s="2204"/>
      <c r="AF12" s="1661"/>
      <c r="AG12" s="1661"/>
      <c r="AH12" s="2243"/>
      <c r="AI12" s="2244"/>
      <c r="AJ12" s="1640"/>
      <c r="BM12" s="359">
        <v>14</v>
      </c>
    </row>
    <row customHeight="1" ht="14.699999999999998">
      <c r="D13" s="2249"/>
      <c r="E13" s="2245"/>
      <c r="F13" s="2245"/>
      <c r="G13" s="2252"/>
      <c r="H13" s="1666"/>
      <c r="I13" s="2248"/>
      <c r="J13" s="2219"/>
      <c r="K13" s="1676"/>
      <c r="L13" s="2204"/>
      <c r="M13" s="2204"/>
      <c r="N13" s="1656"/>
      <c r="O13" s="2204"/>
      <c r="P13" s="2219"/>
      <c r="Q13" s="1657"/>
      <c r="R13" s="2204"/>
      <c r="S13" s="2204"/>
      <c r="T13" s="1658"/>
      <c r="U13" s="2204"/>
      <c r="V13" s="2219"/>
      <c r="W13" s="1659"/>
      <c r="X13" s="2204"/>
      <c r="Y13" s="2204"/>
      <c r="Z13" s="1578"/>
      <c r="AA13" s="1661"/>
      <c r="AB13" s="2243"/>
      <c r="AC13" s="2243"/>
      <c r="AD13" s="2243"/>
      <c r="AE13" s="2243"/>
      <c r="AF13" s="2243"/>
      <c r="AG13" s="2243"/>
      <c r="AH13" s="2243"/>
      <c r="AI13" s="2244"/>
      <c r="AJ13" s="1640"/>
      <c r="BM13" s="359">
        <v>14</v>
      </c>
    </row>
    <row customHeight="1" ht="14.699999999999998">
      <c r="D14" s="2249"/>
      <c r="E14" s="2245"/>
      <c r="F14" s="2245"/>
      <c r="G14" s="2252"/>
      <c r="H14" s="1666"/>
      <c r="I14" s="2248"/>
      <c r="J14" s="2219"/>
      <c r="K14" s="1676"/>
      <c r="L14" s="2204"/>
      <c r="M14" s="2204"/>
      <c r="N14" s="1656"/>
      <c r="O14" s="2204"/>
      <c r="P14" s="2219"/>
      <c r="Q14" s="1657"/>
      <c r="R14" s="2204"/>
      <c r="S14" s="2204"/>
      <c r="T14" s="1662"/>
      <c r="U14" s="1663"/>
      <c r="V14" s="2243"/>
      <c r="W14" s="2243"/>
      <c r="X14" s="2243"/>
      <c r="Y14" s="2243"/>
      <c r="Z14" s="2243"/>
      <c r="AA14" s="2243"/>
      <c r="AB14" s="2243"/>
      <c r="AC14" s="2243"/>
      <c r="AD14" s="2243"/>
      <c r="AE14" s="2243"/>
      <c r="AF14" s="2243"/>
      <c r="AG14" s="2243"/>
      <c r="AH14" s="2243"/>
      <c r="AI14" s="2244"/>
      <c r="AJ14" s="1640"/>
      <c r="BM14" s="359">
        <v>14</v>
      </c>
    </row>
    <row customHeight="1" ht="11.549999999999999">
      <c r="D15" s="2249"/>
      <c r="E15" s="2245"/>
      <c r="F15" s="2245"/>
      <c r="G15" s="2252"/>
      <c r="H15" s="1667"/>
      <c r="I15" s="2248"/>
      <c r="J15" s="2219"/>
      <c r="K15" s="1676"/>
      <c r="L15" s="2204"/>
      <c r="M15" s="2204"/>
      <c r="N15" s="1661"/>
      <c r="O15" s="1661"/>
      <c r="P15" s="2243"/>
      <c r="Q15" s="2243"/>
      <c r="R15" s="2243"/>
      <c r="S15" s="2243"/>
      <c r="T15" s="2243"/>
      <c r="U15" s="2243"/>
      <c r="V15" s="2243"/>
      <c r="W15" s="2243"/>
      <c r="X15" s="2243"/>
      <c r="Y15" s="2243"/>
      <c r="Z15" s="2243"/>
      <c r="AA15" s="2243"/>
      <c r="AB15" s="2243"/>
      <c r="AC15" s="2243"/>
      <c r="AD15" s="2243"/>
      <c r="AE15" s="2243"/>
      <c r="AF15" s="2243"/>
      <c r="AG15" s="2243"/>
      <c r="AH15" s="2243"/>
      <c r="AI15" s="2244"/>
      <c r="AJ15" s="1640"/>
      <c r="BM15" s="359">
        <v>11</v>
      </c>
    </row>
    <row s="3218" customFormat="1" customHeight="1" ht="11.549999999999999">
      <c r="D16" s="2255"/>
      <c r="E16" s="2256"/>
      <c r="F16" s="2246"/>
      <c r="G16" s="2178"/>
      <c r="H16" s="1664"/>
      <c r="I16" s="1668"/>
      <c r="J16" s="2253"/>
      <c r="K16" s="2253"/>
      <c r="L16" s="2253"/>
      <c r="M16" s="2253"/>
      <c r="N16" s="2253"/>
      <c r="O16" s="2253"/>
      <c r="P16" s="2253"/>
      <c r="Q16" s="2253"/>
      <c r="R16" s="2253"/>
      <c r="S16" s="2253"/>
      <c r="T16" s="2253"/>
      <c r="U16" s="2253"/>
      <c r="V16" s="2253"/>
      <c r="W16" s="2253"/>
      <c r="X16" s="2253"/>
      <c r="Y16" s="2253"/>
      <c r="Z16" s="2253"/>
      <c r="AA16" s="2253"/>
      <c r="AB16" s="2253"/>
      <c r="AC16" s="2253"/>
      <c r="AD16" s="2253"/>
      <c r="AE16" s="2253"/>
      <c r="AF16" s="2253"/>
      <c r="AG16" s="2253"/>
      <c r="AH16" s="2253"/>
      <c r="AI16" s="2254"/>
      <c r="AJ16" s="1640"/>
      <c r="AK16" s="372"/>
      <c r="AL16" s="1640"/>
      <c r="AM16" s="1640"/>
      <c r="AN16" s="1640"/>
      <c r="AO16" s="1640"/>
      <c r="AP16" s="1640"/>
      <c r="AQ16" s="1640"/>
      <c r="AR16" s="1640"/>
      <c r="AS16" s="1640"/>
      <c r="AT16" s="1640"/>
      <c r="AU16" s="1640"/>
      <c r="AV16" s="1640"/>
      <c r="AW16" s="1640"/>
      <c r="AX16" s="1640"/>
      <c r="AY16" s="1640"/>
      <c r="AZ16" s="1640"/>
      <c r="BA16" s="1640"/>
      <c r="BB16" s="1640"/>
      <c r="BC16" s="1640"/>
      <c r="BD16" s="1640"/>
      <c r="BE16" s="1640"/>
      <c r="BF16" s="1640"/>
      <c r="BG16" s="1640"/>
      <c r="BH16" s="1640"/>
      <c r="BI16" s="1640"/>
      <c r="BJ16" s="1640"/>
      <c r="BK16" s="1640"/>
      <c r="BL16" s="1640"/>
      <c r="BM16" s="1620">
        <v>11</v>
      </c>
    </row>
    <row customHeight="1" ht="15">
      <c r="D17" s="2249" t="s">
        <v>115</v>
      </c>
      <c r="E17" s="2245" t="s">
        <v>302</v>
      </c>
      <c r="F17" s="2245" t="s">
        <v>304</v>
      </c>
      <c r="G17" s="2251" t="s">
        <v>19</v>
      </c>
      <c r="H17" s="1665"/>
      <c r="I17" s="2247"/>
      <c r="J17" s="2218"/>
      <c r="K17" s="1580"/>
      <c r="L17" s="2203"/>
      <c r="M17" s="2203"/>
      <c r="N17" s="1650"/>
      <c r="O17" s="2203"/>
      <c r="P17" s="2218"/>
      <c r="Q17" s="1651"/>
      <c r="R17" s="2203"/>
      <c r="S17" s="2203"/>
      <c r="T17" s="1652"/>
      <c r="U17" s="2203"/>
      <c r="V17" s="2218"/>
      <c r="W17" s="1653"/>
      <c r="X17" s="2203"/>
      <c r="Y17" s="2203"/>
      <c r="Z17" s="1650"/>
      <c r="AA17" s="2203"/>
      <c r="AB17" s="2218"/>
      <c r="AC17" s="1654"/>
      <c r="AD17" s="2203"/>
      <c r="AE17" s="2203"/>
      <c r="AF17" s="1579"/>
      <c r="AG17" s="1579"/>
      <c r="AH17" s="1655"/>
      <c r="AI17" s="1362"/>
      <c r="AJ17" s="1640"/>
      <c r="BM17" s="359">
        <v>14</v>
      </c>
    </row>
    <row customHeight="1" ht="14.699999999999998">
      <c r="D18" s="2249"/>
      <c r="E18" s="2245"/>
      <c r="F18" s="2245"/>
      <c r="G18" s="2252"/>
      <c r="H18" s="1666"/>
      <c r="I18" s="2248"/>
      <c r="J18" s="2219"/>
      <c r="K18" s="1649"/>
      <c r="L18" s="2204"/>
      <c r="M18" s="2204"/>
      <c r="N18" s="1656"/>
      <c r="O18" s="2204"/>
      <c r="P18" s="2219"/>
      <c r="Q18" s="1657"/>
      <c r="R18" s="2204"/>
      <c r="S18" s="2204"/>
      <c r="T18" s="1658"/>
      <c r="U18" s="2204"/>
      <c r="V18" s="2219"/>
      <c r="W18" s="1659"/>
      <c r="X18" s="2204"/>
      <c r="Y18" s="2204"/>
      <c r="Z18" s="1656"/>
      <c r="AA18" s="2204"/>
      <c r="AB18" s="2219"/>
      <c r="AC18" s="1660"/>
      <c r="AD18" s="2204"/>
      <c r="AE18" s="2204"/>
      <c r="AF18" s="1661"/>
      <c r="AG18" s="1661"/>
      <c r="AH18" s="2243"/>
      <c r="AI18" s="2244"/>
      <c r="AJ18" s="1640"/>
      <c r="BM18" s="359">
        <v>14</v>
      </c>
    </row>
    <row customHeight="1" ht="14.699999999999998">
      <c r="D19" s="2249"/>
      <c r="E19" s="2245"/>
      <c r="F19" s="2245"/>
      <c r="G19" s="2252"/>
      <c r="H19" s="1666"/>
      <c r="I19" s="2248"/>
      <c r="J19" s="2219"/>
      <c r="K19" s="1649"/>
      <c r="L19" s="2204"/>
      <c r="M19" s="2204"/>
      <c r="N19" s="1656"/>
      <c r="O19" s="2204"/>
      <c r="P19" s="2219"/>
      <c r="Q19" s="1657"/>
      <c r="R19" s="2204"/>
      <c r="S19" s="2204"/>
      <c r="T19" s="1658"/>
      <c r="U19" s="2204"/>
      <c r="V19" s="2219"/>
      <c r="W19" s="1659"/>
      <c r="X19" s="2204"/>
      <c r="Y19" s="2204"/>
      <c r="Z19" s="1578"/>
      <c r="AA19" s="1661"/>
      <c r="AB19" s="2243"/>
      <c r="AC19" s="2243"/>
      <c r="AD19" s="2243"/>
      <c r="AE19" s="2243"/>
      <c r="AF19" s="2243"/>
      <c r="AG19" s="2243"/>
      <c r="AH19" s="2243"/>
      <c r="AI19" s="2244"/>
      <c r="AJ19" s="1640"/>
      <c r="BM19" s="359">
        <v>14</v>
      </c>
    </row>
    <row customHeight="1" ht="14.699999999999998">
      <c r="D20" s="2249"/>
      <c r="E20" s="2245"/>
      <c r="F20" s="2245"/>
      <c r="G20" s="2252"/>
      <c r="H20" s="1666"/>
      <c r="I20" s="2248"/>
      <c r="J20" s="2219"/>
      <c r="K20" s="1649"/>
      <c r="L20" s="2204"/>
      <c r="M20" s="2204"/>
      <c r="N20" s="1656"/>
      <c r="O20" s="2204"/>
      <c r="P20" s="2219"/>
      <c r="Q20" s="1657"/>
      <c r="R20" s="2204"/>
      <c r="S20" s="2204"/>
      <c r="T20" s="1662"/>
      <c r="U20" s="1663"/>
      <c r="V20" s="2243"/>
      <c r="W20" s="2243"/>
      <c r="X20" s="2243"/>
      <c r="Y20" s="2243"/>
      <c r="Z20" s="2243"/>
      <c r="AA20" s="2243"/>
      <c r="AB20" s="2243"/>
      <c r="AC20" s="2243"/>
      <c r="AD20" s="2243"/>
      <c r="AE20" s="2243"/>
      <c r="AF20" s="2243"/>
      <c r="AG20" s="2243"/>
      <c r="AH20" s="2243"/>
      <c r="AI20" s="2244"/>
      <c r="AJ20" s="1640"/>
      <c r="BM20" s="359">
        <v>14</v>
      </c>
    </row>
    <row customHeight="1" ht="11.549999999999999">
      <c r="D21" s="2249"/>
      <c r="E21" s="2245"/>
      <c r="F21" s="2245"/>
      <c r="G21" s="2252"/>
      <c r="H21" s="1667"/>
      <c r="I21" s="2248"/>
      <c r="J21" s="2219"/>
      <c r="K21" s="1649"/>
      <c r="L21" s="2204"/>
      <c r="M21" s="2204"/>
      <c r="N21" s="1661"/>
      <c r="O21" s="1661"/>
      <c r="P21" s="2243"/>
      <c r="Q21" s="2243"/>
      <c r="R21" s="2243"/>
      <c r="S21" s="2243"/>
      <c r="T21" s="2243"/>
      <c r="U21" s="2243"/>
      <c r="V21" s="2243"/>
      <c r="W21" s="2243"/>
      <c r="X21" s="2243"/>
      <c r="Y21" s="2243"/>
      <c r="Z21" s="2243"/>
      <c r="AA21" s="2243"/>
      <c r="AB21" s="2243"/>
      <c r="AC21" s="2243"/>
      <c r="AD21" s="2243"/>
      <c r="AE21" s="2243"/>
      <c r="AF21" s="2243"/>
      <c r="AG21" s="2243"/>
      <c r="AH21" s="2243"/>
      <c r="AI21" s="2244"/>
      <c r="AJ21" s="1640"/>
      <c r="BM21" s="359">
        <v>11</v>
      </c>
    </row>
    <row s="3218" customFormat="1" customHeight="1" ht="11.549999999999999">
      <c r="D22" s="2255"/>
      <c r="E22" s="2256"/>
      <c r="F22" s="2246"/>
      <c r="G22" s="2178"/>
      <c r="H22" s="1664"/>
      <c r="I22" s="1668"/>
      <c r="J22" s="2253"/>
      <c r="K22" s="2253"/>
      <c r="L22" s="2253"/>
      <c r="M22" s="2253"/>
      <c r="N22" s="2253"/>
      <c r="O22" s="2253"/>
      <c r="P22" s="2253"/>
      <c r="Q22" s="2253"/>
      <c r="R22" s="2253"/>
      <c r="S22" s="2253"/>
      <c r="T22" s="2253"/>
      <c r="U22" s="2253"/>
      <c r="V22" s="2253"/>
      <c r="W22" s="2253"/>
      <c r="X22" s="2253"/>
      <c r="Y22" s="2253"/>
      <c r="Z22" s="2253"/>
      <c r="AA22" s="2253"/>
      <c r="AB22" s="2253"/>
      <c r="AC22" s="2253"/>
      <c r="AD22" s="2253"/>
      <c r="AE22" s="2253"/>
      <c r="AF22" s="2253"/>
      <c r="AG22" s="2253"/>
      <c r="AH22" s="2253"/>
      <c r="AI22" s="2254"/>
      <c r="AJ22" s="1640"/>
      <c r="AK22" s="372"/>
      <c r="AL22" s="1640"/>
      <c r="AM22" s="1640"/>
      <c r="AN22" s="1640"/>
      <c r="AO22" s="1640"/>
      <c r="AP22" s="1640"/>
      <c r="AQ22" s="1640"/>
      <c r="AR22" s="1640"/>
      <c r="AS22" s="1640"/>
      <c r="AT22" s="1640"/>
      <c r="AU22" s="1640"/>
      <c r="AV22" s="1640"/>
      <c r="AW22" s="1640"/>
      <c r="AX22" s="1640"/>
      <c r="AY22" s="1640"/>
      <c r="AZ22" s="1640"/>
      <c r="BA22" s="1640"/>
      <c r="BB22" s="1640"/>
      <c r="BC22" s="1640"/>
      <c r="BD22" s="1640"/>
      <c r="BE22" s="1640"/>
      <c r="BF22" s="1640"/>
      <c r="BG22" s="1640"/>
      <c r="BH22" s="1640"/>
      <c r="BI22" s="1640"/>
      <c r="BJ22" s="1640"/>
      <c r="BK22" s="1640"/>
      <c r="BL22" s="1640"/>
      <c r="BM22" s="1620">
        <v>11</v>
      </c>
    </row>
    <row customHeight="1" ht="15">
      <c r="D23" s="2249" t="s">
        <v>95</v>
      </c>
      <c r="E23" s="2245" t="s">
        <v>302</v>
      </c>
      <c r="F23" s="2245" t="s">
        <v>305</v>
      </c>
      <c r="G23" s="2251" t="s">
        <v>19</v>
      </c>
      <c r="H23" s="1665"/>
      <c r="I23" s="2247"/>
      <c r="J23" s="2218"/>
      <c r="K23" s="1580"/>
      <c r="L23" s="2203"/>
      <c r="M23" s="2203"/>
      <c r="N23" s="1650"/>
      <c r="O23" s="2203"/>
      <c r="P23" s="2218"/>
      <c r="Q23" s="1651"/>
      <c r="R23" s="2203"/>
      <c r="S23" s="2203"/>
      <c r="T23" s="1652"/>
      <c r="U23" s="2203"/>
      <c r="V23" s="2218"/>
      <c r="W23" s="1653"/>
      <c r="X23" s="2203"/>
      <c r="Y23" s="2203"/>
      <c r="Z23" s="1650"/>
      <c r="AA23" s="2203"/>
      <c r="AB23" s="2218"/>
      <c r="AC23" s="1654"/>
      <c r="AD23" s="2203"/>
      <c r="AE23" s="2203"/>
      <c r="AF23" s="1579"/>
      <c r="AG23" s="1579"/>
      <c r="AH23" s="1655"/>
      <c r="AI23" s="1362"/>
      <c r="AJ23" s="1640"/>
      <c r="AK23" s="372" t="s">
        <v>103</v>
      </c>
      <c r="BM23" s="359">
        <v>14</v>
      </c>
    </row>
    <row customHeight="1" ht="14.699999999999998">
      <c r="D24" s="2249"/>
      <c r="E24" s="2245"/>
      <c r="F24" s="2245"/>
      <c r="G24" s="2252"/>
      <c r="H24" s="1666"/>
      <c r="I24" s="2248"/>
      <c r="J24" s="2219"/>
      <c r="K24" s="1676"/>
      <c r="L24" s="2204"/>
      <c r="M24" s="2204"/>
      <c r="N24" s="1656"/>
      <c r="O24" s="2204"/>
      <c r="P24" s="2219"/>
      <c r="Q24" s="1657"/>
      <c r="R24" s="2204"/>
      <c r="S24" s="2204"/>
      <c r="T24" s="1658"/>
      <c r="U24" s="2204"/>
      <c r="V24" s="2219"/>
      <c r="W24" s="1659"/>
      <c r="X24" s="2204"/>
      <c r="Y24" s="2204"/>
      <c r="Z24" s="1656"/>
      <c r="AA24" s="2204"/>
      <c r="AB24" s="2219"/>
      <c r="AC24" s="1660"/>
      <c r="AD24" s="2204"/>
      <c r="AE24" s="2204"/>
      <c r="AF24" s="1661"/>
      <c r="AG24" s="1661"/>
      <c r="AH24" s="2243"/>
      <c r="AI24" s="2244"/>
      <c r="AJ24" s="1640"/>
      <c r="BM24" s="359">
        <v>14</v>
      </c>
    </row>
    <row customHeight="1" ht="14.699999999999998">
      <c r="D25" s="2249"/>
      <c r="E25" s="2245"/>
      <c r="F25" s="2245"/>
      <c r="G25" s="2252"/>
      <c r="H25" s="1666"/>
      <c r="I25" s="2248"/>
      <c r="J25" s="2219"/>
      <c r="K25" s="1676"/>
      <c r="L25" s="2204"/>
      <c r="M25" s="2204"/>
      <c r="N25" s="1656"/>
      <c r="O25" s="2204"/>
      <c r="P25" s="2219"/>
      <c r="Q25" s="1657"/>
      <c r="R25" s="2204"/>
      <c r="S25" s="2204"/>
      <c r="T25" s="1658"/>
      <c r="U25" s="2204"/>
      <c r="V25" s="2219"/>
      <c r="W25" s="1659"/>
      <c r="X25" s="2204"/>
      <c r="Y25" s="2204"/>
      <c r="Z25" s="1578"/>
      <c r="AA25" s="1661"/>
      <c r="AB25" s="2243"/>
      <c r="AC25" s="2243"/>
      <c r="AD25" s="2243"/>
      <c r="AE25" s="2243"/>
      <c r="AF25" s="2243"/>
      <c r="AG25" s="2243"/>
      <c r="AH25" s="2243"/>
      <c r="AI25" s="2244"/>
      <c r="AJ25" s="1640"/>
      <c r="BM25" s="359">
        <v>14</v>
      </c>
    </row>
    <row customHeight="1" ht="14.699999999999998">
      <c r="D26" s="2249"/>
      <c r="E26" s="2245"/>
      <c r="F26" s="2245"/>
      <c r="G26" s="2252"/>
      <c r="H26" s="1666"/>
      <c r="I26" s="2248"/>
      <c r="J26" s="2219"/>
      <c r="K26" s="1676"/>
      <c r="L26" s="2204"/>
      <c r="M26" s="2204"/>
      <c r="N26" s="1656"/>
      <c r="O26" s="2204"/>
      <c r="P26" s="2219"/>
      <c r="Q26" s="1657"/>
      <c r="R26" s="2204"/>
      <c r="S26" s="2204"/>
      <c r="T26" s="1662"/>
      <c r="U26" s="1663"/>
      <c r="V26" s="2243"/>
      <c r="W26" s="2243"/>
      <c r="X26" s="2243"/>
      <c r="Y26" s="2243"/>
      <c r="Z26" s="2243"/>
      <c r="AA26" s="2243"/>
      <c r="AB26" s="2243"/>
      <c r="AC26" s="2243"/>
      <c r="AD26" s="2243"/>
      <c r="AE26" s="2243"/>
      <c r="AF26" s="2243"/>
      <c r="AG26" s="2243"/>
      <c r="AH26" s="2243"/>
      <c r="AI26" s="2244"/>
      <c r="AJ26" s="1640"/>
      <c r="BM26" s="359">
        <v>14</v>
      </c>
    </row>
    <row customHeight="1" ht="11.549999999999999">
      <c r="D27" s="2249"/>
      <c r="E27" s="2245"/>
      <c r="F27" s="2245"/>
      <c r="G27" s="2252"/>
      <c r="H27" s="1667"/>
      <c r="I27" s="2248"/>
      <c r="J27" s="2219"/>
      <c r="K27" s="1676"/>
      <c r="L27" s="2204"/>
      <c r="M27" s="2204"/>
      <c r="N27" s="1661"/>
      <c r="O27" s="1661"/>
      <c r="P27" s="2243"/>
      <c r="Q27" s="2243"/>
      <c r="R27" s="2243"/>
      <c r="S27" s="2243"/>
      <c r="T27" s="2243"/>
      <c r="U27" s="2243"/>
      <c r="V27" s="2243"/>
      <c r="W27" s="2243"/>
      <c r="X27" s="2243"/>
      <c r="Y27" s="2243"/>
      <c r="Z27" s="2243"/>
      <c r="AA27" s="2243"/>
      <c r="AB27" s="2243"/>
      <c r="AC27" s="2243"/>
      <c r="AD27" s="2243"/>
      <c r="AE27" s="2243"/>
      <c r="AF27" s="2243"/>
      <c r="AG27" s="2243"/>
      <c r="AH27" s="2243"/>
      <c r="AI27" s="2244"/>
      <c r="AJ27" s="1640"/>
      <c r="BM27" s="359">
        <v>11</v>
      </c>
    </row>
    <row s="3218" customFormat="1" customHeight="1" ht="11.549999999999999">
      <c r="D28" s="2255"/>
      <c r="E28" s="2256"/>
      <c r="F28" s="2246"/>
      <c r="G28" s="2178"/>
      <c r="H28" s="1664"/>
      <c r="I28" s="1668"/>
      <c r="J28" s="2253"/>
      <c r="K28" s="2253"/>
      <c r="L28" s="2253"/>
      <c r="M28" s="2253"/>
      <c r="N28" s="2253"/>
      <c r="O28" s="2253"/>
      <c r="P28" s="2253"/>
      <c r="Q28" s="2253"/>
      <c r="R28" s="2253"/>
      <c r="S28" s="2253"/>
      <c r="T28" s="2253"/>
      <c r="U28" s="2253"/>
      <c r="V28" s="2253"/>
      <c r="W28" s="2253"/>
      <c r="X28" s="2253"/>
      <c r="Y28" s="2253"/>
      <c r="Z28" s="2253"/>
      <c r="AA28" s="2253"/>
      <c r="AB28" s="2253"/>
      <c r="AC28" s="2253"/>
      <c r="AD28" s="2253"/>
      <c r="AE28" s="2253"/>
      <c r="AF28" s="2253"/>
      <c r="AG28" s="2253"/>
      <c r="AH28" s="2253"/>
      <c r="AI28" s="2254"/>
      <c r="AJ28" s="1640"/>
      <c r="AK28" s="372"/>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20">
        <v>11</v>
      </c>
    </row>
    <row customHeight="1" ht="15">
      <c r="D29" s="2249" t="s">
        <v>96</v>
      </c>
      <c r="E29" s="2245" t="s">
        <v>302</v>
      </c>
      <c r="F29" s="2245" t="s">
        <v>306</v>
      </c>
      <c r="G29" s="2251" t="s">
        <v>19</v>
      </c>
      <c r="H29" s="1665"/>
      <c r="I29" s="2247"/>
      <c r="J29" s="2218"/>
      <c r="K29" s="1580"/>
      <c r="L29" s="2203"/>
      <c r="M29" s="2203"/>
      <c r="N29" s="1650"/>
      <c r="O29" s="2203"/>
      <c r="P29" s="2218"/>
      <c r="Q29" s="1651"/>
      <c r="R29" s="2203"/>
      <c r="S29" s="2203"/>
      <c r="T29" s="1652"/>
      <c r="U29" s="2203"/>
      <c r="V29" s="2218"/>
      <c r="W29" s="1653"/>
      <c r="X29" s="2203"/>
      <c r="Y29" s="2203"/>
      <c r="Z29" s="1650"/>
      <c r="AA29" s="2203"/>
      <c r="AB29" s="2218"/>
      <c r="AC29" s="1654"/>
      <c r="AD29" s="2203"/>
      <c r="AE29" s="2203"/>
      <c r="AF29" s="1579"/>
      <c r="AG29" s="1579"/>
      <c r="AH29" s="1655"/>
      <c r="AI29" s="1362"/>
      <c r="AJ29" s="1640"/>
      <c r="BM29" s="359">
        <v>14</v>
      </c>
    </row>
    <row customHeight="1" ht="14.699999999999998">
      <c r="D30" s="2249"/>
      <c r="E30" s="2245"/>
      <c r="F30" s="2245"/>
      <c r="G30" s="2252"/>
      <c r="H30" s="1666"/>
      <c r="I30" s="2248"/>
      <c r="J30" s="2219"/>
      <c r="K30" s="1649"/>
      <c r="L30" s="2204"/>
      <c r="M30" s="2204"/>
      <c r="N30" s="1656"/>
      <c r="O30" s="2204"/>
      <c r="P30" s="2219"/>
      <c r="Q30" s="1657"/>
      <c r="R30" s="2204"/>
      <c r="S30" s="2204"/>
      <c r="T30" s="1658"/>
      <c r="U30" s="2204"/>
      <c r="V30" s="2219"/>
      <c r="W30" s="1659"/>
      <c r="X30" s="2204"/>
      <c r="Y30" s="2204"/>
      <c r="Z30" s="1656"/>
      <c r="AA30" s="2204"/>
      <c r="AB30" s="2219"/>
      <c r="AC30" s="1660"/>
      <c r="AD30" s="2204"/>
      <c r="AE30" s="2204"/>
      <c r="AF30" s="1661"/>
      <c r="AG30" s="1661"/>
      <c r="AH30" s="2243"/>
      <c r="AI30" s="2244"/>
      <c r="AJ30" s="1640"/>
      <c r="BM30" s="359">
        <v>14</v>
      </c>
    </row>
    <row customHeight="1" ht="14.699999999999998">
      <c r="D31" s="2249"/>
      <c r="E31" s="2245"/>
      <c r="F31" s="2245"/>
      <c r="G31" s="2252"/>
      <c r="H31" s="1666"/>
      <c r="I31" s="2248"/>
      <c r="J31" s="2219"/>
      <c r="K31" s="1649"/>
      <c r="L31" s="2204"/>
      <c r="M31" s="2204"/>
      <c r="N31" s="1656"/>
      <c r="O31" s="2204"/>
      <c r="P31" s="2219"/>
      <c r="Q31" s="1657"/>
      <c r="R31" s="2204"/>
      <c r="S31" s="2204"/>
      <c r="T31" s="1658"/>
      <c r="U31" s="2204"/>
      <c r="V31" s="2219"/>
      <c r="W31" s="1659"/>
      <c r="X31" s="2204"/>
      <c r="Y31" s="2204"/>
      <c r="Z31" s="1578"/>
      <c r="AA31" s="1661"/>
      <c r="AB31" s="2243"/>
      <c r="AC31" s="2243"/>
      <c r="AD31" s="2243"/>
      <c r="AE31" s="2243"/>
      <c r="AF31" s="2243"/>
      <c r="AG31" s="2243"/>
      <c r="AH31" s="2243"/>
      <c r="AI31" s="2244"/>
      <c r="AJ31" s="1640"/>
      <c r="BM31" s="359">
        <v>14</v>
      </c>
    </row>
    <row customHeight="1" ht="14.699999999999998">
      <c r="D32" s="2249"/>
      <c r="E32" s="2245"/>
      <c r="F32" s="2245"/>
      <c r="G32" s="2252"/>
      <c r="H32" s="1666"/>
      <c r="I32" s="2248"/>
      <c r="J32" s="2219"/>
      <c r="K32" s="1649"/>
      <c r="L32" s="2204"/>
      <c r="M32" s="2204"/>
      <c r="N32" s="1656"/>
      <c r="O32" s="2204"/>
      <c r="P32" s="2219"/>
      <c r="Q32" s="1657"/>
      <c r="R32" s="2204"/>
      <c r="S32" s="2204"/>
      <c r="T32" s="1662"/>
      <c r="U32" s="1663"/>
      <c r="V32" s="2243"/>
      <c r="W32" s="2243"/>
      <c r="X32" s="2243"/>
      <c r="Y32" s="2243"/>
      <c r="Z32" s="2243"/>
      <c r="AA32" s="2243"/>
      <c r="AB32" s="2243"/>
      <c r="AC32" s="2243"/>
      <c r="AD32" s="2243"/>
      <c r="AE32" s="2243"/>
      <c r="AF32" s="2243"/>
      <c r="AG32" s="2243"/>
      <c r="AH32" s="2243"/>
      <c r="AI32" s="2244"/>
      <c r="AJ32" s="1640"/>
      <c r="BM32" s="359">
        <v>14</v>
      </c>
    </row>
    <row customHeight="1" ht="11.549999999999999">
      <c r="D33" s="2249"/>
      <c r="E33" s="2245"/>
      <c r="F33" s="2245"/>
      <c r="G33" s="2252"/>
      <c r="H33" s="1667"/>
      <c r="I33" s="2248"/>
      <c r="J33" s="2219"/>
      <c r="K33" s="1649"/>
      <c r="L33" s="2204"/>
      <c r="M33" s="2204"/>
      <c r="N33" s="1661"/>
      <c r="O33" s="1661"/>
      <c r="P33" s="2243"/>
      <c r="Q33" s="2243"/>
      <c r="R33" s="2243"/>
      <c r="S33" s="2243"/>
      <c r="T33" s="2243"/>
      <c r="U33" s="2243"/>
      <c r="V33" s="2243"/>
      <c r="W33" s="2243"/>
      <c r="X33" s="2243"/>
      <c r="Y33" s="2243"/>
      <c r="Z33" s="2243"/>
      <c r="AA33" s="2243"/>
      <c r="AB33" s="2243"/>
      <c r="AC33" s="2243"/>
      <c r="AD33" s="2243"/>
      <c r="AE33" s="2243"/>
      <c r="AF33" s="2243"/>
      <c r="AG33" s="2243"/>
      <c r="AH33" s="2243"/>
      <c r="AI33" s="2244"/>
      <c r="AJ33" s="1640"/>
      <c r="BM33" s="359">
        <v>11</v>
      </c>
    </row>
    <row s="3218" customFormat="1" customHeight="1" ht="11.549999999999999">
      <c r="D34" s="2255"/>
      <c r="E34" s="2256"/>
      <c r="F34" s="2246"/>
      <c r="G34" s="2178"/>
      <c r="H34" s="1664"/>
      <c r="I34" s="1668"/>
      <c r="J34" s="2253"/>
      <c r="K34" s="2253"/>
      <c r="L34" s="2253"/>
      <c r="M34" s="2253"/>
      <c r="N34" s="2253"/>
      <c r="O34" s="2253"/>
      <c r="P34" s="2253"/>
      <c r="Q34" s="2253"/>
      <c r="R34" s="2253"/>
      <c r="S34" s="2253"/>
      <c r="T34" s="2253"/>
      <c r="U34" s="2253"/>
      <c r="V34" s="2253"/>
      <c r="W34" s="2253"/>
      <c r="X34" s="2253"/>
      <c r="Y34" s="2253"/>
      <c r="Z34" s="2253"/>
      <c r="AA34" s="2253"/>
      <c r="AB34" s="2253"/>
      <c r="AC34" s="2253"/>
      <c r="AD34" s="2253"/>
      <c r="AE34" s="2253"/>
      <c r="AF34" s="2253"/>
      <c r="AG34" s="2253"/>
      <c r="AH34" s="2253"/>
      <c r="AI34" s="2254"/>
      <c r="AJ34" s="1640"/>
      <c r="AK34" s="372"/>
      <c r="AL34" s="1640"/>
      <c r="AM34" s="1640"/>
      <c r="AN34" s="1640"/>
      <c r="AO34" s="1640"/>
      <c r="AP34" s="1640"/>
      <c r="AQ34" s="1640"/>
      <c r="AR34" s="1640"/>
      <c r="AS34" s="1640"/>
      <c r="AT34" s="1640"/>
      <c r="AU34" s="1640"/>
      <c r="AV34" s="1640"/>
      <c r="AW34" s="1640"/>
      <c r="AX34" s="1640"/>
      <c r="AY34" s="1640"/>
      <c r="AZ34" s="1640"/>
      <c r="BA34" s="1640"/>
      <c r="BB34" s="1640"/>
      <c r="BC34" s="1640"/>
      <c r="BD34" s="1640"/>
      <c r="BE34" s="1640"/>
      <c r="BF34" s="1640"/>
      <c r="BG34" s="1640"/>
      <c r="BH34" s="1640"/>
      <c r="BI34" s="1640"/>
      <c r="BJ34" s="1640"/>
      <c r="BK34" s="1640"/>
      <c r="BL34" s="1640"/>
      <c r="BM34" s="1620">
        <v>11</v>
      </c>
    </row>
    <row customHeight="1" ht="15">
      <c r="D35" s="2249" t="s">
        <v>116</v>
      </c>
      <c r="E35" s="2245" t="s">
        <v>302</v>
      </c>
      <c r="F35" s="2245" t="s">
        <v>307</v>
      </c>
      <c r="G35" s="2251" t="s">
        <v>19</v>
      </c>
      <c r="H35" s="1665"/>
      <c r="I35" s="2247"/>
      <c r="J35" s="2218"/>
      <c r="K35" s="1580"/>
      <c r="L35" s="2203"/>
      <c r="M35" s="2203"/>
      <c r="N35" s="1650"/>
      <c r="O35" s="2203"/>
      <c r="P35" s="2218"/>
      <c r="Q35" s="1651"/>
      <c r="R35" s="2203"/>
      <c r="S35" s="2203"/>
      <c r="T35" s="1652"/>
      <c r="U35" s="2203"/>
      <c r="V35" s="2218"/>
      <c r="W35" s="1653"/>
      <c r="X35" s="2203"/>
      <c r="Y35" s="2203"/>
      <c r="Z35" s="1650"/>
      <c r="AA35" s="2203"/>
      <c r="AB35" s="2218"/>
      <c r="AC35" s="1654"/>
      <c r="AD35" s="2203"/>
      <c r="AE35" s="2203"/>
      <c r="AF35" s="1579"/>
      <c r="AG35" s="1579"/>
      <c r="AH35" s="1655"/>
      <c r="AI35" s="1362"/>
      <c r="AJ35" s="1640"/>
      <c r="BM35" s="359">
        <v>14</v>
      </c>
    </row>
    <row customHeight="1" ht="14.699999999999998">
      <c r="D36" s="2249"/>
      <c r="E36" s="2245"/>
      <c r="F36" s="2245"/>
      <c r="G36" s="2252"/>
      <c r="H36" s="1666"/>
      <c r="I36" s="2248"/>
      <c r="J36" s="2219"/>
      <c r="K36" s="1649"/>
      <c r="L36" s="2204"/>
      <c r="M36" s="2204"/>
      <c r="N36" s="1656"/>
      <c r="O36" s="2204"/>
      <c r="P36" s="2219"/>
      <c r="Q36" s="1657"/>
      <c r="R36" s="2204"/>
      <c r="S36" s="2204"/>
      <c r="T36" s="1658"/>
      <c r="U36" s="2204"/>
      <c r="V36" s="2219"/>
      <c r="W36" s="1659"/>
      <c r="X36" s="2204"/>
      <c r="Y36" s="2204"/>
      <c r="Z36" s="1656"/>
      <c r="AA36" s="2204"/>
      <c r="AB36" s="2219"/>
      <c r="AC36" s="1660"/>
      <c r="AD36" s="2204"/>
      <c r="AE36" s="2204"/>
      <c r="AF36" s="1661"/>
      <c r="AG36" s="1661"/>
      <c r="AH36" s="2243"/>
      <c r="AI36" s="2244"/>
      <c r="AJ36" s="1640"/>
      <c r="BM36" s="359">
        <v>14</v>
      </c>
    </row>
    <row customHeight="1" ht="14.699999999999998">
      <c r="D37" s="2249"/>
      <c r="E37" s="2245"/>
      <c r="F37" s="2245"/>
      <c r="G37" s="2252"/>
      <c r="H37" s="1666"/>
      <c r="I37" s="2248"/>
      <c r="J37" s="2219"/>
      <c r="K37" s="1649"/>
      <c r="L37" s="2204"/>
      <c r="M37" s="2204"/>
      <c r="N37" s="1656"/>
      <c r="O37" s="2204"/>
      <c r="P37" s="2219"/>
      <c r="Q37" s="1657"/>
      <c r="R37" s="2204"/>
      <c r="S37" s="2204"/>
      <c r="T37" s="1658"/>
      <c r="U37" s="2204"/>
      <c r="V37" s="2219"/>
      <c r="W37" s="1659"/>
      <c r="X37" s="2204"/>
      <c r="Y37" s="2204"/>
      <c r="Z37" s="1578"/>
      <c r="AA37" s="1661"/>
      <c r="AB37" s="2243"/>
      <c r="AC37" s="2243"/>
      <c r="AD37" s="2243"/>
      <c r="AE37" s="2243"/>
      <c r="AF37" s="2243"/>
      <c r="AG37" s="2243"/>
      <c r="AH37" s="2243"/>
      <c r="AI37" s="2244"/>
      <c r="AJ37" s="1640"/>
      <c r="BM37" s="359">
        <v>14</v>
      </c>
    </row>
    <row customHeight="1" ht="14.699999999999998">
      <c r="D38" s="2249"/>
      <c r="E38" s="2245"/>
      <c r="F38" s="2245"/>
      <c r="G38" s="2252"/>
      <c r="H38" s="1666"/>
      <c r="I38" s="2248"/>
      <c r="J38" s="2219"/>
      <c r="K38" s="1649"/>
      <c r="L38" s="2204"/>
      <c r="M38" s="2204"/>
      <c r="N38" s="1656"/>
      <c r="O38" s="2204"/>
      <c r="P38" s="2219"/>
      <c r="Q38" s="1657"/>
      <c r="R38" s="2204"/>
      <c r="S38" s="2204"/>
      <c r="T38" s="1662"/>
      <c r="U38" s="1663"/>
      <c r="V38" s="2243"/>
      <c r="W38" s="2243"/>
      <c r="X38" s="2243"/>
      <c r="Y38" s="2243"/>
      <c r="Z38" s="2243"/>
      <c r="AA38" s="2243"/>
      <c r="AB38" s="2243"/>
      <c r="AC38" s="2243"/>
      <c r="AD38" s="2243"/>
      <c r="AE38" s="2243"/>
      <c r="AF38" s="2243"/>
      <c r="AG38" s="2243"/>
      <c r="AH38" s="2243"/>
      <c r="AI38" s="2244"/>
      <c r="AJ38" s="1640"/>
      <c r="BM38" s="359">
        <v>14</v>
      </c>
    </row>
    <row customHeight="1" ht="11.549999999999999">
      <c r="D39" s="2249"/>
      <c r="E39" s="2245"/>
      <c r="F39" s="2245"/>
      <c r="G39" s="2252"/>
      <c r="H39" s="1667"/>
      <c r="I39" s="2248"/>
      <c r="J39" s="2219"/>
      <c r="K39" s="1649"/>
      <c r="L39" s="2204"/>
      <c r="M39" s="2204"/>
      <c r="N39" s="1661"/>
      <c r="O39" s="1661"/>
      <c r="P39" s="2243"/>
      <c r="Q39" s="2243"/>
      <c r="R39" s="2243"/>
      <c r="S39" s="2243"/>
      <c r="T39" s="2243"/>
      <c r="U39" s="2243"/>
      <c r="V39" s="2243"/>
      <c r="W39" s="2243"/>
      <c r="X39" s="2243"/>
      <c r="Y39" s="2243"/>
      <c r="Z39" s="2243"/>
      <c r="AA39" s="2243"/>
      <c r="AB39" s="2243"/>
      <c r="AC39" s="2243"/>
      <c r="AD39" s="2243"/>
      <c r="AE39" s="2243"/>
      <c r="AF39" s="2243"/>
      <c r="AG39" s="2243"/>
      <c r="AH39" s="2243"/>
      <c r="AI39" s="2244"/>
      <c r="AJ39" s="1640"/>
      <c r="BM39" s="359">
        <v>11</v>
      </c>
    </row>
    <row s="3218" customFormat="1" customHeight="1" ht="11.549999999999999">
      <c r="D40" s="2249"/>
      <c r="E40" s="2245"/>
      <c r="F40" s="2250"/>
      <c r="G40" s="2178"/>
      <c r="H40" s="1664"/>
      <c r="I40" s="1668"/>
      <c r="J40" s="2253"/>
      <c r="K40" s="2253"/>
      <c r="L40" s="2253"/>
      <c r="M40" s="2253"/>
      <c r="N40" s="2253"/>
      <c r="O40" s="2253"/>
      <c r="P40" s="2253"/>
      <c r="Q40" s="2253"/>
      <c r="R40" s="2253"/>
      <c r="S40" s="2253"/>
      <c r="T40" s="2253"/>
      <c r="U40" s="2253"/>
      <c r="V40" s="2253"/>
      <c r="W40" s="2253"/>
      <c r="X40" s="2253"/>
      <c r="Y40" s="2253"/>
      <c r="Z40" s="2253"/>
      <c r="AA40" s="2253"/>
      <c r="AB40" s="2253"/>
      <c r="AC40" s="2253"/>
      <c r="AD40" s="2253"/>
      <c r="AE40" s="2253"/>
      <c r="AF40" s="2253"/>
      <c r="AG40" s="2253"/>
      <c r="AH40" s="2253"/>
      <c r="AI40" s="2254"/>
      <c r="AJ40" s="1640"/>
      <c r="AK40" s="372"/>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20">
        <v>11</v>
      </c>
    </row>
    <row customHeight="1" ht="11.549999999999999">
      <c r="AK41" s="489"/>
      <c r="BM41" s="359">
        <v>11</v>
      </c>
    </row>
    <row customHeight="1" ht="11.549999999999999">
      <c r="AK42" s="489"/>
      <c r="BM42" s="359">
        <v>11</v>
      </c>
    </row>
    <row customHeight="1" ht="11.549999999999999">
      <c r="AK43" s="489"/>
      <c r="BM43" s="359">
        <v>11</v>
      </c>
    </row>
    <row customHeight="1" ht="11.549999999999999">
      <c r="AK44" s="489"/>
      <c r="BM44" s="359">
        <v>11</v>
      </c>
    </row>
    <row customHeight="1" ht="11.549999999999999">
      <c r="AK45" s="489"/>
      <c r="BM45" s="359">
        <v>11</v>
      </c>
    </row>
    <row customHeight="1" ht="11.549999999999999">
      <c r="AK46" s="489"/>
      <c r="BM46" s="359">
        <v>11</v>
      </c>
    </row>
    <row customHeight="1" ht="11.549999999999999">
      <c r="AK47" s="489"/>
      <c r="BM47" s="359">
        <v>11</v>
      </c>
    </row>
    <row customHeight="1" ht="11.549999999999999">
      <c r="AK48" s="489"/>
      <c r="BM48" s="359">
        <v>11</v>
      </c>
    </row>
    <row customHeight="1" ht="11.549999999999999">
      <c r="AK49" s="489"/>
      <c r="BM49" s="359">
        <v>11</v>
      </c>
    </row>
    <row customHeight="1" ht="11.25" hidden="1">
      <c r="A50" s="359" t="s">
        <v>87</v>
      </c>
      <c r="B50" s="359">
        <v>0</v>
      </c>
      <c r="C50" s="359">
        <v>3</v>
      </c>
      <c r="D50" s="359">
        <v>3</v>
      </c>
      <c r="E50" s="359">
        <v>15</v>
      </c>
      <c r="F50" s="359">
        <v>15</v>
      </c>
      <c r="G50" s="359">
        <v>11</v>
      </c>
      <c r="H50" s="359">
        <v>3</v>
      </c>
      <c r="I50" s="359">
        <v>3</v>
      </c>
      <c r="J50" s="359">
        <v>12</v>
      </c>
      <c r="K50" s="359">
        <v>0</v>
      </c>
      <c r="L50" s="359">
        <v>10</v>
      </c>
      <c r="M50" s="359">
        <v>10</v>
      </c>
      <c r="N50" s="359">
        <v>3</v>
      </c>
      <c r="O50" s="359">
        <v>3</v>
      </c>
      <c r="P50" s="359">
        <v>19</v>
      </c>
      <c r="Q50" s="359">
        <v>0</v>
      </c>
      <c r="R50" s="359">
        <v>10</v>
      </c>
      <c r="S50" s="359">
        <v>10</v>
      </c>
      <c r="T50" s="359">
        <v>3</v>
      </c>
      <c r="U50" s="359">
        <v>3</v>
      </c>
      <c r="V50" s="359">
        <v>25</v>
      </c>
      <c r="W50" s="359">
        <v>0</v>
      </c>
      <c r="X50" s="359">
        <v>10</v>
      </c>
      <c r="Y50" s="359">
        <v>10</v>
      </c>
      <c r="Z50" s="359">
        <v>3</v>
      </c>
      <c r="AA50" s="359">
        <v>3</v>
      </c>
      <c r="AB50" s="359">
        <v>16</v>
      </c>
      <c r="AC50" s="359">
        <v>0</v>
      </c>
      <c r="AD50" s="359">
        <v>10</v>
      </c>
      <c r="AE50" s="359">
        <v>10</v>
      </c>
      <c r="AF50" s="359">
        <v>3</v>
      </c>
      <c r="AG50" s="359">
        <v>3</v>
      </c>
      <c r="AH50" s="359">
        <v>8</v>
      </c>
      <c r="AI50" s="359">
        <v>21</v>
      </c>
      <c r="AJ50" s="489">
        <v>8</v>
      </c>
      <c r="AK50" s="372">
        <v>8</v>
      </c>
      <c r="AL50" s="489">
        <v>8</v>
      </c>
      <c r="AM50" s="489">
        <v>8</v>
      </c>
      <c r="AN50" s="489">
        <v>8</v>
      </c>
      <c r="AO50" s="489">
        <v>8</v>
      </c>
      <c r="AP50" s="489">
        <v>8</v>
      </c>
      <c r="AQ50" s="489">
        <v>8</v>
      </c>
      <c r="AR50" s="489">
        <v>8</v>
      </c>
      <c r="AS50" s="489">
        <v>8</v>
      </c>
      <c r="AT50" s="489">
        <v>8</v>
      </c>
      <c r="AU50" s="489">
        <v>8</v>
      </c>
      <c r="AV50" s="489">
        <v>8</v>
      </c>
      <c r="AW50" s="489">
        <v>8</v>
      </c>
      <c r="AX50" s="489">
        <v>8</v>
      </c>
      <c r="AY50" s="489">
        <v>8</v>
      </c>
      <c r="AZ50" s="489">
        <v>8</v>
      </c>
      <c r="BA50" s="489">
        <v>8</v>
      </c>
      <c r="BB50" s="489">
        <v>8</v>
      </c>
      <c r="BC50" s="489">
        <v>8</v>
      </c>
      <c r="BD50" s="489">
        <v>8</v>
      </c>
      <c r="BE50" s="489">
        <v>8</v>
      </c>
      <c r="BF50" s="489">
        <v>8</v>
      </c>
      <c r="BG50" s="489">
        <v>8</v>
      </c>
      <c r="BH50" s="489">
        <v>8</v>
      </c>
      <c r="BI50" s="489">
        <v>8</v>
      </c>
      <c r="BJ50" s="489">
        <v>8</v>
      </c>
      <c r="BK50" s="489">
        <v>8</v>
      </c>
      <c r="BL50" s="489">
        <v>8</v>
      </c>
      <c r="BM50" s="35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57EE5-2EFB-2296-0E75-346507C9C86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774" width="1.7109375" customWidth="1"/>
    <col min="2" max="2" style="5774" width="34.57421875" customWidth="1"/>
    <col min="3" max="3" style="5774" width="85.00390625" customWidth="1"/>
    <col min="4" max="4" style="5774" width="17.00390625" customWidth="1"/>
    <col min="5" max="5" style="5774" width="8.00390625" customWidth="1"/>
    <col min="6" max="6" style="5774" width="9.140625" hidden="1"/>
  </cols>
  <sheetData>
    <row customHeight="1" ht="3">
      <c r="F1" s="155" t="s">
        <v>14</v>
      </c>
    </row>
    <row customHeight="1" ht="22.5">
      <c r="B2" s="2679" t="s">
        <v>1906</v>
      </c>
      <c r="C2" s="2566"/>
      <c r="D2" s="2566"/>
      <c r="E2" s="334"/>
      <c r="F2" s="155">
        <v>22</v>
      </c>
    </row>
    <row customHeight="1" ht="3">
      <c r="F3" s="155">
        <v>3</v>
      </c>
    </row>
    <row customHeight="1" ht="23.25">
      <c r="B4" s="2680" t="s">
        <v>1907</v>
      </c>
      <c r="C4" s="449" t="s">
        <v>1908</v>
      </c>
      <c r="D4" s="449" t="s">
        <v>1909</v>
      </c>
      <c r="F4" s="155">
        <v>22</v>
      </c>
    </row>
    <row customHeight="1" ht="11.25" hidden="1">
      <c r="A5" s="155" t="s">
        <v>87</v>
      </c>
      <c r="B5" s="155">
        <v>34</v>
      </c>
      <c r="C5" s="155">
        <v>85</v>
      </c>
      <c r="D5" s="155">
        <v>17</v>
      </c>
      <c r="E5" s="155">
        <v>8</v>
      </c>
      <c r="F5" s="155">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0F48D-8D15-2365-09C9-58A0369101F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774" width="26.57421875" customWidth="1"/>
    <col min="2" max="2" style="5774" width="10.00390625" customWidth="1"/>
    <col min="3" max="3" style="5774" width="9.140625"/>
    <col min="4" max="4" style="5774" width="11.140625" customWidth="1"/>
    <col min="5" max="5" style="5774" width="16.57421875" customWidth="1"/>
    <col min="6" max="6" style="5774" width="16.28125" customWidth="1"/>
    <col min="7" max="7" style="5774" width="19.140625" customWidth="1"/>
    <col min="8" max="11" style="5774" width="10.00390625" customWidth="1"/>
    <col min="12" max="12" style="5774" width="12.7109375" customWidth="1"/>
    <col min="13" max="13" style="5774" width="61.28125" customWidth="1"/>
    <col min="14" max="14" style="5774" width="10.00390625" customWidth="1"/>
    <col min="15" max="17" style="5774" width="23.7109375" customWidth="1"/>
    <col min="18" max="18" style="5774" width="11.7109375" customWidth="1"/>
    <col min="19" max="19" style="5774" width="8.57421875" customWidth="1"/>
    <col min="20" max="20" style="5774" width="11.7109375" customWidth="1"/>
    <col min="21" max="21" style="5774" width="8.57421875" customWidth="1"/>
    <col min="22" max="22" style="5774" width="4.7109375" customWidth="1"/>
    <col min="23" max="23" style="5774" width="115.7109375" customWidth="1"/>
    <col min="24" max="24" style="5774" width="115.28125" customWidth="1"/>
    <col min="25" max="27" style="5774" width="9.140625"/>
    <col min="28" max="28" style="5774" width="115.7109375" customWidth="1"/>
    <col min="29" max="29" style="5774" width="9.140625"/>
    <col min="30" max="90" style="5774" width="115.7109375" customWidth="1"/>
    <col min="91" max="184" style="5774" width="9.140625"/>
  </cols>
  <sheetData>
    <row r="2" s="5347" customFormat="1" customHeight="1" ht="17.25">
      <c r="A2" s="1881" t="s">
        <v>1910</v>
      </c>
    </row>
    <row r="4" s="5337" customFormat="1" customHeight="1" ht="15">
      <c r="C4" s="1882"/>
      <c r="D4" s="179"/>
      <c r="E4" s="443"/>
    </row>
    <row r="6" s="5347" customFormat="1" customHeight="1" ht="17.25">
      <c r="A6" s="1881" t="s">
        <v>1911</v>
      </c>
    </row>
    <row r="8" s="5337" customFormat="1" customHeight="1" ht="17.25">
      <c r="C8" s="1883"/>
      <c r="D8" s="179"/>
      <c r="E8" s="180"/>
    </row>
    <row r="11" s="5347" customFormat="1" customHeight="1" ht="17.25">
      <c r="A11" s="1881" t="s">
        <v>1912</v>
      </c>
    </row>
    <row r="13" s="3439" customFormat="1" customHeight="1" ht="15">
      <c r="A13" s="2283">
        <v>1</v>
      </c>
      <c r="B13" s="1226"/>
      <c r="C13" s="867" t="s">
        <v>454</v>
      </c>
      <c r="D13" s="1884"/>
      <c r="E13" s="1871">
        <f>A13</f>
        <v>1</v>
      </c>
      <c r="F13" s="870"/>
      <c r="G13" s="606" t="str">
        <f>"Территория "&amp;E13</f>
        <v>Территория 1</v>
      </c>
      <c r="H13" s="858"/>
      <c r="I13" s="858"/>
      <c r="J13" s="855"/>
      <c r="K13" s="1690"/>
      <c r="L13" s="1690"/>
      <c r="M13" s="1690"/>
      <c r="N13" s="292"/>
      <c r="O13" s="1690"/>
      <c r="P13" s="291"/>
      <c r="Q13" s="291"/>
      <c r="R13" s="291"/>
      <c r="S13" s="291"/>
    </row>
    <row s="5774" customFormat="1" customHeight="1" ht="15">
      <c r="A14" s="2283"/>
      <c r="B14" s="1226">
        <v>1</v>
      </c>
      <c r="C14" s="1226"/>
      <c r="D14" s="866"/>
      <c r="E14" s="1879" t="str">
        <f>A13&amp;"."&amp;B14</f>
        <v>1.1</v>
      </c>
      <c r="F14" s="869">
        <f>$F$20</f>
        <v>0</v>
      </c>
      <c r="G14" s="859"/>
      <c r="H14" s="859"/>
      <c r="I14" s="857"/>
      <c r="J14" s="1690"/>
      <c r="K14" s="1702"/>
      <c r="L14" s="1702"/>
      <c r="M14" s="1690" t="str">
        <f t="array" ref="M14:M14">IF(ISERROR(MATCH(MID(N14,1,250),MID(note_ter,1,250),0)),"n","y")</f>
        <v>n</v>
      </c>
      <c r="N14" s="1702"/>
      <c r="O14" s="1690" t="str">
        <f>H14&amp;"("&amp;I14&amp;")"</f>
        <v>()</v>
      </c>
      <c r="P14" s="1226"/>
      <c r="Q14" s="1226"/>
      <c r="R14" s="486"/>
      <c r="S14" s="1226"/>
      <c r="T14" s="1226"/>
      <c r="U14" s="1226"/>
      <c r="V14" s="488"/>
      <c r="W14" s="488"/>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5"/>
      <c r="AY14" s="485"/>
      <c r="AZ14" s="485"/>
      <c r="BA14" s="485"/>
      <c r="BB14" s="485"/>
      <c r="BC14" s="485"/>
      <c r="BD14" s="485"/>
      <c r="BE14" s="485"/>
      <c r="BF14" s="485"/>
      <c r="BG14" s="485"/>
      <c r="BH14" s="485"/>
      <c r="BI14" s="485"/>
      <c r="BJ14" s="485"/>
      <c r="BK14" s="485"/>
      <c r="BL14" s="485"/>
      <c r="BM14" s="485"/>
      <c r="BN14" s="485"/>
      <c r="BO14" s="485"/>
      <c r="BP14" s="485"/>
      <c r="BQ14" s="485"/>
      <c r="BR14" s="485"/>
      <c r="BS14" s="488"/>
      <c r="BT14" s="488"/>
      <c r="BU14" s="488"/>
      <c r="BV14" s="488"/>
      <c r="BW14" s="488"/>
      <c r="BX14" s="488"/>
      <c r="BY14" s="488"/>
      <c r="BZ14" s="488"/>
      <c r="CA14" s="488"/>
      <c r="CB14" s="488"/>
    </row>
    <row s="5774" customFormat="1" customHeight="1" ht="15">
      <c r="A15" s="2283"/>
      <c r="B15" s="1226"/>
      <c r="C15" s="478"/>
      <c r="D15" s="867"/>
      <c r="E15" s="487"/>
      <c r="F15" s="243"/>
      <c r="G15" s="481" t="s">
        <v>107</v>
      </c>
      <c r="H15" s="253"/>
      <c r="I15" s="490"/>
      <c r="J15" s="1702"/>
      <c r="K15" s="1702"/>
      <c r="L15" s="1702"/>
      <c r="M15" s="1702"/>
      <c r="N15" s="1690"/>
      <c r="O15" s="1702"/>
      <c r="P15" s="1226"/>
      <c r="Q15" s="1226"/>
      <c r="R15" s="486"/>
      <c r="S15" s="1226"/>
      <c r="T15" s="1226"/>
      <c r="U15" s="1226"/>
      <c r="V15" s="488"/>
      <c r="W15" s="488"/>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8"/>
      <c r="BT15" s="488"/>
      <c r="BU15" s="488"/>
      <c r="BV15" s="488"/>
      <c r="BW15" s="488"/>
      <c r="BX15" s="488"/>
      <c r="BY15" s="488"/>
      <c r="BZ15" s="488"/>
      <c r="CA15" s="488"/>
      <c r="CB15" s="488"/>
    </row>
    <row r="17" s="5347" customFormat="1" customHeight="1" ht="17.25">
      <c r="A17" s="1881" t="s">
        <v>1913</v>
      </c>
    </row>
    <row r="19" s="5774" customFormat="1" customHeight="1" ht="15">
      <c r="A19" s="1948"/>
      <c r="B19" s="1432">
        <v>1</v>
      </c>
      <c r="C19" s="1432"/>
      <c r="D19" s="866" t="s">
        <v>454</v>
      </c>
      <c r="E19" s="1944"/>
      <c r="F19" s="1949">
        <f>$F$20</f>
        <v>0</v>
      </c>
      <c r="G19" s="1953"/>
      <c r="H19" s="1953"/>
      <c r="I19" s="1951"/>
      <c r="J19" s="1690"/>
      <c r="K19" s="1702"/>
      <c r="L19" s="1702"/>
      <c r="M19" s="1690" t="str">
        <f t="array" ref="M19:M19">IF(ISERROR(MATCH(MID(N19,1,250),MID(note_ter,1,250),0)),"n","y")</f>
        <v>n</v>
      </c>
      <c r="N19" s="1702"/>
      <c r="O19" s="1690" t="str">
        <f>H19&amp;"("&amp;I19&amp;")"</f>
        <v>()</v>
      </c>
      <c r="P19" s="1432"/>
      <c r="Q19" s="1432"/>
      <c r="R19" s="486"/>
      <c r="S19" s="1432"/>
      <c r="T19" s="1432"/>
      <c r="U19" s="1432"/>
      <c r="V19" s="899"/>
      <c r="W19" s="899"/>
      <c r="X19" s="693"/>
      <c r="Y19" s="693"/>
      <c r="Z19" s="693"/>
      <c r="AA19" s="693"/>
      <c r="AB19" s="693"/>
      <c r="AC19" s="693"/>
      <c r="AD19" s="693"/>
      <c r="AE19" s="693"/>
      <c r="AF19" s="693"/>
      <c r="AG19" s="693"/>
      <c r="AH19" s="693"/>
      <c r="AI19" s="693"/>
      <c r="AJ19" s="693"/>
      <c r="AK19" s="693"/>
      <c r="AL19" s="693"/>
      <c r="AM19" s="693"/>
      <c r="AN19" s="693"/>
      <c r="AO19" s="693"/>
      <c r="AP19" s="693"/>
      <c r="AQ19" s="693"/>
      <c r="AR19" s="693"/>
      <c r="AS19" s="693"/>
      <c r="AT19" s="693"/>
      <c r="AU19" s="693"/>
      <c r="AV19" s="693"/>
      <c r="AW19" s="693"/>
      <c r="AX19" s="693"/>
      <c r="AY19" s="693"/>
      <c r="AZ19" s="693"/>
      <c r="BA19" s="693"/>
      <c r="BB19" s="693"/>
      <c r="BC19" s="693"/>
      <c r="BD19" s="693"/>
      <c r="BE19" s="693"/>
      <c r="BF19" s="693"/>
      <c r="BG19" s="693"/>
      <c r="BH19" s="693"/>
      <c r="BI19" s="693"/>
      <c r="BJ19" s="693"/>
      <c r="BK19" s="693"/>
      <c r="BL19" s="693"/>
      <c r="BM19" s="693"/>
      <c r="BN19" s="693"/>
      <c r="BO19" s="693"/>
      <c r="BP19" s="693"/>
      <c r="BQ19" s="693"/>
      <c r="BR19" s="693"/>
      <c r="BS19" s="899"/>
      <c r="BT19" s="899"/>
      <c r="BU19" s="899"/>
      <c r="BV19" s="899"/>
      <c r="BW19" s="899"/>
      <c r="BX19" s="899"/>
      <c r="BY19" s="899"/>
      <c r="BZ19" s="899"/>
      <c r="CA19" s="899"/>
      <c r="CB19" s="899"/>
    </row>
    <row r="21" s="5774" customFormat="1" customHeight="1" ht="15">
      <c r="A21" s="1881" t="s">
        <v>1914</v>
      </c>
      <c r="B21" s="1881"/>
      <c r="C21" s="1881"/>
      <c r="D21" s="1881"/>
      <c r="E21" s="1881"/>
      <c r="F21" s="1881"/>
      <c r="G21" s="1881"/>
      <c r="H21" s="1881"/>
      <c r="I21" s="1881"/>
      <c r="J21" s="1881"/>
      <c r="K21" s="1881"/>
      <c r="L21" s="1881"/>
      <c r="M21" s="1881"/>
      <c r="N21" s="1881"/>
      <c r="O21" s="1881"/>
      <c r="P21" s="1881"/>
      <c r="Q21" s="1881"/>
      <c r="R21" s="1881"/>
      <c r="S21" s="1881"/>
      <c r="T21" s="1881"/>
      <c r="U21" s="250"/>
      <c r="V21" s="1881"/>
      <c r="W21" s="1881"/>
    </row>
    <row s="5774" customFormat="1" customHeight="1" ht="15">
      <c r="U22" s="251"/>
    </row>
    <row s="5597" customFormat="1" customHeight="1" ht="15">
      <c r="A23" s="489"/>
      <c r="B23" s="489"/>
      <c r="C23" s="1794" t="s">
        <v>454</v>
      </c>
      <c r="D23" s="2174" t="s">
        <v>114</v>
      </c>
      <c r="E23" s="2175"/>
      <c r="F23" s="2173" t="s">
        <v>19</v>
      </c>
      <c r="G23" s="2623"/>
      <c r="H23" s="2193">
        <v>1</v>
      </c>
      <c r="I23" s="2625" t="str">
        <f>IF(U23="","",INDEX(TERRITORY_MR_LIST,MATCH(U23,TERRITORY_LIST_ID,0)))</f>
        <v/>
      </c>
      <c r="J23" s="2173" t="s">
        <v>19</v>
      </c>
      <c r="K23" s="898"/>
      <c r="L23" s="1848" t="s">
        <v>114</v>
      </c>
      <c r="M23" s="669"/>
      <c r="N23" s="670"/>
      <c r="O23" s="670"/>
      <c r="P23" s="670"/>
      <c r="Q23" s="670"/>
      <c r="R23" s="670"/>
      <c r="S23" s="670"/>
      <c r="T23" s="670"/>
      <c r="U23" s="671"/>
      <c r="V23" s="670"/>
      <c r="W23" s="670"/>
      <c r="X23" s="661"/>
      <c r="Y23" s="661" t="s">
        <v>123</v>
      </c>
      <c r="Z23" s="661">
        <v>1705000</v>
      </c>
      <c r="AA23" s="661"/>
      <c r="AB23" s="661"/>
      <c r="AC23" s="661"/>
      <c r="AD23" s="661"/>
      <c r="AE23" s="661"/>
      <c r="AF23" s="661"/>
      <c r="AG23" s="661"/>
      <c r="AH23" s="661"/>
      <c r="AI23" s="661"/>
      <c r="AJ23" s="661"/>
      <c r="AK23" s="661"/>
      <c r="AL23" s="661"/>
    </row>
    <row s="5597" customFormat="1" customHeight="1" ht="15">
      <c r="A24" s="489"/>
      <c r="B24" s="489"/>
      <c r="C24" s="242"/>
      <c r="D24" s="2174"/>
      <c r="E24" s="2176"/>
      <c r="F24" s="2173"/>
      <c r="G24" s="2624"/>
      <c r="H24" s="2193"/>
      <c r="I24" s="2626"/>
      <c r="J24" s="2173"/>
      <c r="K24" s="487"/>
      <c r="L24" s="243"/>
      <c r="M24" s="673" t="s">
        <v>124</v>
      </c>
      <c r="N24" s="670"/>
      <c r="O24" s="670"/>
      <c r="P24" s="670"/>
      <c r="Q24" s="670"/>
      <c r="R24" s="670"/>
      <c r="S24" s="670"/>
      <c r="T24" s="670"/>
      <c r="U24" s="671"/>
      <c r="V24" s="670"/>
      <c r="W24" s="670"/>
      <c r="X24" s="661"/>
      <c r="Y24" s="661"/>
      <c r="Z24" s="661"/>
      <c r="AA24" s="661"/>
      <c r="AB24" s="661"/>
      <c r="AC24" s="661"/>
      <c r="AD24" s="661"/>
      <c r="AE24" s="661"/>
      <c r="AF24" s="661"/>
      <c r="AG24" s="661"/>
      <c r="AH24" s="661"/>
      <c r="AI24" s="661"/>
      <c r="AJ24" s="661"/>
      <c r="AK24" s="661"/>
      <c r="AL24" s="661"/>
    </row>
    <row s="5597" customFormat="1" customHeight="1" ht="15">
      <c r="A25" s="489"/>
      <c r="B25" s="489"/>
      <c r="C25" s="242"/>
      <c r="D25" s="2174"/>
      <c r="E25" s="2177"/>
      <c r="F25" s="2173"/>
      <c r="G25" s="487"/>
      <c r="H25" s="243"/>
      <c r="I25" s="646" t="s">
        <v>125</v>
      </c>
      <c r="J25" s="243"/>
      <c r="K25" s="243"/>
      <c r="L25" s="243"/>
      <c r="M25" s="674"/>
      <c r="N25" s="670"/>
      <c r="O25" s="670"/>
      <c r="P25" s="670"/>
      <c r="Q25" s="670"/>
      <c r="R25" s="670"/>
      <c r="S25" s="670"/>
      <c r="T25" s="670"/>
      <c r="U25" s="671"/>
      <c r="V25" s="670"/>
      <c r="W25" s="670"/>
      <c r="X25" s="661"/>
      <c r="Y25" s="661"/>
      <c r="Z25" s="661"/>
      <c r="AA25" s="661"/>
      <c r="AB25" s="661"/>
      <c r="AC25" s="661"/>
      <c r="AD25" s="661"/>
      <c r="AE25" s="661"/>
      <c r="AF25" s="661"/>
      <c r="AG25" s="661"/>
      <c r="AH25" s="661"/>
      <c r="AI25" s="661"/>
      <c r="AJ25" s="661"/>
      <c r="AK25" s="661"/>
      <c r="AL25" s="661"/>
    </row>
    <row s="5774" customFormat="1" customHeight="1" ht="15">
      <c r="U26" s="251"/>
    </row>
    <row s="5774" customFormat="1" customHeight="1" ht="15">
      <c r="A27" s="1881" t="s">
        <v>1915</v>
      </c>
      <c r="B27" s="1881"/>
      <c r="C27" s="1881"/>
      <c r="D27" s="1881"/>
      <c r="E27" s="1881"/>
      <c r="F27" s="1881"/>
      <c r="G27" s="1881"/>
      <c r="H27" s="1881"/>
      <c r="I27" s="1881"/>
      <c r="J27" s="1881"/>
      <c r="K27" s="1881"/>
      <c r="L27" s="1881"/>
      <c r="M27" s="1881"/>
      <c r="N27" s="1881"/>
      <c r="O27" s="1881"/>
      <c r="P27" s="1881"/>
      <c r="Q27" s="1881"/>
      <c r="R27" s="1881"/>
      <c r="S27" s="1881"/>
      <c r="T27" s="1881"/>
      <c r="U27" s="250"/>
      <c r="V27" s="1881"/>
      <c r="W27" s="1881"/>
    </row>
    <row s="5774" customFormat="1" customHeight="1" ht="15">
      <c r="U28" s="251"/>
    </row>
    <row s="5597" customFormat="1" customHeight="1" ht="15">
      <c r="A29" s="489"/>
      <c r="B29" s="489"/>
      <c r="C29" s="242"/>
      <c r="D29" s="1887"/>
      <c r="E29" s="1887"/>
      <c r="F29" s="1887"/>
      <c r="G29" s="2627" t="s">
        <v>454</v>
      </c>
      <c r="H29" s="2169">
        <v>1</v>
      </c>
      <c r="I29" s="2628" t="str">
        <f>IF(U29="","",INDEX(TERRITORY_MR_LIST,MATCH(U29,TERRITORY_LIST_ID,0)))</f>
        <v/>
      </c>
      <c r="J29" s="2173" t="s">
        <v>19</v>
      </c>
      <c r="K29" s="898"/>
      <c r="L29" s="1848" t="s">
        <v>114</v>
      </c>
      <c r="M29" s="669"/>
      <c r="N29" s="670"/>
      <c r="O29" s="670"/>
      <c r="P29" s="670"/>
      <c r="Q29" s="670"/>
      <c r="R29" s="670"/>
      <c r="S29" s="670"/>
      <c r="T29" s="670"/>
      <c r="U29" s="671"/>
      <c r="V29" s="670"/>
      <c r="W29" s="670"/>
      <c r="X29" s="661"/>
      <c r="Y29" s="661" t="s">
        <v>123</v>
      </c>
      <c r="Z29" s="661">
        <v>1705000</v>
      </c>
      <c r="AA29" s="661"/>
      <c r="AB29" s="661"/>
      <c r="AC29" s="661"/>
      <c r="AD29" s="661"/>
      <c r="AE29" s="661"/>
      <c r="AF29" s="661"/>
      <c r="AG29" s="661"/>
      <c r="AH29" s="661"/>
      <c r="AI29" s="661"/>
      <c r="AJ29" s="661"/>
      <c r="AK29" s="661"/>
      <c r="AL29" s="661"/>
    </row>
    <row s="5597" customFormat="1" customHeight="1" ht="15">
      <c r="A30" s="489"/>
      <c r="B30" s="489"/>
      <c r="C30" s="242"/>
      <c r="D30" s="1887"/>
      <c r="E30" s="1887"/>
      <c r="F30" s="1887"/>
      <c r="G30" s="2627"/>
      <c r="H30" s="2169"/>
      <c r="I30" s="2628"/>
      <c r="J30" s="2173"/>
      <c r="K30" s="487"/>
      <c r="L30" s="243"/>
      <c r="M30" s="673" t="s">
        <v>124</v>
      </c>
      <c r="N30" s="670"/>
      <c r="O30" s="670"/>
      <c r="P30" s="670"/>
      <c r="Q30" s="670"/>
      <c r="R30" s="670"/>
      <c r="S30" s="670"/>
      <c r="T30" s="670"/>
      <c r="U30" s="671"/>
      <c r="V30" s="670"/>
      <c r="W30" s="670"/>
      <c r="X30" s="661"/>
      <c r="Y30" s="661"/>
      <c r="Z30" s="661"/>
      <c r="AA30" s="661"/>
      <c r="AB30" s="661"/>
      <c r="AC30" s="661"/>
      <c r="AD30" s="661"/>
      <c r="AE30" s="661"/>
      <c r="AF30" s="661"/>
      <c r="AG30" s="661"/>
      <c r="AH30" s="661"/>
      <c r="AI30" s="661"/>
      <c r="AJ30" s="661"/>
      <c r="AK30" s="661"/>
      <c r="AL30" s="661"/>
    </row>
    <row s="5774" customFormat="1" customHeight="1" ht="15">
      <c r="U31" s="251"/>
    </row>
    <row s="5774" customFormat="1" customHeight="1" ht="15">
      <c r="A32" s="1881" t="s">
        <v>1916</v>
      </c>
      <c r="B32" s="1881"/>
      <c r="C32" s="1881"/>
      <c r="D32" s="1881"/>
      <c r="E32" s="1881"/>
      <c r="F32" s="1881"/>
      <c r="G32" s="1881"/>
      <c r="H32" s="1881"/>
      <c r="I32" s="1881"/>
      <c r="J32" s="1881"/>
      <c r="K32" s="1881"/>
      <c r="L32" s="1881"/>
      <c r="M32" s="1881"/>
      <c r="N32" s="1881"/>
      <c r="O32" s="1881"/>
      <c r="P32" s="1881"/>
      <c r="Q32" s="1881"/>
      <c r="R32" s="1881"/>
      <c r="S32" s="1881"/>
      <c r="T32" s="1881"/>
      <c r="U32" s="250"/>
      <c r="V32" s="1881"/>
      <c r="W32" s="1881"/>
    </row>
    <row s="5774" customFormat="1" customHeight="1" ht="15">
      <c r="U33" s="251"/>
    </row>
    <row s="5597" customFormat="1" customHeight="1" ht="15">
      <c r="A34" s="489"/>
      <c r="B34" s="489"/>
      <c r="C34" s="242"/>
      <c r="D34" s="1887"/>
      <c r="E34" s="1887"/>
      <c r="F34" s="1887"/>
      <c r="G34" s="1887"/>
      <c r="H34" s="1887"/>
      <c r="I34" s="1887"/>
      <c r="J34" s="1887"/>
      <c r="K34" s="1865" t="s">
        <v>454</v>
      </c>
      <c r="L34" s="1795" t="s">
        <v>114</v>
      </c>
      <c r="M34" s="877"/>
      <c r="N34" s="878"/>
      <c r="O34" s="670"/>
      <c r="P34" s="670"/>
      <c r="Q34" s="670"/>
      <c r="R34" s="670"/>
      <c r="S34" s="670"/>
      <c r="T34" s="670"/>
      <c r="U34" s="671"/>
      <c r="V34" s="670"/>
      <c r="W34" s="670"/>
      <c r="X34" s="661"/>
      <c r="Y34" s="661" t="s">
        <v>123</v>
      </c>
      <c r="Z34" s="661">
        <v>1705000</v>
      </c>
      <c r="AA34" s="661"/>
      <c r="AB34" s="661"/>
      <c r="AC34" s="661"/>
      <c r="AD34" s="661"/>
      <c r="AE34" s="661"/>
      <c r="AF34" s="661"/>
      <c r="AG34" s="661"/>
      <c r="AH34" s="661"/>
      <c r="AI34" s="661"/>
      <c r="AJ34" s="661"/>
      <c r="AK34" s="661"/>
      <c r="AL34" s="661"/>
    </row>
    <row s="5774" customFormat="1" customHeight="1" ht="15">
      <c r="U35" s="251"/>
    </row>
    <row s="5774" customFormat="1" customHeight="1" ht="15">
      <c r="U36" s="251"/>
    </row>
    <row s="5347" customFormat="1" customHeight="1" ht="11.25">
      <c r="A37" s="1881" t="s">
        <v>1917</v>
      </c>
    </row>
    <row customHeight="1" ht="11.25"/>
    <row s="3290" customFormat="1" customHeight="1" ht="22.5">
      <c r="A39" s="1857"/>
      <c r="B39" s="523"/>
      <c r="C39" s="925"/>
      <c r="D39" s="506"/>
      <c r="E39" s="926"/>
      <c r="F39" s="1878"/>
      <c r="G39" s="1888"/>
      <c r="H39" s="541"/>
    </row>
    <row customHeight="1" ht="11.25"/>
    <row s="5347" customFormat="1" customHeight="1" ht="11.25">
      <c r="A41" s="1881" t="s">
        <v>1918</v>
      </c>
    </row>
    <row customHeight="1" ht="11.25"/>
    <row s="3290" customFormat="1" customHeight="1" ht="22.5">
      <c r="A43" s="523"/>
      <c r="B43" s="523"/>
      <c r="C43" s="523"/>
      <c r="D43" s="506"/>
      <c r="E43" s="926"/>
      <c r="F43" s="927"/>
      <c r="G43" s="1888"/>
      <c r="H43" s="541"/>
    </row>
    <row customHeight="1" ht="11.25"/>
    <row s="5347" customFormat="1" customHeight="1" ht="11.25">
      <c r="A45" s="1881" t="s">
        <v>1919</v>
      </c>
    </row>
    <row customHeight="1" ht="11.25"/>
    <row s="3290" customFormat="1" customHeight="1" ht="24">
      <c r="A47" s="2268" t="s">
        <v>322</v>
      </c>
      <c r="B47" s="568"/>
      <c r="C47" s="2279"/>
      <c r="D47" s="511" t="str">
        <f>A47</f>
        <v>5.1</v>
      </c>
      <c r="E47" s="508" t="s">
        <v>323</v>
      </c>
      <c r="F47" s="2042" t="s">
        <v>315</v>
      </c>
      <c r="G47" s="510" t="s">
        <v>324</v>
      </c>
      <c r="H47" s="541"/>
      <c r="I47" s="918"/>
    </row>
    <row s="3290" customFormat="1" customHeight="1" ht="22.5">
      <c r="A48" s="2268"/>
      <c r="B48" s="568"/>
      <c r="C48" s="2279"/>
      <c r="D48" s="506" t="str">
        <f>D47&amp;".1"</f>
        <v>5.1.1</v>
      </c>
      <c r="E48" s="505" t="s">
        <v>325</v>
      </c>
      <c r="F48" s="2043" t="s">
        <v>28</v>
      </c>
      <c r="G48" s="540"/>
      <c r="H48" s="541"/>
      <c r="I48" s="918"/>
    </row>
    <row s="3290" customFormat="1" customHeight="1" ht="22.5">
      <c r="A49" s="2268"/>
      <c r="B49" s="568"/>
      <c r="C49" s="2279"/>
      <c r="D49" s="506" t="str">
        <f>D47&amp;".2"</f>
        <v>5.1.2</v>
      </c>
      <c r="E49" s="505" t="s">
        <v>326</v>
      </c>
      <c r="F49" s="1798" t="s">
        <v>28</v>
      </c>
      <c r="G49" s="510" t="s">
        <v>327</v>
      </c>
      <c r="H49" s="541"/>
      <c r="I49" s="918"/>
    </row>
    <row s="3290" customFormat="1" customHeight="1" ht="22.5">
      <c r="A50" s="2268"/>
      <c r="B50" s="568"/>
      <c r="C50" s="2279"/>
      <c r="D50" s="506" t="str">
        <f>D47&amp;".3"</f>
        <v>5.1.3</v>
      </c>
      <c r="E50" s="505" t="s">
        <v>328</v>
      </c>
      <c r="F50" s="2043" t="s">
        <v>28</v>
      </c>
      <c r="G50" s="540"/>
      <c r="H50" s="541"/>
      <c r="I50" s="918"/>
    </row>
    <row s="3290" customFormat="1" customHeight="1" ht="22.5">
      <c r="A51" s="2268"/>
      <c r="B51" s="568"/>
      <c r="C51" s="2279"/>
      <c r="D51" s="506" t="str">
        <f>D47&amp;".4"</f>
        <v>5.1.4</v>
      </c>
      <c r="E51" s="505" t="s">
        <v>329</v>
      </c>
      <c r="F51" s="2043" t="s">
        <v>28</v>
      </c>
      <c r="G51" s="510" t="s">
        <v>330</v>
      </c>
      <c r="H51" s="541"/>
      <c r="I51" s="918"/>
    </row>
    <row r="54" s="5347" customFormat="1" customHeight="1" ht="17.25">
      <c r="A54" s="1881" t="s">
        <v>1920</v>
      </c>
    </row>
    <row r="56" s="3392" customFormat="1" customHeight="1" ht="18.75">
      <c r="A56" s="155"/>
      <c r="B56" s="1889"/>
      <c r="C56" s="1889"/>
      <c r="D56" s="1890"/>
      <c r="E56" s="1875"/>
      <c r="F56" s="934">
        <v>13</v>
      </c>
      <c r="G56" s="933"/>
      <c r="H56" s="859"/>
      <c r="I56" s="857"/>
      <c r="J56" s="586" t="s">
        <v>71</v>
      </c>
      <c r="K56" s="1891" t="s">
        <v>28</v>
      </c>
      <c r="L56" s="155"/>
      <c r="M56" s="1702"/>
      <c r="N56" s="1702"/>
      <c r="O56" s="1702"/>
      <c r="P56" s="582" t="s">
        <v>401</v>
      </c>
      <c r="Q56" s="582" t="s">
        <v>402</v>
      </c>
      <c r="R56" s="583" t="s">
        <v>403</v>
      </c>
      <c r="S56" s="1702" t="s">
        <v>404</v>
      </c>
      <c r="T56" s="1702"/>
      <c r="U56" s="1702"/>
      <c r="V56" s="1702"/>
    </row>
    <row r="58" s="5347" customFormat="1" customHeight="1" ht="11.25">
      <c r="A58" s="1881" t="s">
        <v>1921</v>
      </c>
    </row>
    <row r="60" s="5053" customFormat="1" customHeight="1" ht="14.25">
      <c r="C60" s="1754"/>
      <c r="D60" s="1935"/>
      <c r="E60" s="1843" t="s">
        <v>28</v>
      </c>
      <c r="F60" s="1934"/>
      <c r="G60" s="922"/>
      <c r="H60" s="1844"/>
      <c r="I60" s="1844"/>
      <c r="J60" s="499"/>
      <c r="K60" s="1929"/>
      <c r="L60" s="498"/>
      <c r="M60" s="1929"/>
      <c r="N60" s="499"/>
      <c r="O60" s="1929"/>
      <c r="P60" s="499"/>
      <c r="Q60" s="1929"/>
      <c r="R60" s="499"/>
      <c r="S60" s="920"/>
      <c r="T60" s="1844"/>
      <c r="U60" s="499"/>
      <c r="V60" s="499"/>
      <c r="W60" s="1933"/>
      <c r="X60" s="1844"/>
      <c r="Y60" s="499"/>
      <c r="Z60" s="499"/>
      <c r="AA60" s="1933"/>
      <c r="AB60" s="1844"/>
      <c r="AC60" s="499"/>
      <c r="AD60" s="1933"/>
      <c r="AE60" s="155"/>
      <c r="AF60" s="155"/>
      <c r="AG60" s="155"/>
      <c r="AH60" s="155"/>
      <c r="AJ60" s="1702"/>
      <c r="AK60" s="1702"/>
      <c r="AL60" s="1702"/>
      <c r="AM60" s="1702"/>
      <c r="AN60" s="1702"/>
      <c r="AO60" s="1702"/>
      <c r="AP60" s="1690" t="s">
        <v>390</v>
      </c>
      <c r="AQ60" s="1690" t="s">
        <v>390</v>
      </c>
      <c r="AR60" s="1702"/>
      <c r="AS60" s="1702"/>
    </row>
    <row r="62" s="5347" customFormat="1" customHeight="1" ht="11.25">
      <c r="A62" s="1881" t="s">
        <v>1922</v>
      </c>
    </row>
    <row r="64" s="5516" customFormat="1" customHeight="1" ht="15">
      <c r="A64" s="211" t="s">
        <v>95</v>
      </c>
      <c r="B64" s="191" t="s">
        <v>28</v>
      </c>
      <c r="C64" s="1892"/>
      <c r="D64" s="194"/>
      <c r="E64" s="447"/>
      <c r="F64" s="447"/>
      <c r="G64" s="1869"/>
      <c r="H64" s="1891"/>
      <c r="I64" s="1870"/>
      <c r="K64" s="338"/>
      <c r="L64" s="339"/>
    </row>
    <row r="66" s="5347" customFormat="1" customHeight="1" ht="11.25">
      <c r="A66" s="1881" t="s">
        <v>1923</v>
      </c>
    </row>
    <row r="68" s="5053" customFormat="1" customHeight="1" ht="14.25">
      <c r="A68" s="409"/>
      <c r="B68" s="1226"/>
      <c r="C68" s="442"/>
      <c r="D68" s="1876"/>
      <c r="E68" s="952"/>
      <c r="F68" s="1891"/>
      <c r="G68" s="155"/>
      <c r="I68" s="1690"/>
      <c r="J68" s="1690"/>
    </row>
    <row r="70" s="5347" customFormat="1" customHeight="1" ht="11.25">
      <c r="A70" s="1881" t="s">
        <v>1924</v>
      </c>
    </row>
    <row r="72" s="5053" customFormat="1" customHeight="1" ht="27">
      <c r="A72" s="1232"/>
      <c r="B72" s="1232"/>
      <c r="C72" s="1232"/>
      <c r="D72" s="1226"/>
      <c r="E72" s="1893"/>
      <c r="F72" s="2647"/>
      <c r="G72" s="2648"/>
      <c r="H72" s="2649" t="s">
        <v>71</v>
      </c>
      <c r="I72" s="2651"/>
      <c r="J72" s="2614"/>
      <c r="K72" s="2653"/>
      <c r="L72" s="2616"/>
      <c r="M72" s="2616"/>
      <c r="N72" s="2617"/>
      <c r="O72" s="2617"/>
      <c r="P72" s="2618">
        <f>DATEDIF(DATEVALUE(N72),DATEVALUE(O72),"y")&amp;"г. "&amp;DATEDIF(DATEVALUE(N72),DATEVALUE(O72),"ym")&amp;"мес. "&amp;DATEVALUE(O72)-DATE(YEAR(DATEVALUE(O72)),MONTH(DATEVALUE(O72)),1)&amp;"дн. "</f>
      </c>
      <c r="Q72" s="2613"/>
      <c r="R72" s="2613"/>
      <c r="S72" s="2613"/>
      <c r="T72" s="2614"/>
      <c r="U72" s="2613"/>
      <c r="V72" s="2613"/>
      <c r="W72" s="2613"/>
      <c r="X72" s="2614"/>
      <c r="Y72" s="2611" t="s">
        <v>71</v>
      </c>
      <c r="Z72" s="1874"/>
      <c r="AA72" s="1858">
        <v>1</v>
      </c>
      <c r="AB72" s="1308"/>
      <c r="AD72" s="1702" t="s">
        <v>1925</v>
      </c>
    </row>
    <row s="5053" customFormat="1" customHeight="1" ht="10.5">
      <c r="A73" s="1232"/>
      <c r="B73" s="1232"/>
      <c r="C73" s="1232"/>
      <c r="D73" s="1226"/>
      <c r="E73" s="1013"/>
      <c r="F73" s="2647"/>
      <c r="G73" s="2648"/>
      <c r="H73" s="2650"/>
      <c r="I73" s="2652"/>
      <c r="J73" s="2615"/>
      <c r="K73" s="2653"/>
      <c r="L73" s="2616"/>
      <c r="M73" s="2616"/>
      <c r="N73" s="2617"/>
      <c r="O73" s="2617"/>
      <c r="P73" s="2618"/>
      <c r="Q73" s="2613"/>
      <c r="R73" s="2613"/>
      <c r="S73" s="2613"/>
      <c r="T73" s="2615"/>
      <c r="U73" s="2613"/>
      <c r="V73" s="2613"/>
      <c r="W73" s="2613"/>
      <c r="X73" s="2615"/>
      <c r="Y73" s="2612"/>
      <c r="Z73" s="413"/>
      <c r="AA73" s="638"/>
      <c r="AB73" s="718" t="s">
        <v>1926</v>
      </c>
    </row>
    <row r="75" s="5347" customFormat="1" customHeight="1" ht="11.25">
      <c r="A75" s="1881" t="s">
        <v>1927</v>
      </c>
    </row>
    <row r="77" s="5053" customFormat="1" customHeight="1" ht="27">
      <c r="A77" s="1232"/>
      <c r="B77" s="1232"/>
      <c r="C77" s="1232"/>
      <c r="D77" s="1226"/>
      <c r="E77" s="1893"/>
      <c r="F77" s="1863"/>
      <c r="G77" s="1813"/>
      <c r="H77" s="1814"/>
      <c r="I77" s="1815"/>
      <c r="J77" s="1816"/>
      <c r="K77" s="1817"/>
      <c r="L77" s="1818"/>
      <c r="M77" s="1818"/>
      <c r="N77" s="1819"/>
      <c r="O77" s="1819"/>
      <c r="P77" s="1820"/>
      <c r="Q77" s="1821"/>
      <c r="R77" s="1821"/>
      <c r="S77" s="1821"/>
      <c r="T77" s="1816"/>
      <c r="U77" s="1821"/>
      <c r="V77" s="1821"/>
      <c r="W77" s="1821"/>
      <c r="X77" s="1816"/>
      <c r="Y77" s="1814"/>
      <c r="Z77" s="1874"/>
      <c r="AA77" s="1858">
        <v>1</v>
      </c>
      <c r="AB77" s="1308"/>
      <c r="AD77" s="1702" t="s">
        <v>1925</v>
      </c>
    </row>
    <row r="79" s="5347" customFormat="1" customHeight="1" ht="11.25">
      <c r="A79" s="1881" t="s">
        <v>1928</v>
      </c>
    </row>
    <row customHeight="1" ht="17.25"/>
    <row s="5053" customFormat="1" customHeight="1" ht="21">
      <c r="A81" s="1233"/>
      <c r="B81" s="1232"/>
      <c r="C81" s="1232"/>
      <c r="D81" s="1226"/>
      <c r="E81" s="1236"/>
      <c r="F81" s="1188">
        <f>INDEX(IP_MAIN_LIST_NAME_IP,MATCH(A81,IP_MAIN_LIST_IP_ID,0))&amp;" ("&amp;INDEX(IP_MAIN_START_DATE,MATCH(A81,IP_MAIN_LIST_IP_ID,0))&amp;"-"&amp;INDEX(IP_MAIN_END_DATE,MATCH(A81,IP_MAIN_LIST_IP_ID,0))&amp;")"</f>
      </c>
      <c r="G81" s="1189"/>
      <c r="H81" s="1189"/>
      <c r="I81" s="1251"/>
      <c r="J81" s="1251"/>
      <c r="K81" s="1252"/>
      <c r="L81" s="1252"/>
      <c r="M81" s="1252"/>
      <c r="N81" s="1253"/>
      <c r="O81" s="1253"/>
      <c r="P81" s="1253"/>
      <c r="Q81" s="1253"/>
      <c r="R81" s="1253"/>
      <c r="S81" s="1253"/>
      <c r="T81" s="1253"/>
      <c r="U81" s="1253"/>
      <c r="V81" s="1253"/>
      <c r="W81" s="1253"/>
      <c r="X81" s="1253"/>
      <c r="Y81" s="1253"/>
      <c r="Z81" s="1253"/>
      <c r="AA81" s="1253"/>
      <c r="AB81" s="1253"/>
      <c r="AC81" s="1253"/>
      <c r="AD81" s="1253"/>
      <c r="AE81" s="1254"/>
      <c r="AF81" s="1252"/>
      <c r="AG81" s="1252"/>
      <c r="AH81" s="1252"/>
      <c r="AI81" s="1252"/>
      <c r="AJ81" s="1252"/>
      <c r="AK81" s="1252"/>
      <c r="AL81" s="2054"/>
      <c r="AM81" s="1889"/>
      <c r="AN81" s="1889"/>
      <c r="AO81" s="1889"/>
      <c r="AP81" s="1889"/>
      <c r="AQ81" s="1889"/>
      <c r="AR81" s="1889"/>
      <c r="AS81" s="1889"/>
      <c r="AT81" s="1889"/>
      <c r="AU81" s="1889"/>
      <c r="AV81" s="1889"/>
      <c r="AW81" s="1889"/>
      <c r="AX81" s="1889"/>
      <c r="AY81" s="1889"/>
      <c r="AZ81" s="1889"/>
      <c r="BA81" s="1889"/>
      <c r="BB81" s="1889"/>
      <c r="BC81" s="1889"/>
      <c r="BD81" s="1889"/>
      <c r="BE81" s="1889"/>
      <c r="BF81" s="1889"/>
    </row>
    <row s="5053" customFormat="1" customHeight="1" ht="0.75">
      <c r="A82" s="1232"/>
      <c r="B82" s="1232"/>
      <c r="C82" s="1232"/>
      <c r="D82" s="1226"/>
      <c r="E82" s="1236"/>
      <c r="F82" s="2602"/>
      <c r="G82" s="2581"/>
      <c r="H82" s="2606" t="s">
        <v>385</v>
      </c>
      <c r="I82" s="2607"/>
      <c r="J82" s="2608"/>
      <c r="K82" s="2608"/>
      <c r="L82" s="2600"/>
      <c r="M82" s="2334"/>
      <c r="N82" s="2102"/>
      <c r="O82" s="2101"/>
      <c r="P82" s="2102"/>
      <c r="Q82" s="2102"/>
      <c r="R82" s="2102"/>
      <c r="S82" s="2102"/>
      <c r="T82" s="2102"/>
      <c r="U82" s="2102"/>
      <c r="V82" s="2102"/>
      <c r="W82" s="2102"/>
      <c r="X82" s="2102"/>
      <c r="Y82" s="2102"/>
      <c r="Z82" s="2102"/>
      <c r="AA82" s="2102"/>
      <c r="AB82" s="2102"/>
      <c r="AC82" s="2102"/>
      <c r="AD82" s="2102"/>
      <c r="AE82" s="2102"/>
      <c r="AF82" s="2604"/>
      <c r="AG82" s="2600"/>
      <c r="AH82" s="2600"/>
      <c r="AI82" s="2604"/>
      <c r="AJ82" s="2600"/>
      <c r="AK82" s="2600"/>
      <c r="AL82" s="2054"/>
      <c r="AM82" s="1889"/>
      <c r="AN82" s="1889"/>
      <c r="AO82" s="1889"/>
      <c r="AP82" s="1889"/>
      <c r="AQ82" s="1889"/>
      <c r="AR82" s="1889"/>
      <c r="AS82" s="1889"/>
      <c r="AT82" s="1889"/>
      <c r="AU82" s="1889"/>
      <c r="AV82" s="1889"/>
      <c r="AW82" s="1889"/>
      <c r="AX82" s="1889"/>
      <c r="AY82" s="1889"/>
      <c r="AZ82" s="1889"/>
      <c r="BA82" s="1889"/>
      <c r="BB82" s="1889"/>
      <c r="BC82" s="1889"/>
      <c r="BD82" s="1889"/>
      <c r="BE82" s="1889"/>
      <c r="BF82" s="1889"/>
    </row>
    <row s="5053" customFormat="1" customHeight="1" ht="0.75">
      <c r="A83" s="1232"/>
      <c r="B83" s="1232"/>
      <c r="C83" s="1232"/>
      <c r="D83" s="1226"/>
      <c r="E83" s="1236"/>
      <c r="F83" s="2602"/>
      <c r="G83" s="2581"/>
      <c r="H83" s="2606"/>
      <c r="I83" s="2607"/>
      <c r="J83" s="2608"/>
      <c r="K83" s="2608"/>
      <c r="L83" s="2600"/>
      <c r="M83" s="2334"/>
      <c r="N83" s="2609"/>
      <c r="O83" s="2610"/>
      <c r="P83" s="2654"/>
      <c r="Q83" s="2605"/>
      <c r="R83" s="2605"/>
      <c r="S83" s="2605"/>
      <c r="T83" s="2605"/>
      <c r="U83" s="2605"/>
      <c r="V83" s="2605"/>
      <c r="W83" s="2605"/>
      <c r="X83" s="2605"/>
      <c r="Y83" s="2605"/>
      <c r="Z83" s="2103"/>
      <c r="AA83" s="2104"/>
      <c r="AB83" s="2104"/>
      <c r="AC83" s="2105"/>
      <c r="AD83" s="2105"/>
      <c r="AE83" s="2106"/>
      <c r="AF83" s="2604"/>
      <c r="AG83" s="2600"/>
      <c r="AH83" s="2600"/>
      <c r="AI83" s="2604"/>
      <c r="AJ83" s="2600"/>
      <c r="AK83" s="2600"/>
      <c r="AL83" s="2054"/>
      <c r="AM83" s="1889"/>
      <c r="AN83" s="1889"/>
      <c r="AO83" s="1889"/>
      <c r="AP83" s="1889"/>
      <c r="AQ83" s="1889"/>
      <c r="AR83" s="1889"/>
      <c r="AS83" s="1889"/>
      <c r="AT83" s="1889"/>
      <c r="AU83" s="1889"/>
      <c r="AV83" s="1889"/>
      <c r="AW83" s="1889"/>
      <c r="AX83" s="1889"/>
      <c r="AY83" s="1889"/>
      <c r="AZ83" s="1889"/>
      <c r="BA83" s="1889"/>
      <c r="BB83" s="1889"/>
      <c r="BC83" s="1889"/>
      <c r="BD83" s="1889"/>
      <c r="BE83" s="1889"/>
      <c r="BF83" s="1889"/>
    </row>
    <row s="5053" customFormat="1" customHeight="1" ht="0.75">
      <c r="A84" s="1232"/>
      <c r="B84" s="1232"/>
      <c r="C84" s="1232"/>
      <c r="D84" s="1226"/>
      <c r="E84" s="1236"/>
      <c r="F84" s="2602"/>
      <c r="G84" s="2581"/>
      <c r="H84" s="2606"/>
      <c r="I84" s="2607"/>
      <c r="J84" s="2608"/>
      <c r="K84" s="2608"/>
      <c r="L84" s="2600"/>
      <c r="M84" s="2334"/>
      <c r="N84" s="2609"/>
      <c r="O84" s="2610"/>
      <c r="P84" s="2655"/>
      <c r="Q84" s="2605"/>
      <c r="R84" s="2605"/>
      <c r="S84" s="2605"/>
      <c r="T84" s="2605"/>
      <c r="U84" s="2605"/>
      <c r="V84" s="2605"/>
      <c r="W84" s="2605"/>
      <c r="X84" s="2605"/>
      <c r="Y84" s="2605"/>
      <c r="Z84" s="2107"/>
      <c r="AA84" s="2108"/>
      <c r="AB84" s="2109"/>
      <c r="AC84" s="2110"/>
      <c r="AD84" s="2109"/>
      <c r="AE84" s="2110"/>
      <c r="AF84" s="2604"/>
      <c r="AG84" s="2600"/>
      <c r="AH84" s="2600"/>
      <c r="AI84" s="2604"/>
      <c r="AJ84" s="2600"/>
      <c r="AK84" s="2600"/>
      <c r="AL84" s="2054"/>
      <c r="AM84" s="1889"/>
      <c r="AN84" s="1889"/>
      <c r="AO84" s="1889"/>
      <c r="AP84" s="1889"/>
      <c r="AQ84" s="1889"/>
      <c r="AR84" s="1889"/>
      <c r="AS84" s="1889"/>
      <c r="AT84" s="1889"/>
      <c r="AU84" s="1889"/>
      <c r="AV84" s="1889"/>
      <c r="AW84" s="1889"/>
      <c r="AX84" s="1889"/>
      <c r="AY84" s="1889"/>
      <c r="AZ84" s="1889"/>
      <c r="BA84" s="1889"/>
      <c r="BB84" s="1889"/>
      <c r="BC84" s="1889"/>
      <c r="BD84" s="1889"/>
      <c r="BE84" s="1889"/>
      <c r="BF84" s="1889"/>
    </row>
    <row s="5053" customFormat="1" customHeight="1" ht="0.75">
      <c r="A85" s="1232"/>
      <c r="B85" s="1232"/>
      <c r="C85" s="1232"/>
      <c r="D85" s="1226"/>
      <c r="E85" s="1236"/>
      <c r="F85" s="2602"/>
      <c r="G85" s="2581"/>
      <c r="H85" s="2606"/>
      <c r="I85" s="2607"/>
      <c r="J85" s="2608"/>
      <c r="K85" s="2608"/>
      <c r="L85" s="2600"/>
      <c r="M85" s="2334"/>
      <c r="N85" s="2609"/>
      <c r="O85" s="2610"/>
      <c r="P85" s="2656"/>
      <c r="Q85" s="2605"/>
      <c r="R85" s="2605"/>
      <c r="S85" s="2605"/>
      <c r="T85" s="2605"/>
      <c r="U85" s="2605"/>
      <c r="V85" s="2605"/>
      <c r="W85" s="2605"/>
      <c r="X85" s="2605"/>
      <c r="Y85" s="2605"/>
      <c r="Z85" s="2103"/>
      <c r="AA85" s="2104"/>
      <c r="AB85" s="2111"/>
      <c r="AC85" s="2105"/>
      <c r="AD85" s="2105"/>
      <c r="AE85" s="2112"/>
      <c r="AF85" s="2604"/>
      <c r="AG85" s="2600"/>
      <c r="AH85" s="2600"/>
      <c r="AI85" s="2604"/>
      <c r="AJ85" s="2600"/>
      <c r="AK85" s="2600"/>
      <c r="AL85" s="2054"/>
      <c r="AM85" s="1889"/>
      <c r="AN85" s="1889"/>
      <c r="AO85" s="1889"/>
      <c r="AP85" s="1889"/>
      <c r="AQ85" s="1889"/>
      <c r="AR85" s="1889"/>
      <c r="AS85" s="1889"/>
      <c r="AT85" s="1889"/>
      <c r="AU85" s="1889"/>
      <c r="AV85" s="1889"/>
      <c r="AW85" s="1889"/>
      <c r="AX85" s="1889"/>
      <c r="AY85" s="1889"/>
      <c r="AZ85" s="1889"/>
      <c r="BA85" s="1889"/>
      <c r="BB85" s="1889"/>
      <c r="BC85" s="1889"/>
      <c r="BD85" s="1889"/>
      <c r="BE85" s="1889"/>
      <c r="BF85" s="1889"/>
    </row>
    <row s="5053" customFormat="1" customHeight="1" ht="0.75">
      <c r="A86" s="1232"/>
      <c r="B86" s="1232"/>
      <c r="C86" s="1232"/>
      <c r="D86" s="1226"/>
      <c r="E86" s="1236"/>
      <c r="F86" s="2602"/>
      <c r="G86" s="2581"/>
      <c r="H86" s="2606"/>
      <c r="I86" s="2607"/>
      <c r="J86" s="2608"/>
      <c r="K86" s="2608"/>
      <c r="L86" s="2600"/>
      <c r="M86" s="2334"/>
      <c r="N86" s="2104"/>
      <c r="O86" s="2104"/>
      <c r="P86" s="2111"/>
      <c r="Q86" s="2104"/>
      <c r="R86" s="2104"/>
      <c r="S86" s="2104"/>
      <c r="T86" s="2104"/>
      <c r="U86" s="2104"/>
      <c r="V86" s="2104"/>
      <c r="W86" s="2104"/>
      <c r="X86" s="2104"/>
      <c r="Y86" s="2104"/>
      <c r="Z86" s="2104"/>
      <c r="AA86" s="2104"/>
      <c r="AB86" s="2104"/>
      <c r="AC86" s="2104"/>
      <c r="AD86" s="2104"/>
      <c r="AE86" s="2113"/>
      <c r="AF86" s="2604"/>
      <c r="AG86" s="2600"/>
      <c r="AH86" s="2600"/>
      <c r="AI86" s="2604"/>
      <c r="AJ86" s="2600"/>
      <c r="AK86" s="2600"/>
      <c r="AL86" s="2054"/>
      <c r="AM86" s="1889"/>
      <c r="AN86" s="1889"/>
      <c r="AO86" s="1889"/>
      <c r="AP86" s="1889"/>
      <c r="AQ86" s="1889"/>
      <c r="AR86" s="1889"/>
      <c r="AS86" s="1889"/>
      <c r="AT86" s="1889"/>
      <c r="AU86" s="1889"/>
      <c r="AV86" s="1889"/>
      <c r="AW86" s="1889"/>
      <c r="AX86" s="1889"/>
      <c r="AY86" s="1889"/>
      <c r="AZ86" s="1889"/>
      <c r="BA86" s="1889"/>
      <c r="BB86" s="1889"/>
      <c r="BC86" s="1889"/>
      <c r="BD86" s="1889"/>
      <c r="BE86" s="1889"/>
      <c r="BF86" s="1889"/>
    </row>
    <row s="5053" customFormat="1" customHeight="1" ht="12">
      <c r="A87" s="1232"/>
      <c r="B87" s="1232"/>
      <c r="C87" s="1232"/>
      <c r="D87" s="1226"/>
      <c r="E87" s="1236"/>
      <c r="F87" s="2603"/>
      <c r="G87" s="1256"/>
      <c r="H87" s="1256"/>
      <c r="I87" s="2601" t="s">
        <v>1929</v>
      </c>
      <c r="J87" s="2601"/>
      <c r="K87" s="2601"/>
      <c r="L87" s="1239"/>
      <c r="M87" s="1239"/>
      <c r="N87" s="1240"/>
      <c r="O87" s="1240"/>
      <c r="P87" s="1240"/>
      <c r="Q87" s="1240"/>
      <c r="R87" s="1240"/>
      <c r="S87" s="1240"/>
      <c r="T87" s="1240"/>
      <c r="U87" s="1240"/>
      <c r="V87" s="1240"/>
      <c r="W87" s="1240"/>
      <c r="X87" s="1240"/>
      <c r="Y87" s="1240"/>
      <c r="Z87" s="1240"/>
      <c r="AA87" s="1240"/>
      <c r="AB87" s="1240"/>
      <c r="AC87" s="1240"/>
      <c r="AD87" s="1240"/>
      <c r="AE87" s="1240"/>
      <c r="AF87" s="1240"/>
      <c r="AG87" s="1239"/>
      <c r="AH87" s="1239"/>
      <c r="AI87" s="1240"/>
      <c r="AJ87" s="1239"/>
      <c r="AK87" s="1240"/>
      <c r="AL87" s="2054"/>
      <c r="AM87" s="1889"/>
      <c r="AN87" s="1889"/>
      <c r="AO87" s="1889"/>
      <c r="AP87" s="1889"/>
      <c r="AQ87" s="1889"/>
      <c r="AR87" s="1889"/>
      <c r="AS87" s="1889"/>
      <c r="AT87" s="1889"/>
      <c r="AU87" s="1889"/>
      <c r="AV87" s="1889"/>
      <c r="AW87" s="1889"/>
      <c r="AX87" s="1889"/>
      <c r="AY87" s="1889"/>
      <c r="AZ87" s="1889"/>
      <c r="BA87" s="1889"/>
      <c r="BB87" s="1889"/>
      <c r="BC87" s="1889"/>
      <c r="BD87" s="1889"/>
      <c r="BE87" s="1889"/>
      <c r="BF87" s="1889"/>
    </row>
    <row r="89" s="5347" customFormat="1" customHeight="1" ht="11.25">
      <c r="A89" s="1881" t="s">
        <v>1930</v>
      </c>
    </row>
    <row r="91" s="5053" customFormat="1" customHeight="1" ht="11.25">
      <c r="A91" s="1232"/>
      <c r="B91" s="1232"/>
      <c r="C91" s="1232"/>
      <c r="D91" s="1226"/>
      <c r="E91" s="1236"/>
      <c r="F91" s="1895"/>
      <c r="G91" s="1896"/>
      <c r="H91" s="1896"/>
      <c r="I91" s="1830"/>
      <c r="J91" s="1830"/>
      <c r="K91" s="1897"/>
      <c r="L91" s="1830"/>
      <c r="M91" s="1896"/>
      <c r="N91" s="2574"/>
      <c r="O91" s="2657">
        <v>1</v>
      </c>
      <c r="P91" s="2576" t="s">
        <v>19</v>
      </c>
      <c r="Q91" s="2579" t="s">
        <v>28</v>
      </c>
      <c r="R91" s="2579" t="s">
        <v>28</v>
      </c>
      <c r="S91" s="2579" t="s">
        <v>28</v>
      </c>
      <c r="T91" s="2579" t="s">
        <v>28</v>
      </c>
      <c r="U91" s="2579" t="s">
        <v>28</v>
      </c>
      <c r="V91" s="2579" t="s">
        <v>28</v>
      </c>
      <c r="W91" s="2579" t="s">
        <v>28</v>
      </c>
      <c r="X91" s="2579" t="s">
        <v>28</v>
      </c>
      <c r="Y91" s="2579"/>
      <c r="Z91" s="1241"/>
      <c r="AA91" s="1242"/>
      <c r="AB91" s="1242"/>
      <c r="AC91" s="1246"/>
      <c r="AD91" s="1246"/>
      <c r="AE91" s="1246"/>
      <c r="AF91" s="1898"/>
      <c r="AG91" s="1825"/>
      <c r="AH91" s="1825"/>
      <c r="AI91" s="1898"/>
      <c r="AJ91" s="1825"/>
      <c r="AK91" s="2053"/>
      <c r="AL91" s="2054"/>
      <c r="AM91" s="1889"/>
      <c r="AN91" s="1889"/>
      <c r="AO91" s="1889"/>
      <c r="AP91" s="1889"/>
      <c r="AQ91" s="1889"/>
      <c r="AR91" s="1889"/>
      <c r="AS91" s="1889"/>
      <c r="AT91" s="1889"/>
      <c r="AU91" s="1889"/>
      <c r="AV91" s="1889"/>
      <c r="AW91" s="1889"/>
      <c r="AX91" s="1889"/>
      <c r="AY91" s="1889"/>
      <c r="AZ91" s="1889"/>
      <c r="BA91" s="1889"/>
      <c r="BB91" s="1889"/>
      <c r="BC91" s="1889"/>
      <c r="BD91" s="1889"/>
      <c r="BE91" s="1889"/>
      <c r="BF91" s="1889"/>
    </row>
    <row s="5053" customFormat="1" customHeight="1" ht="11.25">
      <c r="A92" s="1232"/>
      <c r="B92" s="1232"/>
      <c r="C92" s="1232"/>
      <c r="D92" s="1226"/>
      <c r="E92" s="1236"/>
      <c r="F92" s="1895"/>
      <c r="G92" s="1896"/>
      <c r="H92" s="1896"/>
      <c r="I92" s="1831"/>
      <c r="J92" s="1831"/>
      <c r="K92" s="1897"/>
      <c r="L92" s="1831"/>
      <c r="M92" s="1896"/>
      <c r="N92" s="2574"/>
      <c r="O92" s="2657"/>
      <c r="P92" s="2577"/>
      <c r="Q92" s="2579"/>
      <c r="R92" s="2579"/>
      <c r="S92" s="2580"/>
      <c r="T92" s="2579"/>
      <c r="U92" s="2579"/>
      <c r="V92" s="2579"/>
      <c r="W92" s="2579"/>
      <c r="X92" s="2579"/>
      <c r="Y92" s="2579"/>
      <c r="Z92" s="1894"/>
      <c r="AA92" s="1860">
        <v>1</v>
      </c>
      <c r="AB92" s="1245"/>
      <c r="AC92" s="1235"/>
      <c r="AD92" s="1245">
        <f>AB92</f>
        <v>0</v>
      </c>
      <c r="AE92" s="790"/>
      <c r="AF92" s="1897"/>
      <c r="AG92" s="1825"/>
      <c r="AH92" s="1825"/>
      <c r="AI92" s="1897"/>
      <c r="AJ92" s="1825"/>
      <c r="AK92" s="2053"/>
      <c r="AL92" s="2054"/>
      <c r="AM92" s="1889"/>
      <c r="AN92" s="1889"/>
      <c r="AO92" s="1889"/>
      <c r="AP92" s="1889"/>
      <c r="AQ92" s="1889"/>
      <c r="AR92" s="1889"/>
      <c r="AS92" s="1889"/>
      <c r="AT92" s="1889"/>
      <c r="AU92" s="1889"/>
      <c r="AV92" s="1889"/>
      <c r="AW92" s="1889"/>
      <c r="AX92" s="1889"/>
      <c r="AY92" s="1889"/>
      <c r="AZ92" s="1889"/>
      <c r="BA92" s="1889"/>
      <c r="BB92" s="1889"/>
      <c r="BC92" s="1889"/>
      <c r="BD92" s="1889"/>
      <c r="BE92" s="1889"/>
      <c r="BF92" s="1889"/>
    </row>
    <row s="5053" customFormat="1" customHeight="1" ht="11.25">
      <c r="A93" s="1232"/>
      <c r="B93" s="1232"/>
      <c r="C93" s="1232"/>
      <c r="D93" s="1226"/>
      <c r="E93" s="1236"/>
      <c r="F93" s="1895"/>
      <c r="G93" s="1896"/>
      <c r="H93" s="1896"/>
      <c r="I93" s="1832"/>
      <c r="J93" s="1832"/>
      <c r="K93" s="1897"/>
      <c r="L93" s="1832"/>
      <c r="M93" s="1896"/>
      <c r="N93" s="2574"/>
      <c r="O93" s="2657"/>
      <c r="P93" s="2578"/>
      <c r="Q93" s="2579"/>
      <c r="R93" s="2579"/>
      <c r="S93" s="2580"/>
      <c r="T93" s="2579"/>
      <c r="U93" s="2579"/>
      <c r="V93" s="2579"/>
      <c r="W93" s="2579"/>
      <c r="X93" s="2579"/>
      <c r="Y93" s="2579"/>
      <c r="Z93" s="1241"/>
      <c r="AA93" s="1242"/>
      <c r="AB93" s="1307" t="s">
        <v>1931</v>
      </c>
      <c r="AC93" s="1246"/>
      <c r="AD93" s="1246"/>
      <c r="AE93" s="1246"/>
      <c r="AF93" s="1899"/>
      <c r="AG93" s="1825"/>
      <c r="AH93" s="1825"/>
      <c r="AI93" s="1899"/>
      <c r="AJ93" s="1825"/>
      <c r="AK93" s="2053"/>
      <c r="AL93" s="2054"/>
      <c r="AM93" s="1889"/>
      <c r="AN93" s="1889"/>
      <c r="AO93" s="1889"/>
      <c r="AP93" s="1889"/>
      <c r="AQ93" s="1889"/>
      <c r="AR93" s="1889"/>
      <c r="AS93" s="1889"/>
      <c r="AT93" s="1889"/>
      <c r="AU93" s="1889"/>
      <c r="AV93" s="1889"/>
      <c r="AW93" s="1889"/>
      <c r="AX93" s="1889"/>
      <c r="AY93" s="1889"/>
      <c r="AZ93" s="1889"/>
      <c r="BA93" s="1889"/>
      <c r="BB93" s="1889"/>
      <c r="BC93" s="1889"/>
      <c r="BD93" s="1889"/>
      <c r="BE93" s="1889"/>
      <c r="BF93" s="1889"/>
    </row>
    <row r="95" s="5347" customFormat="1" customHeight="1" ht="11.25">
      <c r="A95" s="1881" t="s">
        <v>1932</v>
      </c>
    </row>
    <row r="97" s="5053" customFormat="1" customHeight="1" ht="11.25">
      <c r="A97" s="1232"/>
      <c r="B97" s="1232"/>
      <c r="C97" s="1232"/>
      <c r="D97" s="1226"/>
      <c r="E97" s="1236"/>
      <c r="F97" s="1896"/>
      <c r="G97" s="1896"/>
      <c r="H97" s="1896"/>
      <c r="I97" s="1896"/>
      <c r="J97" s="1896"/>
      <c r="K97" s="1896"/>
      <c r="L97" s="1896"/>
      <c r="M97" s="1896"/>
      <c r="N97" s="1896"/>
      <c r="O97" s="1896"/>
      <c r="P97" s="1896"/>
      <c r="Q97" s="1896"/>
      <c r="R97" s="1896"/>
      <c r="S97" s="1896"/>
      <c r="T97" s="1896"/>
      <c r="U97" s="1896"/>
      <c r="V97" s="1896"/>
      <c r="W97" s="1896"/>
      <c r="X97" s="1896"/>
      <c r="Y97" s="1896"/>
      <c r="Z97" s="1900"/>
      <c r="AA97" s="1880">
        <v>1</v>
      </c>
      <c r="AB97" s="1245"/>
      <c r="AC97" s="1235"/>
      <c r="AD97" s="1245">
        <f>AB97</f>
        <v>0</v>
      </c>
      <c r="AE97" s="1235"/>
      <c r="AF97" s="1897"/>
      <c r="AG97" s="1825"/>
      <c r="AH97" s="1825"/>
      <c r="AI97" s="1897"/>
      <c r="AJ97" s="1825"/>
      <c r="AK97" s="2053"/>
      <c r="AL97" s="2054"/>
      <c r="AM97" s="1889"/>
      <c r="AN97" s="1889"/>
      <c r="AO97" s="1889"/>
      <c r="AP97" s="1889"/>
      <c r="AQ97" s="1889"/>
      <c r="AR97" s="1889"/>
      <c r="AS97" s="1889"/>
      <c r="AT97" s="1889"/>
      <c r="AU97" s="1889"/>
      <c r="AV97" s="1889"/>
      <c r="AW97" s="1889"/>
      <c r="AX97" s="1889"/>
      <c r="AY97" s="1889"/>
      <c r="AZ97" s="1889"/>
      <c r="BA97" s="1889"/>
      <c r="BB97" s="1889"/>
      <c r="BC97" s="1889"/>
      <c r="BD97" s="1889"/>
      <c r="BE97" s="1889"/>
      <c r="BF97" s="1889"/>
    </row>
    <row r="99" s="5347" customFormat="1" customHeight="1" ht="11.25">
      <c r="A99" s="1881" t="s">
        <v>1933</v>
      </c>
    </row>
    <row r="101" s="5053" customFormat="1" customHeight="1" ht="11.25">
      <c r="A101" s="1232"/>
      <c r="B101" s="1232"/>
      <c r="C101" s="1232"/>
      <c r="D101" s="1226"/>
      <c r="E101" s="1236"/>
      <c r="F101" s="1895"/>
      <c r="G101" s="1896"/>
      <c r="H101" s="2581" t="s">
        <v>114</v>
      </c>
      <c r="I101" s="2582"/>
      <c r="J101" s="2551"/>
      <c r="K101" s="2583"/>
      <c r="L101" s="2173" t="s">
        <v>19</v>
      </c>
      <c r="M101" s="2174"/>
      <c r="N101" s="2052"/>
      <c r="O101" s="1243" t="s">
        <v>385</v>
      </c>
      <c r="P101" s="1244"/>
      <c r="Q101" s="1244"/>
      <c r="R101" s="1244"/>
      <c r="S101" s="1244"/>
      <c r="T101" s="1244"/>
      <c r="U101" s="1244"/>
      <c r="V101" s="1244"/>
      <c r="W101" s="1244"/>
      <c r="X101" s="1244"/>
      <c r="Y101" s="1244"/>
      <c r="Z101" s="1244"/>
      <c r="AA101" s="1244"/>
      <c r="AB101" s="1244"/>
      <c r="AC101" s="1244"/>
      <c r="AD101" s="1244"/>
      <c r="AE101" s="1244"/>
      <c r="AF101" s="2572"/>
      <c r="AG101" s="2573"/>
      <c r="AH101" s="2573"/>
      <c r="AI101" s="2572"/>
      <c r="AJ101" s="2573"/>
      <c r="AK101" s="2573"/>
      <c r="AL101" s="2054"/>
      <c r="AM101" s="1889"/>
      <c r="AN101" s="1889"/>
      <c r="AO101" s="1889"/>
      <c r="AP101" s="1889"/>
      <c r="AQ101" s="1889"/>
      <c r="AR101" s="1889"/>
      <c r="AS101" s="1889"/>
      <c r="AT101" s="1889"/>
      <c r="AU101" s="1889"/>
      <c r="AV101" s="1889"/>
      <c r="AW101" s="1889"/>
      <c r="AX101" s="1889"/>
      <c r="AY101" s="1889"/>
      <c r="AZ101" s="1889"/>
      <c r="BA101" s="1889"/>
      <c r="BB101" s="1889"/>
      <c r="BC101" s="1889"/>
      <c r="BD101" s="1889"/>
      <c r="BE101" s="1889"/>
      <c r="BF101" s="1889"/>
    </row>
    <row s="5053" customFormat="1" customHeight="1" ht="11.25">
      <c r="A102" s="1232"/>
      <c r="B102" s="1232"/>
      <c r="C102" s="1232"/>
      <c r="D102" s="1226"/>
      <c r="E102" s="1236"/>
      <c r="F102" s="1895"/>
      <c r="G102" s="1896"/>
      <c r="H102" s="2581"/>
      <c r="I102" s="2582"/>
      <c r="J102" s="2551"/>
      <c r="K102" s="2583"/>
      <c r="L102" s="2173"/>
      <c r="M102" s="2174"/>
      <c r="N102" s="2574"/>
      <c r="O102" s="2575">
        <v>1</v>
      </c>
      <c r="P102" s="2576" t="s">
        <v>19</v>
      </c>
      <c r="Q102" s="2579" t="s">
        <v>28</v>
      </c>
      <c r="R102" s="2579" t="s">
        <v>28</v>
      </c>
      <c r="S102" s="2579" t="s">
        <v>28</v>
      </c>
      <c r="T102" s="2579" t="s">
        <v>28</v>
      </c>
      <c r="U102" s="2579" t="s">
        <v>28</v>
      </c>
      <c r="V102" s="2579" t="s">
        <v>28</v>
      </c>
      <c r="W102" s="2579" t="s">
        <v>28</v>
      </c>
      <c r="X102" s="2579" t="s">
        <v>28</v>
      </c>
      <c r="Y102" s="2579"/>
      <c r="Z102" s="1241"/>
      <c r="AA102" s="1242"/>
      <c r="AB102" s="1242"/>
      <c r="AC102" s="1246"/>
      <c r="AD102" s="1246"/>
      <c r="AE102" s="1247"/>
      <c r="AF102" s="2572"/>
      <c r="AG102" s="2573"/>
      <c r="AH102" s="2573"/>
      <c r="AI102" s="2572"/>
      <c r="AJ102" s="2573"/>
      <c r="AK102" s="2573"/>
      <c r="AL102" s="2054"/>
      <c r="AM102" s="1889"/>
      <c r="AN102" s="1889"/>
      <c r="AO102" s="1889"/>
      <c r="AP102" s="1889"/>
      <c r="AQ102" s="1889"/>
      <c r="AR102" s="1889"/>
      <c r="AS102" s="1889"/>
      <c r="AT102" s="1889"/>
      <c r="AU102" s="1889"/>
      <c r="AV102" s="1889"/>
      <c r="AW102" s="1889"/>
      <c r="AX102" s="1889"/>
      <c r="AY102" s="1889"/>
      <c r="AZ102" s="1889"/>
      <c r="BA102" s="1889"/>
      <c r="BB102" s="1889"/>
      <c r="BC102" s="1889"/>
      <c r="BD102" s="1889"/>
      <c r="BE102" s="1889"/>
      <c r="BF102" s="1889"/>
    </row>
    <row s="5053" customFormat="1" customHeight="1" ht="11.25">
      <c r="A103" s="1232"/>
      <c r="B103" s="1232"/>
      <c r="C103" s="1232"/>
      <c r="D103" s="1226"/>
      <c r="E103" s="1236"/>
      <c r="F103" s="1895"/>
      <c r="G103" s="1896"/>
      <c r="H103" s="2581"/>
      <c r="I103" s="2582"/>
      <c r="J103" s="2551"/>
      <c r="K103" s="2583"/>
      <c r="L103" s="2173"/>
      <c r="M103" s="2174"/>
      <c r="N103" s="2574"/>
      <c r="O103" s="2575"/>
      <c r="P103" s="2577"/>
      <c r="Q103" s="2579"/>
      <c r="R103" s="2579"/>
      <c r="S103" s="2580"/>
      <c r="T103" s="2579"/>
      <c r="U103" s="2579"/>
      <c r="V103" s="2579"/>
      <c r="W103" s="2579"/>
      <c r="X103" s="2579"/>
      <c r="Y103" s="2579"/>
      <c r="Z103" s="1894"/>
      <c r="AA103" s="1860">
        <v>1</v>
      </c>
      <c r="AB103" s="1245"/>
      <c r="AC103" s="1235"/>
      <c r="AD103" s="1245">
        <f>AB103</f>
        <v>0</v>
      </c>
      <c r="AE103" s="1235"/>
      <c r="AF103" s="2572"/>
      <c r="AG103" s="2573"/>
      <c r="AH103" s="2573"/>
      <c r="AI103" s="2572"/>
      <c r="AJ103" s="2573"/>
      <c r="AK103" s="2573"/>
      <c r="AL103" s="2054"/>
      <c r="AM103" s="1889"/>
      <c r="AN103" s="1889"/>
      <c r="AO103" s="1889"/>
      <c r="AP103" s="1889"/>
      <c r="AQ103" s="1889"/>
      <c r="AR103" s="1889"/>
      <c r="AS103" s="1889"/>
      <c r="AT103" s="1889"/>
      <c r="AU103" s="1889"/>
      <c r="AV103" s="1889"/>
      <c r="AW103" s="1889"/>
      <c r="AX103" s="1889"/>
      <c r="AY103" s="1889"/>
      <c r="AZ103" s="1889"/>
      <c r="BA103" s="1889"/>
      <c r="BB103" s="1889"/>
      <c r="BC103" s="1889"/>
      <c r="BD103" s="1889"/>
      <c r="BE103" s="1889"/>
      <c r="BF103" s="1889"/>
    </row>
    <row s="5053" customFormat="1" customHeight="1" ht="11.25">
      <c r="A104" s="1232"/>
      <c r="B104" s="1232"/>
      <c r="C104" s="1232"/>
      <c r="D104" s="1226"/>
      <c r="E104" s="1236"/>
      <c r="F104" s="1895"/>
      <c r="G104" s="1896"/>
      <c r="H104" s="2581"/>
      <c r="I104" s="2582"/>
      <c r="J104" s="2551"/>
      <c r="K104" s="2583"/>
      <c r="L104" s="2173"/>
      <c r="M104" s="2174"/>
      <c r="N104" s="2574"/>
      <c r="O104" s="2575"/>
      <c r="P104" s="2578"/>
      <c r="Q104" s="2579"/>
      <c r="R104" s="2579"/>
      <c r="S104" s="2580"/>
      <c r="T104" s="2579"/>
      <c r="U104" s="2579"/>
      <c r="V104" s="2579"/>
      <c r="W104" s="2579"/>
      <c r="X104" s="2579"/>
      <c r="Y104" s="2579"/>
      <c r="Z104" s="1241"/>
      <c r="AA104" s="1242"/>
      <c r="AB104" s="1307" t="s">
        <v>1931</v>
      </c>
      <c r="AC104" s="1246"/>
      <c r="AD104" s="1246"/>
      <c r="AE104" s="1248"/>
      <c r="AF104" s="2572"/>
      <c r="AG104" s="2573"/>
      <c r="AH104" s="2573"/>
      <c r="AI104" s="2572"/>
      <c r="AJ104" s="2573"/>
      <c r="AK104" s="2573"/>
      <c r="AL104" s="2054"/>
      <c r="AM104" s="1889"/>
      <c r="AN104" s="1889"/>
      <c r="AO104" s="1889"/>
      <c r="AP104" s="1889"/>
      <c r="AQ104" s="1889"/>
      <c r="AR104" s="1889"/>
      <c r="AS104" s="1889"/>
      <c r="AT104" s="1889"/>
      <c r="AU104" s="1889"/>
      <c r="AV104" s="1889"/>
      <c r="AW104" s="1889"/>
      <c r="AX104" s="1889"/>
      <c r="AY104" s="1889"/>
      <c r="AZ104" s="1889"/>
      <c r="BA104" s="1889"/>
      <c r="BB104" s="1889"/>
      <c r="BC104" s="1889"/>
      <c r="BD104" s="1889"/>
      <c r="BE104" s="1889"/>
      <c r="BF104" s="1889"/>
    </row>
    <row s="5053" customFormat="1" customHeight="1" ht="11.25">
      <c r="A105" s="1232"/>
      <c r="B105" s="1232"/>
      <c r="C105" s="1232"/>
      <c r="D105" s="1226"/>
      <c r="E105" s="1236"/>
      <c r="F105" s="1895"/>
      <c r="G105" s="1896"/>
      <c r="H105" s="2581"/>
      <c r="I105" s="2582"/>
      <c r="J105" s="2551"/>
      <c r="K105" s="2583"/>
      <c r="L105" s="2173"/>
      <c r="M105" s="2174"/>
      <c r="N105" s="1241"/>
      <c r="O105" s="1242"/>
      <c r="P105" s="1234" t="s">
        <v>1934</v>
      </c>
      <c r="Q105" s="1242"/>
      <c r="R105" s="1242"/>
      <c r="S105" s="1242"/>
      <c r="T105" s="1242"/>
      <c r="U105" s="1242"/>
      <c r="V105" s="1242"/>
      <c r="W105" s="1242"/>
      <c r="X105" s="1242"/>
      <c r="Y105" s="1242"/>
      <c r="Z105" s="1242"/>
      <c r="AA105" s="1242"/>
      <c r="AB105" s="1242"/>
      <c r="AC105" s="1242"/>
      <c r="AD105" s="1242"/>
      <c r="AE105" s="1249"/>
      <c r="AF105" s="2572"/>
      <c r="AG105" s="2573"/>
      <c r="AH105" s="2573"/>
      <c r="AI105" s="2572"/>
      <c r="AJ105" s="2573"/>
      <c r="AK105" s="2573"/>
      <c r="AL105" s="2054"/>
      <c r="AM105" s="1889"/>
      <c r="AN105" s="1889"/>
      <c r="AO105" s="1889"/>
      <c r="AP105" s="1889"/>
      <c r="AQ105" s="1889"/>
      <c r="AR105" s="1889"/>
      <c r="AS105" s="1889"/>
      <c r="AT105" s="1889"/>
      <c r="AU105" s="1889"/>
      <c r="AV105" s="1889"/>
      <c r="AW105" s="1889"/>
      <c r="AX105" s="1889"/>
      <c r="AY105" s="1889"/>
      <c r="AZ105" s="1889"/>
      <c r="BA105" s="1889"/>
      <c r="BB105" s="1889"/>
      <c r="BC105" s="1889"/>
      <c r="BD105" s="1889"/>
      <c r="BE105" s="1889"/>
      <c r="BF105" s="1889"/>
    </row>
    <row r="107" s="5347" customFormat="1" customHeight="1" ht="11.25">
      <c r="A107" s="1881" t="s">
        <v>1935</v>
      </c>
    </row>
    <row customHeight="1" ht="17.25"/>
    <row s="4899" customFormat="1" customHeight="1" ht="21">
      <c r="A109" s="1233"/>
      <c r="B109" s="1006"/>
      <c r="D109" s="990"/>
      <c r="E109" s="1005" t="s">
        <v>28</v>
      </c>
      <c r="F109" s="1187">
        <f>INDEX(IP_MAIN_LIST_NAME_IP,MATCH(A109,IP_MAIN_LIST_IP_ID,0))&amp;" ("&amp;INDEX(IP_MAIN_START_DATE,MATCH(A109,IP_MAIN_LIST_IP_ID,0))&amp;"-"&amp;INDEX(IP_MAIN_END_DATE,MATCH(A109,IP_MAIN_LIST_IP_ID,0))&amp;")"</f>
      </c>
      <c r="G109" s="1269"/>
      <c r="H109" s="1270"/>
      <c r="I109" s="1270"/>
      <c r="J109" s="1270"/>
      <c r="K109" s="1270"/>
      <c r="L109" s="1270"/>
      <c r="M109" s="1270"/>
      <c r="N109" s="1270"/>
      <c r="O109" s="1269"/>
      <c r="P109" s="1269"/>
      <c r="Q109" s="1269"/>
      <c r="R109" s="1269"/>
      <c r="S109" s="1269"/>
      <c r="T109" s="1269"/>
      <c r="U109" s="1271"/>
      <c r="V109" s="1271"/>
      <c r="W109" s="1271"/>
      <c r="X109" s="1271"/>
      <c r="Y109" s="1271"/>
      <c r="Z109" s="1271"/>
      <c r="AA109" s="1271"/>
      <c r="AB109" s="1269"/>
      <c r="AC109" s="1270"/>
      <c r="AD109" s="1270"/>
      <c r="AE109" s="1270"/>
      <c r="AF109" s="1270"/>
      <c r="AG109" s="1270"/>
      <c r="AH109" s="1270"/>
      <c r="AI109" s="1270"/>
      <c r="AJ109" s="1270"/>
      <c r="AK109" s="1270"/>
      <c r="AL109" s="1270"/>
      <c r="AM109" s="1270"/>
      <c r="AN109" s="1270"/>
      <c r="AO109" s="1270"/>
      <c r="AP109" s="1270"/>
      <c r="AQ109" s="1270"/>
      <c r="AR109" s="1270"/>
      <c r="AS109" s="1270"/>
      <c r="AT109" s="1270"/>
      <c r="AU109" s="1270"/>
      <c r="AV109" s="1270"/>
      <c r="AW109" s="1270"/>
      <c r="AX109" s="1270"/>
      <c r="AY109" s="1270"/>
      <c r="AZ109" s="1270"/>
      <c r="BA109" s="1270"/>
      <c r="BB109" s="1270"/>
      <c r="BC109" s="1270"/>
      <c r="BD109" s="1270"/>
      <c r="BE109" s="1270"/>
      <c r="BF109" s="1270"/>
      <c r="BG109" s="1270"/>
      <c r="BH109" s="1270"/>
      <c r="BI109" s="1270"/>
      <c r="BJ109" s="1270"/>
      <c r="BK109" s="1270"/>
      <c r="BL109" s="1270"/>
      <c r="BM109" s="1270"/>
      <c r="BN109" s="1270"/>
      <c r="BO109" s="1270"/>
      <c r="BP109" s="1270"/>
      <c r="BQ109" s="1270"/>
      <c r="BR109" s="1270"/>
      <c r="BS109" s="1270"/>
      <c r="BT109" s="1270"/>
      <c r="BU109" s="1270"/>
      <c r="BV109" s="1270"/>
      <c r="BW109" s="1270"/>
      <c r="BX109" s="1270"/>
      <c r="BY109" s="1270"/>
      <c r="BZ109" s="1270"/>
      <c r="CA109" s="1270"/>
      <c r="CB109" s="1270"/>
      <c r="CC109" s="1270"/>
      <c r="CD109" s="1270"/>
      <c r="CE109" s="1270"/>
      <c r="CF109" s="1270"/>
      <c r="CG109" s="1270"/>
      <c r="CH109" s="1270"/>
      <c r="CI109" s="1270"/>
      <c r="CJ109" s="1270"/>
      <c r="CK109" s="1270"/>
      <c r="CL109" s="1272"/>
      <c r="CM109" s="1272"/>
      <c r="CN109" s="1272"/>
      <c r="CO109" s="1272"/>
      <c r="CP109" s="1272"/>
      <c r="CQ109" s="1272"/>
      <c r="CR109" s="1272"/>
      <c r="CS109" s="1272"/>
      <c r="CT109" s="1272"/>
      <c r="CU109" s="1272"/>
      <c r="CV109" s="1272"/>
      <c r="CW109" s="1272"/>
      <c r="CX109" s="1272"/>
      <c r="CY109" s="1272"/>
      <c r="CZ109" s="1272"/>
      <c r="DA109" s="1272"/>
      <c r="DB109" s="1272"/>
      <c r="DC109" s="1272"/>
      <c r="DD109" s="1272"/>
      <c r="DE109" s="1272"/>
      <c r="DF109" s="1272"/>
      <c r="DG109" s="1272"/>
      <c r="DH109" s="1272"/>
      <c r="DI109" s="1272"/>
      <c r="DJ109" s="1272"/>
      <c r="DK109" s="1272"/>
      <c r="DL109" s="1272"/>
      <c r="DM109" s="1272"/>
      <c r="DN109" s="1272"/>
      <c r="DO109" s="1272"/>
      <c r="DP109" s="1272"/>
      <c r="DQ109" s="1272"/>
      <c r="DR109" s="1272"/>
      <c r="DS109" s="1272"/>
      <c r="DT109" s="1272"/>
      <c r="DU109" s="1272"/>
      <c r="DV109" s="1272"/>
      <c r="DW109" s="1272"/>
      <c r="DX109" s="1272"/>
      <c r="DY109" s="1272"/>
      <c r="DZ109" s="1272"/>
      <c r="EA109" s="1272"/>
      <c r="EB109" s="1272"/>
      <c r="EC109" s="1272"/>
      <c r="ED109" s="1272"/>
      <c r="EE109" s="1272"/>
      <c r="EF109" s="1272"/>
      <c r="EG109" s="1272"/>
      <c r="EH109" s="1272"/>
      <c r="EI109" s="1272"/>
      <c r="EJ109" s="1272"/>
      <c r="EK109" s="1272"/>
      <c r="EL109" s="1272"/>
      <c r="EM109" s="1272"/>
      <c r="EN109" s="1272"/>
      <c r="EO109" s="1272"/>
      <c r="EP109" s="1272"/>
      <c r="EQ109" s="1272"/>
      <c r="ER109" s="1272"/>
      <c r="ES109" s="1272"/>
      <c r="ET109" s="1272"/>
      <c r="EU109" s="1272"/>
      <c r="EV109" s="1272"/>
      <c r="EW109" s="1272"/>
      <c r="EX109" s="1272"/>
      <c r="EY109" s="1272"/>
      <c r="EZ109" s="1272"/>
      <c r="FA109" s="1272"/>
      <c r="FB109" s="1272"/>
      <c r="FC109" s="1272"/>
      <c r="FD109" s="1272"/>
      <c r="FE109" s="1272"/>
      <c r="FF109" s="1272"/>
      <c r="FG109" s="1272"/>
      <c r="FH109" s="1272"/>
      <c r="FI109" s="1272"/>
      <c r="FJ109" s="1272"/>
      <c r="FK109" s="1272"/>
      <c r="FL109" s="1272"/>
      <c r="FM109" s="1272"/>
      <c r="FN109" s="1272"/>
      <c r="FO109" s="1272"/>
      <c r="FP109" s="1272"/>
      <c r="FQ109" s="1272"/>
      <c r="FR109" s="1272"/>
      <c r="FS109" s="1272"/>
      <c r="FT109" s="1272"/>
      <c r="FU109" s="1272"/>
      <c r="FV109" s="1273"/>
      <c r="FW109" s="1267"/>
      <c r="FX109" s="1268"/>
    </row>
    <row s="4899" customFormat="1" customHeight="1" ht="24.75">
      <c r="B110" s="989"/>
      <c r="C110" s="990"/>
      <c r="D110" s="990"/>
      <c r="E110" s="1901"/>
      <c r="F110" s="1274">
        <v>1</v>
      </c>
      <c r="G110" s="1275"/>
      <c r="H110" s="1276"/>
      <c r="I110" s="2048"/>
      <c r="J110" s="1277"/>
      <c r="K110" s="1277"/>
      <c r="L110" s="1277"/>
      <c r="M110" s="1277"/>
      <c r="N110" s="1277"/>
      <c r="O110" s="1278"/>
      <c r="P110" s="1278"/>
      <c r="Q110" s="1278"/>
      <c r="R110" s="1278"/>
      <c r="S110" s="1278"/>
      <c r="T110" s="1278"/>
      <c r="U110" s="1278"/>
      <c r="V110" s="1278"/>
      <c r="W110" s="1278"/>
      <c r="X110" s="1278"/>
      <c r="Y110" s="1278"/>
      <c r="Z110" s="1278"/>
      <c r="AA110" s="1278"/>
      <c r="AB110" s="1278"/>
      <c r="AC110" s="1277"/>
      <c r="AD110" s="1277"/>
      <c r="AE110" s="1277"/>
      <c r="AF110" s="1277"/>
      <c r="AG110" s="1277"/>
      <c r="AH110" s="1277"/>
      <c r="AI110" s="1277"/>
      <c r="AJ110" s="1277"/>
      <c r="AK110" s="1277"/>
      <c r="AL110" s="1277"/>
      <c r="AM110" s="1277"/>
      <c r="AN110" s="1277"/>
      <c r="AO110" s="1277"/>
      <c r="AP110" s="1277"/>
      <c r="AQ110" s="1277"/>
      <c r="AR110" s="1277"/>
      <c r="AS110" s="1277"/>
      <c r="AT110" s="1277"/>
      <c r="AU110" s="1277"/>
      <c r="AV110" s="1277"/>
      <c r="AW110" s="1277"/>
      <c r="AX110" s="1277"/>
      <c r="AY110" s="1277"/>
      <c r="AZ110" s="1277"/>
      <c r="BA110" s="1277"/>
      <c r="BB110" s="1277"/>
      <c r="BC110" s="1277"/>
      <c r="BD110" s="1277"/>
      <c r="BE110" s="1277"/>
      <c r="BF110" s="1277"/>
      <c r="BG110" s="1277"/>
      <c r="BH110" s="1277"/>
      <c r="BI110" s="1277"/>
      <c r="BJ110" s="1277"/>
      <c r="BK110" s="1277"/>
      <c r="BL110" s="1277"/>
      <c r="BM110" s="1277"/>
      <c r="BN110" s="1277"/>
      <c r="BO110" s="1277"/>
      <c r="BP110" s="1277"/>
      <c r="BQ110" s="1277"/>
      <c r="BR110" s="1277"/>
      <c r="BS110" s="1277"/>
      <c r="BT110" s="1278"/>
      <c r="BU110" s="1278"/>
      <c r="BV110" s="1278"/>
      <c r="BW110" s="1278"/>
      <c r="BX110" s="1278"/>
      <c r="BY110" s="1278"/>
      <c r="BZ110" s="1278"/>
      <c r="CA110" s="1278"/>
      <c r="CB110" s="1278"/>
      <c r="CC110" s="1278"/>
      <c r="CD110" s="1278"/>
      <c r="CE110" s="1278"/>
      <c r="CF110" s="1278"/>
      <c r="CG110" s="1278"/>
      <c r="CH110" s="1278"/>
      <c r="CI110" s="1278"/>
      <c r="CJ110" s="1278"/>
      <c r="CK110" s="1278"/>
      <c r="CL110" s="1277"/>
      <c r="CM110" s="1277"/>
      <c r="CN110" s="1277"/>
      <c r="CO110" s="1277"/>
      <c r="CP110" s="1277"/>
      <c r="CQ110" s="1277"/>
      <c r="CR110" s="1277"/>
      <c r="CS110" s="1277"/>
      <c r="CT110" s="1277"/>
      <c r="CU110" s="1277"/>
      <c r="CV110" s="1277"/>
      <c r="CW110" s="1277"/>
      <c r="CX110" s="1277"/>
      <c r="CY110" s="1278"/>
      <c r="CZ110" s="1278"/>
      <c r="DA110" s="1278"/>
      <c r="DB110" s="1278"/>
      <c r="DC110" s="1278"/>
      <c r="DD110" s="1278"/>
      <c r="DE110" s="1278"/>
      <c r="DF110" s="1278"/>
      <c r="DG110" s="1278"/>
      <c r="DH110" s="1278"/>
      <c r="DI110" s="1278"/>
      <c r="DJ110" s="1278"/>
      <c r="DK110" s="1277"/>
      <c r="DL110" s="1277"/>
      <c r="DM110" s="1277"/>
      <c r="DN110" s="1277"/>
      <c r="DO110" s="1277"/>
      <c r="DP110" s="1277"/>
      <c r="DQ110" s="1277"/>
      <c r="DR110" s="1277"/>
      <c r="DS110" s="1277"/>
      <c r="DT110" s="1277"/>
      <c r="DU110" s="1277"/>
      <c r="DV110" s="1277"/>
      <c r="DW110" s="1277"/>
      <c r="DX110" s="1277"/>
      <c r="DY110" s="1277"/>
      <c r="DZ110" s="1277"/>
      <c r="EA110" s="1277"/>
      <c r="EB110" s="1277"/>
      <c r="EC110" s="1277"/>
      <c r="ED110" s="1277"/>
      <c r="EE110" s="1277"/>
      <c r="EF110" s="1277"/>
      <c r="EG110" s="1277"/>
      <c r="EH110" s="1277"/>
      <c r="EI110" s="1277"/>
      <c r="EJ110" s="1277"/>
      <c r="EK110" s="1277"/>
      <c r="EL110" s="1277"/>
      <c r="EM110" s="1277"/>
      <c r="EN110" s="1277"/>
      <c r="EO110" s="1277"/>
      <c r="EP110" s="1277"/>
      <c r="EQ110" s="1277"/>
      <c r="ER110" s="1277"/>
      <c r="ES110" s="1277"/>
      <c r="ET110" s="1277"/>
      <c r="EU110" s="1277"/>
      <c r="EV110" s="1277"/>
      <c r="EW110" s="1277"/>
      <c r="EX110" s="1277"/>
      <c r="EY110" s="1277"/>
      <c r="EZ110" s="1277"/>
      <c r="FA110" s="1277"/>
      <c r="FB110" s="1277"/>
      <c r="FC110" s="1277"/>
      <c r="FD110" s="1277"/>
      <c r="FE110" s="1277"/>
      <c r="FF110" s="1277"/>
      <c r="FG110" s="1277"/>
      <c r="FH110" s="1277"/>
      <c r="FI110" s="1277"/>
      <c r="FJ110" s="1277"/>
      <c r="FK110" s="1277"/>
      <c r="FL110" s="1277"/>
      <c r="FM110" s="1277"/>
      <c r="FN110" s="1277"/>
      <c r="FO110" s="1277"/>
      <c r="FP110" s="1277"/>
      <c r="FQ110" s="1277"/>
      <c r="FR110" s="1277"/>
      <c r="FS110" s="1277"/>
      <c r="FT110" s="1277"/>
      <c r="FU110" s="1277"/>
      <c r="FV110" s="1277"/>
      <c r="FW110" s="1277"/>
      <c r="FX110" s="1268"/>
    </row>
    <row s="4899" customFormat="1" customHeight="1" ht="12">
      <c r="A111" s="990"/>
      <c r="B111" s="989"/>
      <c r="C111" s="990"/>
      <c r="D111" s="990"/>
      <c r="E111" s="990"/>
      <c r="F111" s="1279"/>
      <c r="G111" s="1866" t="s">
        <v>1936</v>
      </c>
      <c r="H111" s="1280"/>
      <c r="I111" s="1280"/>
      <c r="J111" s="1280"/>
      <c r="K111" s="1280"/>
      <c r="L111" s="1280"/>
      <c r="M111" s="1280"/>
      <c r="N111" s="1280"/>
      <c r="O111" s="1280"/>
      <c r="P111" s="1280"/>
      <c r="Q111" s="1280"/>
      <c r="R111" s="1280"/>
      <c r="S111" s="1280"/>
      <c r="T111" s="1280"/>
      <c r="U111" s="1280"/>
      <c r="V111" s="1280"/>
      <c r="W111" s="1280"/>
      <c r="X111" s="1280"/>
      <c r="Y111" s="1280"/>
      <c r="Z111" s="1280"/>
      <c r="AA111" s="1280"/>
      <c r="AB111" s="1280"/>
      <c r="AC111" s="1280"/>
      <c r="AD111" s="1280"/>
      <c r="AE111" s="1280"/>
      <c r="AF111" s="1280"/>
      <c r="AG111" s="1280"/>
      <c r="AH111" s="1280"/>
      <c r="AI111" s="1280"/>
      <c r="AJ111" s="1280"/>
      <c r="AK111" s="1280"/>
      <c r="AL111" s="1280"/>
      <c r="AM111" s="1280"/>
      <c r="AN111" s="1280"/>
      <c r="AO111" s="1280"/>
      <c r="AP111" s="1280"/>
      <c r="AQ111" s="1280"/>
      <c r="AR111" s="1280"/>
      <c r="AS111" s="1280"/>
      <c r="AT111" s="1280"/>
      <c r="AU111" s="1280"/>
      <c r="AV111" s="1280"/>
      <c r="AW111" s="1280"/>
      <c r="AX111" s="1280"/>
      <c r="AY111" s="1280"/>
      <c r="AZ111" s="1280"/>
      <c r="BA111" s="1280"/>
      <c r="BB111" s="1280"/>
      <c r="BC111" s="1280"/>
      <c r="BD111" s="1280"/>
      <c r="BE111" s="1280"/>
      <c r="BF111" s="1280"/>
      <c r="BG111" s="1280"/>
      <c r="BH111" s="1280"/>
      <c r="BI111" s="1280"/>
      <c r="BJ111" s="1280"/>
      <c r="BK111" s="1280"/>
      <c r="BL111" s="1280"/>
      <c r="BM111" s="1280"/>
      <c r="BN111" s="1280"/>
      <c r="BO111" s="1280"/>
      <c r="BP111" s="1280"/>
      <c r="BQ111" s="1280"/>
      <c r="BR111" s="1280"/>
      <c r="BS111" s="1280"/>
      <c r="BT111" s="1280"/>
      <c r="BU111" s="1280"/>
      <c r="BV111" s="1280"/>
      <c r="BW111" s="1280"/>
      <c r="BX111" s="1280"/>
      <c r="BY111" s="1280"/>
      <c r="BZ111" s="1280"/>
      <c r="CA111" s="1280"/>
      <c r="CB111" s="1280"/>
      <c r="CC111" s="1280"/>
      <c r="CD111" s="1280"/>
      <c r="CE111" s="1280"/>
      <c r="CF111" s="1280"/>
      <c r="CG111" s="1280"/>
      <c r="CH111" s="1280"/>
      <c r="CI111" s="1280"/>
      <c r="CJ111" s="1280"/>
      <c r="CK111" s="1280"/>
      <c r="CL111" s="1280"/>
      <c r="CM111" s="1280"/>
      <c r="CN111" s="1280"/>
      <c r="CO111" s="1280"/>
      <c r="CP111" s="1280"/>
      <c r="CQ111" s="1280"/>
      <c r="CR111" s="1280"/>
      <c r="CS111" s="1280"/>
      <c r="CT111" s="1280"/>
      <c r="CU111" s="1280"/>
      <c r="CV111" s="1280"/>
      <c r="CW111" s="1280"/>
      <c r="CX111" s="1280"/>
      <c r="CY111" s="1280"/>
      <c r="CZ111" s="1280"/>
      <c r="DA111" s="1280"/>
      <c r="DB111" s="1280"/>
      <c r="DC111" s="1280"/>
      <c r="DD111" s="1280"/>
      <c r="DE111" s="1280"/>
      <c r="DF111" s="1280"/>
      <c r="DG111" s="1280"/>
      <c r="DH111" s="1280"/>
      <c r="DI111" s="1280"/>
      <c r="DJ111" s="1280"/>
      <c r="DK111" s="1280"/>
      <c r="DL111" s="1280"/>
      <c r="DM111" s="1280"/>
      <c r="DN111" s="1280"/>
      <c r="DO111" s="1280"/>
      <c r="DP111" s="1280"/>
      <c r="DQ111" s="1280"/>
      <c r="DR111" s="1280"/>
      <c r="DS111" s="1280"/>
      <c r="DT111" s="1280"/>
      <c r="DU111" s="1280"/>
      <c r="DV111" s="1280"/>
      <c r="DW111" s="1280"/>
      <c r="DX111" s="1280"/>
      <c r="DY111" s="1280"/>
      <c r="DZ111" s="1280"/>
      <c r="EA111" s="1280"/>
      <c r="EB111" s="1280"/>
      <c r="EC111" s="1280"/>
      <c r="ED111" s="1280"/>
      <c r="EE111" s="1280"/>
      <c r="EF111" s="1280"/>
      <c r="EG111" s="1280"/>
      <c r="EH111" s="1280"/>
      <c r="EI111" s="1280"/>
      <c r="EJ111" s="1280"/>
      <c r="EK111" s="1280"/>
      <c r="EL111" s="1280"/>
      <c r="EM111" s="1280"/>
      <c r="EN111" s="1280"/>
      <c r="EO111" s="1280"/>
      <c r="EP111" s="1280"/>
      <c r="EQ111" s="1280"/>
      <c r="ER111" s="1280"/>
      <c r="ES111" s="1280"/>
      <c r="ET111" s="1280"/>
      <c r="EU111" s="1280"/>
      <c r="EV111" s="1280"/>
      <c r="EW111" s="1280"/>
      <c r="EX111" s="1280"/>
      <c r="EY111" s="1280"/>
      <c r="EZ111" s="1280"/>
      <c r="FA111" s="1280"/>
      <c r="FB111" s="1280"/>
      <c r="FC111" s="1280"/>
      <c r="FD111" s="1280"/>
      <c r="FE111" s="1280"/>
      <c r="FF111" s="1280"/>
      <c r="FG111" s="1280"/>
      <c r="FH111" s="1280"/>
      <c r="FI111" s="1280"/>
      <c r="FJ111" s="1280"/>
      <c r="FK111" s="1280"/>
      <c r="FL111" s="1280"/>
      <c r="FM111" s="1280"/>
      <c r="FN111" s="1280"/>
      <c r="FO111" s="1280"/>
      <c r="FP111" s="1280"/>
      <c r="FQ111" s="1280"/>
      <c r="FR111" s="1280"/>
      <c r="FS111" s="1280"/>
      <c r="FT111" s="1280"/>
      <c r="FU111" s="1280"/>
      <c r="FV111" s="1280"/>
      <c r="FW111" s="1281"/>
      <c r="FX111" s="1282"/>
      <c r="FY111" s="1007"/>
      <c r="FZ111" s="1007"/>
      <c r="GA111" s="1007"/>
      <c r="GB111" s="1007"/>
    </row>
    <row r="113" s="5347" customFormat="1" customHeight="1" ht="11.25">
      <c r="A113" s="1881" t="s">
        <v>1937</v>
      </c>
    </row>
    <row r="115" s="5774" customFormat="1" customHeight="1" ht="15">
      <c r="A115" s="689"/>
      <c r="B115" s="690"/>
      <c r="C115" s="690"/>
      <c r="D115" s="2644" t="s">
        <v>114</v>
      </c>
      <c r="E115" s="2443" t="s">
        <v>110</v>
      </c>
      <c r="F115" s="2444"/>
      <c r="G115" s="2445"/>
      <c r="H115" s="2449" t="str">
        <f>IF(A115="","",INDEX(DIFFERENTIATION_UNMERGE_VD,MATCH(A115,DIFFERENTIATION_ID_DIFF,0)))</f>
        <v/>
      </c>
      <c r="I115" s="2449"/>
      <c r="J115" s="2449"/>
      <c r="K115" s="2449"/>
      <c r="L115" s="2449"/>
      <c r="M115" s="2449"/>
      <c r="N115" s="2449"/>
      <c r="O115" s="2449"/>
      <c r="P115" s="2449"/>
      <c r="Q115" s="2449"/>
      <c r="R115" s="2449"/>
      <c r="S115" s="785"/>
      <c r="T115" s="782"/>
      <c r="U115" s="691"/>
      <c r="V115" s="691"/>
      <c r="W115" s="692"/>
      <c r="X115" s="692"/>
      <c r="Y115" s="692"/>
      <c r="Z115" s="692"/>
      <c r="AA115" s="693"/>
      <c r="AB115" s="694"/>
      <c r="AC115" s="2441"/>
      <c r="AD115" s="695"/>
      <c r="AE115" s="696" t="s">
        <v>28</v>
      </c>
      <c r="AF115" s="696"/>
      <c r="AG115" s="697" t="s">
        <v>618</v>
      </c>
      <c r="AH115" s="698">
        <v>3</v>
      </c>
      <c r="AI115" s="691"/>
      <c r="AJ115" s="691"/>
      <c r="AK115" s="691"/>
      <c r="AL115" s="691"/>
      <c r="AM115" s="691"/>
      <c r="AN115" s="691"/>
      <c r="AO115" s="691"/>
      <c r="AP115" s="691"/>
      <c r="AQ115" s="691"/>
      <c r="AR115" s="691"/>
      <c r="AS115" s="691"/>
      <c r="AT115" s="691"/>
      <c r="AU115" s="691"/>
      <c r="AV115" s="691"/>
      <c r="AW115" s="691"/>
      <c r="AX115" s="691"/>
      <c r="AY115" s="691"/>
      <c r="AZ115" s="691"/>
      <c r="BA115" s="691"/>
      <c r="BB115" s="691"/>
      <c r="BC115" s="691"/>
      <c r="BD115" s="691"/>
      <c r="BE115" s="691"/>
      <c r="BF115" s="691"/>
      <c r="BG115" s="691"/>
      <c r="BH115" s="691"/>
      <c r="BI115" s="691"/>
      <c r="BJ115" s="691"/>
      <c r="BK115" s="691"/>
      <c r="BL115" s="691"/>
      <c r="BM115" s="691"/>
      <c r="BN115" s="691"/>
      <c r="BO115" s="691"/>
      <c r="BP115" s="691"/>
      <c r="BQ115" s="691"/>
      <c r="BR115" s="691"/>
      <c r="BS115" s="691"/>
      <c r="BT115" s="691"/>
      <c r="BU115" s="691"/>
      <c r="BV115" s="692"/>
      <c r="BW115" s="692"/>
      <c r="BX115" s="692"/>
      <c r="BY115" s="692"/>
      <c r="BZ115" s="692"/>
      <c r="CA115" s="692"/>
      <c r="CB115" s="692"/>
      <c r="CC115" s="692"/>
      <c r="CD115" s="692"/>
      <c r="CE115" s="692"/>
    </row>
    <row s="5774" customFormat="1" customHeight="1" ht="15">
      <c r="A116" s="689"/>
      <c r="B116" s="690"/>
      <c r="C116" s="690"/>
      <c r="D116" s="2645"/>
      <c r="E116" s="2443" t="s">
        <v>573</v>
      </c>
      <c r="F116" s="2444"/>
      <c r="G116" s="2445"/>
      <c r="H116" s="2449" t="str">
        <f>IF(A115="","",INDEX(DIFFERENTIATION_UNMERGE_AREA,MATCH(A115,DIFFERENTIATION_ID_DIFF,0)))</f>
        <v/>
      </c>
      <c r="I116" s="2449"/>
      <c r="J116" s="2449"/>
      <c r="K116" s="2449"/>
      <c r="L116" s="2449"/>
      <c r="M116" s="2449"/>
      <c r="N116" s="2449"/>
      <c r="O116" s="2449"/>
      <c r="P116" s="2449"/>
      <c r="Q116" s="2449"/>
      <c r="R116" s="2449"/>
      <c r="S116" s="785"/>
      <c r="T116" s="782"/>
      <c r="U116" s="691"/>
      <c r="V116" s="691"/>
      <c r="W116" s="692"/>
      <c r="X116" s="692"/>
      <c r="Y116" s="692"/>
      <c r="Z116" s="692"/>
      <c r="AA116" s="693"/>
      <c r="AB116" s="694"/>
      <c r="AC116" s="2441"/>
      <c r="AD116" s="695"/>
      <c r="AE116" s="696"/>
      <c r="AF116" s="696"/>
      <c r="AG116" s="697"/>
      <c r="AH116" s="698"/>
      <c r="AI116" s="691"/>
      <c r="AJ116" s="691"/>
      <c r="AK116" s="691"/>
      <c r="AL116" s="691"/>
      <c r="AM116" s="691"/>
      <c r="AN116" s="691"/>
      <c r="AO116" s="691"/>
      <c r="AP116" s="691"/>
      <c r="AQ116" s="691"/>
      <c r="AR116" s="691"/>
      <c r="AS116" s="691"/>
      <c r="AT116" s="691"/>
      <c r="AU116" s="691"/>
      <c r="AV116" s="691"/>
      <c r="AW116" s="691"/>
      <c r="AX116" s="691"/>
      <c r="AY116" s="691"/>
      <c r="AZ116" s="691"/>
      <c r="BA116" s="691"/>
      <c r="BB116" s="691"/>
      <c r="BC116" s="691"/>
      <c r="BD116" s="691"/>
      <c r="BE116" s="691"/>
      <c r="BF116" s="691"/>
      <c r="BG116" s="691"/>
      <c r="BH116" s="691"/>
      <c r="BI116" s="691"/>
      <c r="BJ116" s="691"/>
      <c r="BK116" s="691"/>
      <c r="BL116" s="691"/>
      <c r="BM116" s="691"/>
      <c r="BN116" s="691"/>
      <c r="BO116" s="691"/>
      <c r="BP116" s="691"/>
      <c r="BQ116" s="691"/>
      <c r="BR116" s="691"/>
      <c r="BS116" s="691"/>
      <c r="BT116" s="691"/>
      <c r="BU116" s="691"/>
      <c r="BV116" s="692"/>
      <c r="BW116" s="692"/>
      <c r="BX116" s="692"/>
      <c r="BY116" s="692"/>
      <c r="BZ116" s="692"/>
      <c r="CA116" s="692"/>
      <c r="CB116" s="692"/>
      <c r="CC116" s="692"/>
      <c r="CD116" s="692"/>
      <c r="CE116" s="692"/>
    </row>
    <row s="5774" customFormat="1" customHeight="1" ht="15">
      <c r="A117" s="689"/>
      <c r="B117" s="690"/>
      <c r="C117" s="690"/>
      <c r="D117" s="2645"/>
      <c r="E117" s="2443" t="s">
        <v>574</v>
      </c>
      <c r="F117" s="2444"/>
      <c r="G117" s="2445"/>
      <c r="H117" s="2449" t="str">
        <f>IF(A115="","",INDEX(DIFFERENTIATION_UNMERGE_SYSTEM,MATCH(A115,DIFFERENTIATION_ID_DIFF,0)))</f>
        <v/>
      </c>
      <c r="I117" s="2449"/>
      <c r="J117" s="2449"/>
      <c r="K117" s="2449"/>
      <c r="L117" s="2449"/>
      <c r="M117" s="2449"/>
      <c r="N117" s="2449"/>
      <c r="O117" s="2449"/>
      <c r="P117" s="2449"/>
      <c r="Q117" s="2449"/>
      <c r="R117" s="2449"/>
      <c r="S117" s="785"/>
      <c r="T117" s="782"/>
      <c r="U117" s="691"/>
      <c r="V117" s="691"/>
      <c r="W117" s="692"/>
      <c r="X117" s="692"/>
      <c r="Y117" s="692"/>
      <c r="Z117" s="692"/>
      <c r="AA117" s="693"/>
      <c r="AB117" s="694"/>
      <c r="AC117" s="2441"/>
      <c r="AD117" s="695"/>
      <c r="AE117" s="696"/>
      <c r="AF117" s="696"/>
      <c r="AG117" s="697"/>
      <c r="AH117" s="698"/>
      <c r="AI117" s="691"/>
      <c r="AJ117" s="691"/>
      <c r="AK117" s="691"/>
      <c r="AL117" s="691"/>
      <c r="AM117" s="691"/>
      <c r="AN117" s="691"/>
      <c r="AO117" s="691"/>
      <c r="AP117" s="691"/>
      <c r="AQ117" s="691"/>
      <c r="AR117" s="691"/>
      <c r="AS117" s="691"/>
      <c r="AT117" s="691"/>
      <c r="AU117" s="691"/>
      <c r="AV117" s="691"/>
      <c r="AW117" s="691"/>
      <c r="AX117" s="691"/>
      <c r="AY117" s="691"/>
      <c r="AZ117" s="691"/>
      <c r="BA117" s="691"/>
      <c r="BB117" s="691"/>
      <c r="BC117" s="691"/>
      <c r="BD117" s="691"/>
      <c r="BE117" s="691"/>
      <c r="BF117" s="691"/>
      <c r="BG117" s="691"/>
      <c r="BH117" s="691"/>
      <c r="BI117" s="691"/>
      <c r="BJ117" s="691"/>
      <c r="BK117" s="691"/>
      <c r="BL117" s="691"/>
      <c r="BM117" s="691"/>
      <c r="BN117" s="691"/>
      <c r="BO117" s="691"/>
      <c r="BP117" s="691"/>
      <c r="BQ117" s="691"/>
      <c r="BR117" s="691"/>
      <c r="BS117" s="691"/>
      <c r="BT117" s="691"/>
      <c r="BU117" s="691"/>
      <c r="BV117" s="692"/>
      <c r="BW117" s="692"/>
      <c r="BX117" s="692"/>
      <c r="BY117" s="692"/>
      <c r="BZ117" s="692"/>
      <c r="CA117" s="692"/>
      <c r="CB117" s="692"/>
      <c r="CC117" s="692"/>
      <c r="CD117" s="692"/>
      <c r="CE117" s="692"/>
    </row>
    <row s="5774" customFormat="1" customHeight="1" ht="24.75">
      <c r="A118" s="1872"/>
      <c r="B118" s="1226"/>
      <c r="C118" s="478"/>
      <c r="D118" s="2645"/>
      <c r="E118" s="2442" t="s">
        <v>619</v>
      </c>
      <c r="F118" s="2442"/>
      <c r="G118" s="2442"/>
      <c r="H118" s="2442"/>
      <c r="I118" s="2442"/>
      <c r="J118" s="2442"/>
      <c r="K118" s="2442"/>
      <c r="L118" s="2442"/>
      <c r="M118" s="2442"/>
      <c r="N118" s="2442"/>
      <c r="O118" s="2442"/>
      <c r="P118" s="2442"/>
      <c r="Q118" s="624">
        <f>SUMIF(T119:T120,"i",Q119:Q120)</f>
        <v>0</v>
      </c>
      <c r="R118" s="1083"/>
      <c r="S118" s="1864" t="s">
        <v>620</v>
      </c>
      <c r="T118" s="783" t="s">
        <v>621</v>
      </c>
      <c r="U118" s="2440">
        <v>1</v>
      </c>
      <c r="V118" s="2440" t="s">
        <v>584</v>
      </c>
      <c r="W118" s="1226"/>
      <c r="X118" s="1226"/>
      <c r="Y118" s="1226"/>
      <c r="Z118" s="1226"/>
      <c r="AA118" s="1702"/>
      <c r="AB118" s="1226"/>
      <c r="AC118" s="2441"/>
      <c r="AD118" s="695"/>
      <c r="AE118" s="1226"/>
      <c r="AF118" s="1226"/>
      <c r="AG118" s="1702"/>
      <c r="AH118" s="1702"/>
      <c r="AI118" s="1702"/>
      <c r="AJ118" s="1702"/>
      <c r="AK118" s="1702"/>
      <c r="AL118" s="1702"/>
      <c r="AM118" s="1702"/>
      <c r="AN118" s="1702"/>
      <c r="AO118" s="1702"/>
      <c r="AP118" s="1702"/>
      <c r="AQ118" s="1702"/>
      <c r="AR118" s="1702"/>
      <c r="AS118" s="1702"/>
      <c r="AT118" s="1702"/>
      <c r="AU118" s="1702"/>
      <c r="AV118" s="1702"/>
      <c r="AW118" s="1702"/>
      <c r="AX118" s="1702"/>
      <c r="AY118" s="1702"/>
      <c r="AZ118" s="1702"/>
      <c r="BA118" s="1702"/>
      <c r="BB118" s="1702"/>
      <c r="BC118" s="1702"/>
      <c r="BD118" s="1702"/>
      <c r="BE118" s="1702"/>
      <c r="BF118" s="1702"/>
      <c r="BG118" s="1702"/>
      <c r="BH118" s="1702"/>
      <c r="BI118" s="1702"/>
      <c r="BJ118" s="1702"/>
      <c r="BK118" s="1702"/>
      <c r="BL118" s="1702"/>
      <c r="BM118" s="1702"/>
      <c r="BN118" s="1702"/>
      <c r="BO118" s="1702"/>
      <c r="BP118" s="1702"/>
      <c r="BQ118" s="1702"/>
      <c r="BR118" s="1702"/>
      <c r="BS118" s="1702"/>
      <c r="BT118" s="1702"/>
      <c r="BU118" s="1702"/>
      <c r="BV118" s="1226"/>
      <c r="BW118" s="1226"/>
      <c r="BX118" s="1226"/>
      <c r="BY118" s="1226"/>
      <c r="BZ118" s="1226"/>
      <c r="CA118" s="1226"/>
      <c r="CB118" s="1226"/>
      <c r="CC118" s="1226"/>
      <c r="CD118" s="1226"/>
      <c r="CE118" s="1226"/>
    </row>
    <row s="5774" customFormat="1" customHeight="1" ht="11.25" hidden="1">
      <c r="A119" s="1859"/>
      <c r="B119" s="1702"/>
      <c r="C119" s="1702"/>
      <c r="D119" s="2645"/>
      <c r="E119" s="701"/>
      <c r="F119" s="701">
        <v>0</v>
      </c>
      <c r="G119" s="701"/>
      <c r="H119" s="701"/>
      <c r="I119" s="701"/>
      <c r="J119" s="701"/>
      <c r="K119" s="701"/>
      <c r="L119" s="701"/>
      <c r="M119" s="701"/>
      <c r="N119" s="701"/>
      <c r="O119" s="701"/>
      <c r="P119" s="701"/>
      <c r="Q119" s="701"/>
      <c r="R119" s="701"/>
      <c r="S119" s="702"/>
      <c r="T119" s="784"/>
      <c r="U119" s="2440"/>
      <c r="V119" s="2440"/>
      <c r="W119" s="1702"/>
      <c r="X119" s="1702"/>
      <c r="Y119" s="1702"/>
      <c r="Z119" s="1702"/>
      <c r="AA119" s="1702"/>
      <c r="AB119" s="1226"/>
      <c r="AC119" s="2441"/>
      <c r="AD119" s="695"/>
      <c r="AE119" s="1226"/>
      <c r="AF119" s="1226"/>
      <c r="AG119" s="1702"/>
      <c r="AH119" s="1702"/>
      <c r="AI119" s="1702"/>
      <c r="AJ119" s="1702"/>
      <c r="AK119" s="1702"/>
      <c r="AL119" s="1702"/>
      <c r="AM119" s="1702"/>
      <c r="AN119" s="1702"/>
      <c r="AO119" s="1702"/>
      <c r="AP119" s="1702"/>
      <c r="AQ119" s="1702"/>
      <c r="AR119" s="1702"/>
      <c r="AS119" s="1702"/>
      <c r="AT119" s="1702"/>
      <c r="AU119" s="1702"/>
      <c r="AV119" s="1702"/>
      <c r="AW119" s="1702"/>
      <c r="AX119" s="1702"/>
      <c r="AY119" s="1702"/>
      <c r="AZ119" s="1702"/>
      <c r="BA119" s="1702"/>
      <c r="BB119" s="1702"/>
      <c r="BC119" s="1702"/>
      <c r="BD119" s="1702"/>
      <c r="BE119" s="1702"/>
      <c r="BF119" s="1702"/>
      <c r="BG119" s="1702"/>
      <c r="BH119" s="1702"/>
      <c r="BI119" s="1702"/>
      <c r="BJ119" s="1702"/>
      <c r="BK119" s="1702"/>
      <c r="BL119" s="1702"/>
      <c r="BM119" s="1702"/>
      <c r="BN119" s="1702"/>
      <c r="BO119" s="1702"/>
      <c r="BP119" s="1702"/>
      <c r="BQ119" s="1702"/>
      <c r="BR119" s="1702"/>
      <c r="BS119" s="1702"/>
      <c r="BT119" s="1702"/>
      <c r="BU119" s="1702"/>
      <c r="BV119" s="1702"/>
      <c r="BW119" s="1702"/>
      <c r="BX119" s="1702"/>
      <c r="BY119" s="1702"/>
      <c r="BZ119" s="1702"/>
      <c r="CA119" s="1702"/>
      <c r="CB119" s="1702"/>
      <c r="CC119" s="1702"/>
      <c r="CD119" s="1702"/>
      <c r="CE119" s="1702"/>
    </row>
    <row s="5774" customFormat="1" customHeight="1" ht="11.25">
      <c r="A120" s="1872"/>
      <c r="B120" s="1226"/>
      <c r="C120" s="478"/>
      <c r="D120" s="2645"/>
      <c r="E120" s="715" t="s">
        <v>28</v>
      </c>
      <c r="F120" s="1234" t="s">
        <v>28</v>
      </c>
      <c r="G120" s="1234" t="s">
        <v>1938</v>
      </c>
      <c r="H120" s="717" t="s">
        <v>28</v>
      </c>
      <c r="I120" s="717"/>
      <c r="J120" s="717"/>
      <c r="K120" s="717"/>
      <c r="L120" s="717"/>
      <c r="M120" s="717"/>
      <c r="N120" s="717"/>
      <c r="O120" s="717"/>
      <c r="P120" s="717"/>
      <c r="Q120" s="717"/>
      <c r="R120" s="718"/>
      <c r="S120" s="719"/>
      <c r="T120" s="784"/>
      <c r="U120" s="2440"/>
      <c r="V120" s="2440"/>
      <c r="W120" s="1226"/>
      <c r="X120" s="1226"/>
      <c r="Y120" s="1226"/>
      <c r="Z120" s="1226"/>
      <c r="AA120" s="1702"/>
      <c r="AB120" s="1226"/>
      <c r="AC120" s="2441"/>
      <c r="AD120" s="695"/>
      <c r="AE120" s="1226"/>
      <c r="AF120" s="1226"/>
      <c r="AG120" s="1702"/>
      <c r="AH120" s="1702"/>
      <c r="AI120" s="1702"/>
      <c r="AJ120" s="1702"/>
      <c r="AK120" s="1702"/>
      <c r="AL120" s="1702"/>
      <c r="AM120" s="1702"/>
      <c r="AN120" s="1702"/>
      <c r="AO120" s="1702"/>
      <c r="AP120" s="1702"/>
      <c r="AQ120" s="1702"/>
      <c r="AR120" s="1702"/>
      <c r="AS120" s="1702"/>
      <c r="AT120" s="1702"/>
      <c r="AU120" s="1702"/>
      <c r="AV120" s="1702"/>
      <c r="AW120" s="1702"/>
      <c r="AX120" s="1702"/>
      <c r="AY120" s="1702"/>
      <c r="AZ120" s="1702"/>
      <c r="BA120" s="1702"/>
      <c r="BB120" s="1702"/>
      <c r="BC120" s="1702"/>
      <c r="BD120" s="1702"/>
      <c r="BE120" s="1702"/>
      <c r="BF120" s="1702"/>
      <c r="BG120" s="1702"/>
      <c r="BH120" s="1702"/>
      <c r="BI120" s="1702"/>
      <c r="BJ120" s="1702"/>
      <c r="BK120" s="1702"/>
      <c r="BL120" s="1702"/>
      <c r="BM120" s="1702"/>
      <c r="BN120" s="1702"/>
      <c r="BO120" s="1702"/>
      <c r="BP120" s="1702"/>
      <c r="BQ120" s="1702"/>
      <c r="BR120" s="1702"/>
      <c r="BS120" s="1702"/>
      <c r="BT120" s="1702"/>
      <c r="BU120" s="1702"/>
      <c r="BV120" s="1226"/>
      <c r="BW120" s="1226"/>
      <c r="BX120" s="1226"/>
      <c r="BY120" s="1226"/>
      <c r="BZ120" s="1226"/>
      <c r="CA120" s="1226"/>
      <c r="CB120" s="1226"/>
      <c r="CC120" s="1226"/>
      <c r="CD120" s="1226"/>
      <c r="CE120" s="1226"/>
    </row>
    <row s="5774" customFormat="1" customHeight="1" ht="24.75">
      <c r="A121" s="1872"/>
      <c r="B121" s="1226"/>
      <c r="C121" s="478"/>
      <c r="D121" s="2645"/>
      <c r="E121" s="2442" t="s">
        <v>622</v>
      </c>
      <c r="F121" s="2442"/>
      <c r="G121" s="2442"/>
      <c r="H121" s="2442"/>
      <c r="I121" s="2442"/>
      <c r="J121" s="2442"/>
      <c r="K121" s="2442"/>
      <c r="L121" s="2442"/>
      <c r="M121" s="2442"/>
      <c r="N121" s="2442"/>
      <c r="O121" s="2442"/>
      <c r="P121" s="2442"/>
      <c r="Q121" s="624">
        <f>SUMIF(T122:T123,"i",Q122:Q123)</f>
        <v>0</v>
      </c>
      <c r="R121" s="1083"/>
      <c r="S121" s="1864" t="s">
        <v>623</v>
      </c>
      <c r="T121" s="783" t="s">
        <v>621</v>
      </c>
      <c r="U121" s="2440">
        <v>1</v>
      </c>
      <c r="V121" s="2440" t="s">
        <v>584</v>
      </c>
      <c r="W121" s="1226"/>
      <c r="X121" s="1226"/>
      <c r="Y121" s="1226"/>
      <c r="Z121" s="1226"/>
      <c r="AA121" s="1702"/>
      <c r="AB121" s="1226"/>
      <c r="AC121" s="1862"/>
      <c r="AD121" s="695"/>
      <c r="AE121" s="1226"/>
      <c r="AF121" s="1226"/>
      <c r="AG121" s="1702"/>
      <c r="AH121" s="1702"/>
      <c r="AI121" s="1702"/>
      <c r="AJ121" s="1702"/>
      <c r="AK121" s="1702"/>
      <c r="AL121" s="1702"/>
      <c r="AM121" s="1702"/>
      <c r="AN121" s="1702"/>
      <c r="AO121" s="1702"/>
      <c r="AP121" s="1702"/>
      <c r="AQ121" s="1702"/>
      <c r="AR121" s="1702"/>
      <c r="AS121" s="1702"/>
      <c r="AT121" s="1702"/>
      <c r="AU121" s="1702"/>
      <c r="AV121" s="1702"/>
      <c r="AW121" s="1702"/>
      <c r="AX121" s="1702"/>
      <c r="AY121" s="1702"/>
      <c r="AZ121" s="1702"/>
      <c r="BA121" s="1702"/>
      <c r="BB121" s="1702"/>
      <c r="BC121" s="1702"/>
      <c r="BD121" s="1702"/>
      <c r="BE121" s="1702"/>
      <c r="BF121" s="1702"/>
      <c r="BG121" s="1702"/>
      <c r="BH121" s="1702"/>
      <c r="BI121" s="1702"/>
      <c r="BJ121" s="1702"/>
      <c r="BK121" s="1702"/>
      <c r="BL121" s="1702"/>
      <c r="BM121" s="1702"/>
      <c r="BN121" s="1702"/>
      <c r="BO121" s="1702"/>
      <c r="BP121" s="1702"/>
      <c r="BQ121" s="1702"/>
      <c r="BR121" s="1702"/>
      <c r="BS121" s="1702"/>
      <c r="BT121" s="1702"/>
      <c r="BU121" s="1702"/>
      <c r="BV121" s="1226"/>
      <c r="BW121" s="1226"/>
      <c r="BX121" s="1226"/>
      <c r="BY121" s="1226"/>
      <c r="BZ121" s="1226"/>
      <c r="CA121" s="1226"/>
      <c r="CB121" s="1226"/>
      <c r="CC121" s="1226"/>
      <c r="CD121" s="1226"/>
      <c r="CE121" s="1226"/>
    </row>
    <row s="5774" customFormat="1" customHeight="1" ht="11.25" hidden="1">
      <c r="A122" s="1859"/>
      <c r="B122" s="1702"/>
      <c r="C122" s="1702"/>
      <c r="D122" s="2645"/>
      <c r="E122" s="701"/>
      <c r="F122" s="701">
        <v>0</v>
      </c>
      <c r="G122" s="701"/>
      <c r="H122" s="701"/>
      <c r="I122" s="701"/>
      <c r="J122" s="701"/>
      <c r="K122" s="701"/>
      <c r="L122" s="701"/>
      <c r="M122" s="701"/>
      <c r="N122" s="701"/>
      <c r="O122" s="701"/>
      <c r="P122" s="701"/>
      <c r="Q122" s="701"/>
      <c r="R122" s="701"/>
      <c r="S122" s="702"/>
      <c r="T122" s="784"/>
      <c r="U122" s="2440"/>
      <c r="V122" s="2440"/>
      <c r="W122" s="1702"/>
      <c r="X122" s="1702"/>
      <c r="Y122" s="1702"/>
      <c r="Z122" s="1702"/>
      <c r="AA122" s="1702"/>
      <c r="AB122" s="1226"/>
      <c r="AC122" s="1862"/>
      <c r="AD122" s="695"/>
      <c r="AE122" s="1226"/>
      <c r="AF122" s="1226"/>
      <c r="AG122" s="1702"/>
      <c r="AH122" s="1702"/>
      <c r="AI122" s="1702"/>
      <c r="AJ122" s="1702"/>
      <c r="AK122" s="1702"/>
      <c r="AL122" s="1702"/>
      <c r="AM122" s="1702"/>
      <c r="AN122" s="1702"/>
      <c r="AO122" s="1702"/>
      <c r="AP122" s="1702"/>
      <c r="AQ122" s="1702"/>
      <c r="AR122" s="1702"/>
      <c r="AS122" s="1702"/>
      <c r="AT122" s="1702"/>
      <c r="AU122" s="1702"/>
      <c r="AV122" s="1702"/>
      <c r="AW122" s="1702"/>
      <c r="AX122" s="1702"/>
      <c r="AY122" s="1702"/>
      <c r="AZ122" s="1702"/>
      <c r="BA122" s="1702"/>
      <c r="BB122" s="1702"/>
      <c r="BC122" s="1702"/>
      <c r="BD122" s="1702"/>
      <c r="BE122" s="1702"/>
      <c r="BF122" s="1702"/>
      <c r="BG122" s="1702"/>
      <c r="BH122" s="1702"/>
      <c r="BI122" s="1702"/>
      <c r="BJ122" s="1702"/>
      <c r="BK122" s="1702"/>
      <c r="BL122" s="1702"/>
      <c r="BM122" s="1702"/>
      <c r="BN122" s="1702"/>
      <c r="BO122" s="1702"/>
      <c r="BP122" s="1702"/>
      <c r="BQ122" s="1702"/>
      <c r="BR122" s="1702"/>
      <c r="BS122" s="1702"/>
      <c r="BT122" s="1702"/>
      <c r="BU122" s="1702"/>
      <c r="BV122" s="1702"/>
      <c r="BW122" s="1702"/>
      <c r="BX122" s="1702"/>
      <c r="BY122" s="1702"/>
      <c r="BZ122" s="1702"/>
      <c r="CA122" s="1702"/>
      <c r="CB122" s="1702"/>
      <c r="CC122" s="1702"/>
      <c r="CD122" s="1702"/>
      <c r="CE122" s="1702"/>
    </row>
    <row s="5774" customFormat="1" customHeight="1" ht="11.25">
      <c r="A123" s="1872"/>
      <c r="B123" s="1226"/>
      <c r="C123" s="478"/>
      <c r="D123" s="2646"/>
      <c r="E123" s="715" t="s">
        <v>28</v>
      </c>
      <c r="F123" s="1234" t="s">
        <v>28</v>
      </c>
      <c r="G123" s="1234" t="s">
        <v>1938</v>
      </c>
      <c r="H123" s="717" t="s">
        <v>28</v>
      </c>
      <c r="I123" s="717"/>
      <c r="J123" s="717"/>
      <c r="K123" s="717"/>
      <c r="L123" s="717"/>
      <c r="M123" s="717"/>
      <c r="N123" s="717"/>
      <c r="O123" s="717"/>
      <c r="P123" s="717"/>
      <c r="Q123" s="717"/>
      <c r="R123" s="718"/>
      <c r="S123" s="719"/>
      <c r="T123" s="784"/>
      <c r="U123" s="2440"/>
      <c r="V123" s="2440"/>
      <c r="W123" s="1226"/>
      <c r="X123" s="1226"/>
      <c r="Y123" s="1226"/>
      <c r="Z123" s="1226"/>
      <c r="AA123" s="1702"/>
      <c r="AB123" s="1226"/>
      <c r="AC123" s="1862"/>
      <c r="AD123" s="695"/>
      <c r="AE123" s="1226"/>
      <c r="AF123" s="1226"/>
      <c r="AG123" s="1702"/>
      <c r="AH123" s="1702"/>
      <c r="AI123" s="1702"/>
      <c r="AJ123" s="1702"/>
      <c r="AK123" s="1702"/>
      <c r="AL123" s="1702"/>
      <c r="AM123" s="1702"/>
      <c r="AN123" s="1702"/>
      <c r="AO123" s="1702"/>
      <c r="AP123" s="1702"/>
      <c r="AQ123" s="1702"/>
      <c r="AR123" s="1702"/>
      <c r="AS123" s="1702"/>
      <c r="AT123" s="1702"/>
      <c r="AU123" s="1702"/>
      <c r="AV123" s="1702"/>
      <c r="AW123" s="1702"/>
      <c r="AX123" s="1702"/>
      <c r="AY123" s="1702"/>
      <c r="AZ123" s="1702"/>
      <c r="BA123" s="1702"/>
      <c r="BB123" s="1702"/>
      <c r="BC123" s="1702"/>
      <c r="BD123" s="1702"/>
      <c r="BE123" s="1702"/>
      <c r="BF123" s="1702"/>
      <c r="BG123" s="1702"/>
      <c r="BH123" s="1702"/>
      <c r="BI123" s="1702"/>
      <c r="BJ123" s="1702"/>
      <c r="BK123" s="1702"/>
      <c r="BL123" s="1702"/>
      <c r="BM123" s="1702"/>
      <c r="BN123" s="1702"/>
      <c r="BO123" s="1702"/>
      <c r="BP123" s="1702"/>
      <c r="BQ123" s="1702"/>
      <c r="BR123" s="1702"/>
      <c r="BS123" s="1702"/>
      <c r="BT123" s="1702"/>
      <c r="BU123" s="1702"/>
      <c r="BV123" s="1226"/>
      <c r="BW123" s="1226"/>
      <c r="BX123" s="1226"/>
      <c r="BY123" s="1226"/>
      <c r="BZ123" s="1226"/>
      <c r="CA123" s="1226"/>
      <c r="CB123" s="1226"/>
      <c r="CC123" s="1226"/>
      <c r="CD123" s="1226"/>
      <c r="CE123" s="1226"/>
    </row>
    <row r="125" s="5347" customFormat="1" customHeight="1" ht="11.25">
      <c r="A125" s="1881" t="s">
        <v>1939</v>
      </c>
    </row>
    <row r="127" s="5774" customFormat="1" customHeight="1" ht="15">
      <c r="A127" s="689"/>
      <c r="B127" s="690"/>
      <c r="C127" s="690"/>
      <c r="D127" s="2644" t="s">
        <v>114</v>
      </c>
      <c r="E127" s="2443" t="s">
        <v>110</v>
      </c>
      <c r="F127" s="2444"/>
      <c r="G127" s="2445"/>
      <c r="H127" s="2449" t="str">
        <f>IF(A127="","",INDEX(DIFFERENTIATION_UNMERGE_VD,MATCH(A127,DIFFERENTIATION_ID_DIFF,0)))</f>
        <v/>
      </c>
      <c r="I127" s="2449"/>
      <c r="J127" s="2449"/>
      <c r="K127" s="2449"/>
      <c r="L127" s="2449"/>
      <c r="M127" s="2449"/>
      <c r="N127" s="2449"/>
      <c r="O127" s="2449"/>
      <c r="P127" s="2449"/>
      <c r="Q127" s="2449"/>
      <c r="R127" s="2449"/>
      <c r="S127" s="785"/>
      <c r="T127" s="782"/>
      <c r="U127" s="691"/>
      <c r="V127" s="691"/>
      <c r="W127" s="692"/>
      <c r="X127" s="692"/>
      <c r="Y127" s="692"/>
      <c r="Z127" s="692"/>
      <c r="AA127" s="693"/>
      <c r="AB127" s="694"/>
      <c r="AC127" s="2441"/>
      <c r="AD127" s="695"/>
      <c r="AE127" s="696" t="s">
        <v>28</v>
      </c>
      <c r="AF127" s="696"/>
      <c r="AG127" s="697" t="s">
        <v>618</v>
      </c>
      <c r="AH127" s="698">
        <v>3</v>
      </c>
      <c r="AI127" s="691"/>
      <c r="AJ127" s="691"/>
      <c r="AK127" s="691"/>
      <c r="AL127" s="691"/>
      <c r="AM127" s="691"/>
      <c r="AN127" s="691"/>
      <c r="AO127" s="691"/>
      <c r="AP127" s="691"/>
      <c r="AQ127" s="691"/>
      <c r="AR127" s="691"/>
      <c r="AS127" s="691"/>
      <c r="AT127" s="691"/>
      <c r="AU127" s="691"/>
      <c r="AV127" s="691"/>
      <c r="AW127" s="691"/>
      <c r="AX127" s="691"/>
      <c r="AY127" s="691"/>
      <c r="AZ127" s="691"/>
      <c r="BA127" s="691"/>
      <c r="BB127" s="691"/>
      <c r="BC127" s="691"/>
      <c r="BD127" s="691"/>
      <c r="BE127" s="691"/>
      <c r="BF127" s="691"/>
      <c r="BG127" s="691"/>
      <c r="BH127" s="691"/>
      <c r="BI127" s="691"/>
      <c r="BJ127" s="691"/>
      <c r="BK127" s="691"/>
      <c r="BL127" s="691"/>
      <c r="BM127" s="691"/>
      <c r="BN127" s="691"/>
      <c r="BO127" s="691"/>
      <c r="BP127" s="691"/>
      <c r="BQ127" s="691"/>
      <c r="BR127" s="691"/>
      <c r="BS127" s="691"/>
      <c r="BT127" s="691"/>
      <c r="BU127" s="691"/>
      <c r="BV127" s="692"/>
      <c r="BW127" s="692"/>
      <c r="BX127" s="692"/>
      <c r="BY127" s="692"/>
      <c r="BZ127" s="692"/>
      <c r="CA127" s="692"/>
      <c r="CB127" s="692"/>
      <c r="CC127" s="692"/>
      <c r="CD127" s="692"/>
      <c r="CE127" s="692"/>
    </row>
    <row s="5774" customFormat="1" customHeight="1" ht="15">
      <c r="A128" s="689"/>
      <c r="B128" s="690"/>
      <c r="C128" s="690"/>
      <c r="D128" s="2645"/>
      <c r="E128" s="2443" t="s">
        <v>573</v>
      </c>
      <c r="F128" s="2444"/>
      <c r="G128" s="2445"/>
      <c r="H128" s="2449" t="str">
        <f>IF(A127="","",INDEX(DIFFERENTIATION_UNMERGE_AREA,MATCH(A127,DIFFERENTIATION_ID_DIFF,0)))</f>
        <v/>
      </c>
      <c r="I128" s="2449"/>
      <c r="J128" s="2449"/>
      <c r="K128" s="2449"/>
      <c r="L128" s="2449"/>
      <c r="M128" s="2449"/>
      <c r="N128" s="2449"/>
      <c r="O128" s="2449"/>
      <c r="P128" s="2449"/>
      <c r="Q128" s="2449"/>
      <c r="R128" s="2449"/>
      <c r="S128" s="785"/>
      <c r="T128" s="782"/>
      <c r="U128" s="691"/>
      <c r="V128" s="691"/>
      <c r="W128" s="692"/>
      <c r="X128" s="692"/>
      <c r="Y128" s="692"/>
      <c r="Z128" s="692"/>
      <c r="AA128" s="693"/>
      <c r="AB128" s="694"/>
      <c r="AC128" s="2441"/>
      <c r="AD128" s="695"/>
      <c r="AE128" s="696"/>
      <c r="AF128" s="696"/>
      <c r="AG128" s="697"/>
      <c r="AH128" s="698"/>
      <c r="AI128" s="691"/>
      <c r="AJ128" s="691"/>
      <c r="AK128" s="691"/>
      <c r="AL128" s="691"/>
      <c r="AM128" s="691"/>
      <c r="AN128" s="691"/>
      <c r="AO128" s="691"/>
      <c r="AP128" s="691"/>
      <c r="AQ128" s="691"/>
      <c r="AR128" s="691"/>
      <c r="AS128" s="691"/>
      <c r="AT128" s="691"/>
      <c r="AU128" s="691"/>
      <c r="AV128" s="691"/>
      <c r="AW128" s="691"/>
      <c r="AX128" s="691"/>
      <c r="AY128" s="691"/>
      <c r="AZ128" s="691"/>
      <c r="BA128" s="691"/>
      <c r="BB128" s="691"/>
      <c r="BC128" s="691"/>
      <c r="BD128" s="691"/>
      <c r="BE128" s="691"/>
      <c r="BF128" s="691"/>
      <c r="BG128" s="691"/>
      <c r="BH128" s="691"/>
      <c r="BI128" s="691"/>
      <c r="BJ128" s="691"/>
      <c r="BK128" s="691"/>
      <c r="BL128" s="691"/>
      <c r="BM128" s="691"/>
      <c r="BN128" s="691"/>
      <c r="BO128" s="691"/>
      <c r="BP128" s="691"/>
      <c r="BQ128" s="691"/>
      <c r="BR128" s="691"/>
      <c r="BS128" s="691"/>
      <c r="BT128" s="691"/>
      <c r="BU128" s="691"/>
      <c r="BV128" s="692"/>
      <c r="BW128" s="692"/>
      <c r="BX128" s="692"/>
      <c r="BY128" s="692"/>
      <c r="BZ128" s="692"/>
      <c r="CA128" s="692"/>
      <c r="CB128" s="692"/>
      <c r="CC128" s="692"/>
      <c r="CD128" s="692"/>
      <c r="CE128" s="692"/>
    </row>
    <row s="5774" customFormat="1" customHeight="1" ht="15">
      <c r="A129" s="689"/>
      <c r="B129" s="690"/>
      <c r="C129" s="690"/>
      <c r="D129" s="2645"/>
      <c r="E129" s="2443" t="s">
        <v>574</v>
      </c>
      <c r="F129" s="2444"/>
      <c r="G129" s="2445"/>
      <c r="H129" s="2449" t="str">
        <f>IF(A127="","",INDEX(DIFFERENTIATION_UNMERGE_SYSTEM,MATCH(A127,DIFFERENTIATION_ID_DIFF,0)))</f>
        <v/>
      </c>
      <c r="I129" s="2449"/>
      <c r="J129" s="2449"/>
      <c r="K129" s="2449"/>
      <c r="L129" s="2449"/>
      <c r="M129" s="2449"/>
      <c r="N129" s="2449"/>
      <c r="O129" s="2449"/>
      <c r="P129" s="2449"/>
      <c r="Q129" s="2449"/>
      <c r="R129" s="2449"/>
      <c r="S129" s="785"/>
      <c r="T129" s="782"/>
      <c r="U129" s="691"/>
      <c r="V129" s="691"/>
      <c r="W129" s="692"/>
      <c r="X129" s="692"/>
      <c r="Y129" s="692"/>
      <c r="Z129" s="692"/>
      <c r="AA129" s="693"/>
      <c r="AB129" s="694"/>
      <c r="AC129" s="2441"/>
      <c r="AD129" s="695"/>
      <c r="AE129" s="696"/>
      <c r="AF129" s="696"/>
      <c r="AG129" s="697"/>
      <c r="AH129" s="698"/>
      <c r="AI129" s="691"/>
      <c r="AJ129" s="691"/>
      <c r="AK129" s="691"/>
      <c r="AL129" s="691"/>
      <c r="AM129" s="691"/>
      <c r="AN129" s="691"/>
      <c r="AO129" s="691"/>
      <c r="AP129" s="691"/>
      <c r="AQ129" s="691"/>
      <c r="AR129" s="691"/>
      <c r="AS129" s="691"/>
      <c r="AT129" s="691"/>
      <c r="AU129" s="691"/>
      <c r="AV129" s="691"/>
      <c r="AW129" s="691"/>
      <c r="AX129" s="691"/>
      <c r="AY129" s="691"/>
      <c r="AZ129" s="691"/>
      <c r="BA129" s="691"/>
      <c r="BB129" s="691"/>
      <c r="BC129" s="691"/>
      <c r="BD129" s="691"/>
      <c r="BE129" s="691"/>
      <c r="BF129" s="691"/>
      <c r="BG129" s="691"/>
      <c r="BH129" s="691"/>
      <c r="BI129" s="691"/>
      <c r="BJ129" s="691"/>
      <c r="BK129" s="691"/>
      <c r="BL129" s="691"/>
      <c r="BM129" s="691"/>
      <c r="BN129" s="691"/>
      <c r="BO129" s="691"/>
      <c r="BP129" s="691"/>
      <c r="BQ129" s="691"/>
      <c r="BR129" s="691"/>
      <c r="BS129" s="691"/>
      <c r="BT129" s="691"/>
      <c r="BU129" s="691"/>
      <c r="BV129" s="692"/>
      <c r="BW129" s="692"/>
      <c r="BX129" s="692"/>
      <c r="BY129" s="692"/>
      <c r="BZ129" s="692"/>
      <c r="CA129" s="692"/>
      <c r="CB129" s="692"/>
      <c r="CC129" s="692"/>
      <c r="CD129" s="692"/>
      <c r="CE129" s="692"/>
    </row>
    <row s="5774" customFormat="1" customHeight="1" ht="24.75">
      <c r="A130" s="1872"/>
      <c r="B130" s="1226"/>
      <c r="C130" s="478"/>
      <c r="D130" s="2645"/>
      <c r="E130" s="2442" t="s">
        <v>619</v>
      </c>
      <c r="F130" s="2442"/>
      <c r="G130" s="2442"/>
      <c r="H130" s="2442"/>
      <c r="I130" s="2442"/>
      <c r="J130" s="2442"/>
      <c r="K130" s="2442"/>
      <c r="L130" s="2442"/>
      <c r="M130" s="2442"/>
      <c r="N130" s="2442"/>
      <c r="O130" s="2442"/>
      <c r="P130" s="2442"/>
      <c r="Q130" s="624">
        <f>SUMIF(T131:T132,"i",Q131:Q132)</f>
        <v>0</v>
      </c>
      <c r="R130" s="1083"/>
      <c r="S130" s="1864" t="s">
        <v>620</v>
      </c>
      <c r="T130" s="783" t="s">
        <v>621</v>
      </c>
      <c r="U130" s="2440">
        <v>1</v>
      </c>
      <c r="V130" s="2440" t="s">
        <v>584</v>
      </c>
      <c r="W130" s="1226"/>
      <c r="X130" s="1226"/>
      <c r="Y130" s="1226"/>
      <c r="Z130" s="1226"/>
      <c r="AA130" s="1702"/>
      <c r="AB130" s="1226"/>
      <c r="AC130" s="2441"/>
      <c r="AD130" s="695"/>
      <c r="AE130" s="1226"/>
      <c r="AF130" s="1226"/>
      <c r="AG130" s="1702"/>
      <c r="AH130" s="1702"/>
      <c r="AI130" s="1702"/>
      <c r="AJ130" s="1702"/>
      <c r="AK130" s="1702"/>
      <c r="AL130" s="1702"/>
      <c r="AM130" s="1702"/>
      <c r="AN130" s="1702"/>
      <c r="AO130" s="1702"/>
      <c r="AP130" s="1702"/>
      <c r="AQ130" s="1702"/>
      <c r="AR130" s="1702"/>
      <c r="AS130" s="1702"/>
      <c r="AT130" s="1702"/>
      <c r="AU130" s="1702"/>
      <c r="AV130" s="1702"/>
      <c r="AW130" s="1702"/>
      <c r="AX130" s="1702"/>
      <c r="AY130" s="1702"/>
      <c r="AZ130" s="1702"/>
      <c r="BA130" s="1702"/>
      <c r="BB130" s="1702"/>
      <c r="BC130" s="1702"/>
      <c r="BD130" s="1702"/>
      <c r="BE130" s="1702"/>
      <c r="BF130" s="1702"/>
      <c r="BG130" s="1702"/>
      <c r="BH130" s="1702"/>
      <c r="BI130" s="1702"/>
      <c r="BJ130" s="1702"/>
      <c r="BK130" s="1702"/>
      <c r="BL130" s="1702"/>
      <c r="BM130" s="1702"/>
      <c r="BN130" s="1702"/>
      <c r="BO130" s="1702"/>
      <c r="BP130" s="1702"/>
      <c r="BQ130" s="1702"/>
      <c r="BR130" s="1702"/>
      <c r="BS130" s="1702"/>
      <c r="BT130" s="1702"/>
      <c r="BU130" s="1702"/>
      <c r="BV130" s="1226"/>
      <c r="BW130" s="1226"/>
      <c r="BX130" s="1226"/>
      <c r="BY130" s="1226"/>
      <c r="BZ130" s="1226"/>
      <c r="CA130" s="1226"/>
      <c r="CB130" s="1226"/>
      <c r="CC130" s="1226"/>
      <c r="CD130" s="1226"/>
      <c r="CE130" s="1226"/>
    </row>
    <row s="5774" customFormat="1" customHeight="1" ht="11.25" hidden="1">
      <c r="A131" s="1859"/>
      <c r="B131" s="1702"/>
      <c r="C131" s="1702"/>
      <c r="D131" s="2645"/>
      <c r="E131" s="701"/>
      <c r="F131" s="701">
        <v>0</v>
      </c>
      <c r="G131" s="701"/>
      <c r="H131" s="701"/>
      <c r="I131" s="701"/>
      <c r="J131" s="701"/>
      <c r="K131" s="701"/>
      <c r="L131" s="701"/>
      <c r="M131" s="701"/>
      <c r="N131" s="701"/>
      <c r="O131" s="701"/>
      <c r="P131" s="701"/>
      <c r="Q131" s="701"/>
      <c r="R131" s="701"/>
      <c r="S131" s="702"/>
      <c r="T131" s="784"/>
      <c r="U131" s="2440"/>
      <c r="V131" s="2440"/>
      <c r="W131" s="1702"/>
      <c r="X131" s="1702"/>
      <c r="Y131" s="1702"/>
      <c r="Z131" s="1702"/>
      <c r="AA131" s="1702"/>
      <c r="AB131" s="1226"/>
      <c r="AC131" s="2441"/>
      <c r="AD131" s="695"/>
      <c r="AE131" s="1226"/>
      <c r="AF131" s="1226"/>
      <c r="AG131" s="1702"/>
      <c r="AH131" s="1702"/>
      <c r="AI131" s="1702"/>
      <c r="AJ131" s="1702"/>
      <c r="AK131" s="1702"/>
      <c r="AL131" s="1702"/>
      <c r="AM131" s="1702"/>
      <c r="AN131" s="1702"/>
      <c r="AO131" s="1702"/>
      <c r="AP131" s="1702"/>
      <c r="AQ131" s="1702"/>
      <c r="AR131" s="1702"/>
      <c r="AS131" s="1702"/>
      <c r="AT131" s="1702"/>
      <c r="AU131" s="1702"/>
      <c r="AV131" s="1702"/>
      <c r="AW131" s="1702"/>
      <c r="AX131" s="1702"/>
      <c r="AY131" s="1702"/>
      <c r="AZ131" s="1702"/>
      <c r="BA131" s="1702"/>
      <c r="BB131" s="1702"/>
      <c r="BC131" s="1702"/>
      <c r="BD131" s="1702"/>
      <c r="BE131" s="1702"/>
      <c r="BF131" s="1702"/>
      <c r="BG131" s="1702"/>
      <c r="BH131" s="1702"/>
      <c r="BI131" s="1702"/>
      <c r="BJ131" s="1702"/>
      <c r="BK131" s="1702"/>
      <c r="BL131" s="1702"/>
      <c r="BM131" s="1702"/>
      <c r="BN131" s="1702"/>
      <c r="BO131" s="1702"/>
      <c r="BP131" s="1702"/>
      <c r="BQ131" s="1702"/>
      <c r="BR131" s="1702"/>
      <c r="BS131" s="1702"/>
      <c r="BT131" s="1702"/>
      <c r="BU131" s="1702"/>
      <c r="BV131" s="1702"/>
      <c r="BW131" s="1702"/>
      <c r="BX131" s="1702"/>
      <c r="BY131" s="1702"/>
      <c r="BZ131" s="1702"/>
      <c r="CA131" s="1702"/>
      <c r="CB131" s="1702"/>
      <c r="CC131" s="1702"/>
      <c r="CD131" s="1702"/>
      <c r="CE131" s="1702"/>
    </row>
    <row s="5774" customFormat="1" customHeight="1" ht="11.25">
      <c r="A132" s="1872"/>
      <c r="B132" s="1226"/>
      <c r="C132" s="478"/>
      <c r="D132" s="2645"/>
      <c r="E132" s="715" t="s">
        <v>28</v>
      </c>
      <c r="F132" s="1234" t="s">
        <v>28</v>
      </c>
      <c r="G132" s="1234" t="s">
        <v>1938</v>
      </c>
      <c r="H132" s="717" t="s">
        <v>28</v>
      </c>
      <c r="I132" s="717"/>
      <c r="J132" s="717"/>
      <c r="K132" s="717"/>
      <c r="L132" s="717"/>
      <c r="M132" s="717"/>
      <c r="N132" s="717"/>
      <c r="O132" s="717"/>
      <c r="P132" s="717"/>
      <c r="Q132" s="717"/>
      <c r="R132" s="718"/>
      <c r="S132" s="719"/>
      <c r="T132" s="784"/>
      <c r="U132" s="2440"/>
      <c r="V132" s="2440"/>
      <c r="W132" s="1226"/>
      <c r="X132" s="1226"/>
      <c r="Y132" s="1226"/>
      <c r="Z132" s="1226"/>
      <c r="AA132" s="1702"/>
      <c r="AB132" s="1226"/>
      <c r="AC132" s="2441"/>
      <c r="AD132" s="695"/>
      <c r="AE132" s="1226"/>
      <c r="AF132" s="1226"/>
      <c r="AG132" s="1702"/>
      <c r="AH132" s="1702"/>
      <c r="AI132" s="1702"/>
      <c r="AJ132" s="1702"/>
      <c r="AK132" s="1702"/>
      <c r="AL132" s="1702"/>
      <c r="AM132" s="1702"/>
      <c r="AN132" s="1702"/>
      <c r="AO132" s="1702"/>
      <c r="AP132" s="1702"/>
      <c r="AQ132" s="1702"/>
      <c r="AR132" s="1702"/>
      <c r="AS132" s="1702"/>
      <c r="AT132" s="1702"/>
      <c r="AU132" s="1702"/>
      <c r="AV132" s="1702"/>
      <c r="AW132" s="1702"/>
      <c r="AX132" s="1702"/>
      <c r="AY132" s="1702"/>
      <c r="AZ132" s="1702"/>
      <c r="BA132" s="1702"/>
      <c r="BB132" s="1702"/>
      <c r="BC132" s="1702"/>
      <c r="BD132" s="1702"/>
      <c r="BE132" s="1702"/>
      <c r="BF132" s="1702"/>
      <c r="BG132" s="1702"/>
      <c r="BH132" s="1702"/>
      <c r="BI132" s="1702"/>
      <c r="BJ132" s="1702"/>
      <c r="BK132" s="1702"/>
      <c r="BL132" s="1702"/>
      <c r="BM132" s="1702"/>
      <c r="BN132" s="1702"/>
      <c r="BO132" s="1702"/>
      <c r="BP132" s="1702"/>
      <c r="BQ132" s="1702"/>
      <c r="BR132" s="1702"/>
      <c r="BS132" s="1702"/>
      <c r="BT132" s="1702"/>
      <c r="BU132" s="1702"/>
      <c r="BV132" s="1226"/>
      <c r="BW132" s="1226"/>
      <c r="BX132" s="1226"/>
      <c r="BY132" s="1226"/>
      <c r="BZ132" s="1226"/>
      <c r="CA132" s="1226"/>
      <c r="CB132" s="1226"/>
      <c r="CC132" s="1226"/>
      <c r="CD132" s="1226"/>
      <c r="CE132" s="1226"/>
    </row>
    <row s="5735" customFormat="1" customHeight="1" ht="5.25" hidden="1">
      <c r="A133" s="1859"/>
      <c r="B133" s="1702"/>
      <c r="C133" s="1702"/>
      <c r="D133" s="2645"/>
      <c r="E133" s="1105"/>
      <c r="F133" s="1105"/>
      <c r="G133" s="1105"/>
      <c r="H133" s="1105"/>
      <c r="I133" s="1105"/>
      <c r="J133" s="1105"/>
      <c r="K133" s="1105"/>
      <c r="L133" s="1105"/>
      <c r="M133" s="1105"/>
      <c r="N133" s="1105"/>
      <c r="O133" s="1105"/>
      <c r="P133" s="1105"/>
      <c r="Q133" s="1106"/>
      <c r="R133" s="1107"/>
      <c r="S133" s="1108"/>
      <c r="T133" s="783" t="s">
        <v>621</v>
      </c>
      <c r="U133" s="2440">
        <v>1</v>
      </c>
      <c r="V133" s="2440" t="s">
        <v>584</v>
      </c>
      <c r="W133" s="1702"/>
      <c r="X133" s="1702"/>
      <c r="Y133" s="1702"/>
      <c r="Z133" s="1702"/>
      <c r="AA133" s="1702"/>
      <c r="AB133" s="1702"/>
      <c r="AC133" s="1103"/>
      <c r="AD133" s="1104"/>
      <c r="AE133" s="1702"/>
      <c r="AF133" s="1702"/>
      <c r="AG133" s="1702"/>
      <c r="AH133" s="1702"/>
      <c r="AI133" s="1702"/>
      <c r="AJ133" s="1702"/>
      <c r="AK133" s="1702"/>
      <c r="AL133" s="1702"/>
      <c r="AM133" s="1702"/>
      <c r="AN133" s="1702"/>
      <c r="AO133" s="1702"/>
      <c r="AP133" s="1702"/>
      <c r="AQ133" s="1702"/>
      <c r="AR133" s="1702"/>
      <c r="AS133" s="1702"/>
      <c r="AT133" s="1702"/>
      <c r="AU133" s="1702"/>
      <c r="AV133" s="1702"/>
      <c r="AW133" s="1702"/>
      <c r="AX133" s="1702"/>
      <c r="AY133" s="1702"/>
      <c r="AZ133" s="1702"/>
      <c r="BA133" s="1702"/>
      <c r="BB133" s="1702"/>
      <c r="BC133" s="1702"/>
      <c r="BD133" s="1702"/>
      <c r="BE133" s="1702"/>
      <c r="BF133" s="1702"/>
      <c r="BG133" s="1702"/>
      <c r="BH133" s="1702"/>
      <c r="BI133" s="1702"/>
      <c r="BJ133" s="1702"/>
      <c r="BK133" s="1702"/>
      <c r="BL133" s="1702"/>
      <c r="BM133" s="1702"/>
      <c r="BN133" s="1702"/>
      <c r="BO133" s="1702"/>
      <c r="BP133" s="1702"/>
      <c r="BQ133" s="1702"/>
      <c r="BR133" s="1702"/>
      <c r="BS133" s="1702"/>
      <c r="BT133" s="1702"/>
      <c r="BU133" s="1702"/>
      <c r="BV133" s="1702"/>
      <c r="BW133" s="1702"/>
      <c r="BX133" s="1702"/>
      <c r="BY133" s="1702"/>
      <c r="BZ133" s="1702"/>
      <c r="CA133" s="1702"/>
      <c r="CB133" s="1702"/>
      <c r="CC133" s="1702"/>
      <c r="CD133" s="1702"/>
      <c r="CE133" s="1702"/>
    </row>
    <row s="5735" customFormat="1" customHeight="1" ht="5.25" hidden="1">
      <c r="A134" s="1859"/>
      <c r="B134" s="1702"/>
      <c r="C134" s="1702"/>
      <c r="D134" s="2645"/>
      <c r="E134" s="701"/>
      <c r="F134" s="701"/>
      <c r="G134" s="701"/>
      <c r="H134" s="701"/>
      <c r="I134" s="701"/>
      <c r="J134" s="701"/>
      <c r="K134" s="701"/>
      <c r="L134" s="701"/>
      <c r="M134" s="701"/>
      <c r="N134" s="701"/>
      <c r="O134" s="701"/>
      <c r="P134" s="701"/>
      <c r="Q134" s="701"/>
      <c r="R134" s="701"/>
      <c r="S134" s="702"/>
      <c r="T134" s="784"/>
      <c r="U134" s="2440"/>
      <c r="V134" s="2440"/>
      <c r="W134" s="1702"/>
      <c r="X134" s="1702"/>
      <c r="Y134" s="1702"/>
      <c r="Z134" s="1702"/>
      <c r="AA134" s="1702"/>
      <c r="AB134" s="1702"/>
      <c r="AC134" s="1103"/>
      <c r="AD134" s="1104"/>
      <c r="AE134" s="1702"/>
      <c r="AF134" s="1702"/>
      <c r="AG134" s="1702"/>
      <c r="AH134" s="1702"/>
      <c r="AI134" s="1702"/>
      <c r="AJ134" s="1702"/>
      <c r="AK134" s="1702"/>
      <c r="AL134" s="1702"/>
      <c r="AM134" s="1702"/>
      <c r="AN134" s="1702"/>
      <c r="AO134" s="1702"/>
      <c r="AP134" s="1702"/>
      <c r="AQ134" s="1702"/>
      <c r="AR134" s="1702"/>
      <c r="AS134" s="1702"/>
      <c r="AT134" s="1702"/>
      <c r="AU134" s="1702"/>
      <c r="AV134" s="1702"/>
      <c r="AW134" s="1702"/>
      <c r="AX134" s="1702"/>
      <c r="AY134" s="1702"/>
      <c r="AZ134" s="1702"/>
      <c r="BA134" s="1702"/>
      <c r="BB134" s="1702"/>
      <c r="BC134" s="1702"/>
      <c r="BD134" s="1702"/>
      <c r="BE134" s="1702"/>
      <c r="BF134" s="1702"/>
      <c r="BG134" s="1702"/>
      <c r="BH134" s="1702"/>
      <c r="BI134" s="1702"/>
      <c r="BJ134" s="1702"/>
      <c r="BK134" s="1702"/>
      <c r="BL134" s="1702"/>
      <c r="BM134" s="1702"/>
      <c r="BN134" s="1702"/>
      <c r="BO134" s="1702"/>
      <c r="BP134" s="1702"/>
      <c r="BQ134" s="1702"/>
      <c r="BR134" s="1702"/>
      <c r="BS134" s="1702"/>
      <c r="BT134" s="1702"/>
      <c r="BU134" s="1702"/>
      <c r="BV134" s="1702"/>
      <c r="BW134" s="1702"/>
      <c r="BX134" s="1702"/>
      <c r="BY134" s="1702"/>
      <c r="BZ134" s="1702"/>
      <c r="CA134" s="1702"/>
      <c r="CB134" s="1702"/>
      <c r="CC134" s="1702"/>
      <c r="CD134" s="1702"/>
      <c r="CE134" s="1702"/>
    </row>
    <row s="5735" customFormat="1" customHeight="1" ht="5.25" hidden="1">
      <c r="A135" s="1859"/>
      <c r="B135" s="1702"/>
      <c r="C135" s="1702"/>
      <c r="D135" s="2646"/>
      <c r="E135" s="1109"/>
      <c r="F135" s="1110"/>
      <c r="G135" s="1110"/>
      <c r="H135" s="1111"/>
      <c r="I135" s="1111"/>
      <c r="J135" s="1111"/>
      <c r="K135" s="1111"/>
      <c r="L135" s="1111"/>
      <c r="M135" s="1111"/>
      <c r="N135" s="1111"/>
      <c r="O135" s="1111"/>
      <c r="P135" s="1111"/>
      <c r="Q135" s="1111"/>
      <c r="R135" s="1012"/>
      <c r="S135" s="1112"/>
      <c r="T135" s="784"/>
      <c r="U135" s="2440"/>
      <c r="V135" s="2440"/>
      <c r="W135" s="1702"/>
      <c r="X135" s="1702"/>
      <c r="Y135" s="1702"/>
      <c r="Z135" s="1702"/>
      <c r="AA135" s="1702"/>
      <c r="AB135" s="1702"/>
      <c r="AC135" s="1103"/>
      <c r="AD135" s="1104"/>
      <c r="AE135" s="1702"/>
      <c r="AF135" s="1702"/>
      <c r="AG135" s="1702"/>
      <c r="AH135" s="1702"/>
      <c r="AI135" s="1702"/>
      <c r="AJ135" s="1702"/>
      <c r="AK135" s="1702"/>
      <c r="AL135" s="1702"/>
      <c r="AM135" s="1702"/>
      <c r="AN135" s="1702"/>
      <c r="AO135" s="1702"/>
      <c r="AP135" s="1702"/>
      <c r="AQ135" s="1702"/>
      <c r="AR135" s="1702"/>
      <c r="AS135" s="1702"/>
      <c r="AT135" s="1702"/>
      <c r="AU135" s="1702"/>
      <c r="AV135" s="1702"/>
      <c r="AW135" s="1702"/>
      <c r="AX135" s="1702"/>
      <c r="AY135" s="1702"/>
      <c r="AZ135" s="1702"/>
      <c r="BA135" s="1702"/>
      <c r="BB135" s="1702"/>
      <c r="BC135" s="1702"/>
      <c r="BD135" s="1702"/>
      <c r="BE135" s="1702"/>
      <c r="BF135" s="1702"/>
      <c r="BG135" s="1702"/>
      <c r="BH135" s="1702"/>
      <c r="BI135" s="1702"/>
      <c r="BJ135" s="1702"/>
      <c r="BK135" s="1702"/>
      <c r="BL135" s="1702"/>
      <c r="BM135" s="1702"/>
      <c r="BN135" s="1702"/>
      <c r="BO135" s="1702"/>
      <c r="BP135" s="1702"/>
      <c r="BQ135" s="1702"/>
      <c r="BR135" s="1702"/>
      <c r="BS135" s="1702"/>
      <c r="BT135" s="1702"/>
      <c r="BU135" s="1702"/>
      <c r="BV135" s="1702"/>
      <c r="BW135" s="1702"/>
      <c r="BX135" s="1702"/>
      <c r="BY135" s="1702"/>
      <c r="BZ135" s="1702"/>
      <c r="CA135" s="1702"/>
      <c r="CB135" s="1702"/>
      <c r="CC135" s="1702"/>
      <c r="CD135" s="1702"/>
      <c r="CE135" s="1702"/>
    </row>
    <row customHeight="1" ht="17.25">
      <c r="D136" s="1902"/>
    </row>
    <row s="5347" customFormat="1" customHeight="1" ht="11.25">
      <c r="A137" s="1881" t="s">
        <v>1940</v>
      </c>
    </row>
    <row r="139" s="5774" customFormat="1" customHeight="1" ht="45">
      <c r="A139" s="1872"/>
      <c r="B139" s="1226"/>
      <c r="C139" s="478"/>
      <c r="D139" s="155"/>
      <c r="E139" s="2638"/>
      <c r="F139" s="2174" t="s">
        <v>114</v>
      </c>
      <c r="G139" s="2641" t="s">
        <v>28</v>
      </c>
      <c r="H139" s="355"/>
      <c r="I139" s="703" t="s">
        <v>114</v>
      </c>
      <c r="J139" s="1873" t="s">
        <v>1941</v>
      </c>
      <c r="K139" s="704" t="s">
        <v>555</v>
      </c>
      <c r="L139" s="2290" t="s">
        <v>555</v>
      </c>
      <c r="M139" s="2643"/>
      <c r="N139" s="704" t="s">
        <v>555</v>
      </c>
      <c r="O139" s="704" t="s">
        <v>555</v>
      </c>
      <c r="P139" s="704" t="s">
        <v>555</v>
      </c>
      <c r="Q139" s="705">
        <f>SUM(Q140:Q142)</f>
        <v>0</v>
      </c>
      <c r="R139" s="705">
        <f>IF(R136=0,0,(Q136/R136)*100)</f>
        <v>0</v>
      </c>
      <c r="S139" s="2245"/>
      <c r="T139" s="783" t="s">
        <v>621</v>
      </c>
      <c r="U139" s="155"/>
      <c r="V139" s="155"/>
      <c r="AC139" s="155"/>
    </row>
    <row s="5774" customFormat="1" customHeight="1" ht="11.25">
      <c r="A140" s="1872"/>
      <c r="B140" s="1226"/>
      <c r="C140" s="478"/>
      <c r="D140" s="155"/>
      <c r="E140" s="2639"/>
      <c r="F140" s="2174"/>
      <c r="G140" s="2641"/>
      <c r="H140" s="2193"/>
      <c r="I140" s="2581" t="s">
        <v>1030</v>
      </c>
      <c r="J140" s="2635"/>
      <c r="K140" s="2636"/>
      <c r="L140" s="706"/>
      <c r="M140" s="707" t="s">
        <v>114</v>
      </c>
      <c r="N140" s="1861"/>
      <c r="O140" s="708"/>
      <c r="P140" s="709"/>
      <c r="Q140" s="708"/>
      <c r="R140" s="710">
        <v>0</v>
      </c>
      <c r="S140" s="2245"/>
      <c r="T140" s="783"/>
      <c r="U140" s="155"/>
      <c r="V140" s="155"/>
      <c r="AC140" s="155"/>
    </row>
    <row s="5774" customFormat="1" customHeight="1" ht="11.25">
      <c r="A141" s="1872"/>
      <c r="B141" s="1226"/>
      <c r="C141" s="478"/>
      <c r="D141" s="155"/>
      <c r="E141" s="2639"/>
      <c r="F141" s="2174"/>
      <c r="G141" s="2641"/>
      <c r="H141" s="2193"/>
      <c r="I141" s="2581"/>
      <c r="J141" s="2635"/>
      <c r="K141" s="2637"/>
      <c r="L141" s="711"/>
      <c r="M141" s="712"/>
      <c r="N141" s="713" t="s">
        <v>1942</v>
      </c>
      <c r="O141" s="713"/>
      <c r="P141" s="713"/>
      <c r="Q141" s="713"/>
      <c r="R141" s="714"/>
      <c r="S141" s="2245"/>
      <c r="T141" s="783"/>
      <c r="U141" s="155"/>
      <c r="V141" s="155"/>
      <c r="AC141" s="155"/>
    </row>
    <row s="5774" customFormat="1" customHeight="1" ht="11.25">
      <c r="A142" s="1872"/>
      <c r="B142" s="1226"/>
      <c r="C142" s="478"/>
      <c r="D142" s="155"/>
      <c r="E142" s="2640"/>
      <c r="F142" s="2174"/>
      <c r="G142" s="2642"/>
      <c r="H142" s="711" t="s">
        <v>28</v>
      </c>
      <c r="I142" s="712"/>
      <c r="J142" s="713" t="s">
        <v>1943</v>
      </c>
      <c r="K142" s="713"/>
      <c r="L142" s="713"/>
      <c r="M142" s="713"/>
      <c r="N142" s="713"/>
      <c r="O142" s="713"/>
      <c r="P142" s="713"/>
      <c r="Q142" s="713"/>
      <c r="R142" s="714"/>
      <c r="S142" s="2245"/>
      <c r="T142" s="783"/>
      <c r="U142" s="155"/>
      <c r="V142" s="155"/>
      <c r="AC142" s="155"/>
    </row>
    <row r="147" s="5774" customFormat="1" customHeight="1" ht="11.25">
      <c r="A147" s="1872"/>
      <c r="B147" s="1226"/>
      <c r="C147" s="478"/>
      <c r="D147" s="155"/>
      <c r="E147" s="1896"/>
      <c r="F147" s="1896"/>
      <c r="G147" s="1896"/>
      <c r="H147" s="2193"/>
      <c r="I147" s="2581" t="s">
        <v>1030</v>
      </c>
      <c r="J147" s="2635"/>
      <c r="K147" s="2636"/>
      <c r="L147" s="706"/>
      <c r="M147" s="707" t="s">
        <v>114</v>
      </c>
      <c r="N147" s="1861"/>
      <c r="O147" s="708"/>
      <c r="P147" s="709"/>
      <c r="Q147" s="708"/>
      <c r="R147" s="710">
        <v>0</v>
      </c>
      <c r="S147" s="155"/>
      <c r="T147" s="783"/>
      <c r="U147" s="155"/>
      <c r="V147" s="155"/>
      <c r="AC147" s="155"/>
    </row>
    <row s="5774" customFormat="1" customHeight="1" ht="11.25">
      <c r="A148" s="1872"/>
      <c r="B148" s="1226"/>
      <c r="C148" s="478"/>
      <c r="D148" s="155"/>
      <c r="E148" s="1896"/>
      <c r="F148" s="1896"/>
      <c r="G148" s="1896"/>
      <c r="H148" s="2193"/>
      <c r="I148" s="2581"/>
      <c r="J148" s="2635"/>
      <c r="K148" s="2637"/>
      <c r="L148" s="711"/>
      <c r="M148" s="712"/>
      <c r="N148" s="713" t="s">
        <v>1942</v>
      </c>
      <c r="O148" s="713"/>
      <c r="P148" s="713"/>
      <c r="Q148" s="713"/>
      <c r="R148" s="714"/>
      <c r="S148" s="155"/>
      <c r="T148" s="783"/>
      <c r="U148" s="155"/>
      <c r="V148" s="155"/>
      <c r="AC148" s="155"/>
    </row>
    <row r="150" s="5774" customFormat="1" customHeight="1" ht="11.25">
      <c r="A150" s="1872"/>
      <c r="B150" s="1226"/>
      <c r="C150" s="478"/>
      <c r="D150" s="155"/>
      <c r="E150" s="1903"/>
      <c r="F150" s="1901"/>
      <c r="G150" s="1901"/>
      <c r="H150" s="1904"/>
      <c r="I150" s="1896"/>
      <c r="J150" s="1897"/>
      <c r="K150" s="1897"/>
      <c r="L150" s="706"/>
      <c r="M150" s="707" t="s">
        <v>114</v>
      </c>
      <c r="N150" s="1861"/>
      <c r="O150" s="708"/>
      <c r="P150" s="709"/>
      <c r="Q150" s="708"/>
      <c r="R150" s="710">
        <v>0</v>
      </c>
      <c r="S150" s="155"/>
      <c r="T150" s="783"/>
      <c r="U150" s="155"/>
      <c r="V150" s="155"/>
      <c r="AC150" s="155"/>
    </row>
    <row r="152" s="5347" customFormat="1" customHeight="1" ht="17.25">
      <c r="A152" s="1881" t="s">
        <v>1944</v>
      </c>
    </row>
    <row customHeight="1" ht="17.25">
      <c r="G153" s="1905"/>
      <c r="H153" s="1905"/>
      <c r="I153" s="1905"/>
      <c r="M153" s="1901"/>
    </row>
    <row s="5597" customFormat="1" customHeight="1" ht="17.25">
      <c r="A154" s="1906"/>
      <c r="C154" s="1908"/>
      <c r="D154" s="2595"/>
      <c r="E154" s="2209"/>
      <c r="F154" s="2211"/>
      <c r="G154" s="2597"/>
      <c r="H154" s="2595"/>
      <c r="I154" s="2595">
        <v>1</v>
      </c>
      <c r="J154" s="2567"/>
      <c r="K154" s="2251" t="s">
        <v>71</v>
      </c>
      <c r="L154" s="2174"/>
      <c r="M154" s="2174" t="s">
        <v>114</v>
      </c>
      <c r="N154" s="2570" t="str">
        <f>IF(Z154="","",INDEX(TERRITORY_MR_LIST,MATCH(Z154,TERRITORY_LIST_ID,0)))</f>
        <v/>
      </c>
      <c r="O154" s="2251" t="s">
        <v>71</v>
      </c>
      <c r="P154" s="2174"/>
      <c r="Q154" s="2174" t="s">
        <v>114</v>
      </c>
      <c r="R154" s="2568" t="s">
        <v>28</v>
      </c>
      <c r="S154" s="2173" t="s">
        <v>71</v>
      </c>
      <c r="T154" s="1877"/>
      <c r="U154" s="1877" t="s">
        <v>114</v>
      </c>
      <c r="V154" s="1909" t="s">
        <v>28</v>
      </c>
      <c r="W154" s="1867"/>
      <c r="Y154" s="1333"/>
      <c r="Z154" s="1333"/>
      <c r="AA154" s="1333"/>
      <c r="AB154" s="1333"/>
      <c r="AC154" s="1333"/>
      <c r="AD154" s="1333"/>
      <c r="AE154" s="1333"/>
      <c r="AF154" s="1333"/>
      <c r="AG154" s="1333"/>
      <c r="AH154" s="1333"/>
      <c r="AI154" s="1333"/>
      <c r="AJ154" s="1333"/>
      <c r="AK154" s="1333"/>
      <c r="AL154" s="1910"/>
      <c r="AM154" s="1910"/>
      <c r="AN154" s="1333"/>
      <c r="AO154" s="1333"/>
      <c r="AP154" s="1333"/>
      <c r="AQ154" s="1333"/>
    </row>
    <row s="5597" customFormat="1" customHeight="1" ht="17.25">
      <c r="A155" s="1906"/>
      <c r="C155" s="1911"/>
      <c r="D155" s="2595"/>
      <c r="E155" s="2209"/>
      <c r="F155" s="2212"/>
      <c r="G155" s="2597"/>
      <c r="H155" s="2595"/>
      <c r="I155" s="2595"/>
      <c r="J155" s="2567"/>
      <c r="K155" s="2252"/>
      <c r="L155" s="2174"/>
      <c r="M155" s="2174"/>
      <c r="N155" s="2570"/>
      <c r="O155" s="2252"/>
      <c r="P155" s="2174"/>
      <c r="Q155" s="2174"/>
      <c r="R155" s="2568"/>
      <c r="S155" s="2173"/>
      <c r="T155" s="383"/>
      <c r="U155" s="384"/>
      <c r="V155" s="384" t="s">
        <v>173</v>
      </c>
      <c r="W155" s="385"/>
      <c r="Y155" s="1325"/>
      <c r="Z155" s="1325"/>
      <c r="AA155" s="1325"/>
      <c r="AB155" s="1325"/>
      <c r="AC155" s="1325"/>
      <c r="AD155" s="1325"/>
      <c r="AE155" s="1325"/>
      <c r="AF155" s="1325"/>
      <c r="AG155" s="1325"/>
      <c r="AH155" s="1325"/>
      <c r="AI155" s="1325"/>
      <c r="AJ155" s="1325"/>
      <c r="AK155" s="1325"/>
    </row>
    <row s="5597" customFormat="1" customHeight="1" ht="17.25">
      <c r="A156" s="1906"/>
      <c r="C156" s="1911"/>
      <c r="D156" s="2569"/>
      <c r="E156" s="2596"/>
      <c r="F156" s="2212"/>
      <c r="G156" s="2598"/>
      <c r="H156" s="2569"/>
      <c r="I156" s="2569"/>
      <c r="J156" s="2599"/>
      <c r="K156" s="2252"/>
      <c r="L156" s="2569"/>
      <c r="M156" s="2569"/>
      <c r="N156" s="2571"/>
      <c r="O156" s="2178"/>
      <c r="P156" s="383"/>
      <c r="Q156" s="384"/>
      <c r="R156" s="384" t="s">
        <v>174</v>
      </c>
      <c r="S156" s="1912"/>
      <c r="T156" s="1912"/>
      <c r="U156" s="1912"/>
      <c r="V156" s="1912"/>
      <c r="W156" s="385"/>
      <c r="Y156" s="1325"/>
      <c r="Z156" s="1325"/>
      <c r="AA156" s="1325"/>
      <c r="AB156" s="1325"/>
      <c r="AC156" s="1325"/>
      <c r="AD156" s="1325"/>
      <c r="AE156" s="1325"/>
      <c r="AF156" s="1325"/>
      <c r="AG156" s="1325"/>
      <c r="AH156" s="1325"/>
      <c r="AI156" s="1325"/>
      <c r="AJ156" s="1325"/>
      <c r="AK156" s="1325"/>
    </row>
    <row s="5597" customFormat="1" customHeight="1" ht="17.25">
      <c r="A157" s="1906"/>
      <c r="C157" s="1911"/>
      <c r="D157" s="2569"/>
      <c r="E157" s="2596"/>
      <c r="F157" s="2212"/>
      <c r="G157" s="2598"/>
      <c r="H157" s="2569"/>
      <c r="I157" s="2569"/>
      <c r="J157" s="2599"/>
      <c r="K157" s="2178"/>
      <c r="L157" s="383"/>
      <c r="M157" s="384"/>
      <c r="N157" s="384" t="s">
        <v>175</v>
      </c>
      <c r="O157" s="384"/>
      <c r="P157" s="384"/>
      <c r="Q157" s="384"/>
      <c r="R157" s="384"/>
      <c r="S157" s="1912"/>
      <c r="T157" s="1912"/>
      <c r="U157" s="1912"/>
      <c r="V157" s="1912"/>
      <c r="W157" s="385"/>
      <c r="Y157" s="1325"/>
      <c r="Z157" s="1325"/>
      <c r="AA157" s="1325"/>
      <c r="AB157" s="1325"/>
      <c r="AC157" s="1325"/>
      <c r="AD157" s="1325"/>
      <c r="AE157" s="1325"/>
      <c r="AF157" s="1325"/>
      <c r="AG157" s="1325"/>
      <c r="AH157" s="1325"/>
      <c r="AI157" s="1325"/>
      <c r="AJ157" s="1325"/>
      <c r="AK157" s="1325"/>
    </row>
    <row s="5597" customFormat="1" customHeight="1" ht="17.25">
      <c r="A158" s="1906"/>
      <c r="C158" s="1911"/>
      <c r="D158" s="2569"/>
      <c r="E158" s="2596"/>
      <c r="F158" s="2213"/>
      <c r="G158" s="2598"/>
      <c r="H158" s="383"/>
      <c r="I158" s="384"/>
      <c r="J158" s="384" t="s">
        <v>176</v>
      </c>
      <c r="K158" s="384"/>
      <c r="L158" s="384"/>
      <c r="M158" s="384"/>
      <c r="N158" s="384"/>
      <c r="O158" s="384"/>
      <c r="P158" s="384"/>
      <c r="Q158" s="384"/>
      <c r="R158" s="384"/>
      <c r="S158" s="1912"/>
      <c r="T158" s="1912"/>
      <c r="U158" s="1912"/>
      <c r="V158" s="1912"/>
      <c r="W158" s="385"/>
      <c r="Y158" s="1325"/>
      <c r="Z158" s="1325"/>
      <c r="AA158" s="1325"/>
      <c r="AB158" s="1325"/>
      <c r="AC158" s="1325"/>
      <c r="AD158" s="1325"/>
      <c r="AE158" s="1325"/>
      <c r="AF158" s="1325"/>
      <c r="AG158" s="1325"/>
      <c r="AH158" s="1325"/>
      <c r="AI158" s="1325"/>
      <c r="AJ158" s="1325"/>
      <c r="AK158" s="1325"/>
    </row>
    <row customHeight="1" ht="17.25">
      <c r="G159" s="1905"/>
      <c r="H159" s="1905"/>
      <c r="I159" s="1905"/>
      <c r="M159" s="1901"/>
    </row>
    <row s="5597" customFormat="1" customHeight="1" ht="17.25">
      <c r="A160" s="1906"/>
      <c r="C160" s="1908"/>
      <c r="D160" s="1896"/>
      <c r="E160" s="1913"/>
      <c r="F160" s="1850"/>
      <c r="G160" s="1914"/>
      <c r="H160" s="2595"/>
      <c r="I160" s="2595">
        <v>1</v>
      </c>
      <c r="J160" s="2567"/>
      <c r="K160" s="2251" t="s">
        <v>71</v>
      </c>
      <c r="L160" s="2174"/>
      <c r="M160" s="2174" t="s">
        <v>114</v>
      </c>
      <c r="N160" s="2570" t="str">
        <f>IF(Z160="","",INDEX(TERRITORY_MR_LIST,MATCH(Z160,TERRITORY_LIST_ID,0)))</f>
        <v/>
      </c>
      <c r="O160" s="2251" t="s">
        <v>71</v>
      </c>
      <c r="P160" s="2174"/>
      <c r="Q160" s="2174" t="s">
        <v>114</v>
      </c>
      <c r="R160" s="2568" t="s">
        <v>28</v>
      </c>
      <c r="S160" s="2173" t="s">
        <v>71</v>
      </c>
      <c r="T160" s="1877"/>
      <c r="U160" s="1877" t="s">
        <v>114</v>
      </c>
      <c r="V160" s="1909" t="s">
        <v>28</v>
      </c>
      <c r="W160" s="1867"/>
      <c r="Y160" s="1333"/>
      <c r="Z160" s="1333"/>
      <c r="AA160" s="1333"/>
      <c r="AB160" s="1333"/>
      <c r="AC160" s="1333"/>
      <c r="AD160" s="1333"/>
      <c r="AE160" s="1333"/>
      <c r="AF160" s="1333"/>
      <c r="AG160" s="1333"/>
      <c r="AH160" s="1333"/>
      <c r="AI160" s="1333"/>
      <c r="AJ160" s="1333"/>
      <c r="AK160" s="1333"/>
      <c r="AL160" s="1910"/>
      <c r="AM160" s="1910"/>
      <c r="AN160" s="1333"/>
      <c r="AO160" s="1333"/>
      <c r="AP160" s="1333"/>
      <c r="AQ160" s="1333"/>
    </row>
    <row s="5597" customFormat="1" customHeight="1" ht="17.25">
      <c r="A161" s="1906"/>
      <c r="C161" s="1911"/>
      <c r="D161" s="1896"/>
      <c r="E161" s="1913"/>
      <c r="F161" s="1850"/>
      <c r="G161" s="1914"/>
      <c r="H161" s="2595"/>
      <c r="I161" s="2595"/>
      <c r="J161" s="2567"/>
      <c r="K161" s="2252"/>
      <c r="L161" s="2174"/>
      <c r="M161" s="2174"/>
      <c r="N161" s="2570"/>
      <c r="O161" s="2252"/>
      <c r="P161" s="2174"/>
      <c r="Q161" s="2174"/>
      <c r="R161" s="2568"/>
      <c r="S161" s="2173"/>
      <c r="T161" s="383"/>
      <c r="U161" s="384"/>
      <c r="V161" s="384" t="s">
        <v>173</v>
      </c>
      <c r="W161" s="385"/>
      <c r="Y161" s="1325"/>
      <c r="Z161" s="1325"/>
      <c r="AA161" s="1325"/>
      <c r="AB161" s="1325"/>
      <c r="AC161" s="1325"/>
      <c r="AD161" s="1325"/>
      <c r="AE161" s="1325"/>
      <c r="AF161" s="1325"/>
      <c r="AG161" s="1325"/>
      <c r="AH161" s="1325"/>
      <c r="AI161" s="1325"/>
      <c r="AJ161" s="1325"/>
      <c r="AK161" s="1325"/>
    </row>
    <row s="5597" customFormat="1" customHeight="1" ht="17.25">
      <c r="A162" s="1906"/>
      <c r="C162" s="1911"/>
      <c r="D162" s="1896"/>
      <c r="E162" s="1913"/>
      <c r="F162" s="1850"/>
      <c r="G162" s="1914"/>
      <c r="H162" s="2569"/>
      <c r="I162" s="2569"/>
      <c r="J162" s="2599"/>
      <c r="K162" s="2252"/>
      <c r="L162" s="2569"/>
      <c r="M162" s="2569"/>
      <c r="N162" s="2571"/>
      <c r="O162" s="2178"/>
      <c r="P162" s="383"/>
      <c r="Q162" s="384"/>
      <c r="R162" s="384" t="s">
        <v>174</v>
      </c>
      <c r="S162" s="1912"/>
      <c r="T162" s="1912"/>
      <c r="U162" s="1912"/>
      <c r="V162" s="1912"/>
      <c r="W162" s="385"/>
      <c r="Y162" s="1325"/>
      <c r="Z162" s="1325"/>
      <c r="AA162" s="1325"/>
      <c r="AB162" s="1325"/>
      <c r="AC162" s="1325"/>
      <c r="AD162" s="1325"/>
      <c r="AE162" s="1325"/>
      <c r="AF162" s="1325"/>
      <c r="AG162" s="1325"/>
      <c r="AH162" s="1325"/>
      <c r="AI162" s="1325"/>
      <c r="AJ162" s="1325"/>
      <c r="AK162" s="1325"/>
    </row>
    <row s="5597" customFormat="1" customHeight="1" ht="17.25">
      <c r="A163" s="1906"/>
      <c r="C163" s="1911"/>
      <c r="D163" s="1896"/>
      <c r="E163" s="1913"/>
      <c r="F163" s="1850"/>
      <c r="G163" s="1914"/>
      <c r="H163" s="2569"/>
      <c r="I163" s="2569"/>
      <c r="J163" s="2599"/>
      <c r="K163" s="2178"/>
      <c r="L163" s="383"/>
      <c r="M163" s="384"/>
      <c r="N163" s="384" t="s">
        <v>175</v>
      </c>
      <c r="O163" s="384"/>
      <c r="P163" s="384"/>
      <c r="Q163" s="384"/>
      <c r="R163" s="384"/>
      <c r="S163" s="1912"/>
      <c r="T163" s="1912"/>
      <c r="U163" s="1912"/>
      <c r="V163" s="1912"/>
      <c r="W163" s="385"/>
      <c r="Y163" s="1325"/>
      <c r="Z163" s="1325"/>
      <c r="AA163" s="1325"/>
      <c r="AB163" s="1325"/>
      <c r="AC163" s="1325"/>
      <c r="AD163" s="1325"/>
      <c r="AE163" s="1325"/>
      <c r="AF163" s="1325"/>
      <c r="AG163" s="1325"/>
      <c r="AH163" s="1325"/>
      <c r="AI163" s="1325"/>
      <c r="AJ163" s="1325"/>
      <c r="AK163" s="1325"/>
    </row>
    <row customHeight="1" ht="17.25">
      <c r="G164" s="1905"/>
      <c r="H164" s="1905"/>
      <c r="I164" s="1905"/>
      <c r="M164" s="1901"/>
    </row>
    <row s="5597" customFormat="1" customHeight="1" ht="17.25">
      <c r="A165" s="1906"/>
      <c r="C165" s="1908"/>
      <c r="D165" s="1896"/>
      <c r="E165" s="1913"/>
      <c r="F165" s="1850"/>
      <c r="G165" s="1914"/>
      <c r="H165" s="1896"/>
      <c r="I165" s="1896"/>
      <c r="J165" s="1915"/>
      <c r="K165" s="1826"/>
      <c r="L165" s="2174"/>
      <c r="M165" s="2174" t="s">
        <v>114</v>
      </c>
      <c r="N165" s="2570" t="str">
        <f>IF(Z165="","",INDEX(TERRITORY_MR_LIST,MATCH(Z165,TERRITORY_LIST_ID,0)))</f>
        <v/>
      </c>
      <c r="O165" s="2251" t="s">
        <v>71</v>
      </c>
      <c r="P165" s="2174"/>
      <c r="Q165" s="2174" t="s">
        <v>114</v>
      </c>
      <c r="R165" s="2568" t="s">
        <v>28</v>
      </c>
      <c r="S165" s="2173" t="s">
        <v>71</v>
      </c>
      <c r="T165" s="1877"/>
      <c r="U165" s="1877" t="s">
        <v>114</v>
      </c>
      <c r="V165" s="1909" t="s">
        <v>28</v>
      </c>
      <c r="W165" s="1867"/>
      <c r="Y165" s="1333"/>
      <c r="Z165" s="1333"/>
      <c r="AA165" s="1333"/>
      <c r="AB165" s="1333"/>
      <c r="AC165" s="1333"/>
      <c r="AD165" s="1333"/>
      <c r="AE165" s="1333"/>
      <c r="AF165" s="1333"/>
      <c r="AG165" s="1333"/>
      <c r="AH165" s="1333"/>
      <c r="AI165" s="1333"/>
      <c r="AJ165" s="1333"/>
      <c r="AK165" s="1333"/>
      <c r="AL165" s="1910"/>
      <c r="AM165" s="1910"/>
      <c r="AN165" s="1333"/>
      <c r="AO165" s="1333"/>
      <c r="AP165" s="1333"/>
      <c r="AQ165" s="1333"/>
    </row>
    <row s="5597" customFormat="1" customHeight="1" ht="17.25">
      <c r="A166" s="1906"/>
      <c r="C166" s="1911"/>
      <c r="D166" s="1896"/>
      <c r="E166" s="1913"/>
      <c r="F166" s="1850"/>
      <c r="G166" s="1914"/>
      <c r="H166" s="1896"/>
      <c r="I166" s="1896"/>
      <c r="J166" s="1915"/>
      <c r="K166" s="1826"/>
      <c r="L166" s="2174"/>
      <c r="M166" s="2174"/>
      <c r="N166" s="2570"/>
      <c r="O166" s="2252"/>
      <c r="P166" s="2174"/>
      <c r="Q166" s="2174"/>
      <c r="R166" s="2568"/>
      <c r="S166" s="2173"/>
      <c r="T166" s="383"/>
      <c r="U166" s="384"/>
      <c r="V166" s="384" t="s">
        <v>173</v>
      </c>
      <c r="W166" s="385"/>
      <c r="Y166" s="1325"/>
      <c r="Z166" s="1325"/>
      <c r="AA166" s="1325"/>
      <c r="AB166" s="1325"/>
      <c r="AC166" s="1325"/>
      <c r="AD166" s="1325"/>
      <c r="AE166" s="1325"/>
      <c r="AF166" s="1325"/>
      <c r="AG166" s="1325"/>
      <c r="AH166" s="1325"/>
      <c r="AI166" s="1325"/>
      <c r="AJ166" s="1325"/>
      <c r="AK166" s="1325"/>
    </row>
    <row s="5597" customFormat="1" customHeight="1" ht="17.25">
      <c r="A167" s="1906"/>
      <c r="C167" s="1911"/>
      <c r="D167" s="1896"/>
      <c r="E167" s="1913"/>
      <c r="F167" s="1850"/>
      <c r="G167" s="1914"/>
      <c r="H167" s="1896"/>
      <c r="I167" s="1896"/>
      <c r="J167" s="1915"/>
      <c r="K167" s="1826"/>
      <c r="L167" s="2569"/>
      <c r="M167" s="2569"/>
      <c r="N167" s="2571"/>
      <c r="O167" s="2178"/>
      <c r="P167" s="383"/>
      <c r="Q167" s="384"/>
      <c r="R167" s="384" t="s">
        <v>174</v>
      </c>
      <c r="S167" s="1912"/>
      <c r="T167" s="1912"/>
      <c r="U167" s="1912"/>
      <c r="V167" s="1912"/>
      <c r="W167" s="385"/>
      <c r="Y167" s="1325"/>
      <c r="Z167" s="1325"/>
      <c r="AA167" s="1325"/>
      <c r="AB167" s="1325"/>
      <c r="AC167" s="1325"/>
      <c r="AD167" s="1325"/>
      <c r="AE167" s="1325"/>
      <c r="AF167" s="1325"/>
      <c r="AG167" s="1325"/>
      <c r="AH167" s="1325"/>
      <c r="AI167" s="1325"/>
      <c r="AJ167" s="1325"/>
      <c r="AK167" s="1325"/>
    </row>
    <row customHeight="1" ht="17.25">
      <c r="G168" s="1905"/>
      <c r="H168" s="1905"/>
      <c r="I168" s="1905"/>
      <c r="M168" s="1901"/>
    </row>
    <row s="5597" customFormat="1" customHeight="1" ht="17.25">
      <c r="A169" s="1906"/>
      <c r="C169" s="1908"/>
      <c r="D169" s="1896"/>
      <c r="E169" s="1913"/>
      <c r="F169" s="1850"/>
      <c r="G169" s="1914"/>
      <c r="H169" s="1896"/>
      <c r="I169" s="1896"/>
      <c r="J169" s="1915"/>
      <c r="K169" s="1826"/>
      <c r="L169" s="1822"/>
      <c r="M169" s="1822"/>
      <c r="N169" s="2114"/>
      <c r="O169" s="1853"/>
      <c r="P169" s="2174"/>
      <c r="Q169" s="2174" t="s">
        <v>114</v>
      </c>
      <c r="R169" s="2568" t="s">
        <v>28</v>
      </c>
      <c r="S169" s="2173" t="s">
        <v>71</v>
      </c>
      <c r="T169" s="1877"/>
      <c r="U169" s="1877" t="s">
        <v>114</v>
      </c>
      <c r="V169" s="1909" t="s">
        <v>28</v>
      </c>
      <c r="W169" s="1867"/>
      <c r="Y169" s="1333"/>
      <c r="Z169" s="1333"/>
      <c r="AA169" s="1333"/>
      <c r="AB169" s="1333"/>
      <c r="AC169" s="1333"/>
      <c r="AD169" s="1333"/>
      <c r="AE169" s="1333"/>
      <c r="AF169" s="1333"/>
      <c r="AG169" s="1333"/>
      <c r="AH169" s="1333"/>
      <c r="AI169" s="1333"/>
      <c r="AJ169" s="1333"/>
      <c r="AK169" s="1333"/>
      <c r="AL169" s="1910"/>
      <c r="AM169" s="1910"/>
      <c r="AN169" s="1333"/>
      <c r="AO169" s="1333"/>
      <c r="AP169" s="1333"/>
      <c r="AQ169" s="1333"/>
    </row>
    <row s="5597" customFormat="1" customHeight="1" ht="17.25">
      <c r="A170" s="1906"/>
      <c r="C170" s="1911"/>
      <c r="D170" s="1896"/>
      <c r="E170" s="1913"/>
      <c r="F170" s="1850"/>
      <c r="G170" s="1914"/>
      <c r="H170" s="1896"/>
      <c r="I170" s="1896"/>
      <c r="J170" s="1915"/>
      <c r="K170" s="1826"/>
      <c r="L170" s="1822"/>
      <c r="M170" s="1822"/>
      <c r="N170" s="2114"/>
      <c r="O170" s="1853"/>
      <c r="P170" s="2174"/>
      <c r="Q170" s="2174"/>
      <c r="R170" s="2568"/>
      <c r="S170" s="2173"/>
      <c r="T170" s="383"/>
      <c r="U170" s="384"/>
      <c r="V170" s="384" t="s">
        <v>173</v>
      </c>
      <c r="W170" s="385"/>
      <c r="Y170" s="1325"/>
      <c r="Z170" s="1325"/>
      <c r="AA170" s="1325"/>
      <c r="AB170" s="1325"/>
      <c r="AC170" s="1325"/>
      <c r="AD170" s="1325"/>
      <c r="AE170" s="1325"/>
      <c r="AF170" s="1325"/>
      <c r="AG170" s="1325"/>
      <c r="AH170" s="1325"/>
      <c r="AI170" s="1325"/>
      <c r="AJ170" s="1325"/>
      <c r="AK170" s="1325"/>
    </row>
    <row customHeight="1" ht="17.25">
      <c r="G171" s="1905"/>
      <c r="H171" s="1905"/>
      <c r="I171" s="1905"/>
      <c r="M171" s="1901"/>
    </row>
    <row s="5597" customFormat="1" customHeight="1" ht="17.25">
      <c r="A172" s="1906"/>
      <c r="C172" s="1908"/>
      <c r="D172" s="1896"/>
      <c r="E172" s="1913"/>
      <c r="F172" s="1850"/>
      <c r="G172" s="1914"/>
      <c r="H172" s="1822"/>
      <c r="I172" s="1822"/>
      <c r="J172" s="1823"/>
      <c r="K172" s="1914"/>
      <c r="L172" s="1822"/>
      <c r="M172" s="1822"/>
      <c r="N172" s="1914"/>
      <c r="O172" s="1914"/>
      <c r="P172" s="1822"/>
      <c r="Q172" s="1822"/>
      <c r="R172" s="1824"/>
      <c r="S172" s="1914"/>
      <c r="T172" s="1877"/>
      <c r="U172" s="1877" t="s">
        <v>114</v>
      </c>
      <c r="V172" s="1909" t="s">
        <v>28</v>
      </c>
      <c r="W172" s="1867"/>
      <c r="Y172" s="1333"/>
      <c r="Z172" s="1333"/>
      <c r="AA172" s="1333"/>
      <c r="AB172" s="1333"/>
      <c r="AC172" s="1333"/>
      <c r="AD172" s="1333"/>
      <c r="AE172" s="1333"/>
      <c r="AF172" s="1333"/>
      <c r="AG172" s="1333"/>
      <c r="AH172" s="1333"/>
      <c r="AI172" s="1333"/>
      <c r="AJ172" s="1333"/>
      <c r="AK172" s="1333"/>
      <c r="AL172" s="1910"/>
      <c r="AM172" s="1910"/>
      <c r="AN172" s="1333"/>
      <c r="AO172" s="1333"/>
      <c r="AP172" s="1333"/>
      <c r="AQ172" s="1333"/>
    </row>
    <row r="174" s="5347" customFormat="1" customHeight="1" ht="17.25">
      <c r="A174" s="1881" t="s">
        <v>1945</v>
      </c>
    </row>
    <row customHeight="1" ht="17.25">
      <c r="G175" s="1905"/>
      <c r="H175" s="1905"/>
      <c r="I175" s="1905"/>
      <c r="M175" s="1901"/>
    </row>
    <row s="5597" customFormat="1" customHeight="1" ht="17.25">
      <c r="A176" s="1906"/>
      <c r="C176" s="1908"/>
      <c r="D176" s="2595"/>
      <c r="E176" s="2209"/>
      <c r="F176" s="2211"/>
      <c r="G176" s="2597"/>
      <c r="H176" s="2595"/>
      <c r="I176" s="2595">
        <v>1</v>
      </c>
      <c r="J176" s="2567"/>
      <c r="K176" s="2251" t="s">
        <v>71</v>
      </c>
      <c r="L176" s="2174"/>
      <c r="M176" s="2174" t="s">
        <v>114</v>
      </c>
      <c r="N176" s="2570" t="str">
        <f>IF(Z176="","",INDEX(TERRITORY_MR_LIST,MATCH(Z176,TERRITORY_LIST_ID,0)))</f>
        <v/>
      </c>
      <c r="O176" s="2251" t="s">
        <v>71</v>
      </c>
      <c r="P176" s="2174"/>
      <c r="Q176" s="2174" t="s">
        <v>114</v>
      </c>
      <c r="R176" s="2568" t="s">
        <v>28</v>
      </c>
      <c r="S176" s="2472" t="s">
        <v>19</v>
      </c>
      <c r="T176" s="1868"/>
      <c r="U176" s="1868" t="s">
        <v>114</v>
      </c>
      <c r="V176" s="1500"/>
      <c r="W176" s="2567"/>
      <c r="Y176" s="1333"/>
      <c r="Z176" s="1333"/>
      <c r="AA176" s="1333"/>
      <c r="AB176" s="1333"/>
      <c r="AC176" s="1333"/>
      <c r="AD176" s="1333"/>
      <c r="AE176" s="1333"/>
      <c r="AF176" s="1333"/>
      <c r="AG176" s="1333"/>
      <c r="AH176" s="1333"/>
      <c r="AI176" s="1333"/>
      <c r="AJ176" s="1333"/>
      <c r="AK176" s="1333"/>
      <c r="AL176" s="1910"/>
      <c r="AM176" s="1910"/>
      <c r="AN176" s="1333"/>
      <c r="AO176" s="1333"/>
      <c r="AP176" s="1333"/>
      <c r="AQ176" s="1333"/>
    </row>
    <row s="5597" customFormat="1" customHeight="1" ht="17.25">
      <c r="A177" s="1906"/>
      <c r="C177" s="1911"/>
      <c r="D177" s="2595"/>
      <c r="E177" s="2209"/>
      <c r="F177" s="2212"/>
      <c r="G177" s="2597"/>
      <c r="H177" s="2595"/>
      <c r="I177" s="2595"/>
      <c r="J177" s="2567"/>
      <c r="K177" s="2252"/>
      <c r="L177" s="2174"/>
      <c r="M177" s="2174"/>
      <c r="N177" s="2570"/>
      <c r="O177" s="2252"/>
      <c r="P177" s="2174"/>
      <c r="Q177" s="2174"/>
      <c r="R177" s="2568"/>
      <c r="S177" s="2472"/>
      <c r="T177" s="1501"/>
      <c r="U177" s="1502"/>
      <c r="V177" s="1502"/>
      <c r="W177" s="2567"/>
      <c r="Y177" s="1325"/>
      <c r="Z177" s="1325"/>
      <c r="AA177" s="1325"/>
      <c r="AB177" s="1325"/>
      <c r="AC177" s="1325"/>
      <c r="AD177" s="1325"/>
      <c r="AE177" s="1325"/>
      <c r="AF177" s="1325"/>
      <c r="AG177" s="1325"/>
      <c r="AH177" s="1325"/>
      <c r="AI177" s="1325"/>
      <c r="AJ177" s="1325"/>
      <c r="AK177" s="1325"/>
    </row>
    <row s="5597" customFormat="1" customHeight="1" ht="17.25">
      <c r="A178" s="1906"/>
      <c r="C178" s="1911"/>
      <c r="D178" s="2569"/>
      <c r="E178" s="2596"/>
      <c r="F178" s="2212"/>
      <c r="G178" s="2598"/>
      <c r="H178" s="2569"/>
      <c r="I178" s="2569"/>
      <c r="J178" s="2599"/>
      <c r="K178" s="2252"/>
      <c r="L178" s="2569"/>
      <c r="M178" s="2569"/>
      <c r="N178" s="2571"/>
      <c r="O178" s="2178"/>
      <c r="P178" s="383"/>
      <c r="Q178" s="384"/>
      <c r="R178" s="384" t="s">
        <v>174</v>
      </c>
      <c r="S178" s="1912"/>
      <c r="T178" s="1912"/>
      <c r="U178" s="1912"/>
      <c r="V178" s="1912"/>
      <c r="W178" s="1499"/>
      <c r="Y178" s="1325"/>
      <c r="Z178" s="1325"/>
      <c r="AA178" s="1325"/>
      <c r="AB178" s="1325"/>
      <c r="AC178" s="1325"/>
      <c r="AD178" s="1325"/>
      <c r="AE178" s="1325"/>
      <c r="AF178" s="1325"/>
      <c r="AG178" s="1325"/>
      <c r="AH178" s="1325"/>
      <c r="AI178" s="1325"/>
      <c r="AJ178" s="1325"/>
      <c r="AK178" s="1325"/>
    </row>
    <row s="5597" customFormat="1" customHeight="1" ht="17.25">
      <c r="A179" s="1906"/>
      <c r="C179" s="1911"/>
      <c r="D179" s="2569"/>
      <c r="E179" s="2596"/>
      <c r="F179" s="2212"/>
      <c r="G179" s="2598"/>
      <c r="H179" s="2569"/>
      <c r="I179" s="2569"/>
      <c r="J179" s="2599"/>
      <c r="K179" s="2178"/>
      <c r="L179" s="383"/>
      <c r="M179" s="384"/>
      <c r="N179" s="384" t="s">
        <v>175</v>
      </c>
      <c r="O179" s="384"/>
      <c r="P179" s="384"/>
      <c r="Q179" s="384"/>
      <c r="R179" s="384"/>
      <c r="S179" s="1912"/>
      <c r="T179" s="1912"/>
      <c r="U179" s="1912"/>
      <c r="V179" s="1912"/>
      <c r="W179" s="385"/>
      <c r="Y179" s="1325"/>
      <c r="Z179" s="1325"/>
      <c r="AA179" s="1325"/>
      <c r="AB179" s="1325"/>
      <c r="AC179" s="1325"/>
      <c r="AD179" s="1325"/>
      <c r="AE179" s="1325"/>
      <c r="AF179" s="1325"/>
      <c r="AG179" s="1325"/>
      <c r="AH179" s="1325"/>
      <c r="AI179" s="1325"/>
      <c r="AJ179" s="1325"/>
      <c r="AK179" s="1325"/>
    </row>
    <row s="5597" customFormat="1" customHeight="1" ht="17.25">
      <c r="A180" s="1906"/>
      <c r="C180" s="1911"/>
      <c r="D180" s="2569"/>
      <c r="E180" s="2596"/>
      <c r="F180" s="2213"/>
      <c r="G180" s="2598"/>
      <c r="H180" s="383"/>
      <c r="I180" s="384"/>
      <c r="J180" s="384" t="s">
        <v>176</v>
      </c>
      <c r="K180" s="384"/>
      <c r="L180" s="384"/>
      <c r="M180" s="384"/>
      <c r="N180" s="384"/>
      <c r="O180" s="384"/>
      <c r="P180" s="384"/>
      <c r="Q180" s="384"/>
      <c r="R180" s="384"/>
      <c r="S180" s="1912"/>
      <c r="T180" s="1912"/>
      <c r="U180" s="1912"/>
      <c r="V180" s="1912"/>
      <c r="W180" s="385"/>
      <c r="Y180" s="1325"/>
      <c r="Z180" s="1325"/>
      <c r="AA180" s="1325"/>
      <c r="AB180" s="1325"/>
      <c r="AC180" s="1325"/>
      <c r="AD180" s="1325"/>
      <c r="AE180" s="1325"/>
      <c r="AF180" s="1325"/>
      <c r="AG180" s="1325"/>
      <c r="AH180" s="1325"/>
      <c r="AI180" s="1325"/>
      <c r="AJ180" s="1325"/>
      <c r="AK180" s="1325"/>
    </row>
    <row customHeight="1" ht="17.25">
      <c r="A181" s="1916"/>
    </row>
    <row s="5597" customFormat="1" customHeight="1" ht="17.25">
      <c r="A182" s="1906"/>
      <c r="C182" s="1908"/>
      <c r="D182" s="1896"/>
      <c r="E182" s="1913"/>
      <c r="F182" s="1850"/>
      <c r="G182" s="1914"/>
      <c r="H182" s="2595"/>
      <c r="I182" s="2595">
        <v>1</v>
      </c>
      <c r="J182" s="2567"/>
      <c r="K182" s="2251" t="s">
        <v>71</v>
      </c>
      <c r="L182" s="2174"/>
      <c r="M182" s="2174" t="s">
        <v>114</v>
      </c>
      <c r="N182" s="2570" t="str">
        <f>IF(Z182="","",INDEX(TERRITORY_MR_LIST,MATCH(Z182,TERRITORY_LIST_ID,0)))</f>
        <v/>
      </c>
      <c r="O182" s="2251" t="s">
        <v>71</v>
      </c>
      <c r="P182" s="2174"/>
      <c r="Q182" s="2174" t="s">
        <v>114</v>
      </c>
      <c r="R182" s="2568" t="s">
        <v>28</v>
      </c>
      <c r="S182" s="2472" t="s">
        <v>19</v>
      </c>
      <c r="T182" s="1868"/>
      <c r="U182" s="1868" t="s">
        <v>114</v>
      </c>
      <c r="V182" s="1500"/>
      <c r="W182" s="2567"/>
      <c r="Y182" s="1333"/>
      <c r="Z182" s="1333"/>
      <c r="AA182" s="1333"/>
      <c r="AB182" s="1333"/>
      <c r="AC182" s="1333"/>
      <c r="AD182" s="1333"/>
      <c r="AE182" s="1333"/>
      <c r="AF182" s="1333"/>
      <c r="AG182" s="1333"/>
      <c r="AH182" s="1333"/>
      <c r="AI182" s="1333"/>
      <c r="AJ182" s="1333"/>
      <c r="AK182" s="1333"/>
      <c r="AL182" s="1910"/>
      <c r="AM182" s="1910"/>
      <c r="AN182" s="1333"/>
      <c r="AO182" s="1333"/>
      <c r="AP182" s="1333"/>
      <c r="AQ182" s="1333"/>
    </row>
    <row s="5597" customFormat="1" customHeight="1" ht="17.25">
      <c r="A183" s="1906"/>
      <c r="C183" s="1911"/>
      <c r="D183" s="1896"/>
      <c r="E183" s="1913"/>
      <c r="F183" s="1850"/>
      <c r="G183" s="1914"/>
      <c r="H183" s="2595"/>
      <c r="I183" s="2595"/>
      <c r="J183" s="2567"/>
      <c r="K183" s="2252"/>
      <c r="L183" s="2174"/>
      <c r="M183" s="2174"/>
      <c r="N183" s="2570"/>
      <c r="O183" s="2252"/>
      <c r="P183" s="2174"/>
      <c r="Q183" s="2174"/>
      <c r="R183" s="2568"/>
      <c r="S183" s="2472"/>
      <c r="T183" s="1501"/>
      <c r="U183" s="1502"/>
      <c r="V183" s="1502"/>
      <c r="W183" s="2567"/>
      <c r="Y183" s="1325"/>
      <c r="Z183" s="1325"/>
      <c r="AA183" s="1325"/>
      <c r="AB183" s="1325"/>
      <c r="AC183" s="1325"/>
      <c r="AD183" s="1325"/>
      <c r="AE183" s="1325"/>
      <c r="AF183" s="1325"/>
      <c r="AG183" s="1325"/>
      <c r="AH183" s="1325"/>
      <c r="AI183" s="1325"/>
      <c r="AJ183" s="1325"/>
      <c r="AK183" s="1325"/>
    </row>
    <row s="5597" customFormat="1" customHeight="1" ht="17.25">
      <c r="A184" s="1906"/>
      <c r="C184" s="1911"/>
      <c r="D184" s="1896"/>
      <c r="E184" s="1913"/>
      <c r="F184" s="1850"/>
      <c r="G184" s="1914"/>
      <c r="H184" s="2569"/>
      <c r="I184" s="2569"/>
      <c r="J184" s="2599"/>
      <c r="K184" s="2252"/>
      <c r="L184" s="2569"/>
      <c r="M184" s="2569"/>
      <c r="N184" s="2571"/>
      <c r="O184" s="2178"/>
      <c r="P184" s="383"/>
      <c r="Q184" s="384"/>
      <c r="R184" s="384" t="s">
        <v>174</v>
      </c>
      <c r="S184" s="1912"/>
      <c r="T184" s="1912"/>
      <c r="U184" s="1912"/>
      <c r="V184" s="1912"/>
      <c r="W184" s="1499"/>
      <c r="Y184" s="1325"/>
      <c r="Z184" s="1325"/>
      <c r="AA184" s="1325"/>
      <c r="AB184" s="1325"/>
      <c r="AC184" s="1325"/>
      <c r="AD184" s="1325"/>
      <c r="AE184" s="1325"/>
      <c r="AF184" s="1325"/>
      <c r="AG184" s="1325"/>
      <c r="AH184" s="1325"/>
      <c r="AI184" s="1325"/>
      <c r="AJ184" s="1325"/>
      <c r="AK184" s="1325"/>
    </row>
    <row s="5597" customFormat="1" customHeight="1" ht="17.25">
      <c r="A185" s="1906"/>
      <c r="C185" s="1911"/>
      <c r="D185" s="1896"/>
      <c r="E185" s="1913"/>
      <c r="F185" s="1850"/>
      <c r="G185" s="1914"/>
      <c r="H185" s="2569"/>
      <c r="I185" s="2569"/>
      <c r="J185" s="2599"/>
      <c r="K185" s="2178"/>
      <c r="L185" s="383"/>
      <c r="M185" s="384"/>
      <c r="N185" s="384" t="s">
        <v>175</v>
      </c>
      <c r="O185" s="384"/>
      <c r="P185" s="384"/>
      <c r="Q185" s="384"/>
      <c r="R185" s="384"/>
      <c r="S185" s="1912"/>
      <c r="T185" s="1912"/>
      <c r="U185" s="1912"/>
      <c r="V185" s="1912"/>
      <c r="W185" s="385"/>
      <c r="Y185" s="1325"/>
      <c r="Z185" s="1325"/>
      <c r="AA185" s="1325"/>
      <c r="AB185" s="1325"/>
      <c r="AC185" s="1325"/>
      <c r="AD185" s="1325"/>
      <c r="AE185" s="1325"/>
      <c r="AF185" s="1325"/>
      <c r="AG185" s="1325"/>
      <c r="AH185" s="1325"/>
      <c r="AI185" s="1325"/>
      <c r="AJ185" s="1325"/>
      <c r="AK185" s="1325"/>
    </row>
    <row customHeight="1" ht="17.25">
      <c r="A186" s="1916"/>
    </row>
    <row s="5597" customFormat="1" customHeight="1" ht="17.25">
      <c r="A187" s="1906"/>
      <c r="C187" s="1908"/>
      <c r="D187" s="1896"/>
      <c r="E187" s="1913"/>
      <c r="F187" s="1850"/>
      <c r="G187" s="1914"/>
      <c r="H187" s="1896"/>
      <c r="I187" s="1896"/>
      <c r="J187" s="1917"/>
      <c r="K187" s="1914"/>
      <c r="L187" s="2174"/>
      <c r="M187" s="2174" t="s">
        <v>114</v>
      </c>
      <c r="N187" s="2570" t="str">
        <f>IF(Z187="","",INDEX(TERRITORY_MR_LIST,MATCH(Z187,TERRITORY_LIST_ID,0)))</f>
        <v/>
      </c>
      <c r="O187" s="2251" t="s">
        <v>71</v>
      </c>
      <c r="P187" s="2174"/>
      <c r="Q187" s="2174" t="s">
        <v>114</v>
      </c>
      <c r="R187" s="2568" t="s">
        <v>28</v>
      </c>
      <c r="S187" s="2472" t="s">
        <v>19</v>
      </c>
      <c r="T187" s="1868"/>
      <c r="U187" s="1868" t="s">
        <v>114</v>
      </c>
      <c r="V187" s="1500"/>
      <c r="W187" s="2567"/>
      <c r="Y187" s="1333"/>
      <c r="Z187" s="1333"/>
      <c r="AA187" s="1333"/>
      <c r="AB187" s="1333"/>
      <c r="AC187" s="1333"/>
      <c r="AD187" s="1333"/>
      <c r="AE187" s="1333"/>
      <c r="AF187" s="1333"/>
      <c r="AG187" s="1333"/>
      <c r="AH187" s="1333"/>
      <c r="AI187" s="1333"/>
      <c r="AJ187" s="1333"/>
      <c r="AK187" s="1333"/>
      <c r="AL187" s="1910"/>
      <c r="AM187" s="1910"/>
      <c r="AN187" s="1333"/>
      <c r="AO187" s="1333"/>
      <c r="AP187" s="1333"/>
      <c r="AQ187" s="1333"/>
    </row>
    <row s="5597" customFormat="1" customHeight="1" ht="17.25">
      <c r="A188" s="1906"/>
      <c r="C188" s="1911"/>
      <c r="D188" s="1896"/>
      <c r="E188" s="1913"/>
      <c r="F188" s="1850"/>
      <c r="G188" s="1914"/>
      <c r="H188" s="1896"/>
      <c r="I188" s="1896"/>
      <c r="J188" s="1917"/>
      <c r="K188" s="1914"/>
      <c r="L188" s="2174"/>
      <c r="M188" s="2174"/>
      <c r="N188" s="2570"/>
      <c r="O188" s="2252"/>
      <c r="P188" s="2174"/>
      <c r="Q188" s="2174"/>
      <c r="R188" s="2568"/>
      <c r="S188" s="2472"/>
      <c r="T188" s="1501"/>
      <c r="U188" s="1502"/>
      <c r="V188" s="1502"/>
      <c r="W188" s="2567"/>
      <c r="Y188" s="1325"/>
      <c r="Z188" s="1325"/>
      <c r="AA188" s="1325"/>
      <c r="AB188" s="1325"/>
      <c r="AC188" s="1325"/>
      <c r="AD188" s="1325"/>
      <c r="AE188" s="1325"/>
      <c r="AF188" s="1325"/>
      <c r="AG188" s="1325"/>
      <c r="AH188" s="1325"/>
      <c r="AI188" s="1325"/>
      <c r="AJ188" s="1325"/>
      <c r="AK188" s="1325"/>
    </row>
    <row s="5597" customFormat="1" customHeight="1" ht="17.25">
      <c r="A189" s="1906"/>
      <c r="C189" s="1911"/>
      <c r="D189" s="1896"/>
      <c r="E189" s="1913"/>
      <c r="F189" s="1850"/>
      <c r="G189" s="1914"/>
      <c r="H189" s="1896"/>
      <c r="I189" s="1896"/>
      <c r="J189" s="1917"/>
      <c r="K189" s="1914"/>
      <c r="L189" s="2569"/>
      <c r="M189" s="2569"/>
      <c r="N189" s="2571"/>
      <c r="O189" s="2178"/>
      <c r="P189" s="383"/>
      <c r="Q189" s="384"/>
      <c r="R189" s="384" t="s">
        <v>174</v>
      </c>
      <c r="S189" s="1912"/>
      <c r="T189" s="1912"/>
      <c r="U189" s="1912"/>
      <c r="V189" s="1912"/>
      <c r="W189" s="1499"/>
      <c r="Y189" s="1325"/>
      <c r="Z189" s="1325"/>
      <c r="AA189" s="1325"/>
      <c r="AB189" s="1325"/>
      <c r="AC189" s="1325"/>
      <c r="AD189" s="1325"/>
      <c r="AE189" s="1325"/>
      <c r="AF189" s="1325"/>
      <c r="AG189" s="1325"/>
      <c r="AH189" s="1325"/>
      <c r="AI189" s="1325"/>
      <c r="AJ189" s="1325"/>
      <c r="AK189" s="1325"/>
    </row>
    <row customHeight="1" ht="17.25">
      <c r="A190" s="1916"/>
    </row>
    <row s="5597" customFormat="1" customHeight="1" ht="17.25">
      <c r="A191" s="1906"/>
      <c r="C191" s="1908"/>
      <c r="D191" s="1896"/>
      <c r="E191" s="1913"/>
      <c r="F191" s="1850"/>
      <c r="G191" s="1914"/>
      <c r="H191" s="1896"/>
      <c r="I191" s="1896"/>
      <c r="J191" s="1917"/>
      <c r="K191" s="1914"/>
      <c r="L191" s="1896"/>
      <c r="M191" s="1896"/>
      <c r="N191" s="2114"/>
      <c r="O191" s="1853"/>
      <c r="P191" s="2174"/>
      <c r="Q191" s="2174" t="s">
        <v>114</v>
      </c>
      <c r="R191" s="2568" t="s">
        <v>28</v>
      </c>
      <c r="S191" s="2472" t="s">
        <v>19</v>
      </c>
      <c r="T191" s="1868"/>
      <c r="U191" s="1868" t="s">
        <v>114</v>
      </c>
      <c r="V191" s="1500"/>
      <c r="W191" s="2567"/>
      <c r="Y191" s="1333"/>
      <c r="Z191" s="1333"/>
      <c r="AA191" s="1333"/>
      <c r="AB191" s="1333"/>
      <c r="AC191" s="1333"/>
      <c r="AD191" s="1333"/>
      <c r="AE191" s="1333"/>
      <c r="AF191" s="1333"/>
      <c r="AG191" s="1333"/>
      <c r="AH191" s="1333"/>
      <c r="AI191" s="1333"/>
      <c r="AJ191" s="1333"/>
      <c r="AK191" s="1333"/>
      <c r="AL191" s="1910"/>
      <c r="AM191" s="1910"/>
      <c r="AN191" s="1333"/>
      <c r="AO191" s="1333"/>
      <c r="AP191" s="1333"/>
      <c r="AQ191" s="1333"/>
    </row>
    <row s="5597" customFormat="1" customHeight="1" ht="17.25">
      <c r="A192" s="1906"/>
      <c r="C192" s="1911"/>
      <c r="D192" s="1896"/>
      <c r="E192" s="1913"/>
      <c r="F192" s="1850"/>
      <c r="G192" s="1914"/>
      <c r="H192" s="1896"/>
      <c r="I192" s="1896"/>
      <c r="J192" s="1917"/>
      <c r="K192" s="1914"/>
      <c r="L192" s="1896"/>
      <c r="M192" s="1896"/>
      <c r="N192" s="2114"/>
      <c r="O192" s="1853"/>
      <c r="P192" s="2174"/>
      <c r="Q192" s="2174"/>
      <c r="R192" s="2568"/>
      <c r="S192" s="2472"/>
      <c r="T192" s="1501"/>
      <c r="U192" s="1502"/>
      <c r="V192" s="1502"/>
      <c r="W192" s="2567"/>
      <c r="Y192" s="1325"/>
      <c r="Z192" s="1325"/>
      <c r="AA192" s="1325"/>
      <c r="AB192" s="1325"/>
      <c r="AC192" s="1325"/>
      <c r="AD192" s="1325"/>
      <c r="AE192" s="1325"/>
      <c r="AF192" s="1325"/>
      <c r="AG192" s="1325"/>
      <c r="AH192" s="1325"/>
      <c r="AI192" s="1325"/>
      <c r="AJ192" s="1325"/>
      <c r="AK192" s="1325"/>
    </row>
    <row customHeight="1" ht="17.25">
      <c r="A193" s="1916"/>
    </row>
    <row customHeight="1" ht="16.5">
      <c r="A194" s="1906"/>
      <c r="B194" s="1907"/>
      <c r="C194" s="1911"/>
      <c r="D194" s="2619"/>
      <c r="E194" s="2245"/>
      <c r="F194" s="2245"/>
      <c r="G194" s="2193"/>
      <c r="H194" s="2620"/>
      <c r="I194" s="2633"/>
      <c r="J194" s="2218"/>
      <c r="K194" s="2203"/>
      <c r="L194" s="2203"/>
      <c r="M194" s="2203"/>
      <c r="N194" s="2631"/>
      <c r="O194" s="2203"/>
      <c r="P194" s="2203"/>
      <c r="Q194" s="2203"/>
      <c r="R194" s="2629"/>
      <c r="S194" s="2203"/>
      <c r="T194" s="1849"/>
      <c r="U194" s="1849"/>
      <c r="V194" s="1918"/>
      <c r="W194" s="1362"/>
    </row>
    <row customHeight="1" ht="16.5">
      <c r="A195" s="1906"/>
      <c r="B195" s="1907"/>
      <c r="C195" s="1911"/>
      <c r="D195" s="2619"/>
      <c r="E195" s="2245"/>
      <c r="F195" s="2245"/>
      <c r="G195" s="2193"/>
      <c r="H195" s="2621"/>
      <c r="I195" s="2634"/>
      <c r="J195" s="2219"/>
      <c r="K195" s="2204"/>
      <c r="L195" s="2204"/>
      <c r="M195" s="2204"/>
      <c r="N195" s="2632"/>
      <c r="O195" s="2204"/>
      <c r="P195" s="2204"/>
      <c r="Q195" s="2204"/>
      <c r="R195" s="2630"/>
      <c r="S195" s="2204"/>
      <c r="T195" s="1363"/>
      <c r="U195" s="1363"/>
      <c r="V195" s="1363"/>
      <c r="W195" s="1364"/>
    </row>
    <row customHeight="1" ht="17.25">
      <c r="A196" s="1906"/>
      <c r="B196" s="1907"/>
      <c r="C196" s="1911"/>
      <c r="D196" s="2619"/>
      <c r="E196" s="2245"/>
      <c r="F196" s="2245"/>
      <c r="G196" s="2193"/>
      <c r="H196" s="2621"/>
      <c r="I196" s="2634"/>
      <c r="J196" s="2622"/>
      <c r="K196" s="2204"/>
      <c r="L196" s="2204"/>
      <c r="M196" s="2204"/>
      <c r="N196" s="2630"/>
      <c r="O196" s="2204"/>
      <c r="P196" s="1852"/>
      <c r="Q196" s="1363"/>
      <c r="R196" s="1363"/>
      <c r="S196" s="1919"/>
      <c r="T196" s="1919"/>
      <c r="U196" s="1919"/>
      <c r="V196" s="1919"/>
      <c r="W196" s="1364"/>
    </row>
    <row customHeight="1" ht="17.25">
      <c r="A197" s="1906"/>
      <c r="B197" s="1907"/>
      <c r="C197" s="1911"/>
      <c r="D197" s="2619"/>
      <c r="E197" s="2245"/>
      <c r="F197" s="2245"/>
      <c r="G197" s="2193"/>
      <c r="H197" s="2621"/>
      <c r="I197" s="2634"/>
      <c r="J197" s="2622"/>
      <c r="K197" s="2204"/>
      <c r="L197" s="1363"/>
      <c r="M197" s="1363"/>
      <c r="N197" s="1363"/>
      <c r="O197" s="1363"/>
      <c r="P197" s="1363"/>
      <c r="Q197" s="1363"/>
      <c r="R197" s="1363"/>
      <c r="S197" s="1919"/>
      <c r="T197" s="1919"/>
      <c r="U197" s="1919"/>
      <c r="V197" s="1919"/>
      <c r="W197" s="1364"/>
    </row>
    <row customHeight="1" ht="17.25">
      <c r="A198" s="1906"/>
      <c r="B198" s="1907"/>
      <c r="C198" s="1911"/>
      <c r="D198" s="2619"/>
      <c r="E198" s="2245"/>
      <c r="F198" s="2245"/>
      <c r="G198" s="2193"/>
      <c r="H198" s="1365"/>
      <c r="I198" s="1366"/>
      <c r="J198" s="1366"/>
      <c r="K198" s="1366"/>
      <c r="L198" s="1366"/>
      <c r="M198" s="1366"/>
      <c r="N198" s="1366"/>
      <c r="O198" s="1366"/>
      <c r="P198" s="1366"/>
      <c r="Q198" s="1366"/>
      <c r="R198" s="1366"/>
      <c r="S198" s="1920"/>
      <c r="T198" s="1920"/>
      <c r="U198" s="1920"/>
      <c r="V198" s="1920"/>
      <c r="W198" s="1368"/>
    </row>
    <row r="200" s="5347" customFormat="1" customHeight="1" ht="17.25">
      <c r="A200" s="1881" t="s">
        <v>1946</v>
      </c>
    </row>
    <row customHeight="1" ht="17.25">
      <c r="G201" s="1905"/>
      <c r="H201" s="1905"/>
      <c r="I201" s="1905"/>
      <c r="M201" s="1901"/>
    </row>
    <row s="5774" customFormat="1" customHeight="1" ht="15">
      <c r="D202" s="2589"/>
      <c r="E202" s="2265"/>
      <c r="F202" s="2265"/>
      <c r="G202" s="2251"/>
      <c r="H202" s="1630"/>
      <c r="I202" s="2593">
        <v>1</v>
      </c>
      <c r="J202" s="2567"/>
      <c r="K202" s="1645"/>
      <c r="L202" s="2251" t="s">
        <v>71</v>
      </c>
      <c r="M202" s="2251" t="s">
        <v>71</v>
      </c>
      <c r="N202" s="1630"/>
      <c r="O202" s="2174" t="s">
        <v>114</v>
      </c>
      <c r="P202" s="2583"/>
      <c r="Q202" s="1646"/>
      <c r="R202" s="2251" t="s">
        <v>71</v>
      </c>
      <c r="S202" s="2251" t="s">
        <v>71</v>
      </c>
      <c r="T202" s="1921"/>
      <c r="U202" s="2174" t="s">
        <v>114</v>
      </c>
      <c r="V202" s="2590" t="str">
        <f>IF(AK202="","",INDEX(TERRITORY_MR_LIST,MATCH(AK202,TERRITORY_LIST_ID,0)))</f>
        <v/>
      </c>
      <c r="W202" s="1647"/>
      <c r="X202" s="2251" t="s">
        <v>71</v>
      </c>
      <c r="Y202" s="2251" t="s">
        <v>19</v>
      </c>
      <c r="Z202" s="1630"/>
      <c r="AA202" s="2174" t="s">
        <v>114</v>
      </c>
      <c r="AB202" s="2592"/>
      <c r="AC202" s="1648"/>
      <c r="AD202" s="2251" t="s">
        <v>71</v>
      </c>
      <c r="AE202" s="2251" t="s">
        <v>19</v>
      </c>
      <c r="AF202" s="1628"/>
      <c r="AG202" s="1877" t="s">
        <v>114</v>
      </c>
      <c r="AH202" s="1638"/>
      <c r="AI202" s="1867"/>
    </row>
    <row s="5774" customFormat="1" customHeight="1" ht="15">
      <c r="D203" s="2589"/>
      <c r="E203" s="2265"/>
      <c r="F203" s="2265"/>
      <c r="G203" s="2252"/>
      <c r="H203" s="1630"/>
      <c r="I203" s="2593"/>
      <c r="J203" s="2567"/>
      <c r="K203" s="1629"/>
      <c r="L203" s="2252"/>
      <c r="M203" s="2252"/>
      <c r="N203" s="1630"/>
      <c r="O203" s="2174"/>
      <c r="P203" s="2583"/>
      <c r="Q203" s="1626"/>
      <c r="R203" s="2252"/>
      <c r="S203" s="2252"/>
      <c r="T203" s="1921"/>
      <c r="U203" s="2174"/>
      <c r="V203" s="2591"/>
      <c r="W203" s="1627"/>
      <c r="X203" s="2252"/>
      <c r="Y203" s="2252"/>
      <c r="Z203" s="1630"/>
      <c r="AA203" s="2174"/>
      <c r="AB203" s="2561"/>
      <c r="AC203" s="1631"/>
      <c r="AD203" s="2178"/>
      <c r="AE203" s="2178"/>
      <c r="AF203" s="1632"/>
      <c r="AG203" s="1633"/>
      <c r="AH203" s="2584" t="s">
        <v>1947</v>
      </c>
      <c r="AI203" s="2585"/>
    </row>
    <row s="5774" customFormat="1" customHeight="1" ht="15">
      <c r="D204" s="2589"/>
      <c r="E204" s="2265"/>
      <c r="F204" s="2265"/>
      <c r="G204" s="2252"/>
      <c r="H204" s="1630"/>
      <c r="I204" s="2593"/>
      <c r="J204" s="2567"/>
      <c r="K204" s="1629"/>
      <c r="L204" s="2252"/>
      <c r="M204" s="2252"/>
      <c r="N204" s="1630"/>
      <c r="O204" s="2174"/>
      <c r="P204" s="2583"/>
      <c r="Q204" s="1626"/>
      <c r="R204" s="2252"/>
      <c r="S204" s="2252"/>
      <c r="T204" s="1921"/>
      <c r="U204" s="2174"/>
      <c r="V204" s="2591"/>
      <c r="W204" s="1627"/>
      <c r="X204" s="2252"/>
      <c r="Y204" s="2252"/>
      <c r="Z204" s="1669"/>
      <c r="AA204" s="1635"/>
      <c r="AB204" s="2586" t="s">
        <v>1948</v>
      </c>
      <c r="AC204" s="2586"/>
      <c r="AD204" s="2586"/>
      <c r="AE204" s="2586"/>
      <c r="AF204" s="2586"/>
      <c r="AG204" s="2586"/>
      <c r="AH204" s="2586"/>
      <c r="AI204" s="2587"/>
    </row>
    <row s="5774" customFormat="1" customHeight="1" ht="15">
      <c r="D205" s="2589"/>
      <c r="E205" s="2265"/>
      <c r="F205" s="2265"/>
      <c r="G205" s="2252"/>
      <c r="H205" s="1630"/>
      <c r="I205" s="2593"/>
      <c r="J205" s="2567"/>
      <c r="K205" s="1629"/>
      <c r="L205" s="2252"/>
      <c r="M205" s="2252"/>
      <c r="N205" s="1630"/>
      <c r="O205" s="2174"/>
      <c r="P205" s="2588"/>
      <c r="Q205" s="1626"/>
      <c r="R205" s="2252"/>
      <c r="S205" s="2252"/>
      <c r="T205" s="1922"/>
      <c r="U205" s="1670"/>
      <c r="V205" s="2584" t="s">
        <v>108</v>
      </c>
      <c r="W205" s="2584"/>
      <c r="X205" s="2584"/>
      <c r="Y205" s="2584"/>
      <c r="Z205" s="2584"/>
      <c r="AA205" s="2584"/>
      <c r="AB205" s="2584"/>
      <c r="AC205" s="2584"/>
      <c r="AD205" s="2584"/>
      <c r="AE205" s="2584"/>
      <c r="AF205" s="2584"/>
      <c r="AG205" s="2584"/>
      <c r="AH205" s="2584"/>
      <c r="AI205" s="2585"/>
    </row>
    <row s="5774" customFormat="1" customHeight="1" ht="11.25">
      <c r="D206" s="2589"/>
      <c r="E206" s="2265"/>
      <c r="F206" s="2265"/>
      <c r="G206" s="2252"/>
      <c r="H206" s="1634"/>
      <c r="I206" s="2593"/>
      <c r="J206" s="2594"/>
      <c r="K206" s="1629"/>
      <c r="L206" s="2252"/>
      <c r="M206" s="2252"/>
      <c r="N206" s="1634"/>
      <c r="O206" s="1635"/>
      <c r="P206" s="2584" t="s">
        <v>1949</v>
      </c>
      <c r="Q206" s="2584"/>
      <c r="R206" s="2584"/>
      <c r="S206" s="2584"/>
      <c r="T206" s="2584"/>
      <c r="U206" s="2584"/>
      <c r="V206" s="2584"/>
      <c r="W206" s="2584"/>
      <c r="X206" s="2584"/>
      <c r="Y206" s="2584"/>
      <c r="Z206" s="2584"/>
      <c r="AA206" s="2584"/>
      <c r="AB206" s="2584"/>
      <c r="AC206" s="2584"/>
      <c r="AD206" s="2584"/>
      <c r="AE206" s="2584"/>
      <c r="AF206" s="2584"/>
      <c r="AG206" s="2584"/>
      <c r="AH206" s="2584"/>
      <c r="AI206" s="2585"/>
    </row>
    <row s="3218" customFormat="1" customHeight="1" ht="11.25">
      <c r="D207" s="2589"/>
      <c r="E207" s="2265"/>
      <c r="F207" s="2265"/>
      <c r="G207" s="2178"/>
      <c r="H207" s="1636"/>
      <c r="I207" s="1637"/>
      <c r="J207" s="2584" t="s">
        <v>176</v>
      </c>
      <c r="K207" s="2584"/>
      <c r="L207" s="2584"/>
      <c r="M207" s="2584"/>
      <c r="N207" s="2584"/>
      <c r="O207" s="2584"/>
      <c r="P207" s="2584"/>
      <c r="Q207" s="2584"/>
      <c r="R207" s="2584"/>
      <c r="S207" s="2584"/>
      <c r="T207" s="2584"/>
      <c r="U207" s="2584"/>
      <c r="V207" s="2584"/>
      <c r="W207" s="2584"/>
      <c r="X207" s="2584"/>
      <c r="Y207" s="2584"/>
      <c r="Z207" s="2584"/>
      <c r="AA207" s="2584"/>
      <c r="AB207" s="2584"/>
      <c r="AC207" s="2584"/>
      <c r="AD207" s="2584"/>
      <c r="AE207" s="2584"/>
      <c r="AF207" s="2584"/>
      <c r="AG207" s="2584"/>
      <c r="AH207" s="2584"/>
      <c r="AI207" s="2585"/>
      <c r="BK207" s="1640"/>
    </row>
    <row customHeight="1" ht="17.25">
      <c r="G208" s="1905"/>
      <c r="I208" s="1905"/>
      <c r="J208" s="1905"/>
      <c r="N208" s="1901"/>
    </row>
    <row s="5774" customFormat="1" customHeight="1" ht="15">
      <c r="D209" s="2589"/>
      <c r="E209" s="2265"/>
      <c r="F209" s="2265"/>
      <c r="G209" s="2245"/>
      <c r="H209" s="1665"/>
      <c r="I209" s="2247"/>
      <c r="J209" s="2218"/>
      <c r="K209" s="1851"/>
      <c r="L209" s="2203"/>
      <c r="M209" s="2203"/>
      <c r="N209" s="1650"/>
      <c r="O209" s="2203"/>
      <c r="P209" s="2218"/>
      <c r="Q209" s="1855"/>
      <c r="R209" s="2203"/>
      <c r="S209" s="2203"/>
      <c r="T209" s="1923"/>
      <c r="U209" s="2203"/>
      <c r="V209" s="2218"/>
      <c r="W209" s="1653"/>
      <c r="X209" s="2203"/>
      <c r="Y209" s="2203"/>
      <c r="Z209" s="1650"/>
      <c r="AA209" s="2203"/>
      <c r="AB209" s="2218"/>
      <c r="AC209" s="1654"/>
      <c r="AD209" s="2203"/>
      <c r="AE209" s="2203"/>
      <c r="AF209" s="1849"/>
      <c r="AG209" s="1849"/>
      <c r="AH209" s="1655"/>
      <c r="AI209" s="1362"/>
    </row>
    <row s="5774" customFormat="1" customHeight="1" ht="15">
      <c r="D210" s="2589"/>
      <c r="E210" s="2265"/>
      <c r="F210" s="2265"/>
      <c r="G210" s="2245"/>
      <c r="H210" s="1666"/>
      <c r="I210" s="2248"/>
      <c r="J210" s="2219"/>
      <c r="K210" s="1676"/>
      <c r="L210" s="2204"/>
      <c r="M210" s="2204"/>
      <c r="N210" s="1656"/>
      <c r="O210" s="2204"/>
      <c r="P210" s="2219"/>
      <c r="Q210" s="1856"/>
      <c r="R210" s="2204"/>
      <c r="S210" s="2204"/>
      <c r="T210" s="1924"/>
      <c r="U210" s="2204"/>
      <c r="V210" s="2219"/>
      <c r="W210" s="1659"/>
      <c r="X210" s="2204"/>
      <c r="Y210" s="2204"/>
      <c r="Z210" s="1656"/>
      <c r="AA210" s="2204"/>
      <c r="AB210" s="2219"/>
      <c r="AC210" s="1660"/>
      <c r="AD210" s="2204"/>
      <c r="AE210" s="2204"/>
      <c r="AF210" s="1854"/>
      <c r="AG210" s="1854"/>
      <c r="AH210" s="2243"/>
      <c r="AI210" s="2244"/>
    </row>
    <row s="5774" customFormat="1" customHeight="1" ht="15">
      <c r="D211" s="2589"/>
      <c r="E211" s="2265"/>
      <c r="F211" s="2265"/>
      <c r="G211" s="2245"/>
      <c r="H211" s="1666"/>
      <c r="I211" s="2248"/>
      <c r="J211" s="2219"/>
      <c r="K211" s="1676"/>
      <c r="L211" s="2204"/>
      <c r="M211" s="2204"/>
      <c r="N211" s="1656"/>
      <c r="O211" s="2204"/>
      <c r="P211" s="2219"/>
      <c r="Q211" s="1856"/>
      <c r="R211" s="2204"/>
      <c r="S211" s="2204"/>
      <c r="T211" s="1924"/>
      <c r="U211" s="2204"/>
      <c r="V211" s="2219"/>
      <c r="W211" s="1659"/>
      <c r="X211" s="2204"/>
      <c r="Y211" s="2204"/>
      <c r="Z211" s="1852"/>
      <c r="AA211" s="1854"/>
      <c r="AB211" s="2243"/>
      <c r="AC211" s="2243"/>
      <c r="AD211" s="2243"/>
      <c r="AE211" s="2243"/>
      <c r="AF211" s="2243"/>
      <c r="AG211" s="2243"/>
      <c r="AH211" s="2243"/>
      <c r="AI211" s="2244"/>
    </row>
    <row s="5774" customFormat="1" customHeight="1" ht="15">
      <c r="D212" s="2589"/>
      <c r="E212" s="2265"/>
      <c r="F212" s="2265"/>
      <c r="G212" s="2245"/>
      <c r="H212" s="1666"/>
      <c r="I212" s="2248"/>
      <c r="J212" s="2219"/>
      <c r="K212" s="1676"/>
      <c r="L212" s="2204"/>
      <c r="M212" s="2204"/>
      <c r="N212" s="1656"/>
      <c r="O212" s="2204"/>
      <c r="P212" s="2219"/>
      <c r="Q212" s="1856"/>
      <c r="R212" s="2204"/>
      <c r="S212" s="2204"/>
      <c r="T212" s="1925"/>
      <c r="U212" s="1663"/>
      <c r="V212" s="2243"/>
      <c r="W212" s="2243"/>
      <c r="X212" s="2243"/>
      <c r="Y212" s="2243"/>
      <c r="Z212" s="2243"/>
      <c r="AA212" s="2243"/>
      <c r="AB212" s="2243"/>
      <c r="AC212" s="2243"/>
      <c r="AD212" s="2243"/>
      <c r="AE212" s="2243"/>
      <c r="AF212" s="2243"/>
      <c r="AG212" s="2243"/>
      <c r="AH212" s="2243"/>
      <c r="AI212" s="2244"/>
    </row>
    <row s="5774" customFormat="1" customHeight="1" ht="11.25">
      <c r="D213" s="2589"/>
      <c r="E213" s="2265"/>
      <c r="F213" s="2265"/>
      <c r="G213" s="2245"/>
      <c r="H213" s="1667"/>
      <c r="I213" s="2248"/>
      <c r="J213" s="2219"/>
      <c r="K213" s="1676"/>
      <c r="L213" s="2204"/>
      <c r="M213" s="2204"/>
      <c r="N213" s="1854"/>
      <c r="O213" s="1854"/>
      <c r="P213" s="2243"/>
      <c r="Q213" s="2243"/>
      <c r="R213" s="2243"/>
      <c r="S213" s="2243"/>
      <c r="T213" s="2243"/>
      <c r="U213" s="2243"/>
      <c r="V213" s="2243"/>
      <c r="W213" s="2243"/>
      <c r="X213" s="2243"/>
      <c r="Y213" s="2243"/>
      <c r="Z213" s="2243"/>
      <c r="AA213" s="2243"/>
      <c r="AB213" s="2243"/>
      <c r="AC213" s="2243"/>
      <c r="AD213" s="2243"/>
      <c r="AE213" s="2243"/>
      <c r="AF213" s="2243"/>
      <c r="AG213" s="2243"/>
      <c r="AH213" s="2243"/>
      <c r="AI213" s="2244"/>
    </row>
    <row s="3218" customFormat="1" customHeight="1" ht="11.25">
      <c r="D214" s="2589"/>
      <c r="E214" s="2265"/>
      <c r="F214" s="2265"/>
      <c r="G214" s="2250"/>
      <c r="H214" s="1664"/>
      <c r="I214" s="1668"/>
      <c r="J214" s="2253"/>
      <c r="K214" s="2253"/>
      <c r="L214" s="2253"/>
      <c r="M214" s="2253"/>
      <c r="N214" s="2253"/>
      <c r="O214" s="2253"/>
      <c r="P214" s="2253"/>
      <c r="Q214" s="2253"/>
      <c r="R214" s="2253"/>
      <c r="S214" s="2253"/>
      <c r="T214" s="2253"/>
      <c r="U214" s="2253"/>
      <c r="V214" s="2253"/>
      <c r="W214" s="2253"/>
      <c r="X214" s="2253"/>
      <c r="Y214" s="2253"/>
      <c r="Z214" s="2253"/>
      <c r="AA214" s="2253"/>
      <c r="AB214" s="2253"/>
      <c r="AC214" s="2253"/>
      <c r="AD214" s="2253"/>
      <c r="AE214" s="2253"/>
      <c r="AF214" s="2253"/>
      <c r="AG214" s="2253"/>
      <c r="AH214" s="2253"/>
      <c r="AI214" s="2254"/>
      <c r="BK214" s="1640"/>
    </row>
    <row customHeight="1" ht="17.25">
      <c r="A215" s="191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1DC4E-9AE6-1E8F-97F9-DD1DA9452DC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659" width="43.140625"/>
    <col min="2" max="2" style="5659" width="43.140625" hidden="1"/>
    <col min="3" max="3" style="5659" width="43.140625"/>
    <col min="4" max="5" style="5659" width="36.421875" customWidth="1"/>
    <col min="6" max="8" style="5660" width="36.421875" customWidth="1"/>
  </cols>
  <sheetData>
    <row customHeight="1" ht="9">
      <c r="A1" s="912" t="s">
        <v>1950</v>
      </c>
      <c r="B1" s="912"/>
      <c r="C1" s="1048" t="s">
        <v>1951</v>
      </c>
      <c r="D1" s="1046" t="s">
        <v>816</v>
      </c>
      <c r="E1" s="1046" t="s">
        <v>862</v>
      </c>
      <c r="F1" s="1046" t="s">
        <v>915</v>
      </c>
      <c r="G1" s="1046" t="s">
        <v>902</v>
      </c>
      <c r="H1" s="1046" t="s">
        <v>1624</v>
      </c>
    </row>
    <row customHeight="1" ht="9">
      <c r="A2" s="1049" t="s">
        <v>1952</v>
      </c>
      <c r="B2" s="1049"/>
      <c r="C2" s="1050" t="str">
        <f>INDEX(TEMPLATE_NUMBER_FORM_LIST,MATCH(TEMPLATE_SPHERE,TEMPLATE_SPHERE_LIST,0))</f>
        <v>16</v>
      </c>
      <c r="D2" s="1049" t="s">
        <v>1473</v>
      </c>
      <c r="E2" s="1049" t="s">
        <v>154</v>
      </c>
      <c r="F2" s="1051" t="s">
        <v>154</v>
      </c>
      <c r="G2" s="1049" t="s">
        <v>154</v>
      </c>
      <c r="H2" s="1052"/>
    </row>
    <row customHeight="1" ht="63">
      <c r="A3" s="912"/>
      <c r="B3" s="912" t="s">
        <v>114</v>
      </c>
      <c r="C3" s="105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0" t="s">
        <v>1953</v>
      </c>
      <c r="E3" s="105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1"/>
      <c r="G3" s="1052"/>
      <c r="H3" s="912"/>
    </row>
    <row customHeight="1" ht="243">
      <c r="A4" s="912" t="s">
        <v>1954</v>
      </c>
      <c r="B4" s="912" t="s">
        <v>115</v>
      </c>
      <c r="C4" s="105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9" t="s">
        <v>1955</v>
      </c>
      <c r="E4" s="10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9"/>
      <c r="G4" s="1049"/>
      <c r="H4" s="912" t="s">
        <v>1956</v>
      </c>
    </row>
    <row customHeight="1" ht="117">
      <c r="A5" s="912" t="s">
        <v>1957</v>
      </c>
      <c r="B5" s="912" t="s">
        <v>95</v>
      </c>
      <c r="C5" s="105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2" t="s">
        <v>1958</v>
      </c>
      <c r="E5" s="91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2"/>
      <c r="G5" s="1052"/>
      <c r="H5" s="912" t="s">
        <v>1959</v>
      </c>
    </row>
    <row customHeight="1" ht="90">
      <c r="A6" s="912" t="s">
        <v>1960</v>
      </c>
      <c r="B6" s="912" t="s">
        <v>96</v>
      </c>
      <c r="C6" s="105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2"/>
      <c r="G6" s="912"/>
      <c r="H6" s="1052"/>
    </row>
    <row customHeight="1" ht="45">
      <c r="A7" s="912" t="s">
        <v>1961</v>
      </c>
      <c r="B7" s="912" t="s">
        <v>116</v>
      </c>
      <c r="C7" s="1050" t="str">
        <f>IF(TEMPLATE_SPHERE="HEAT",D7,E7)</f>
        <v>Форма 11. Информация о расходах на капитальный и текущий ремонт основных средств</v>
      </c>
      <c r="D7" s="912" t="s">
        <v>1962</v>
      </c>
      <c r="E7" s="912" t="s">
        <v>1963</v>
      </c>
      <c r="F7" s="1052"/>
      <c r="G7" s="1052"/>
      <c r="H7" s="1052"/>
    </row>
    <row customHeight="1" ht="108">
      <c r="A8" s="912" t="s">
        <v>1964</v>
      </c>
      <c r="B8" s="912" t="s">
        <v>97</v>
      </c>
      <c r="C8" s="105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2" t="s">
        <v>1163</v>
      </c>
      <c r="E8" s="912" t="s">
        <v>1965</v>
      </c>
      <c r="F8" s="1052"/>
      <c r="G8" s="1052"/>
      <c r="H8" s="1052"/>
    </row>
    <row customHeight="1" ht="99">
      <c r="A9" s="912" t="s">
        <v>1966</v>
      </c>
      <c r="B9" s="912"/>
      <c r="C9" s="912" t="s">
        <v>1967</v>
      </c>
      <c r="D9" s="912"/>
      <c r="E9" s="912"/>
      <c r="F9" s="1052"/>
      <c r="G9" s="1052"/>
      <c r="H9" s="1052"/>
    </row>
    <row customHeight="1" ht="126">
      <c r="A10" s="912" t="s">
        <v>1968</v>
      </c>
      <c r="B10" s="912"/>
      <c r="C10" s="912" t="s">
        <v>1969</v>
      </c>
      <c r="D10" s="912"/>
      <c r="E10" s="912"/>
      <c r="F10" s="1052"/>
      <c r="G10" s="1052"/>
      <c r="H10" s="1052"/>
    </row>
    <row customHeight="1" ht="108">
      <c r="A11" s="912" t="s">
        <v>1970</v>
      </c>
      <c r="B11" s="912"/>
      <c r="C11" s="912" t="s">
        <v>1971</v>
      </c>
      <c r="D11" s="912"/>
      <c r="E11" s="912"/>
      <c r="F11" s="1052"/>
      <c r="G11" s="1052"/>
      <c r="H11" s="1052"/>
    </row>
    <row customHeight="1" ht="54">
      <c r="A12" s="912" t="s">
        <v>1972</v>
      </c>
      <c r="B12" s="912"/>
      <c r="C12" s="912" t="s">
        <v>1973</v>
      </c>
      <c r="D12" s="912"/>
      <c r="E12" s="912"/>
      <c r="F12" s="1052"/>
      <c r="G12" s="1052"/>
      <c r="H12" s="1052"/>
    </row>
    <row customHeight="1" ht="45">
      <c r="A13" s="912" t="s">
        <v>1974</v>
      </c>
      <c r="B13" s="912"/>
      <c r="C13" s="912" t="s">
        <v>1975</v>
      </c>
      <c r="D13" s="912"/>
      <c r="E13" s="912"/>
      <c r="F13" s="1052"/>
      <c r="G13" s="1052"/>
      <c r="H13" s="1052"/>
    </row>
    <row customHeight="1" ht="117">
      <c r="A14" s="912" t="s">
        <v>1976</v>
      </c>
      <c r="B14" s="912"/>
      <c r="C14" s="912" t="s">
        <v>1977</v>
      </c>
      <c r="D14" s="912"/>
      <c r="E14" s="912"/>
      <c r="F14" s="1052"/>
      <c r="G14" s="1052"/>
      <c r="H14" s="1052"/>
    </row>
    <row customHeight="1" ht="117">
      <c r="A15" s="912" t="s">
        <v>1978</v>
      </c>
      <c r="B15" s="912"/>
      <c r="C15" s="912" t="s">
        <v>1979</v>
      </c>
      <c r="D15" s="912"/>
      <c r="E15" s="912"/>
      <c r="F15" s="1052"/>
      <c r="G15" s="1052"/>
      <c r="H15" s="1052"/>
    </row>
    <row customHeight="1" ht="63">
      <c r="A16" s="912" t="s">
        <v>1980</v>
      </c>
      <c r="B16" s="912"/>
      <c r="C16" s="912" t="s">
        <v>1981</v>
      </c>
      <c r="D16" s="912"/>
      <c r="E16" s="912"/>
      <c r="F16" s="1052"/>
      <c r="G16" s="1052"/>
      <c r="H16" s="1052"/>
    </row>
    <row customHeight="1" ht="54">
      <c r="A17" s="912" t="s">
        <v>1982</v>
      </c>
      <c r="B17" s="912"/>
      <c r="C17" s="1050" t="s">
        <v>1983</v>
      </c>
      <c r="D17" s="912"/>
      <c r="E17" s="912"/>
      <c r="F17" s="1052"/>
      <c r="G17" s="1052"/>
      <c r="H17" s="1052"/>
    </row>
    <row customHeight="1" ht="27">
      <c r="A18" s="912" t="s">
        <v>1984</v>
      </c>
      <c r="B18" s="912"/>
      <c r="C18" s="1050" t="s">
        <v>1985</v>
      </c>
      <c r="D18" s="912"/>
      <c r="E18" s="912"/>
      <c r="F18" s="1052"/>
      <c r="G18" s="1052"/>
      <c r="H18" s="1052"/>
    </row>
    <row customHeight="1" ht="54">
      <c r="A19" s="912" t="s">
        <v>1986</v>
      </c>
      <c r="B19" s="912"/>
      <c r="C19" s="1050" t="s">
        <v>1987</v>
      </c>
      <c r="D19" s="912"/>
      <c r="E19" s="912"/>
      <c r="F19" s="1052"/>
      <c r="G19" s="1052"/>
      <c r="H19" s="1052"/>
    </row>
    <row customHeight="1" ht="36">
      <c r="A20" s="912" t="s">
        <v>1988</v>
      </c>
      <c r="B20" s="912"/>
      <c r="C20" s="1050" t="s">
        <v>1989</v>
      </c>
      <c r="D20" s="912"/>
      <c r="E20" s="912"/>
      <c r="F20" s="1052"/>
      <c r="G20" s="1052"/>
      <c r="H20" s="1052"/>
    </row>
    <row customHeight="1" ht="36">
      <c r="A21" s="912" t="s">
        <v>1990</v>
      </c>
      <c r="B21" s="912"/>
      <c r="C21" s="1050" t="s">
        <v>1991</v>
      </c>
      <c r="D21" s="912"/>
      <c r="E21" s="912"/>
      <c r="F21" s="1052"/>
      <c r="G21" s="1052"/>
      <c r="H21" s="1052"/>
    </row>
    <row customHeight="1" ht="27">
      <c r="A22" s="912" t="s">
        <v>1992</v>
      </c>
      <c r="B22" s="912"/>
      <c r="C22" s="1050" t="s">
        <v>1993</v>
      </c>
      <c r="D22" s="912"/>
      <c r="E22" s="912"/>
      <c r="F22" s="1052"/>
      <c r="G22" s="1052"/>
      <c r="H22" s="1052"/>
    </row>
    <row customHeight="1" ht="36">
      <c r="A23" s="912" t="s">
        <v>1994</v>
      </c>
      <c r="B23" s="912"/>
      <c r="C23" s="1050" t="s">
        <v>1995</v>
      </c>
      <c r="D23" s="912"/>
      <c r="E23" s="912"/>
      <c r="F23" s="1052"/>
      <c r="G23" s="1052"/>
      <c r="H23" s="1052"/>
    </row>
    <row customHeight="1" ht="28.5">
      <c r="A24" s="912" t="s">
        <v>1996</v>
      </c>
      <c r="B24" s="912"/>
      <c r="C24" s="1050" t="s">
        <v>1997</v>
      </c>
      <c r="D24" s="912"/>
      <c r="E24" s="912"/>
      <c r="F24" s="1052"/>
      <c r="G24" s="1052"/>
      <c r="H24" s="1052"/>
    </row>
    <row customHeight="1" ht="36">
      <c r="A25" s="912" t="s">
        <v>1998</v>
      </c>
      <c r="B25" s="912"/>
      <c r="C25" s="1050" t="s">
        <v>1999</v>
      </c>
      <c r="D25" s="912"/>
      <c r="E25" s="912"/>
      <c r="F25" s="1052"/>
      <c r="G25" s="1052"/>
      <c r="H25" s="1052"/>
    </row>
    <row customHeight="1" ht="27">
      <c r="A26" s="912" t="s">
        <v>2000</v>
      </c>
      <c r="B26" s="912"/>
      <c r="C26" s="1050" t="s">
        <v>2001</v>
      </c>
      <c r="D26" s="912"/>
      <c r="E26" s="912"/>
      <c r="F26" s="1052"/>
      <c r="G26" s="1052"/>
      <c r="H26" s="1052"/>
    </row>
    <row customHeight="1" ht="36">
      <c r="A27" s="912" t="s">
        <v>2002</v>
      </c>
      <c r="B27" s="912"/>
      <c r="C27" s="1050" t="s">
        <v>2003</v>
      </c>
      <c r="D27" s="912"/>
      <c r="E27" s="912"/>
      <c r="F27" s="1052"/>
      <c r="G27" s="1052"/>
      <c r="H27" s="1052"/>
    </row>
    <row customHeight="1" ht="28.5">
      <c r="A28" s="912" t="s">
        <v>2004</v>
      </c>
      <c r="B28" s="912"/>
      <c r="C28" s="1050" t="s">
        <v>2005</v>
      </c>
      <c r="D28" s="912"/>
      <c r="E28" s="912"/>
      <c r="F28" s="1052"/>
      <c r="G28" s="1052"/>
      <c r="H28" s="1052"/>
    </row>
    <row customHeight="1" ht="126">
      <c r="A29" s="912" t="s">
        <v>2006</v>
      </c>
      <c r="B29" s="912" t="s">
        <v>1575</v>
      </c>
      <c r="C29" s="105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2" t="s">
        <v>2007</v>
      </c>
      <c r="E29" s="91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2"/>
      <c r="G29" s="1052"/>
      <c r="H29" s="912" t="s">
        <v>2008</v>
      </c>
    </row>
    <row customHeight="1" ht="36">
      <c r="A30" s="912" t="s">
        <v>2009</v>
      </c>
      <c r="B30" s="912"/>
      <c r="C30" s="105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2" t="s">
        <v>2010</v>
      </c>
      <c r="E30" s="91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2"/>
      <c r="G30" s="1052"/>
      <c r="H30" s="1052"/>
    </row>
    <row customHeight="1" ht="54">
      <c r="A31" s="912" t="s">
        <v>2011</v>
      </c>
      <c r="B31" s="912"/>
      <c r="C31" s="105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2" t="s">
        <v>2012</v>
      </c>
      <c r="E31" s="91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2"/>
      <c r="G31" s="1052"/>
      <c r="H31" s="1052"/>
    </row>
    <row customHeight="1" ht="198">
      <c r="A32" s="912" t="s">
        <v>2013</v>
      </c>
      <c r="B32" s="912"/>
      <c r="C32" s="105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2" t="s">
        <v>2014</v>
      </c>
      <c r="E32" s="91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2"/>
      <c r="G32" s="1052"/>
      <c r="H32" s="912" t="s">
        <v>2015</v>
      </c>
    </row>
    <row customHeight="1" ht="9">
      <c r="A33" s="912"/>
      <c r="B33" s="912"/>
      <c r="C33" s="1050"/>
      <c r="D33" s="912"/>
      <c r="E33" s="912"/>
      <c r="F33" s="1052"/>
      <c r="G33" s="1052"/>
      <c r="H33" s="1052"/>
    </row>
    <row customHeight="1" ht="9">
      <c r="A34" s="912"/>
      <c r="B34" s="912" t="s">
        <v>1511</v>
      </c>
      <c r="C34" s="1050">
        <f>INDEX(TEMPLATE_NAME_FORM_LIST,B34,MATCH(TEMPLATE_SPHERE,TEMPLATE_SPHERE_LIST,0))</f>
        <v>0</v>
      </c>
      <c r="D34" s="912"/>
      <c r="E34" s="912"/>
      <c r="F34" s="1052"/>
      <c r="G34" s="1052"/>
      <c r="H34" s="105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A19EB4D-87A3-E6DE-5C3D-B6035B29EF5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659" width="9.140625"/>
    <col min="3" max="7" style="5703" width="8.00390625" customWidth="1"/>
    <col min="8" max="12" style="5703" width="8.57421875" customWidth="1"/>
    <col min="13" max="14" style="5703" width="27.7109375" customWidth="1"/>
    <col min="15" max="19" style="5703" width="5.140625" customWidth="1"/>
    <col min="20" max="24" style="5703" width="27.7109375" customWidth="1"/>
    <col min="25" max="25" style="5704" width="1.8515625" customWidth="1"/>
    <col min="26" max="26" style="5659" width="27.7109375" customWidth="1"/>
    <col min="27" max="27" style="5705" width="27.7109375" customWidth="1"/>
    <col min="28" max="29" style="5659" width="27.7109375" customWidth="1"/>
    <col min="30" max="30" style="5659" width="3.8515625" customWidth="1"/>
    <col min="31" max="34" style="5659" width="9.140625"/>
  </cols>
  <sheetData>
    <row s="5661" customFormat="1" customHeight="1" ht="18">
      <c r="A1" s="964"/>
      <c r="B1" s="964"/>
      <c r="C1" s="964" t="s">
        <v>2016</v>
      </c>
      <c r="D1" s="964"/>
      <c r="E1" s="964"/>
      <c r="F1" s="964"/>
      <c r="G1" s="964"/>
      <c r="H1" s="964" t="s">
        <v>2017</v>
      </c>
      <c r="I1" s="964"/>
      <c r="J1" s="964"/>
      <c r="K1" s="964"/>
      <c r="L1" s="964"/>
      <c r="M1" s="964" t="s">
        <v>2018</v>
      </c>
      <c r="N1" s="964" t="s">
        <v>2019</v>
      </c>
      <c r="O1" s="2658" t="s">
        <v>2020</v>
      </c>
      <c r="P1" s="2658"/>
      <c r="Q1" s="2658"/>
      <c r="R1" s="2658"/>
      <c r="S1" s="2658"/>
      <c r="T1" s="2658" t="s">
        <v>2018</v>
      </c>
      <c r="U1" s="2658"/>
      <c r="V1" s="2658"/>
      <c r="W1" s="2658"/>
      <c r="X1" s="2658"/>
      <c r="Y1" s="1065"/>
      <c r="Z1" s="2658" t="s">
        <v>2021</v>
      </c>
      <c r="AA1" s="2658"/>
      <c r="AB1" s="2658"/>
      <c r="AC1" s="2658"/>
      <c r="AD1" s="2658"/>
    </row>
    <row customHeight="1" ht="18">
      <c r="A2" s="912"/>
      <c r="B2" s="912"/>
      <c r="C2" s="907" t="s">
        <v>816</v>
      </c>
      <c r="D2" s="907" t="s">
        <v>862</v>
      </c>
      <c r="E2" s="907" t="s">
        <v>915</v>
      </c>
      <c r="F2" s="907" t="s">
        <v>902</v>
      </c>
      <c r="G2" s="907" t="s">
        <v>1624</v>
      </c>
      <c r="H2" s="909"/>
      <c r="I2" s="909"/>
      <c r="J2" s="909"/>
      <c r="K2" s="909"/>
      <c r="L2" s="909"/>
      <c r="M2" s="909"/>
      <c r="N2" s="909"/>
      <c r="O2" s="907" t="s">
        <v>816</v>
      </c>
      <c r="P2" s="907" t="s">
        <v>862</v>
      </c>
      <c r="Q2" s="907" t="s">
        <v>902</v>
      </c>
      <c r="R2" s="907" t="s">
        <v>915</v>
      </c>
      <c r="S2" s="907" t="s">
        <v>1624</v>
      </c>
      <c r="T2" s="907" t="s">
        <v>816</v>
      </c>
      <c r="U2" s="907" t="s">
        <v>862</v>
      </c>
      <c r="V2" s="907" t="s">
        <v>902</v>
      </c>
      <c r="W2" s="907" t="s">
        <v>915</v>
      </c>
      <c r="X2" s="907" t="s">
        <v>1624</v>
      </c>
      <c r="Y2" s="907"/>
      <c r="Z2" s="907" t="s">
        <v>816</v>
      </c>
      <c r="AA2" s="916" t="s">
        <v>862</v>
      </c>
      <c r="AB2" s="907" t="s">
        <v>902</v>
      </c>
      <c r="AC2" s="907" t="s">
        <v>915</v>
      </c>
      <c r="AD2" s="907" t="s">
        <v>1624</v>
      </c>
    </row>
    <row customHeight="1" ht="162">
      <c r="A3" s="911" t="s">
        <v>26</v>
      </c>
      <c r="B3" s="911"/>
      <c r="C3" s="2662" t="s">
        <v>2022</v>
      </c>
      <c r="D3" s="2663"/>
      <c r="E3" s="2663"/>
      <c r="F3" s="2664"/>
      <c r="G3" s="909"/>
      <c r="H3" s="909"/>
      <c r="I3" s="909"/>
      <c r="J3" s="909"/>
      <c r="K3" s="909"/>
      <c r="L3" s="909"/>
      <c r="M3" s="909"/>
      <c r="N3" s="91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9"/>
      <c r="P3" s="909"/>
      <c r="Q3" s="909"/>
      <c r="R3" s="909"/>
      <c r="S3" s="909"/>
      <c r="T3" s="909"/>
      <c r="U3" s="909"/>
      <c r="V3" s="909"/>
      <c r="W3" s="909"/>
      <c r="X3" s="909"/>
      <c r="Y3" s="1066"/>
      <c r="Z3" s="912" t="s">
        <v>2023</v>
      </c>
      <c r="AA3" s="909" t="s">
        <v>2024</v>
      </c>
      <c r="AB3" s="912" t="s">
        <v>2025</v>
      </c>
      <c r="AC3" s="912" t="s">
        <v>2026</v>
      </c>
      <c r="AD3" s="912"/>
      <c r="AG3" s="912"/>
      <c r="AH3" s="912"/>
    </row>
    <row customHeight="1" ht="9">
      <c r="A4" s="911"/>
      <c r="B4" s="911"/>
      <c r="C4" s="909"/>
      <c r="D4" s="909"/>
      <c r="E4" s="909"/>
      <c r="F4" s="909"/>
      <c r="G4" s="909"/>
      <c r="H4" s="909"/>
      <c r="I4" s="909"/>
      <c r="J4" s="909"/>
      <c r="K4" s="909"/>
      <c r="L4" s="909"/>
      <c r="M4" s="909"/>
      <c r="N4" s="909"/>
      <c r="O4" s="909"/>
      <c r="P4" s="909"/>
      <c r="Q4" s="909"/>
      <c r="R4" s="909"/>
      <c r="S4" s="909"/>
      <c r="T4" s="909"/>
      <c r="U4" s="909"/>
      <c r="V4" s="909"/>
      <c r="W4" s="909"/>
      <c r="X4" s="909"/>
      <c r="Y4" s="1066"/>
      <c r="Z4" s="912"/>
      <c r="AA4" s="915"/>
      <c r="AB4" s="912"/>
      <c r="AC4" s="912"/>
      <c r="AD4" s="912"/>
    </row>
    <row customHeight="1" ht="9">
      <c r="A5" s="911"/>
      <c r="B5" s="911"/>
      <c r="C5" s="909"/>
      <c r="D5" s="909"/>
      <c r="E5" s="909"/>
      <c r="F5" s="909"/>
      <c r="G5" s="909"/>
      <c r="H5" s="909"/>
      <c r="I5" s="909"/>
      <c r="J5" s="909"/>
      <c r="K5" s="909"/>
      <c r="L5" s="909"/>
      <c r="M5" s="909"/>
      <c r="N5" s="909"/>
      <c r="O5" s="909"/>
      <c r="P5" s="909"/>
      <c r="Q5" s="909"/>
      <c r="R5" s="909"/>
      <c r="S5" s="909"/>
      <c r="T5" s="909"/>
      <c r="U5" s="909"/>
      <c r="V5" s="909"/>
      <c r="W5" s="909"/>
      <c r="X5" s="909"/>
      <c r="Y5" s="1066"/>
      <c r="Z5" s="912"/>
      <c r="AA5" s="915"/>
      <c r="AB5" s="912"/>
      <c r="AC5" s="912"/>
      <c r="AD5" s="912"/>
    </row>
    <row customHeight="1" ht="9">
      <c r="A6" s="911"/>
      <c r="B6" s="911"/>
      <c r="C6" s="909"/>
      <c r="D6" s="909"/>
      <c r="E6" s="909"/>
      <c r="F6" s="909"/>
      <c r="G6" s="909"/>
      <c r="H6" s="909"/>
      <c r="I6" s="909"/>
      <c r="J6" s="909"/>
      <c r="K6" s="909"/>
      <c r="L6" s="909"/>
      <c r="M6" s="909"/>
      <c r="N6" s="909"/>
      <c r="O6" s="909"/>
      <c r="P6" s="909"/>
      <c r="Q6" s="909"/>
      <c r="R6" s="909"/>
      <c r="S6" s="909"/>
      <c r="T6" s="909"/>
      <c r="U6" s="909"/>
      <c r="V6" s="909"/>
      <c r="W6" s="909"/>
      <c r="X6" s="909"/>
      <c r="Y6" s="1066"/>
      <c r="Z6" s="912"/>
      <c r="AA6" s="915"/>
      <c r="AB6" s="912"/>
      <c r="AC6" s="912"/>
      <c r="AD6" s="912"/>
    </row>
    <row customHeight="1" ht="9">
      <c r="A7" s="911"/>
      <c r="B7" s="911"/>
      <c r="C7" s="909"/>
      <c r="D7" s="909"/>
      <c r="E7" s="909"/>
      <c r="F7" s="909"/>
      <c r="G7" s="909"/>
      <c r="H7" s="909"/>
      <c r="I7" s="909"/>
      <c r="J7" s="909"/>
      <c r="K7" s="909"/>
      <c r="L7" s="909"/>
      <c r="M7" s="909"/>
      <c r="N7" s="909"/>
      <c r="O7" s="909"/>
      <c r="P7" s="909"/>
      <c r="Q7" s="909"/>
      <c r="R7" s="909"/>
      <c r="S7" s="909"/>
      <c r="T7" s="909"/>
      <c r="U7" s="909"/>
      <c r="V7" s="909"/>
      <c r="W7" s="909"/>
      <c r="X7" s="909"/>
      <c r="Y7" s="1066"/>
      <c r="Z7" s="912"/>
      <c r="AA7" s="915"/>
      <c r="AB7" s="912"/>
      <c r="AC7" s="912"/>
      <c r="AD7" s="912"/>
    </row>
    <row customHeight="1" ht="9">
      <c r="A8" s="911"/>
      <c r="B8" s="911"/>
      <c r="C8" s="909"/>
      <c r="D8" s="909"/>
      <c r="E8" s="909"/>
      <c r="F8" s="909"/>
      <c r="G8" s="909"/>
      <c r="H8" s="909"/>
      <c r="I8" s="909"/>
      <c r="J8" s="909"/>
      <c r="K8" s="909"/>
      <c r="L8" s="909"/>
      <c r="M8" s="909"/>
      <c r="N8" s="909"/>
      <c r="O8" s="909"/>
      <c r="P8" s="909"/>
      <c r="Q8" s="909"/>
      <c r="R8" s="909"/>
      <c r="S8" s="909"/>
      <c r="T8" s="909"/>
      <c r="U8" s="909"/>
      <c r="V8" s="909"/>
      <c r="W8" s="909"/>
      <c r="X8" s="909"/>
      <c r="Y8" s="1066"/>
      <c r="Z8" s="912"/>
      <c r="AA8" s="915"/>
      <c r="AB8" s="912"/>
      <c r="AC8" s="912"/>
      <c r="AD8" s="912"/>
    </row>
    <row customHeight="1" ht="9">
      <c r="A9" s="911"/>
      <c r="B9" s="911"/>
      <c r="C9" s="909"/>
      <c r="D9" s="909"/>
      <c r="E9" s="909"/>
      <c r="F9" s="909"/>
      <c r="G9" s="909"/>
      <c r="H9" s="909"/>
      <c r="I9" s="909"/>
      <c r="J9" s="909"/>
      <c r="K9" s="909"/>
      <c r="L9" s="909"/>
      <c r="M9" s="909"/>
      <c r="N9" s="909"/>
      <c r="O9" s="909"/>
      <c r="P9" s="909"/>
      <c r="Q9" s="909"/>
      <c r="R9" s="909"/>
      <c r="S9" s="909"/>
      <c r="T9" s="909"/>
      <c r="U9" s="909"/>
      <c r="V9" s="909"/>
      <c r="W9" s="909"/>
      <c r="X9" s="909"/>
      <c r="Y9" s="1066"/>
      <c r="Z9" s="912"/>
      <c r="AA9" s="915"/>
      <c r="AB9" s="912"/>
      <c r="AC9" s="912"/>
      <c r="AD9" s="912"/>
    </row>
    <row customHeight="1" ht="9">
      <c r="A10" s="965"/>
      <c r="B10" s="965"/>
      <c r="C10" s="965"/>
      <c r="D10" s="965"/>
      <c r="E10" s="965"/>
      <c r="F10" s="965"/>
      <c r="G10" s="965"/>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row>
    <row customHeight="1" ht="45">
      <c r="A11" s="2659" t="s">
        <v>33</v>
      </c>
      <c r="B11" s="965">
        <v>1</v>
      </c>
      <c r="C11" s="2665" t="s">
        <v>1562</v>
      </c>
      <c r="D11" s="2665" t="s">
        <v>1558</v>
      </c>
      <c r="E11" s="2665" t="s">
        <v>1657</v>
      </c>
      <c r="F11" s="2665" t="s">
        <v>2027</v>
      </c>
      <c r="G11" s="2665"/>
      <c r="H11" s="964" t="s">
        <v>2028</v>
      </c>
      <c r="I11" s="964"/>
      <c r="J11" s="964"/>
      <c r="K11" s="964"/>
      <c r="L11" s="964"/>
      <c r="M11" s="910" t="str">
        <f>IF(TEMPLATE_SPHERE="HEAT",T11,U11)</f>
        <v>Количество поданных заявок</v>
      </c>
      <c r="N11" s="91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9"/>
      <c r="P11" s="909"/>
      <c r="Q11" s="909"/>
      <c r="R11" s="909"/>
      <c r="S11" s="909"/>
      <c r="T11" s="909" t="s">
        <v>2029</v>
      </c>
      <c r="U11" s="909" t="s">
        <v>2030</v>
      </c>
      <c r="V11" s="909"/>
      <c r="W11" s="909"/>
      <c r="X11" s="909"/>
      <c r="Y11" s="1066"/>
      <c r="Z11" s="912" t="s">
        <v>2031</v>
      </c>
      <c r="AA11" s="91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2"/>
      <c r="AC11" s="912"/>
      <c r="AD11" s="912"/>
    </row>
    <row customHeight="1" ht="45">
      <c r="A12" s="2659"/>
      <c r="B12" s="965">
        <v>2</v>
      </c>
      <c r="C12" s="2666"/>
      <c r="D12" s="2666"/>
      <c r="E12" s="2666"/>
      <c r="F12" s="2666"/>
      <c r="G12" s="2666"/>
      <c r="H12" s="964" t="s">
        <v>2032</v>
      </c>
      <c r="I12" s="964"/>
      <c r="J12" s="964"/>
      <c r="K12" s="964"/>
      <c r="L12" s="964"/>
      <c r="M12" s="910" t="str">
        <f>IF(TEMPLATE_SPHERE="HEAT",T12,U12)</f>
        <v>Количество рассмотренных заявок</v>
      </c>
      <c r="N12" s="91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9"/>
      <c r="P12" s="909"/>
      <c r="Q12" s="909"/>
      <c r="R12" s="909"/>
      <c r="S12" s="909"/>
      <c r="T12" s="909" t="s">
        <v>2033</v>
      </c>
      <c r="U12" s="909" t="s">
        <v>2034</v>
      </c>
      <c r="V12" s="909"/>
      <c r="W12" s="909"/>
      <c r="X12" s="909"/>
      <c r="Y12" s="1066"/>
      <c r="Z12" s="912" t="s">
        <v>2035</v>
      </c>
      <c r="AA12" s="91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2"/>
      <c r="AC12" s="912"/>
      <c r="AD12" s="912"/>
    </row>
    <row customHeight="1" ht="72">
      <c r="A13" s="2659"/>
      <c r="B13" s="965">
        <v>3</v>
      </c>
      <c r="C13" s="2666"/>
      <c r="D13" s="2666"/>
      <c r="E13" s="2666"/>
      <c r="F13" s="2666"/>
      <c r="G13" s="2666"/>
      <c r="H13" s="2658" t="s">
        <v>2036</v>
      </c>
      <c r="I13" s="964"/>
      <c r="J13" s="964"/>
      <c r="K13" s="964"/>
      <c r="L13" s="964"/>
      <c r="M13" s="91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0" t="str">
        <f>IF(TEMPLATE_SPHERE="HEAT",Z13,AA13)</f>
        <v>Указывается количество заявок с решением об отказе в течение отчетного квартала.</v>
      </c>
      <c r="O13" s="909"/>
      <c r="P13" s="910"/>
      <c r="Q13" s="910"/>
      <c r="R13" s="910"/>
      <c r="S13" s="909"/>
      <c r="T13" s="909" t="s">
        <v>2037</v>
      </c>
      <c r="U13" s="910" t="s">
        <v>2038</v>
      </c>
      <c r="V13" s="910"/>
      <c r="W13" s="910"/>
      <c r="X13" s="909"/>
      <c r="Y13" s="1066"/>
      <c r="Z13" s="912" t="s">
        <v>2039</v>
      </c>
      <c r="AA13" s="91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2"/>
      <c r="AC13" s="912"/>
      <c r="AD13" s="912"/>
    </row>
    <row customHeight="1" ht="45">
      <c r="A14" s="2659"/>
      <c r="B14" s="965">
        <v>4</v>
      </c>
      <c r="C14" s="2666"/>
      <c r="D14" s="2666"/>
      <c r="E14" s="2666"/>
      <c r="F14" s="2666"/>
      <c r="G14" s="2666"/>
      <c r="H14" s="2658"/>
      <c r="I14" s="967"/>
      <c r="J14" s="967"/>
      <c r="K14" s="967"/>
      <c r="L14" s="967"/>
      <c r="M14" s="913" t="str">
        <f>IF(TEMPLATE_SPHERE="HEAT",T14,U14)</f>
        <v>Причины отказа в заключении договора о подключении (технологическом присоединении) к системе теплоснабжения</v>
      </c>
      <c r="N14" s="91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9"/>
      <c r="P14" s="910"/>
      <c r="Q14" s="910"/>
      <c r="R14" s="910"/>
      <c r="S14" s="909"/>
      <c r="T14" s="909" t="s">
        <v>2040</v>
      </c>
      <c r="U14" s="91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0"/>
      <c r="W14" s="910"/>
      <c r="X14" s="909"/>
      <c r="Y14" s="1066"/>
      <c r="Z14" s="912" t="s">
        <v>2041</v>
      </c>
      <c r="AA14" s="915" t="s">
        <v>2041</v>
      </c>
      <c r="AB14" s="912"/>
      <c r="AC14" s="912"/>
      <c r="AD14" s="912"/>
    </row>
    <row customHeight="1" ht="108">
      <c r="A15" s="2659"/>
      <c r="B15" s="965">
        <v>5</v>
      </c>
      <c r="C15" s="2666"/>
      <c r="D15" s="2666"/>
      <c r="E15" s="2666"/>
      <c r="F15" s="2666"/>
      <c r="G15" s="2666"/>
      <c r="H15" s="2660" t="s">
        <v>2042</v>
      </c>
      <c r="I15" s="966"/>
      <c r="J15" s="966"/>
      <c r="K15" s="966"/>
      <c r="L15" s="966"/>
      <c r="M15" s="915" t="str">
        <f>IF(TEMPLATE_SPHERE="HEAT",T15,U15)</f>
        <v>Резерв мощности источников тепловой энергии, входящих в систему теплоснабжения, в течение одного квартала, в том числе:</v>
      </c>
      <c r="N15" s="91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9"/>
      <c r="P15" s="910"/>
      <c r="Q15" s="910"/>
      <c r="R15" s="910"/>
      <c r="S15" s="909"/>
      <c r="T15" s="909" t="s">
        <v>2043</v>
      </c>
      <c r="U15" s="91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0"/>
      <c r="W15" s="910"/>
      <c r="X15" s="909"/>
      <c r="Y15" s="1066"/>
      <c r="Z15" s="912" t="s">
        <v>2044</v>
      </c>
      <c r="AA15" s="91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2"/>
      <c r="AC15" s="912"/>
      <c r="AD15" s="912"/>
    </row>
    <row customHeight="1" ht="108">
      <c r="A16" s="965"/>
      <c r="B16" s="965">
        <v>6</v>
      </c>
      <c r="C16" s="2667"/>
      <c r="D16" s="2667"/>
      <c r="E16" s="2667"/>
      <c r="F16" s="2667"/>
      <c r="G16" s="2667"/>
      <c r="H16" s="2661"/>
      <c r="I16" s="1028"/>
      <c r="J16" s="1028"/>
      <c r="K16" s="1028"/>
      <c r="L16" s="1028"/>
      <c r="M16" s="958"/>
      <c r="N16" s="91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9"/>
      <c r="P16" s="910"/>
      <c r="Q16" s="910"/>
      <c r="R16" s="910"/>
      <c r="S16" s="909"/>
      <c r="T16" s="909"/>
      <c r="U16" s="910"/>
      <c r="V16" s="910"/>
      <c r="W16" s="910"/>
      <c r="X16" s="909"/>
      <c r="Y16" s="1066"/>
      <c r="Z16" s="912" t="s">
        <v>2044</v>
      </c>
      <c r="AA16" s="91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2"/>
      <c r="AC16" s="912"/>
      <c r="AD16" s="912"/>
    </row>
    <row customHeight="1" ht="9">
      <c r="A17" s="965"/>
      <c r="B17" s="965"/>
      <c r="C17" s="965">
        <v>22</v>
      </c>
      <c r="D17" s="965">
        <v>21</v>
      </c>
      <c r="E17" s="965">
        <v>42</v>
      </c>
      <c r="F17" s="965">
        <v>63</v>
      </c>
      <c r="G17" s="965"/>
      <c r="H17" s="965"/>
      <c r="I17" s="965"/>
      <c r="J17" s="965"/>
      <c r="K17" s="965"/>
      <c r="L17" s="965"/>
      <c r="M17" s="965"/>
      <c r="N17" s="965"/>
      <c r="O17" s="965"/>
      <c r="P17" s="965"/>
      <c r="Q17" s="965"/>
      <c r="R17" s="965"/>
      <c r="S17" s="965"/>
      <c r="T17" s="965"/>
      <c r="U17" s="965"/>
      <c r="V17" s="965"/>
      <c r="W17" s="965"/>
      <c r="X17" s="965"/>
      <c r="Y17" s="965"/>
      <c r="Z17" s="965"/>
      <c r="AA17" s="965"/>
      <c r="AB17" s="965"/>
      <c r="AC17" s="965"/>
      <c r="AD17" s="965"/>
    </row>
    <row customHeight="1" ht="27">
      <c r="A18" s="911" t="s">
        <v>1660</v>
      </c>
      <c r="B18" s="965">
        <v>1</v>
      </c>
      <c r="C18" s="909" t="s">
        <v>2028</v>
      </c>
      <c r="D18" s="1033" t="s">
        <v>2028</v>
      </c>
      <c r="E18" s="909" t="s">
        <v>2028</v>
      </c>
      <c r="F18" s="909" t="s">
        <v>2028</v>
      </c>
      <c r="G18" s="909"/>
      <c r="H18" s="1068"/>
      <c r="I18" s="1071">
        <f>INDEX(TEMPLATE_NUMBER_POINT_FHD,B18,MATCH(TEMPLATE_SPHERE,TEMPLATE_SPHERE_LIST_FOR_NOTE,0))</f>
        <v>1</v>
      </c>
      <c r="J18" s="1071" t="str">
        <f>INDEX(TEMPLATE_DATA_POINT_FHD,B18,MATCH(TEMPLATE_SPHERE,TEMPLATE_SPHERE_LIST_FOR_NOTE,0))</f>
        <v>Выручка от регулируемого вида деятельности с распределением по видам деятельности</v>
      </c>
      <c r="K18" s="107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0">
        <f>IF(I18=0,"",I18)</f>
        <v>1</v>
      </c>
      <c r="M18" s="910" t="str">
        <f>IF(J18=0,"",J18)</f>
        <v>Выручка от регулируемого вида деятельности с распределением по видам деятельности</v>
      </c>
      <c r="N18" s="910" t="str">
        <f>IF(K18=0,"",K18)</f>
        <v>Указывается выручка от регулируемого вида деятельности с распределением по видам деятельности.</v>
      </c>
      <c r="O18" s="1023">
        <v>1</v>
      </c>
      <c r="P18" s="1023">
        <v>1</v>
      </c>
      <c r="Q18" s="1023">
        <v>1</v>
      </c>
      <c r="R18" s="1023">
        <v>1</v>
      </c>
      <c r="S18" s="1023"/>
      <c r="T18" s="1030" t="s">
        <v>2045</v>
      </c>
      <c r="U18" s="912" t="s">
        <v>2046</v>
      </c>
      <c r="V18" s="912" t="s">
        <v>2047</v>
      </c>
      <c r="W18" s="912" t="s">
        <v>2048</v>
      </c>
      <c r="X18" s="909"/>
      <c r="Y18" s="1066"/>
      <c r="Z18" s="912" t="s">
        <v>2049</v>
      </c>
      <c r="AA18" s="915" t="s">
        <v>2050</v>
      </c>
      <c r="AB18" s="915" t="s">
        <v>2050</v>
      </c>
      <c r="AC18" s="915" t="s">
        <v>2050</v>
      </c>
      <c r="AD18" s="912"/>
    </row>
    <row customHeight="1" ht="36">
      <c r="A19" s="911"/>
      <c r="B19" s="965">
        <v>2</v>
      </c>
      <c r="C19" s="909" t="s">
        <v>2032</v>
      </c>
      <c r="D19" s="1033" t="s">
        <v>2032</v>
      </c>
      <c r="E19" s="909" t="s">
        <v>2032</v>
      </c>
      <c r="F19" s="909" t="s">
        <v>2032</v>
      </c>
      <c r="G19" s="909"/>
      <c r="H19" s="1068"/>
      <c r="I19" s="1071">
        <f>INDEX(TEMPLATE_NUMBER_POINT_FHD,B19,MATCH(TEMPLATE_SPHERE,TEMPLATE_SPHERE_LIST_FOR_NOTE,0))</f>
        <v>2</v>
      </c>
      <c r="J19" s="107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1" t="str">
        <f>INDEX(TEMPLATE_NOTE_POINT_FHD,B19,MATCH(TEMPLATE_SPHERE,TEMPLATE_SPHERE_LIST_FOR_NOTE,0))</f>
        <v>Указывается суммарная себестоимость производимых товаров.</v>
      </c>
      <c r="L19" s="910">
        <f>IF(I19=0,"",I19)</f>
        <v>2</v>
      </c>
      <c r="M19" s="910" t="str">
        <f>IF(J19=0,"",J19)</f>
        <v>Себестоимость производимых товаров (оказываемых услуг) по регулируемому виду деятельности, включая:</v>
      </c>
      <c r="N19" s="910" t="str">
        <f>IF(K19=0,"",K19)</f>
        <v>Указывается суммарная себестоимость производимых товаров.</v>
      </c>
      <c r="O19" s="1023">
        <v>2</v>
      </c>
      <c r="P19" s="1023">
        <v>2</v>
      </c>
      <c r="Q19" s="1023">
        <v>2</v>
      </c>
      <c r="R19" s="1023">
        <v>2</v>
      </c>
      <c r="S19" s="1023"/>
      <c r="T19" s="1030" t="s">
        <v>2051</v>
      </c>
      <c r="U19" s="912" t="s">
        <v>2052</v>
      </c>
      <c r="V19" s="912" t="s">
        <v>2053</v>
      </c>
      <c r="W19" s="912" t="s">
        <v>2054</v>
      </c>
      <c r="X19" s="909"/>
      <c r="Y19" s="1066"/>
      <c r="Z19" s="912" t="s">
        <v>2055</v>
      </c>
      <c r="AA19" s="915" t="s">
        <v>2055</v>
      </c>
      <c r="AB19" s="915" t="s">
        <v>2055</v>
      </c>
      <c r="AC19" s="915" t="s">
        <v>2055</v>
      </c>
      <c r="AD19" s="912"/>
    </row>
    <row customHeight="1" ht="27">
      <c r="A20" s="911"/>
      <c r="B20" s="965">
        <v>3</v>
      </c>
      <c r="C20" s="909">
        <v>1</v>
      </c>
      <c r="D20" s="1033"/>
      <c r="E20" s="909"/>
      <c r="F20" s="909"/>
      <c r="G20" s="909"/>
      <c r="H20" s="1068"/>
      <c r="I20" s="1071" t="str">
        <f>INDEX(TEMPLATE_NUMBER_POINT_FHD,B20,MATCH(TEMPLATE_SPHERE,TEMPLATE_SPHERE_LIST_FOR_NOTE,0))</f>
        <v>2.1</v>
      </c>
      <c r="J20" s="1071" t="str">
        <f>INDEX(TEMPLATE_DATA_POINT_FHD,B20,MATCH(TEMPLATE_SPHERE,TEMPLATE_SPHERE_LIST_FOR_NOTE,0))</f>
        <v>Расходы на приобретаемую тепловую энергию (мощность), теплоноситель</v>
      </c>
      <c r="K20" s="1071">
        <f>INDEX(TEMPLATE_NOTE_POINT_FHD,B20,MATCH(TEMPLATE_SPHERE,TEMPLATE_SPHERE_LIST_FOR_NOTE,0))</f>
        <v>0</v>
      </c>
      <c r="L20" s="910" t="str">
        <f>IF(I20=0,"",I20)</f>
        <v>2.1</v>
      </c>
      <c r="M20" s="910" t="str">
        <f>IF(J20=0,"",J20)</f>
        <v>Расходы на приобретаемую тепловую энергию (мощность), теплоноситель</v>
      </c>
      <c r="N20" s="910" t="str">
        <f>IF(K20=0,"",K20)</f>
        <v/>
      </c>
      <c r="O20" s="1023" t="s">
        <v>717</v>
      </c>
      <c r="P20" s="1023" t="s">
        <v>717</v>
      </c>
      <c r="Q20" s="1023" t="s">
        <v>717</v>
      </c>
      <c r="R20" s="1023" t="s">
        <v>717</v>
      </c>
      <c r="S20" s="1023"/>
      <c r="T20" s="1030" t="s">
        <v>2056</v>
      </c>
      <c r="U20" s="912" t="s">
        <v>2057</v>
      </c>
      <c r="V20" s="912" t="s">
        <v>2058</v>
      </c>
      <c r="W20" s="912" t="s">
        <v>2059</v>
      </c>
      <c r="X20" s="909"/>
      <c r="Y20" s="1066"/>
      <c r="Z20" s="912"/>
      <c r="AA20" s="915"/>
      <c r="AB20" s="912"/>
      <c r="AC20" s="912"/>
      <c r="AD20" s="912"/>
    </row>
    <row customHeight="1" ht="36">
      <c r="A21" s="911"/>
      <c r="B21" s="965">
        <v>4</v>
      </c>
      <c r="C21" s="909">
        <v>2</v>
      </c>
      <c r="D21" s="1033"/>
      <c r="E21" s="909"/>
      <c r="F21" s="909"/>
      <c r="G21" s="909"/>
      <c r="H21" s="1068"/>
      <c r="I21" s="1071" t="str">
        <f>INDEX(TEMPLATE_NUMBER_POINT_FHD,B21,MATCH(TEMPLATE_SPHERE,TEMPLATE_SPHERE_LIST_FOR_NOTE,0))</f>
        <v>2.2</v>
      </c>
      <c r="J21" s="107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1" t="str">
        <f>INDEX(TEMPLATE_NOTE_POINT_FHD,B21,MATCH(TEMPLATE_SPHERE,TEMPLATE_SPHERE_LIST_FOR_NOTE,0))</f>
        <v>Указываются суммарные расходы на приобретение топлива всех видов.</v>
      </c>
      <c r="L21" s="910" t="str">
        <f>IF(I21=0,"",I21)</f>
        <v>2.2</v>
      </c>
      <c r="M21" s="91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0" t="str">
        <f>IF(K21=0,"",K21)</f>
        <v>Указываются суммарные расходы на приобретение топлива всех видов.</v>
      </c>
      <c r="O21" s="1023" t="s">
        <v>316</v>
      </c>
      <c r="P21" s="1023"/>
      <c r="Q21" s="1023"/>
      <c r="R21" s="1023"/>
      <c r="S21" s="1023"/>
      <c r="T21" s="1030" t="s">
        <v>2060</v>
      </c>
      <c r="U21" s="912"/>
      <c r="V21" s="912"/>
      <c r="W21" s="912"/>
      <c r="X21" s="909"/>
      <c r="Y21" s="1066"/>
      <c r="Z21" s="912" t="s">
        <v>2061</v>
      </c>
      <c r="AA21" s="915"/>
      <c r="AB21" s="912"/>
      <c r="AC21" s="912"/>
      <c r="AD21" s="912"/>
    </row>
    <row customHeight="1" ht="36">
      <c r="A22" s="911"/>
      <c r="B22" s="965">
        <v>5</v>
      </c>
      <c r="C22" s="909">
        <v>3</v>
      </c>
      <c r="D22" s="1033"/>
      <c r="E22" s="909"/>
      <c r="F22" s="909"/>
      <c r="G22" s="957"/>
      <c r="H22" s="1024"/>
      <c r="I22" s="1071">
        <f>INDEX(TEMPLATE_NUMBER_POINT_FHD,B22,MATCH(TEMPLATE_SPHERE,TEMPLATE_SPHERE_LIST_FOR_NOTE,0))</f>
        <v>0</v>
      </c>
      <c r="J22" s="1071">
        <f>INDEX(TEMPLATE_DATA_POINT_FHD,B22,MATCH(TEMPLATE_SPHERE,TEMPLATE_SPHERE_LIST_FOR_NOTE,0))</f>
        <v>0</v>
      </c>
      <c r="K22" s="1071">
        <f>INDEX(TEMPLATE_NOTE_POINT_FHD,B22,MATCH(TEMPLATE_SPHERE,TEMPLATE_SPHERE_LIST_FOR_NOTE,0))</f>
        <v>0</v>
      </c>
      <c r="L22" s="910" t="str">
        <f>IF(I22=0,"",I22)</f>
        <v/>
      </c>
      <c r="M22" s="910" t="str">
        <f>IF(J22=0,"",J22)</f>
        <v/>
      </c>
      <c r="N22" s="910" t="str">
        <f>IF(K22=0,"",K22)</f>
        <v/>
      </c>
      <c r="O22" s="1023"/>
      <c r="P22" s="1023"/>
      <c r="Q22" s="1023" t="s">
        <v>316</v>
      </c>
      <c r="R22" s="1023"/>
      <c r="S22" s="1023"/>
      <c r="T22" s="1030"/>
      <c r="U22" s="912"/>
      <c r="V22" s="912" t="s">
        <v>2062</v>
      </c>
      <c r="W22" s="912"/>
      <c r="X22" s="909"/>
      <c r="Y22" s="1066"/>
      <c r="Z22" s="912"/>
      <c r="AA22" s="915"/>
      <c r="AB22" s="912"/>
      <c r="AC22" s="912"/>
      <c r="AD22" s="912"/>
    </row>
    <row customHeight="1" ht="27">
      <c r="A23" s="911"/>
      <c r="B23" s="965">
        <v>6</v>
      </c>
      <c r="C23" s="909">
        <v>4</v>
      </c>
      <c r="D23" s="1033"/>
      <c r="E23" s="909"/>
      <c r="F23" s="909"/>
      <c r="G23" s="957"/>
      <c r="H23" s="1024"/>
      <c r="I23" s="1071">
        <f>INDEX(TEMPLATE_NUMBER_POINT_FHD,B23,MATCH(TEMPLATE_SPHERE,TEMPLATE_SPHERE_LIST_FOR_NOTE,0))</f>
        <v>0</v>
      </c>
      <c r="J23" s="1071">
        <f>INDEX(TEMPLATE_DATA_POINT_FHD,B23,MATCH(TEMPLATE_SPHERE,TEMPLATE_SPHERE_LIST_FOR_NOTE,0))</f>
        <v>0</v>
      </c>
      <c r="K23" s="1071">
        <f>INDEX(TEMPLATE_NOTE_POINT_FHD,B23,MATCH(TEMPLATE_SPHERE,TEMPLATE_SPHERE_LIST_FOR_NOTE,0))</f>
        <v>0</v>
      </c>
      <c r="L23" s="910" t="str">
        <f>IF(I23=0,"",I23)</f>
        <v/>
      </c>
      <c r="M23" s="910" t="str">
        <f>IF(J23=0,"",J23)</f>
        <v/>
      </c>
      <c r="N23" s="910" t="str">
        <f>IF(K23=0,"",K23)</f>
        <v/>
      </c>
      <c r="O23" s="1023"/>
      <c r="P23" s="1023"/>
      <c r="Q23" s="1023" t="s">
        <v>319</v>
      </c>
      <c r="R23" s="1023"/>
      <c r="S23" s="1023"/>
      <c r="T23" s="1030"/>
      <c r="U23" s="912"/>
      <c r="V23" s="912" t="s">
        <v>2063</v>
      </c>
      <c r="W23" s="912"/>
      <c r="X23" s="909"/>
      <c r="Y23" s="1066"/>
      <c r="Z23" s="912"/>
      <c r="AA23" s="915"/>
      <c r="AB23" s="912"/>
      <c r="AC23" s="912"/>
      <c r="AD23" s="912"/>
    </row>
    <row customHeight="1" ht="36">
      <c r="A24" s="911"/>
      <c r="B24" s="965">
        <v>7</v>
      </c>
      <c r="C24" s="909">
        <v>5</v>
      </c>
      <c r="D24" s="1033"/>
      <c r="E24" s="909"/>
      <c r="F24" s="909"/>
      <c r="G24" s="957"/>
      <c r="H24" s="1024"/>
      <c r="I24" s="1071">
        <f>INDEX(TEMPLATE_NUMBER_POINT_FHD,B24,MATCH(TEMPLATE_SPHERE,TEMPLATE_SPHERE_LIST_FOR_NOTE,0))</f>
        <v>0</v>
      </c>
      <c r="J24" s="1071">
        <f>INDEX(TEMPLATE_DATA_POINT_FHD,B24,MATCH(TEMPLATE_SPHERE,TEMPLATE_SPHERE_LIST_FOR_NOTE,0))</f>
        <v>0</v>
      </c>
      <c r="K24" s="1071">
        <f>INDEX(TEMPLATE_NOTE_POINT_FHD,B24,MATCH(TEMPLATE_SPHERE,TEMPLATE_SPHERE_LIST_FOR_NOTE,0))</f>
        <v>0</v>
      </c>
      <c r="L24" s="910" t="str">
        <f>IF(I24=0,"",I24)</f>
        <v/>
      </c>
      <c r="M24" s="910" t="str">
        <f>IF(J24=0,"",J24)</f>
        <v/>
      </c>
      <c r="N24" s="910" t="str">
        <f>IF(K24=0,"",K24)</f>
        <v/>
      </c>
      <c r="O24" s="1023"/>
      <c r="P24" s="1023"/>
      <c r="Q24" s="1023" t="s">
        <v>737</v>
      </c>
      <c r="R24" s="1023"/>
      <c r="S24" s="1023"/>
      <c r="T24" s="1030"/>
      <c r="U24" s="912"/>
      <c r="V24" s="912" t="s">
        <v>2064</v>
      </c>
      <c r="W24" s="912"/>
      <c r="X24" s="909"/>
      <c r="Y24" s="1066"/>
      <c r="Z24" s="912"/>
      <c r="AA24" s="915"/>
      <c r="AB24" s="912"/>
      <c r="AC24" s="912"/>
      <c r="AD24" s="912"/>
    </row>
    <row customHeight="1" ht="36">
      <c r="A25" s="911"/>
      <c r="B25" s="965">
        <v>8</v>
      </c>
      <c r="C25" s="909">
        <v>6</v>
      </c>
      <c r="D25" s="1033"/>
      <c r="E25" s="909"/>
      <c r="F25" s="909"/>
      <c r="G25" s="957"/>
      <c r="H25" s="1024"/>
      <c r="I25" s="1071" t="str">
        <f>INDEX(TEMPLATE_NUMBER_POINT_FHD,B25,MATCH(TEMPLATE_SPHERE,TEMPLATE_SPHERE_LIST_FOR_NOTE,0))</f>
        <v>2.3</v>
      </c>
      <c r="J25" s="107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1">
        <f>INDEX(TEMPLATE_NOTE_POINT_FHD,B25,MATCH(TEMPLATE_SPHERE,TEMPLATE_SPHERE_LIST_FOR_NOTE,0))</f>
        <v>0</v>
      </c>
      <c r="L25" s="910" t="str">
        <f>IF(I25=0,"",I25)</f>
        <v>2.3</v>
      </c>
      <c r="M25" s="910" t="str">
        <f>IF(J25=0,"",J25)</f>
        <v>Расходы на приобретаемую электрическую энергию (мощность), используемую в технологическом процессе</v>
      </c>
      <c r="N25" s="910" t="str">
        <f>IF(K25=0,"",K25)</f>
        <v/>
      </c>
      <c r="O25" s="1023" t="s">
        <v>319</v>
      </c>
      <c r="P25" s="1023" t="s">
        <v>316</v>
      </c>
      <c r="Q25" s="1023" t="s">
        <v>744</v>
      </c>
      <c r="R25" s="1023" t="s">
        <v>316</v>
      </c>
      <c r="S25" s="1023"/>
      <c r="T25" s="1030" t="s">
        <v>2065</v>
      </c>
      <c r="U25" s="912" t="s">
        <v>2065</v>
      </c>
      <c r="V25" s="912" t="s">
        <v>2065</v>
      </c>
      <c r="W25" s="912" t="s">
        <v>2065</v>
      </c>
      <c r="X25" s="909"/>
      <c r="Y25" s="1066"/>
      <c r="Z25" s="912"/>
      <c r="AA25" s="915"/>
      <c r="AB25" s="912"/>
      <c r="AC25" s="912"/>
      <c r="AD25" s="912"/>
    </row>
    <row customHeight="1" ht="18">
      <c r="A26" s="911"/>
      <c r="B26" s="965">
        <v>9</v>
      </c>
      <c r="C26" s="909" t="s">
        <v>661</v>
      </c>
      <c r="D26" s="1033"/>
      <c r="E26" s="909"/>
      <c r="F26" s="909"/>
      <c r="G26" s="957"/>
      <c r="H26" s="1024"/>
      <c r="I26" s="1071" t="str">
        <f>INDEX(TEMPLATE_NUMBER_POINT_FHD,B26,MATCH(TEMPLATE_SPHERE,TEMPLATE_SPHERE_LIST_FOR_NOTE,0))</f>
        <v>2.3.1</v>
      </c>
      <c r="J26" s="1071" t="str">
        <f>INDEX(TEMPLATE_DATA_POINT_FHD,B26,MATCH(TEMPLATE_SPHERE,TEMPLATE_SPHERE_LIST_FOR_NOTE,0))</f>
        <v>Средневзвешенная стоимость 1 кВт.ч (с учетом мощности)</v>
      </c>
      <c r="K26" s="1071">
        <f>INDEX(TEMPLATE_NOTE_POINT_FHD,B26,MATCH(TEMPLATE_SPHERE,TEMPLATE_SPHERE_LIST_FOR_NOTE,0))</f>
        <v>0</v>
      </c>
      <c r="L26" s="910" t="str">
        <f>IF(I26=0,"",I26)</f>
        <v>2.3.1</v>
      </c>
      <c r="M26" s="910" t="str">
        <f>IF(J26=0,"",J26)</f>
        <v>Средневзвешенная стоимость 1 кВт.ч (с учетом мощности)</v>
      </c>
      <c r="N26" s="910" t="str">
        <f>IF(K26=0,"",K26)</f>
        <v/>
      </c>
      <c r="O26" s="1023" t="s">
        <v>733</v>
      </c>
      <c r="P26" s="1023" t="s">
        <v>727</v>
      </c>
      <c r="Q26" s="1023" t="s">
        <v>2066</v>
      </c>
      <c r="R26" s="1023" t="s">
        <v>727</v>
      </c>
      <c r="S26" s="1023"/>
      <c r="T26" s="103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0" t="s">
        <v>2067</v>
      </c>
      <c r="V26" s="1030" t="s">
        <v>2067</v>
      </c>
      <c r="W26" s="1030" t="s">
        <v>2067</v>
      </c>
      <c r="X26" s="909"/>
      <c r="Y26" s="1066"/>
      <c r="Z26" s="912"/>
      <c r="AA26" s="915"/>
      <c r="AB26" s="912"/>
      <c r="AC26" s="912"/>
      <c r="AD26" s="912"/>
    </row>
    <row customHeight="1" ht="18">
      <c r="A27" s="911"/>
      <c r="B27" s="965">
        <v>10</v>
      </c>
      <c r="C27" s="909" t="s">
        <v>665</v>
      </c>
      <c r="D27" s="1033"/>
      <c r="E27" s="909"/>
      <c r="F27" s="909"/>
      <c r="G27" s="957"/>
      <c r="H27" s="1024"/>
      <c r="I27" s="1071" t="str">
        <f>INDEX(TEMPLATE_NUMBER_POINT_FHD,B27,MATCH(TEMPLATE_SPHERE,TEMPLATE_SPHERE_LIST_FOR_NOTE,0))</f>
        <v>2.3.2</v>
      </c>
      <c r="J27" s="1071" t="str">
        <f>INDEX(TEMPLATE_DATA_POINT_FHD,B27,MATCH(TEMPLATE_SPHERE,TEMPLATE_SPHERE_LIST_FOR_NOTE,0))</f>
        <v>Объём приобретения электрической энергии</v>
      </c>
      <c r="K27" s="1071">
        <f>INDEX(TEMPLATE_NOTE_POINT_FHD,B27,MATCH(TEMPLATE_SPHERE,TEMPLATE_SPHERE_LIST_FOR_NOTE,0))</f>
        <v>0</v>
      </c>
      <c r="L27" s="910" t="str">
        <f>IF(I27=0,"",I27)</f>
        <v>2.3.2</v>
      </c>
      <c r="M27" s="910" t="str">
        <f>IF(J27=0,"",J27)</f>
        <v>Объём приобретения электрической энергии</v>
      </c>
      <c r="N27" s="910" t="str">
        <f>IF(K27=0,"",K27)</f>
        <v/>
      </c>
      <c r="O27" s="1023" t="s">
        <v>735</v>
      </c>
      <c r="P27" s="1023" t="s">
        <v>729</v>
      </c>
      <c r="Q27" s="1023" t="s">
        <v>2068</v>
      </c>
      <c r="R27" s="1023" t="s">
        <v>729</v>
      </c>
      <c r="S27" s="1023"/>
      <c r="T27" s="1030" t="s">
        <v>2069</v>
      </c>
      <c r="U27" s="1030" t="s">
        <v>2069</v>
      </c>
      <c r="V27" s="1030" t="s">
        <v>2069</v>
      </c>
      <c r="W27" s="1030" t="s">
        <v>2069</v>
      </c>
      <c r="X27" s="909"/>
      <c r="Y27" s="1066"/>
      <c r="Z27" s="912"/>
      <c r="AA27" s="915"/>
      <c r="AB27" s="912"/>
      <c r="AC27" s="912"/>
      <c r="AD27" s="912"/>
    </row>
    <row customHeight="1" ht="27">
      <c r="A28" s="911"/>
      <c r="B28" s="965">
        <v>11</v>
      </c>
      <c r="C28" s="909">
        <v>7</v>
      </c>
      <c r="D28" s="1033"/>
      <c r="E28" s="909"/>
      <c r="F28" s="909"/>
      <c r="G28" s="957"/>
      <c r="H28" s="1024"/>
      <c r="I28" s="1071" t="str">
        <f>INDEX(TEMPLATE_NUMBER_POINT_FHD,B28,MATCH(TEMPLATE_SPHERE,TEMPLATE_SPHERE_LIST_FOR_NOTE,0))</f>
        <v>2.4</v>
      </c>
      <c r="J28" s="1071" t="str">
        <f>INDEX(TEMPLATE_DATA_POINT_FHD,B28,MATCH(TEMPLATE_SPHERE,TEMPLATE_SPHERE_LIST_FOR_NOTE,0))</f>
        <v>Расходы на приобретение холодной воды, используемой в технологическом процессе</v>
      </c>
      <c r="K28" s="1071">
        <f>INDEX(TEMPLATE_NOTE_POINT_FHD,B28,MATCH(TEMPLATE_SPHERE,TEMPLATE_SPHERE_LIST_FOR_NOTE,0))</f>
        <v>0</v>
      </c>
      <c r="L28" s="910" t="str">
        <f>IF(I28=0,"",I28)</f>
        <v>2.4</v>
      </c>
      <c r="M28" s="910" t="str">
        <f>IF(J28=0,"",J28)</f>
        <v>Расходы на приобретение холодной воды, используемой в технологическом процессе</v>
      </c>
      <c r="N28" s="910" t="str">
        <f>IF(K28=0,"",K28)</f>
        <v/>
      </c>
      <c r="O28" s="1023" t="s">
        <v>737</v>
      </c>
      <c r="P28" s="1023"/>
      <c r="Q28" s="1023"/>
      <c r="R28" s="1023"/>
      <c r="S28" s="1023"/>
      <c r="T28" s="1030" t="s">
        <v>2070</v>
      </c>
      <c r="U28" s="912"/>
      <c r="V28" s="912"/>
      <c r="W28" s="912"/>
      <c r="X28" s="909"/>
      <c r="Y28" s="1066"/>
      <c r="Z28" s="912"/>
      <c r="AA28" s="915"/>
      <c r="AB28" s="912"/>
      <c r="AC28" s="912"/>
      <c r="AD28" s="912"/>
    </row>
    <row customHeight="1" ht="27">
      <c r="A29" s="911"/>
      <c r="B29" s="965">
        <v>12</v>
      </c>
      <c r="C29" s="909">
        <v>8</v>
      </c>
      <c r="D29" s="1033"/>
      <c r="E29" s="909"/>
      <c r="F29" s="909"/>
      <c r="G29" s="957"/>
      <c r="H29" s="1024"/>
      <c r="I29" s="1071" t="str">
        <f>INDEX(TEMPLATE_NUMBER_POINT_FHD,B29,MATCH(TEMPLATE_SPHERE,TEMPLATE_SPHERE_LIST_FOR_NOTE,0))</f>
        <v>2.5</v>
      </c>
      <c r="J29" s="1071" t="str">
        <f>INDEX(TEMPLATE_DATA_POINT_FHD,B29,MATCH(TEMPLATE_SPHERE,TEMPLATE_SPHERE_LIST_FOR_NOTE,0))</f>
        <v>Расходы на  химические реагенты, используемые в технологическом процессе</v>
      </c>
      <c r="K29" s="1071">
        <f>INDEX(TEMPLATE_NOTE_POINT_FHD,B29,MATCH(TEMPLATE_SPHERE,TEMPLATE_SPHERE_LIST_FOR_NOTE,0))</f>
        <v>0</v>
      </c>
      <c r="L29" s="910" t="str">
        <f>IF(I29=0,"",I29)</f>
        <v>2.5</v>
      </c>
      <c r="M29" s="910" t="str">
        <f>IF(J29=0,"",J29)</f>
        <v>Расходы на  химические реагенты, используемые в технологическом процессе</v>
      </c>
      <c r="N29" s="910" t="str">
        <f>IF(K29=0,"",K29)</f>
        <v/>
      </c>
      <c r="O29" s="1023" t="s">
        <v>744</v>
      </c>
      <c r="P29" s="1023" t="s">
        <v>319</v>
      </c>
      <c r="Q29" s="1023"/>
      <c r="R29" s="1023" t="s">
        <v>319</v>
      </c>
      <c r="S29" s="1023"/>
      <c r="T29" s="103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2" t="s">
        <v>2071</v>
      </c>
      <c r="V29" s="912"/>
      <c r="W29" s="912" t="s">
        <v>2071</v>
      </c>
      <c r="X29" s="909"/>
      <c r="Y29" s="1066"/>
      <c r="Z29" s="912"/>
      <c r="AA29" s="915"/>
      <c r="AB29" s="912"/>
      <c r="AC29" s="912"/>
      <c r="AD29" s="912"/>
    </row>
    <row customHeight="1" ht="54">
      <c r="A30" s="911"/>
      <c r="B30" s="965">
        <v>13</v>
      </c>
      <c r="C30" s="909">
        <v>9</v>
      </c>
      <c r="D30" s="1033"/>
      <c r="E30" s="909"/>
      <c r="F30" s="909"/>
      <c r="G30" s="957"/>
      <c r="H30" s="1024"/>
      <c r="I30" s="1071" t="str">
        <f>INDEX(TEMPLATE_NUMBER_POINT_FHD,B30,MATCH(TEMPLATE_SPHERE,TEMPLATE_SPHERE_LIST_FOR_NOTE,0))</f>
        <v>2.6</v>
      </c>
      <c r="J30" s="107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1">
        <f>INDEX(TEMPLATE_NOTE_POINT_FHD,B30,MATCH(TEMPLATE_SPHERE,TEMPLATE_SPHERE_LIST_FOR_NOTE,0))</f>
        <v>0</v>
      </c>
      <c r="L30" s="910" t="str">
        <f>IF(I30=0,"",I30)</f>
        <v>2.6</v>
      </c>
      <c r="M30" s="91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0" t="str">
        <f>IF(K30=0,"",K30)</f>
        <v/>
      </c>
      <c r="O30" s="1023" t="s">
        <v>746</v>
      </c>
      <c r="P30" s="1023" t="s">
        <v>737</v>
      </c>
      <c r="Q30" s="1023" t="s">
        <v>746</v>
      </c>
      <c r="R30" s="1023" t="s">
        <v>737</v>
      </c>
      <c r="S30" s="1023"/>
      <c r="T30" s="1030" t="s">
        <v>2072</v>
      </c>
      <c r="U30" s="912" t="s">
        <v>2072</v>
      </c>
      <c r="V30" s="912" t="s">
        <v>2072</v>
      </c>
      <c r="W30" s="912" t="s">
        <v>2072</v>
      </c>
      <c r="X30" s="909"/>
      <c r="Y30" s="1066"/>
      <c r="Z30" s="912"/>
      <c r="AA30" s="915" t="s">
        <v>2073</v>
      </c>
      <c r="AB30" s="915" t="s">
        <v>2073</v>
      </c>
      <c r="AC30" s="915" t="s">
        <v>2073</v>
      </c>
      <c r="AD30" s="912"/>
    </row>
    <row customHeight="1" ht="18">
      <c r="A31" s="911"/>
      <c r="B31" s="965">
        <v>14</v>
      </c>
      <c r="C31" s="909" t="s">
        <v>2074</v>
      </c>
      <c r="D31" s="1033"/>
      <c r="E31" s="909"/>
      <c r="F31" s="909"/>
      <c r="G31" s="957"/>
      <c r="H31" s="1024"/>
      <c r="I31" s="1071" t="str">
        <f>INDEX(TEMPLATE_NUMBER_POINT_FHD,B31,MATCH(TEMPLATE_SPHERE,TEMPLATE_SPHERE_LIST_FOR_NOTE,0))</f>
        <v>2.6.1</v>
      </c>
      <c r="J31" s="1071" t="str">
        <f>INDEX(TEMPLATE_DATA_POINT_FHD,B31,MATCH(TEMPLATE_SPHERE,TEMPLATE_SPHERE_LIST_FOR_NOTE,0))</f>
        <v>Расходы на оплату труда основного производственного персонала</v>
      </c>
      <c r="K31" s="1071">
        <f>INDEX(TEMPLATE_NOTE_POINT_FHD,B31,MATCH(TEMPLATE_SPHERE,TEMPLATE_SPHERE_LIST_FOR_NOTE,0))</f>
        <v>0</v>
      </c>
      <c r="L31" s="910" t="str">
        <f>IF(I31=0,"",I31)</f>
        <v>2.6.1</v>
      </c>
      <c r="M31" s="910" t="str">
        <f>IF(J31=0,"",J31)</f>
        <v>Расходы на оплату труда основного производственного персонала</v>
      </c>
      <c r="N31" s="910" t="str">
        <f>IF(K31=0,"",K31)</f>
        <v/>
      </c>
      <c r="O31" s="1023" t="s">
        <v>2075</v>
      </c>
      <c r="P31" s="1023" t="s">
        <v>740</v>
      </c>
      <c r="Q31" s="1023" t="s">
        <v>2075</v>
      </c>
      <c r="R31" s="1023" t="s">
        <v>740</v>
      </c>
      <c r="S31" s="1023"/>
      <c r="T31" s="1031" t="s">
        <v>2076</v>
      </c>
      <c r="U31" s="912" t="s">
        <v>2076</v>
      </c>
      <c r="V31" s="912" t="s">
        <v>2076</v>
      </c>
      <c r="W31" s="912" t="s">
        <v>2076</v>
      </c>
      <c r="X31" s="909"/>
      <c r="Y31" s="1066"/>
      <c r="Z31" s="912"/>
      <c r="AA31" s="915"/>
      <c r="AB31" s="915"/>
      <c r="AC31" s="915"/>
      <c r="AD31" s="912"/>
    </row>
    <row customHeight="1" ht="36">
      <c r="A32" s="911"/>
      <c r="B32" s="965">
        <v>15</v>
      </c>
      <c r="C32" s="909" t="s">
        <v>2077</v>
      </c>
      <c r="D32" s="1033"/>
      <c r="E32" s="909"/>
      <c r="F32" s="909"/>
      <c r="G32" s="957"/>
      <c r="H32" s="1024"/>
      <c r="I32" s="1071" t="str">
        <f>INDEX(TEMPLATE_NUMBER_POINT_FHD,B32,MATCH(TEMPLATE_SPHERE,TEMPLATE_SPHERE_LIST_FOR_NOTE,0))</f>
        <v>2.6.2</v>
      </c>
      <c r="J32" s="107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1">
        <f>INDEX(TEMPLATE_NOTE_POINT_FHD,B32,MATCH(TEMPLATE_SPHERE,TEMPLATE_SPHERE_LIST_FOR_NOTE,0))</f>
        <v>0</v>
      </c>
      <c r="L32" s="910" t="str">
        <f>IF(I32=0,"",I32)</f>
        <v>2.6.2</v>
      </c>
      <c r="M32" s="910" t="str">
        <f>IF(J32=0,"",J32)</f>
        <v>Страховые взносы на обязательное социальное страхование, выплачиваемые из фонда оплаты труда основного производственного персонала</v>
      </c>
      <c r="N32" s="910" t="str">
        <f>IF(K32=0,"",K32)</f>
        <v/>
      </c>
      <c r="O32" s="1023" t="s">
        <v>2078</v>
      </c>
      <c r="P32" s="1023" t="s">
        <v>742</v>
      </c>
      <c r="Q32" s="1023" t="s">
        <v>2078</v>
      </c>
      <c r="R32" s="1023" t="s">
        <v>742</v>
      </c>
      <c r="S32" s="1023"/>
      <c r="T32" s="103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2" t="s">
        <v>2079</v>
      </c>
      <c r="V32" s="912" t="s">
        <v>2079</v>
      </c>
      <c r="W32" s="912" t="s">
        <v>2079</v>
      </c>
      <c r="X32" s="909"/>
      <c r="Y32" s="1066"/>
      <c r="Z32" s="912"/>
      <c r="AA32" s="915"/>
      <c r="AB32" s="915"/>
      <c r="AC32" s="915"/>
      <c r="AD32" s="912"/>
    </row>
    <row customHeight="1" ht="45">
      <c r="A33" s="911"/>
      <c r="B33" s="965">
        <v>16</v>
      </c>
      <c r="C33" s="909">
        <v>10</v>
      </c>
      <c r="D33" s="1033"/>
      <c r="E33" s="909"/>
      <c r="F33" s="909"/>
      <c r="G33" s="957"/>
      <c r="H33" s="1024"/>
      <c r="I33" s="1071" t="str">
        <f>INDEX(TEMPLATE_NUMBER_POINT_FHD,B33,MATCH(TEMPLATE_SPHERE,TEMPLATE_SPHERE_LIST_FOR_NOTE,0))</f>
        <v>2.7</v>
      </c>
      <c r="J33" s="107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1">
        <f>INDEX(TEMPLATE_NOTE_POINT_FHD,B33,MATCH(TEMPLATE_SPHERE,TEMPLATE_SPHERE_LIST_FOR_NOTE,0))</f>
        <v>0</v>
      </c>
      <c r="L33" s="910" t="str">
        <f>IF(I33=0,"",I33)</f>
        <v>2.7</v>
      </c>
      <c r="M33" s="91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0" t="str">
        <f>IF(K33=0,"",K33)</f>
        <v/>
      </c>
      <c r="O33" s="1023" t="s">
        <v>748</v>
      </c>
      <c r="P33" s="1023" t="s">
        <v>744</v>
      </c>
      <c r="Q33" s="1023" t="s">
        <v>748</v>
      </c>
      <c r="R33" s="1023" t="s">
        <v>744</v>
      </c>
      <c r="S33" s="1023"/>
      <c r="T33" s="103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2" t="s">
        <v>2080</v>
      </c>
      <c r="V33" s="912" t="s">
        <v>2080</v>
      </c>
      <c r="W33" s="912" t="s">
        <v>2081</v>
      </c>
      <c r="X33" s="909"/>
      <c r="Y33" s="1066"/>
      <c r="Z33" s="912"/>
      <c r="AA33" s="915" t="s">
        <v>2082</v>
      </c>
      <c r="AB33" s="915" t="s">
        <v>2082</v>
      </c>
      <c r="AC33" s="915" t="s">
        <v>2082</v>
      </c>
      <c r="AD33" s="912"/>
    </row>
    <row customHeight="1" ht="27">
      <c r="A34" s="911"/>
      <c r="B34" s="965">
        <v>17</v>
      </c>
      <c r="C34" s="909" t="s">
        <v>2083</v>
      </c>
      <c r="D34" s="1033"/>
      <c r="E34" s="909"/>
      <c r="F34" s="909"/>
      <c r="G34" s="957"/>
      <c r="H34" s="1024"/>
      <c r="I34" s="1071" t="str">
        <f>INDEX(TEMPLATE_NUMBER_POINT_FHD,B34,MATCH(TEMPLATE_SPHERE,TEMPLATE_SPHERE_LIST_FOR_NOTE,0))</f>
        <v>2.7.1</v>
      </c>
      <c r="J34" s="1071" t="str">
        <f>INDEX(TEMPLATE_DATA_POINT_FHD,B34,MATCH(TEMPLATE_SPHERE,TEMPLATE_SPHERE_LIST_FOR_NOTE,0))</f>
        <v>Расходы на оплату труда административно-управленческого персонала</v>
      </c>
      <c r="K34" s="1071">
        <f>INDEX(TEMPLATE_NOTE_POINT_FHD,B34,MATCH(TEMPLATE_SPHERE,TEMPLATE_SPHERE_LIST_FOR_NOTE,0))</f>
        <v>0</v>
      </c>
      <c r="L34" s="910" t="str">
        <f>IF(I34=0,"",I34)</f>
        <v>2.7.1</v>
      </c>
      <c r="M34" s="910" t="str">
        <f>IF(J34=0,"",J34)</f>
        <v>Расходы на оплату труда административно-управленческого персонала</v>
      </c>
      <c r="N34" s="910" t="str">
        <f>IF(K34=0,"",K34)</f>
        <v/>
      </c>
      <c r="O34" s="1023" t="s">
        <v>2084</v>
      </c>
      <c r="P34" s="1023" t="s">
        <v>2066</v>
      </c>
      <c r="Q34" s="1023" t="s">
        <v>2084</v>
      </c>
      <c r="R34" s="1023" t="s">
        <v>2066</v>
      </c>
      <c r="S34" s="1023"/>
      <c r="T34" s="1032" t="s">
        <v>2085</v>
      </c>
      <c r="U34" s="912" t="s">
        <v>2085</v>
      </c>
      <c r="V34" s="912" t="s">
        <v>2085</v>
      </c>
      <c r="W34" s="912" t="s">
        <v>2086</v>
      </c>
      <c r="X34" s="909"/>
      <c r="Y34" s="1066"/>
      <c r="Z34" s="912"/>
      <c r="AA34" s="915"/>
      <c r="AB34" s="912"/>
      <c r="AC34" s="912"/>
      <c r="AD34" s="912"/>
    </row>
    <row customHeight="1" ht="45">
      <c r="A35" s="911"/>
      <c r="B35" s="965">
        <v>18</v>
      </c>
      <c r="C35" s="909" t="s">
        <v>2087</v>
      </c>
      <c r="D35" s="1033"/>
      <c r="E35" s="909"/>
      <c r="F35" s="909"/>
      <c r="G35" s="957"/>
      <c r="H35" s="1024"/>
      <c r="I35" s="1071" t="str">
        <f>INDEX(TEMPLATE_NUMBER_POINT_FHD,B35,MATCH(TEMPLATE_SPHERE,TEMPLATE_SPHERE_LIST_FOR_NOTE,0))</f>
        <v>2.7.2</v>
      </c>
      <c r="J35" s="107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1">
        <f>INDEX(TEMPLATE_NOTE_POINT_FHD,B35,MATCH(TEMPLATE_SPHERE,TEMPLATE_SPHERE_LIST_FOR_NOTE,0))</f>
        <v>0</v>
      </c>
      <c r="L35" s="910" t="str">
        <f>IF(I35=0,"",I35)</f>
        <v>2.7.2</v>
      </c>
      <c r="M35" s="91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0" t="str">
        <f>IF(K35=0,"",K35)</f>
        <v/>
      </c>
      <c r="O35" s="1023" t="s">
        <v>2088</v>
      </c>
      <c r="P35" s="1023" t="s">
        <v>2068</v>
      </c>
      <c r="Q35" s="1023" t="s">
        <v>2088</v>
      </c>
      <c r="R35" s="1023" t="s">
        <v>2068</v>
      </c>
      <c r="S35" s="1023"/>
      <c r="T35" s="103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2" t="s">
        <v>2089</v>
      </c>
      <c r="V35" s="912" t="s">
        <v>2089</v>
      </c>
      <c r="W35" s="912" t="s">
        <v>2089</v>
      </c>
      <c r="X35" s="909"/>
      <c r="Y35" s="1066"/>
      <c r="Z35" s="912"/>
      <c r="AA35" s="915"/>
      <c r="AB35" s="912"/>
      <c r="AC35" s="912"/>
      <c r="AD35" s="912"/>
    </row>
    <row customHeight="1" ht="18">
      <c r="A36" s="911"/>
      <c r="B36" s="965">
        <v>19</v>
      </c>
      <c r="C36" s="909">
        <v>11</v>
      </c>
      <c r="D36" s="1033"/>
      <c r="E36" s="909"/>
      <c r="F36" s="909"/>
      <c r="G36" s="957"/>
      <c r="H36" s="1024"/>
      <c r="I36" s="1071" t="str">
        <f>INDEX(TEMPLATE_NUMBER_POINT_FHD,B36,MATCH(TEMPLATE_SPHERE,TEMPLATE_SPHERE_LIST_FOR_NOTE,0))</f>
        <v>2.8</v>
      </c>
      <c r="J36" s="1071" t="str">
        <f>INDEX(TEMPLATE_DATA_POINT_FHD,B36,MATCH(TEMPLATE_SPHERE,TEMPLATE_SPHERE_LIST_FOR_NOTE,0))</f>
        <v>Расходы на амортизацию основных средств и нематериальных активов</v>
      </c>
      <c r="K36" s="1071">
        <f>INDEX(TEMPLATE_NOTE_POINT_FHD,B36,MATCH(TEMPLATE_SPHERE,TEMPLATE_SPHERE_LIST_FOR_NOTE,0))</f>
        <v>0</v>
      </c>
      <c r="L36" s="910" t="str">
        <f>IF(I36=0,"",I36)</f>
        <v>2.8</v>
      </c>
      <c r="M36" s="910" t="str">
        <f>IF(J36=0,"",J36)</f>
        <v>Расходы на амортизацию основных средств и нематериальных активов</v>
      </c>
      <c r="N36" s="910" t="str">
        <f>IF(K36=0,"",K36)</f>
        <v/>
      </c>
      <c r="O36" s="1023" t="s">
        <v>750</v>
      </c>
      <c r="P36" s="1023" t="s">
        <v>746</v>
      </c>
      <c r="Q36" s="1023" t="s">
        <v>750</v>
      </c>
      <c r="R36" s="1023" t="s">
        <v>746</v>
      </c>
      <c r="S36" s="1023"/>
      <c r="T36" s="1030" t="s">
        <v>2090</v>
      </c>
      <c r="U36" s="912" t="s">
        <v>2090</v>
      </c>
      <c r="V36" s="912" t="s">
        <v>2090</v>
      </c>
      <c r="W36" s="912" t="s">
        <v>2090</v>
      </c>
      <c r="X36" s="909"/>
      <c r="Y36" s="1066"/>
      <c r="Z36" s="912"/>
      <c r="AA36" s="915"/>
      <c r="AB36" s="912"/>
      <c r="AC36" s="912"/>
      <c r="AD36" s="912"/>
    </row>
    <row customHeight="1" ht="18">
      <c r="A37" s="911"/>
      <c r="B37" s="965">
        <v>20</v>
      </c>
      <c r="C37" s="909" t="s">
        <v>2091</v>
      </c>
      <c r="D37" s="1033"/>
      <c r="E37" s="909"/>
      <c r="F37" s="909"/>
      <c r="G37" s="957"/>
      <c r="H37" s="1024"/>
      <c r="I37" s="1071" t="str">
        <f>INDEX(TEMPLATE_NUMBER_POINT_FHD,B37,MATCH(TEMPLATE_SPHERE,TEMPLATE_SPHERE_LIST_FOR_NOTE,0))</f>
        <v>2.8.1</v>
      </c>
      <c r="J37" s="1071" t="str">
        <f>INDEX(TEMPLATE_DATA_POINT_FHD,B37,MATCH(TEMPLATE_SPHERE,TEMPLATE_SPHERE_LIST_FOR_NOTE,0))</f>
        <v>Расходы на амортизацию основных средств</v>
      </c>
      <c r="K37" s="1071">
        <f>INDEX(TEMPLATE_NOTE_POINT_FHD,B37,MATCH(TEMPLATE_SPHERE,TEMPLATE_SPHERE_LIST_FOR_NOTE,0))</f>
        <v>0</v>
      </c>
      <c r="L37" s="910" t="str">
        <f>IF(I37=0,"",I37)</f>
        <v>2.8.1</v>
      </c>
      <c r="M37" s="910" t="str">
        <f>IF(J37=0,"",J37)</f>
        <v>Расходы на амортизацию основных средств</v>
      </c>
      <c r="N37" s="910" t="str">
        <f>IF(K37=0,"",K37)</f>
        <v/>
      </c>
      <c r="O37" s="1023" t="s">
        <v>2092</v>
      </c>
      <c r="P37" s="1023" t="s">
        <v>2075</v>
      </c>
      <c r="Q37" s="1023" t="s">
        <v>2092</v>
      </c>
      <c r="R37" s="1023" t="s">
        <v>2075</v>
      </c>
      <c r="S37" s="1023"/>
      <c r="T37" s="1030" t="s">
        <v>2093</v>
      </c>
      <c r="U37" s="912" t="s">
        <v>2093</v>
      </c>
      <c r="V37" s="912" t="s">
        <v>2093</v>
      </c>
      <c r="W37" s="912" t="s">
        <v>2093</v>
      </c>
      <c r="X37" s="909"/>
      <c r="Y37" s="1066"/>
      <c r="Z37" s="912"/>
      <c r="AA37" s="915"/>
      <c r="AB37" s="912"/>
      <c r="AC37" s="912"/>
      <c r="AD37" s="912"/>
    </row>
    <row customHeight="1" ht="18">
      <c r="A38" s="911"/>
      <c r="B38" s="965">
        <v>21</v>
      </c>
      <c r="C38" s="909" t="s">
        <v>2094</v>
      </c>
      <c r="D38" s="1033"/>
      <c r="E38" s="909"/>
      <c r="F38" s="909"/>
      <c r="G38" s="957"/>
      <c r="H38" s="1024"/>
      <c r="I38" s="1071" t="str">
        <f>INDEX(TEMPLATE_NUMBER_POINT_FHD,B38,MATCH(TEMPLATE_SPHERE,TEMPLATE_SPHERE_LIST_FOR_NOTE,0))</f>
        <v>2.8.2</v>
      </c>
      <c r="J38" s="1071" t="str">
        <f>INDEX(TEMPLATE_DATA_POINT_FHD,B38,MATCH(TEMPLATE_SPHERE,TEMPLATE_SPHERE_LIST_FOR_NOTE,0))</f>
        <v>Расходы на амортизацию нематериальных активов</v>
      </c>
      <c r="K38" s="1071">
        <f>INDEX(TEMPLATE_NOTE_POINT_FHD,B38,MATCH(TEMPLATE_SPHERE,TEMPLATE_SPHERE_LIST_FOR_NOTE,0))</f>
        <v>0</v>
      </c>
      <c r="L38" s="910" t="str">
        <f>IF(I38=0,"",I38)</f>
        <v>2.8.2</v>
      </c>
      <c r="M38" s="910" t="str">
        <f>IF(J38=0,"",J38)</f>
        <v>Расходы на амортизацию нематериальных активов</v>
      </c>
      <c r="N38" s="910" t="str">
        <f>IF(K38=0,"",K38)</f>
        <v/>
      </c>
      <c r="O38" s="1023" t="s">
        <v>2095</v>
      </c>
      <c r="P38" s="1023" t="s">
        <v>2078</v>
      </c>
      <c r="Q38" s="1023" t="s">
        <v>2095</v>
      </c>
      <c r="R38" s="1023" t="s">
        <v>2078</v>
      </c>
      <c r="S38" s="1023"/>
      <c r="T38" s="1030" t="s">
        <v>2096</v>
      </c>
      <c r="U38" s="912" t="s">
        <v>2096</v>
      </c>
      <c r="V38" s="912" t="s">
        <v>2096</v>
      </c>
      <c r="W38" s="912" t="s">
        <v>2096</v>
      </c>
      <c r="X38" s="909"/>
      <c r="Y38" s="1066"/>
      <c r="Z38" s="912"/>
      <c r="AA38" s="915"/>
      <c r="AB38" s="912"/>
      <c r="AC38" s="912"/>
      <c r="AD38" s="912"/>
    </row>
    <row customHeight="1" ht="36">
      <c r="A39" s="911"/>
      <c r="B39" s="965">
        <v>22</v>
      </c>
      <c r="C39" s="909">
        <v>12</v>
      </c>
      <c r="D39" s="1033"/>
      <c r="E39" s="909"/>
      <c r="F39" s="909"/>
      <c r="G39" s="957"/>
      <c r="H39" s="1024"/>
      <c r="I39" s="1071" t="str">
        <f>INDEX(TEMPLATE_NUMBER_POINT_FHD,B39,MATCH(TEMPLATE_SPHERE,TEMPLATE_SPHERE_LIST_FOR_NOTE,0))</f>
        <v>2.9</v>
      </c>
      <c r="J39" s="1071" t="str">
        <f>INDEX(TEMPLATE_DATA_POINT_FHD,B39,MATCH(TEMPLATE_SPHERE,TEMPLATE_SPHERE_LIST_FOR_NOTE,0))</f>
        <v>Расходы на аренду имущества, используемого для осуществления регулируемого вида деятельности</v>
      </c>
      <c r="K39" s="1071">
        <f>INDEX(TEMPLATE_NOTE_POINT_FHD,B39,MATCH(TEMPLATE_SPHERE,TEMPLATE_SPHERE_LIST_FOR_NOTE,0))</f>
        <v>0</v>
      </c>
      <c r="L39" s="910" t="str">
        <f>IF(I39=0,"",I39)</f>
        <v>2.9</v>
      </c>
      <c r="M39" s="910" t="str">
        <f>IF(J39=0,"",J39)</f>
        <v>Расходы на аренду имущества, используемого для осуществления регулируемого вида деятельности</v>
      </c>
      <c r="N39" s="910" t="str">
        <f>IF(K39=0,"",K39)</f>
        <v/>
      </c>
      <c r="O39" s="1023" t="s">
        <v>754</v>
      </c>
      <c r="P39" s="1023" t="s">
        <v>748</v>
      </c>
      <c r="Q39" s="1023" t="s">
        <v>754</v>
      </c>
      <c r="R39" s="1023" t="s">
        <v>748</v>
      </c>
      <c r="S39" s="1023"/>
      <c r="T39" s="1030" t="s">
        <v>2097</v>
      </c>
      <c r="U39" s="912" t="s">
        <v>2098</v>
      </c>
      <c r="V39" s="912" t="s">
        <v>2099</v>
      </c>
      <c r="W39" s="912" t="s">
        <v>2100</v>
      </c>
      <c r="X39" s="909"/>
      <c r="Y39" s="1066"/>
      <c r="Z39" s="912"/>
      <c r="AA39" s="915"/>
      <c r="AB39" s="912"/>
      <c r="AC39" s="912"/>
      <c r="AD39" s="912"/>
    </row>
    <row customHeight="1" ht="18">
      <c r="A40" s="911"/>
      <c r="B40" s="965">
        <v>23</v>
      </c>
      <c r="C40" s="909">
        <v>13</v>
      </c>
      <c r="D40" s="1033"/>
      <c r="E40" s="909"/>
      <c r="F40" s="909"/>
      <c r="G40" s="909"/>
      <c r="H40" s="960"/>
      <c r="I40" s="1071" t="str">
        <f>INDEX(TEMPLATE_NUMBER_POINT_FHD,B40,MATCH(TEMPLATE_SPHERE,TEMPLATE_SPHERE_LIST_FOR_NOTE,0))</f>
        <v>2.10</v>
      </c>
      <c r="J40" s="1071" t="str">
        <f>INDEX(TEMPLATE_DATA_POINT_FHD,B40,MATCH(TEMPLATE_SPHERE,TEMPLATE_SPHERE_LIST_FOR_NOTE,0))</f>
        <v>Общепроизводственные расходы, в том числе:</v>
      </c>
      <c r="K40" s="1071" t="str">
        <f>INDEX(TEMPLATE_NOTE_POINT_FHD,B40,MATCH(TEMPLATE_SPHERE,TEMPLATE_SPHERE_LIST_FOR_NOTE,0))</f>
        <v>Указывается общая сумма общепроизводственных расходов.</v>
      </c>
      <c r="L40" s="910" t="str">
        <f>IF(I40=0,"",I40)</f>
        <v>2.10</v>
      </c>
      <c r="M40" s="910" t="str">
        <f>IF(J40=0,"",J40)</f>
        <v>Общепроизводственные расходы, в том числе:</v>
      </c>
      <c r="N40" s="910" t="str">
        <f>IF(K40=0,"",K40)</f>
        <v>Указывается общая сумма общепроизводственных расходов.</v>
      </c>
      <c r="O40" s="1023" t="s">
        <v>2101</v>
      </c>
      <c r="P40" s="1023" t="s">
        <v>750</v>
      </c>
      <c r="Q40" s="1023" t="s">
        <v>2101</v>
      </c>
      <c r="R40" s="1023" t="s">
        <v>750</v>
      </c>
      <c r="S40" s="1023"/>
      <c r="T40" s="909" t="s">
        <v>2102</v>
      </c>
      <c r="U40" s="909" t="s">
        <v>2102</v>
      </c>
      <c r="V40" s="909" t="s">
        <v>2102</v>
      </c>
      <c r="W40" s="909" t="s">
        <v>2102</v>
      </c>
      <c r="X40" s="909"/>
      <c r="Y40" s="1066"/>
      <c r="Z40" s="912" t="s">
        <v>2103</v>
      </c>
      <c r="AA40" s="915" t="s">
        <v>2103</v>
      </c>
      <c r="AB40" s="915" t="s">
        <v>2103</v>
      </c>
      <c r="AC40" s="915" t="s">
        <v>2103</v>
      </c>
      <c r="AD40" s="912"/>
    </row>
    <row customHeight="1" ht="27">
      <c r="A41" s="911"/>
      <c r="B41" s="965">
        <v>24</v>
      </c>
      <c r="C41" s="909" t="s">
        <v>2104</v>
      </c>
      <c r="D41" s="1033"/>
      <c r="E41" s="909"/>
      <c r="F41" s="909"/>
      <c r="G41" s="909"/>
      <c r="H41" s="957"/>
      <c r="I41" s="1071" t="str">
        <f>INDEX(TEMPLATE_NUMBER_POINT_FHD,B41,MATCH(TEMPLATE_SPHERE,TEMPLATE_SPHERE_LIST_FOR_NOTE,0))</f>
        <v>2.10.1</v>
      </c>
      <c r="J41" s="1071" t="str">
        <f>INDEX(TEMPLATE_DATA_POINT_FHD,B41,MATCH(TEMPLATE_SPHERE,TEMPLATE_SPHERE_LIST_FOR_NOTE,0))</f>
        <v>Расходы на текущий ремонт</v>
      </c>
      <c r="K41" s="1071" t="str">
        <f>INDEX(TEMPLATE_NOTE_POINT_FHD,B41,MATCH(TEMPLATE_SPHERE,TEMPLATE_SPHERE_LIST_FOR_NOTE,0))</f>
        <v>Указываются расходы на текущий ремонт, отнесенные к общепроизводственным расходам.</v>
      </c>
      <c r="L41" s="910" t="str">
        <f>IF(I41=0,"",I41)</f>
        <v>2.10.1</v>
      </c>
      <c r="M41" s="910" t="str">
        <f>IF(J41=0,"",J41)</f>
        <v>Расходы на текущий ремонт</v>
      </c>
      <c r="N41" s="910" t="str">
        <f>IF(K41=0,"",K41)</f>
        <v>Указываются расходы на текущий ремонт, отнесенные к общепроизводственным расходам.</v>
      </c>
      <c r="O41" s="1023" t="s">
        <v>2105</v>
      </c>
      <c r="P41" s="1023" t="s">
        <v>2092</v>
      </c>
      <c r="Q41" s="1023" t="s">
        <v>2105</v>
      </c>
      <c r="R41" s="1023" t="s">
        <v>2092</v>
      </c>
      <c r="S41" s="1023"/>
      <c r="T41" s="909" t="s">
        <v>2106</v>
      </c>
      <c r="U41" s="909" t="s">
        <v>2106</v>
      </c>
      <c r="V41" s="909" t="s">
        <v>2106</v>
      </c>
      <c r="W41" s="909" t="s">
        <v>2106</v>
      </c>
      <c r="X41" s="909"/>
      <c r="Y41" s="1066"/>
      <c r="Z41" s="912" t="s">
        <v>2107</v>
      </c>
      <c r="AA41" s="912" t="s">
        <v>2107</v>
      </c>
      <c r="AB41" s="912" t="s">
        <v>2107</v>
      </c>
      <c r="AC41" s="912" t="s">
        <v>2107</v>
      </c>
      <c r="AD41" s="912"/>
    </row>
    <row customHeight="1" ht="27">
      <c r="A42" s="911"/>
      <c r="B42" s="965">
        <v>25</v>
      </c>
      <c r="C42" s="909" t="s">
        <v>2108</v>
      </c>
      <c r="D42" s="1033"/>
      <c r="E42" s="909"/>
      <c r="F42" s="909"/>
      <c r="G42" s="909"/>
      <c r="H42" s="957"/>
      <c r="I42" s="1071" t="str">
        <f>INDEX(TEMPLATE_NUMBER_POINT_FHD,B42,MATCH(TEMPLATE_SPHERE,TEMPLATE_SPHERE_LIST_FOR_NOTE,0))</f>
        <v>2.10.2</v>
      </c>
      <c r="J42" s="1071" t="str">
        <f>INDEX(TEMPLATE_DATA_POINT_FHD,B42,MATCH(TEMPLATE_SPHERE,TEMPLATE_SPHERE_LIST_FOR_NOTE,0))</f>
        <v>Расходы на капитальный ремонт</v>
      </c>
      <c r="K42" s="1071" t="str">
        <f>INDEX(TEMPLATE_NOTE_POINT_FHD,B42,MATCH(TEMPLATE_SPHERE,TEMPLATE_SPHERE_LIST_FOR_NOTE,0))</f>
        <v>Указываются расходы на капитальный ремонт, отнесенные к общепроизводственным расходам.</v>
      </c>
      <c r="L42" s="910" t="str">
        <f>IF(I42=0,"",I42)</f>
        <v>2.10.2</v>
      </c>
      <c r="M42" s="910" t="str">
        <f>IF(J42=0,"",J42)</f>
        <v>Расходы на капитальный ремонт</v>
      </c>
      <c r="N42" s="910" t="str">
        <f>IF(K42=0,"",K42)</f>
        <v>Указываются расходы на капитальный ремонт, отнесенные к общепроизводственным расходам.</v>
      </c>
      <c r="O42" s="1023" t="s">
        <v>2109</v>
      </c>
      <c r="P42" s="1023" t="s">
        <v>2095</v>
      </c>
      <c r="Q42" s="1023" t="s">
        <v>2109</v>
      </c>
      <c r="R42" s="1023" t="s">
        <v>2095</v>
      </c>
      <c r="S42" s="1023"/>
      <c r="T42" s="909" t="s">
        <v>2110</v>
      </c>
      <c r="U42" s="909" t="s">
        <v>2110</v>
      </c>
      <c r="V42" s="909" t="s">
        <v>2110</v>
      </c>
      <c r="W42" s="909" t="s">
        <v>2110</v>
      </c>
      <c r="X42" s="909"/>
      <c r="Y42" s="1066"/>
      <c r="Z42" s="912" t="s">
        <v>2111</v>
      </c>
      <c r="AA42" s="912" t="s">
        <v>2111</v>
      </c>
      <c r="AB42" s="912" t="s">
        <v>2111</v>
      </c>
      <c r="AC42" s="912" t="s">
        <v>2111</v>
      </c>
      <c r="AD42" s="912"/>
    </row>
    <row customHeight="1" ht="18">
      <c r="A43" s="911"/>
      <c r="B43" s="965">
        <v>26</v>
      </c>
      <c r="C43" s="909">
        <v>14</v>
      </c>
      <c r="D43" s="1033"/>
      <c r="E43" s="909"/>
      <c r="F43" s="909"/>
      <c r="G43" s="909"/>
      <c r="H43" s="957"/>
      <c r="I43" s="1071" t="str">
        <f>INDEX(TEMPLATE_NUMBER_POINT_FHD,B43,MATCH(TEMPLATE_SPHERE,TEMPLATE_SPHERE_LIST_FOR_NOTE,0))</f>
        <v>2.11</v>
      </c>
      <c r="J43" s="1071" t="str">
        <f>INDEX(TEMPLATE_DATA_POINT_FHD,B43,MATCH(TEMPLATE_SPHERE,TEMPLATE_SPHERE_LIST_FOR_NOTE,0))</f>
        <v>Общехозяйственные расходы, в том числе:</v>
      </c>
      <c r="K43" s="1071" t="str">
        <f>INDEX(TEMPLATE_NOTE_POINT_FHD,B43,MATCH(TEMPLATE_SPHERE,TEMPLATE_SPHERE_LIST_FOR_NOTE,0))</f>
        <v>Указывается общая сумма общехозяйственных расходов.</v>
      </c>
      <c r="L43" s="910" t="str">
        <f>IF(I43=0,"",I43)</f>
        <v>2.11</v>
      </c>
      <c r="M43" s="910" t="str">
        <f>IF(J43=0,"",J43)</f>
        <v>Общехозяйственные расходы, в том числе:</v>
      </c>
      <c r="N43" s="910" t="str">
        <f>IF(K43=0,"",K43)</f>
        <v>Указывается общая сумма общехозяйственных расходов.</v>
      </c>
      <c r="O43" s="1023" t="s">
        <v>2112</v>
      </c>
      <c r="P43" s="1023" t="s">
        <v>754</v>
      </c>
      <c r="Q43" s="1023" t="s">
        <v>2112</v>
      </c>
      <c r="R43" s="1023" t="s">
        <v>754</v>
      </c>
      <c r="S43" s="1023"/>
      <c r="T43" s="909" t="s">
        <v>2113</v>
      </c>
      <c r="U43" s="909" t="s">
        <v>2113</v>
      </c>
      <c r="V43" s="909" t="s">
        <v>2113</v>
      </c>
      <c r="W43" s="909" t="s">
        <v>2113</v>
      </c>
      <c r="X43" s="909"/>
      <c r="Y43" s="1066"/>
      <c r="Z43" s="912" t="s">
        <v>2114</v>
      </c>
      <c r="AA43" s="912" t="s">
        <v>2114</v>
      </c>
      <c r="AB43" s="912" t="s">
        <v>2114</v>
      </c>
      <c r="AC43" s="912" t="s">
        <v>2114</v>
      </c>
      <c r="AD43" s="912"/>
    </row>
    <row customHeight="1" ht="27">
      <c r="A44" s="911"/>
      <c r="B44" s="965">
        <v>27</v>
      </c>
      <c r="C44" s="909" t="s">
        <v>2115</v>
      </c>
      <c r="D44" s="1033"/>
      <c r="E44" s="909"/>
      <c r="F44" s="909"/>
      <c r="G44" s="909"/>
      <c r="H44" s="957"/>
      <c r="I44" s="1071" t="str">
        <f>INDEX(TEMPLATE_NUMBER_POINT_FHD,B44,MATCH(TEMPLATE_SPHERE,TEMPLATE_SPHERE_LIST_FOR_NOTE,0))</f>
        <v>2.11.1</v>
      </c>
      <c r="J44" s="1071" t="str">
        <f>INDEX(TEMPLATE_DATA_POINT_FHD,B44,MATCH(TEMPLATE_SPHERE,TEMPLATE_SPHERE_LIST_FOR_NOTE,0))</f>
        <v>Расходы на текущий ремонт</v>
      </c>
      <c r="K44" s="1071" t="str">
        <f>INDEX(TEMPLATE_NOTE_POINT_FHD,B44,MATCH(TEMPLATE_SPHERE,TEMPLATE_SPHERE_LIST_FOR_NOTE,0))</f>
        <v>Указываются расходы на текущий ремонт, отнесенные к общехозяйственным расходам.</v>
      </c>
      <c r="L44" s="910" t="str">
        <f>IF(I44=0,"",I44)</f>
        <v>2.11.1</v>
      </c>
      <c r="M44" s="910" t="str">
        <f>IF(J44=0,"",J44)</f>
        <v>Расходы на текущий ремонт</v>
      </c>
      <c r="N44" s="910" t="str">
        <f>IF(K44=0,"",K44)</f>
        <v>Указываются расходы на текущий ремонт, отнесенные к общехозяйственным расходам.</v>
      </c>
      <c r="O44" s="1023" t="s">
        <v>2116</v>
      </c>
      <c r="P44" s="1023" t="s">
        <v>2117</v>
      </c>
      <c r="Q44" s="1023" t="s">
        <v>2116</v>
      </c>
      <c r="R44" s="1023" t="s">
        <v>2117</v>
      </c>
      <c r="S44" s="1023"/>
      <c r="T44" s="909" t="s">
        <v>2106</v>
      </c>
      <c r="U44" s="909" t="s">
        <v>2106</v>
      </c>
      <c r="V44" s="909" t="s">
        <v>2106</v>
      </c>
      <c r="W44" s="909" t="s">
        <v>2106</v>
      </c>
      <c r="X44" s="909"/>
      <c r="Y44" s="1066"/>
      <c r="Z44" s="912" t="s">
        <v>2118</v>
      </c>
      <c r="AA44" s="912" t="s">
        <v>2118</v>
      </c>
      <c r="AB44" s="912" t="s">
        <v>2118</v>
      </c>
      <c r="AC44" s="912" t="s">
        <v>2118</v>
      </c>
      <c r="AD44" s="912"/>
    </row>
    <row customHeight="1" ht="27">
      <c r="A45" s="911"/>
      <c r="B45" s="965">
        <v>28</v>
      </c>
      <c r="C45" s="909" t="s">
        <v>2119</v>
      </c>
      <c r="D45" s="1033"/>
      <c r="E45" s="909"/>
      <c r="F45" s="909"/>
      <c r="G45" s="909"/>
      <c r="H45" s="957"/>
      <c r="I45" s="1071" t="str">
        <f>INDEX(TEMPLATE_NUMBER_POINT_FHD,B45,MATCH(TEMPLATE_SPHERE,TEMPLATE_SPHERE_LIST_FOR_NOTE,0))</f>
        <v>2.11.2</v>
      </c>
      <c r="J45" s="1071" t="str">
        <f>INDEX(TEMPLATE_DATA_POINT_FHD,B45,MATCH(TEMPLATE_SPHERE,TEMPLATE_SPHERE_LIST_FOR_NOTE,0))</f>
        <v>Расходы на капитальный ремонт</v>
      </c>
      <c r="K45" s="1071" t="str">
        <f>INDEX(TEMPLATE_NOTE_POINT_FHD,B45,MATCH(TEMPLATE_SPHERE,TEMPLATE_SPHERE_LIST_FOR_NOTE,0))</f>
        <v>Указываются расходы на капитальный ремонт, отнесенные к общехозяйственным расходам.</v>
      </c>
      <c r="L45" s="910" t="str">
        <f>IF(I45=0,"",I45)</f>
        <v>2.11.2</v>
      </c>
      <c r="M45" s="910" t="str">
        <f>IF(J45=0,"",J45)</f>
        <v>Расходы на капитальный ремонт</v>
      </c>
      <c r="N45" s="910" t="str">
        <f>IF(K45=0,"",K45)</f>
        <v>Указываются расходы на капитальный ремонт, отнесенные к общехозяйственным расходам.</v>
      </c>
      <c r="O45" s="1023" t="s">
        <v>2120</v>
      </c>
      <c r="P45" s="1023" t="s">
        <v>2121</v>
      </c>
      <c r="Q45" s="1023" t="s">
        <v>2120</v>
      </c>
      <c r="R45" s="1023" t="s">
        <v>2121</v>
      </c>
      <c r="S45" s="1023"/>
      <c r="T45" s="909" t="s">
        <v>2110</v>
      </c>
      <c r="U45" s="909" t="s">
        <v>2110</v>
      </c>
      <c r="V45" s="909" t="s">
        <v>2110</v>
      </c>
      <c r="W45" s="909" t="s">
        <v>2110</v>
      </c>
      <c r="X45" s="909"/>
      <c r="Y45" s="1066"/>
      <c r="Z45" s="912" t="s">
        <v>2122</v>
      </c>
      <c r="AA45" s="912" t="s">
        <v>2122</v>
      </c>
      <c r="AB45" s="912" t="s">
        <v>2122</v>
      </c>
      <c r="AC45" s="912" t="s">
        <v>2122</v>
      </c>
      <c r="AD45" s="912"/>
    </row>
    <row customHeight="1" ht="54">
      <c r="A46" s="911"/>
      <c r="B46" s="965">
        <v>29</v>
      </c>
      <c r="C46" s="909">
        <v>15</v>
      </c>
      <c r="D46" s="1033"/>
      <c r="E46" s="909"/>
      <c r="F46" s="909"/>
      <c r="G46" s="909"/>
      <c r="H46" s="957"/>
      <c r="I46" s="1071" t="str">
        <f>INDEX(TEMPLATE_NUMBER_POINT_FHD,B46,MATCH(TEMPLATE_SPHERE,TEMPLATE_SPHERE_LIST_FOR_NOTE,0))</f>
        <v>2.12</v>
      </c>
      <c r="J46" s="1071" t="str">
        <f>INDEX(TEMPLATE_DATA_POINT_FHD,B46,MATCH(TEMPLATE_SPHERE,TEMPLATE_SPHERE_LIST_FOR_NOTE,0))</f>
        <v>Расходы на капитальный и текущий ремонт основных средств</v>
      </c>
      <c r="K46" s="107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0" t="str">
        <f>IF(I46=0,"",I46)</f>
        <v>2.12</v>
      </c>
      <c r="M46" s="910" t="str">
        <f>IF(J46=0,"",J46)</f>
        <v>Расходы на капитальный и текущий ремонт основных средств</v>
      </c>
      <c r="N46" s="91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3" t="s">
        <v>2123</v>
      </c>
      <c r="P46" s="1023" t="s">
        <v>2101</v>
      </c>
      <c r="Q46" s="1023" t="s">
        <v>2123</v>
      </c>
      <c r="R46" s="1023" t="s">
        <v>2101</v>
      </c>
      <c r="S46" s="1023"/>
      <c r="T46" s="91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9" t="s">
        <v>2124</v>
      </c>
      <c r="V46" s="909" t="s">
        <v>2124</v>
      </c>
      <c r="W46" s="909" t="s">
        <v>2124</v>
      </c>
      <c r="X46" s="909"/>
      <c r="Y46" s="1066"/>
      <c r="Z46" s="912" t="s">
        <v>2125</v>
      </c>
      <c r="AA46" s="912" t="s">
        <v>2126</v>
      </c>
      <c r="AB46" s="912" t="s">
        <v>2126</v>
      </c>
      <c r="AC46" s="912" t="s">
        <v>2126</v>
      </c>
      <c r="AD46" s="912"/>
    </row>
    <row customHeight="1" ht="54">
      <c r="A47" s="911"/>
      <c r="B47" s="965">
        <v>30</v>
      </c>
      <c r="C47" s="909" t="s">
        <v>2127</v>
      </c>
      <c r="D47" s="1033"/>
      <c r="E47" s="909"/>
      <c r="F47" s="909"/>
      <c r="G47" s="909"/>
      <c r="H47" s="957"/>
      <c r="I47" s="1071" t="str">
        <f>INDEX(TEMPLATE_NUMBER_POINT_FHD,B47,MATCH(TEMPLATE_SPHERE,TEMPLATE_SPHERE_LIST_FOR_NOTE,0))</f>
        <v>2.12.1</v>
      </c>
      <c r="J47" s="107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1">
        <f>INDEX(TEMPLATE_NOTE_POINT_FHD,B47,MATCH(TEMPLATE_SPHERE,TEMPLATE_SPHERE_LIST_FOR_NOTE,0))</f>
        <v>0</v>
      </c>
      <c r="L47" s="910" t="str">
        <f>IF(I47=0,"",I47)</f>
        <v>2.12.1</v>
      </c>
      <c r="M47" s="91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0" t="str">
        <f>IF(K47=0,"",K47)</f>
        <v/>
      </c>
      <c r="O47" s="1023" t="s">
        <v>2128</v>
      </c>
      <c r="P47" s="1023" t="s">
        <v>2105</v>
      </c>
      <c r="Q47" s="1023" t="s">
        <v>2128</v>
      </c>
      <c r="R47" s="1023" t="s">
        <v>2105</v>
      </c>
      <c r="S47" s="1023"/>
      <c r="T47" s="909" t="s">
        <v>2129</v>
      </c>
      <c r="U47" s="909" t="s">
        <v>2129</v>
      </c>
      <c r="V47" s="909" t="s">
        <v>2129</v>
      </c>
      <c r="W47" s="909" t="s">
        <v>2129</v>
      </c>
      <c r="X47" s="909"/>
      <c r="Y47" s="1066"/>
      <c r="Z47" s="912"/>
      <c r="AA47" s="915"/>
      <c r="AB47" s="915"/>
      <c r="AC47" s="915"/>
      <c r="AD47" s="912"/>
    </row>
    <row customHeight="1" ht="54">
      <c r="A48" s="911"/>
      <c r="B48" s="965">
        <v>31</v>
      </c>
      <c r="C48" s="909">
        <v>16</v>
      </c>
      <c r="D48" s="1033"/>
      <c r="E48" s="909"/>
      <c r="F48" s="909"/>
      <c r="G48" s="909"/>
      <c r="H48" s="957"/>
      <c r="I48" s="1071">
        <f>INDEX(TEMPLATE_NUMBER_POINT_FHD,B48,MATCH(TEMPLATE_SPHERE,TEMPLATE_SPHERE_LIST_FOR_NOTE,0))</f>
        <v>0</v>
      </c>
      <c r="J48" s="1071">
        <f>INDEX(TEMPLATE_DATA_POINT_FHD,B48,MATCH(TEMPLATE_SPHERE,TEMPLATE_SPHERE_LIST_FOR_NOTE,0))</f>
        <v>0</v>
      </c>
      <c r="K48" s="1071">
        <f>INDEX(TEMPLATE_NOTE_POINT_FHD,B48,MATCH(TEMPLATE_SPHERE,TEMPLATE_SPHERE_LIST_FOR_NOTE,0))</f>
        <v>0</v>
      </c>
      <c r="L48" s="910" t="str">
        <f>IF(I48=0,"",I48)</f>
        <v/>
      </c>
      <c r="M48" s="910" t="str">
        <f>IF(J48=0,"",J48)</f>
        <v/>
      </c>
      <c r="N48" s="910" t="str">
        <f>IF(K48=0,"",K48)</f>
        <v/>
      </c>
      <c r="O48" s="1023"/>
      <c r="P48" s="1023" t="s">
        <v>2112</v>
      </c>
      <c r="Q48" s="1023" t="s">
        <v>2130</v>
      </c>
      <c r="R48" s="1023" t="s">
        <v>2112</v>
      </c>
      <c r="S48" s="1023"/>
      <c r="T48" s="909"/>
      <c r="U48" s="909" t="s">
        <v>2131</v>
      </c>
      <c r="V48" s="909" t="s">
        <v>2132</v>
      </c>
      <c r="W48" s="909" t="s">
        <v>2132</v>
      </c>
      <c r="X48" s="909"/>
      <c r="Y48" s="1066"/>
      <c r="Z48" s="912"/>
      <c r="AA48" s="915" t="s">
        <v>2126</v>
      </c>
      <c r="AB48" s="915" t="s">
        <v>2126</v>
      </c>
      <c r="AC48" s="915" t="s">
        <v>2126</v>
      </c>
      <c r="AD48" s="912"/>
    </row>
    <row customHeight="1" ht="54">
      <c r="A49" s="911"/>
      <c r="B49" s="965">
        <v>32</v>
      </c>
      <c r="C49" s="909" t="s">
        <v>2133</v>
      </c>
      <c r="D49" s="1033"/>
      <c r="E49" s="909"/>
      <c r="F49" s="909"/>
      <c r="G49" s="909"/>
      <c r="H49" s="957"/>
      <c r="I49" s="1071">
        <f>INDEX(TEMPLATE_NUMBER_POINT_FHD,B49,MATCH(TEMPLATE_SPHERE,TEMPLATE_SPHERE_LIST_FOR_NOTE,0))</f>
        <v>0</v>
      </c>
      <c r="J49" s="1071">
        <f>INDEX(TEMPLATE_DATA_POINT_FHD,B49,MATCH(TEMPLATE_SPHERE,TEMPLATE_SPHERE_LIST_FOR_NOTE,0))</f>
        <v>0</v>
      </c>
      <c r="K49" s="1071">
        <f>INDEX(TEMPLATE_NOTE_POINT_FHD,B49,MATCH(TEMPLATE_SPHERE,TEMPLATE_SPHERE_LIST_FOR_NOTE,0))</f>
        <v>0</v>
      </c>
      <c r="L49" s="910" t="str">
        <f>IF(I49=0,"",I49)</f>
        <v/>
      </c>
      <c r="M49" s="910" t="str">
        <f>IF(J49=0,"",J49)</f>
        <v/>
      </c>
      <c r="N49" s="910" t="str">
        <f>IF(K49=0,"",K49)</f>
        <v/>
      </c>
      <c r="O49" s="1023"/>
      <c r="P49" s="1023" t="s">
        <v>2116</v>
      </c>
      <c r="Q49" s="1023" t="s">
        <v>2134</v>
      </c>
      <c r="R49" s="1023" t="s">
        <v>2116</v>
      </c>
      <c r="S49" s="1023"/>
      <c r="T49" s="909"/>
      <c r="U49" s="909" t="s">
        <v>2129</v>
      </c>
      <c r="V49" s="909" t="s">
        <v>2129</v>
      </c>
      <c r="W49" s="909" t="s">
        <v>2129</v>
      </c>
      <c r="X49" s="909"/>
      <c r="Y49" s="1066"/>
      <c r="Z49" s="912"/>
      <c r="AA49" s="915"/>
      <c r="AB49" s="915"/>
      <c r="AC49" s="915"/>
      <c r="AD49" s="912"/>
    </row>
    <row customHeight="1" ht="126">
      <c r="A50" s="911"/>
      <c r="B50" s="965">
        <v>33</v>
      </c>
      <c r="C50" s="909">
        <v>17</v>
      </c>
      <c r="D50" s="1033"/>
      <c r="E50" s="909"/>
      <c r="F50" s="909"/>
      <c r="G50" s="909"/>
      <c r="H50" s="957"/>
      <c r="I50" s="1071" t="str">
        <f>INDEX(TEMPLATE_NUMBER_POINT_FHD,B50,MATCH(TEMPLATE_SPHERE,TEMPLATE_SPHERE_LIST_FOR_NOTE,0))</f>
        <v>2.13</v>
      </c>
      <c r="J50" s="107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0" t="str">
        <f>IF(I50=0,"",I50)</f>
        <v>2.13</v>
      </c>
      <c r="M50" s="91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3" t="s">
        <v>2130</v>
      </c>
      <c r="P50" s="1023" t="s">
        <v>2123</v>
      </c>
      <c r="Q50" s="1023" t="s">
        <v>2135</v>
      </c>
      <c r="R50" s="1023" t="s">
        <v>2123</v>
      </c>
      <c r="S50" s="1023"/>
      <c r="T50" s="909" t="s">
        <v>2136</v>
      </c>
      <c r="U50" s="909" t="s">
        <v>2137</v>
      </c>
      <c r="V50" s="909" t="s">
        <v>2138</v>
      </c>
      <c r="W50" s="909" t="s">
        <v>2139</v>
      </c>
      <c r="X50" s="909"/>
      <c r="Y50" s="1066"/>
      <c r="Z50" s="912" t="s">
        <v>2140</v>
      </c>
      <c r="AA50" s="915" t="s">
        <v>2141</v>
      </c>
      <c r="AB50" s="915" t="s">
        <v>2141</v>
      </c>
      <c r="AC50" s="915" t="s">
        <v>2141</v>
      </c>
      <c r="AD50" s="912"/>
    </row>
    <row customHeight="1" ht="27">
      <c r="A51" s="911"/>
      <c r="B51" s="965">
        <v>34</v>
      </c>
      <c r="C51" s="909" t="s">
        <v>2142</v>
      </c>
      <c r="D51" s="1033"/>
      <c r="E51" s="909"/>
      <c r="F51" s="909"/>
      <c r="G51" s="909"/>
      <c r="H51" s="957"/>
      <c r="I51" s="1071" t="str">
        <f>INDEX(TEMPLATE_NUMBER_POINT_FHD,B51,MATCH(TEMPLATE_SPHERE,TEMPLATE_SPHERE_LIST_FOR_NOTE,0))</f>
        <v>3</v>
      </c>
      <c r="J51" s="107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1">
        <f>INDEX(TEMPLATE_NOTE_POINT_FHD,B51,MATCH(TEMPLATE_SPHERE,TEMPLATE_SPHERE_LIST_FOR_NOTE,0))</f>
        <v>0</v>
      </c>
      <c r="L51" s="910" t="str">
        <f>IF(I51=0,"",I51)</f>
        <v>3</v>
      </c>
      <c r="M51" s="910" t="str">
        <f>IF(J51=0,"",J51)</f>
        <v>Валовая прибыль (убытки) от реализации товаров и оказания услуг по регулируемому виду деятельности</v>
      </c>
      <c r="N51" s="910" t="str">
        <f>IF(K51=0,"",K51)</f>
        <v/>
      </c>
      <c r="O51" s="1023" t="s">
        <v>95</v>
      </c>
      <c r="P51" s="1023"/>
      <c r="Q51" s="1023"/>
      <c r="R51" s="1023"/>
      <c r="S51" s="1023"/>
      <c r="T51" s="909" t="s">
        <v>2143</v>
      </c>
      <c r="U51" s="909"/>
      <c r="V51" s="909"/>
      <c r="W51" s="909"/>
      <c r="X51" s="909"/>
      <c r="Y51" s="1066"/>
      <c r="Z51" s="912"/>
      <c r="AA51" s="915"/>
      <c r="AB51" s="915"/>
      <c r="AC51" s="915"/>
      <c r="AD51" s="912"/>
    </row>
    <row customHeight="1" ht="36">
      <c r="A52" s="911"/>
      <c r="B52" s="965">
        <v>35</v>
      </c>
      <c r="C52" s="909" t="s">
        <v>2036</v>
      </c>
      <c r="D52" s="1033" t="s">
        <v>2036</v>
      </c>
      <c r="E52" s="909" t="s">
        <v>2036</v>
      </c>
      <c r="F52" s="909" t="s">
        <v>2036</v>
      </c>
      <c r="G52" s="909"/>
      <c r="H52" s="957"/>
      <c r="I52" s="1071" t="str">
        <f>INDEX(TEMPLATE_NUMBER_POINT_FHD,B52,MATCH(TEMPLATE_SPHERE,TEMPLATE_SPHERE_LIST_FOR_NOTE,0))</f>
        <v>4</v>
      </c>
      <c r="J52" s="1071" t="str">
        <f>INDEX(TEMPLATE_DATA_POINT_FHD,B52,MATCH(TEMPLATE_SPHERE,TEMPLATE_SPHERE_LIST_FOR_NOTE,0))</f>
        <v>Чистая прибыль, полученная от регулируемого вида деятельности, в том числе:</v>
      </c>
      <c r="K52" s="1071" t="str">
        <f>INDEX(TEMPLATE_NOTE_POINT_FHD,B52,MATCH(TEMPLATE_SPHERE,TEMPLATE_SPHERE_LIST_FOR_NOTE,0))</f>
        <v>Указывается общая сумма чистой прибыли, полученной от регулируемого вида деятельности.</v>
      </c>
      <c r="L52" s="910" t="str">
        <f>IF(I52=0,"",I52)</f>
        <v>4</v>
      </c>
      <c r="M52" s="910" t="str">
        <f>IF(J52=0,"",J52)</f>
        <v>Чистая прибыль, полученная от регулируемого вида деятельности, в том числе:</v>
      </c>
      <c r="N52" s="910" t="str">
        <f>IF(K52=0,"",K52)</f>
        <v>Указывается общая сумма чистой прибыли, полученной от регулируемого вида деятельности.</v>
      </c>
      <c r="O52" s="1023" t="s">
        <v>96</v>
      </c>
      <c r="P52" s="1023" t="s">
        <v>95</v>
      </c>
      <c r="Q52" s="1023" t="s">
        <v>95</v>
      </c>
      <c r="R52" s="1023" t="s">
        <v>95</v>
      </c>
      <c r="S52" s="1023"/>
      <c r="T52" s="909" t="s">
        <v>2144</v>
      </c>
      <c r="U52" s="909" t="s">
        <v>2145</v>
      </c>
      <c r="V52" s="909" t="s">
        <v>2146</v>
      </c>
      <c r="W52" s="909" t="s">
        <v>2147</v>
      </c>
      <c r="X52" s="909"/>
      <c r="Y52" s="1066"/>
      <c r="Z52" s="912" t="s">
        <v>758</v>
      </c>
      <c r="AA52" s="915" t="s">
        <v>758</v>
      </c>
      <c r="AB52" s="915" t="s">
        <v>758</v>
      </c>
      <c r="AC52" s="915" t="s">
        <v>758</v>
      </c>
      <c r="AD52" s="912"/>
    </row>
    <row customHeight="1" ht="36">
      <c r="A53" s="911"/>
      <c r="B53" s="965">
        <v>36</v>
      </c>
      <c r="C53" s="909">
        <v>1</v>
      </c>
      <c r="D53" s="1033"/>
      <c r="E53" s="909"/>
      <c r="F53" s="909"/>
      <c r="G53" s="909"/>
      <c r="H53" s="957"/>
      <c r="I53" s="1071" t="str">
        <f>INDEX(TEMPLATE_NUMBER_POINT_FHD,B53,MATCH(TEMPLATE_SPHERE,TEMPLATE_SPHERE_LIST_FOR_NOTE,0))</f>
        <v>4.1</v>
      </c>
      <c r="J53" s="107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1">
        <f>INDEX(TEMPLATE_NOTE_POINT_FHD,B53,MATCH(TEMPLATE_SPHERE,TEMPLATE_SPHERE_LIST_FOR_NOTE,0))</f>
        <v>0</v>
      </c>
      <c r="L53" s="910" t="str">
        <f>IF(I53=0,"",I53)</f>
        <v>4.1</v>
      </c>
      <c r="M53" s="91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0" t="str">
        <f>IF(K53=0,"",K53)</f>
        <v/>
      </c>
      <c r="O53" s="1023" t="s">
        <v>762</v>
      </c>
      <c r="P53" s="1023" t="s">
        <v>333</v>
      </c>
      <c r="Q53" s="1023" t="s">
        <v>333</v>
      </c>
      <c r="R53" s="1023" t="s">
        <v>333</v>
      </c>
      <c r="S53" s="1023"/>
      <c r="T53" s="909" t="s">
        <v>2148</v>
      </c>
      <c r="U53" s="909" t="s">
        <v>2148</v>
      </c>
      <c r="V53" s="909" t="s">
        <v>2148</v>
      </c>
      <c r="W53" s="909" t="s">
        <v>2148</v>
      </c>
      <c r="X53" s="909"/>
      <c r="Y53" s="1066"/>
      <c r="Z53" s="912"/>
      <c r="AA53" s="915"/>
      <c r="AB53" s="912"/>
      <c r="AC53" s="912"/>
      <c r="AD53" s="912"/>
    </row>
    <row customHeight="1" ht="18">
      <c r="A54" s="911"/>
      <c r="B54" s="965">
        <v>37</v>
      </c>
      <c r="C54" s="909" t="s">
        <v>2042</v>
      </c>
      <c r="D54" s="1033" t="s">
        <v>2042</v>
      </c>
      <c r="E54" s="909" t="s">
        <v>2042</v>
      </c>
      <c r="F54" s="909" t="s">
        <v>2042</v>
      </c>
      <c r="G54" s="909"/>
      <c r="H54" s="957"/>
      <c r="I54" s="1071" t="str">
        <f>INDEX(TEMPLATE_NUMBER_POINT_FHD,B54,MATCH(TEMPLATE_SPHERE,TEMPLATE_SPHERE_LIST_FOR_NOTE,0))</f>
        <v>5</v>
      </c>
      <c r="J54" s="1071" t="str">
        <f>INDEX(TEMPLATE_DATA_POINT_FHD,B54,MATCH(TEMPLATE_SPHERE,TEMPLATE_SPHERE_LIST_FOR_NOTE,0))</f>
        <v>Изменение стоимости основных фондов, в том числе:</v>
      </c>
      <c r="K54" s="1071" t="str">
        <f>INDEX(TEMPLATE_NOTE_POINT_FHD,B54,MATCH(TEMPLATE_SPHERE,TEMPLATE_SPHERE_LIST_FOR_NOTE,0))</f>
        <v>Указывается общее изменение стоимости основных фондов.</v>
      </c>
      <c r="L54" s="910" t="str">
        <f>IF(I54=0,"",I54)</f>
        <v>5</v>
      </c>
      <c r="M54" s="910" t="str">
        <f>IF(J54=0,"",J54)</f>
        <v>Изменение стоимости основных фондов, в том числе:</v>
      </c>
      <c r="N54" s="910" t="str">
        <f>IF(K54=0,"",K54)</f>
        <v>Указывается общее изменение стоимости основных фондов.</v>
      </c>
      <c r="O54" s="1023" t="s">
        <v>116</v>
      </c>
      <c r="P54" s="1023" t="s">
        <v>96</v>
      </c>
      <c r="Q54" s="1023" t="s">
        <v>96</v>
      </c>
      <c r="R54" s="1023" t="s">
        <v>96</v>
      </c>
      <c r="S54" s="1023"/>
      <c r="T54" s="909" t="s">
        <v>760</v>
      </c>
      <c r="U54" s="909" t="s">
        <v>760</v>
      </c>
      <c r="V54" s="909" t="s">
        <v>760</v>
      </c>
      <c r="W54" s="909" t="s">
        <v>760</v>
      </c>
      <c r="X54" s="909"/>
      <c r="Y54" s="1066"/>
      <c r="Z54" s="912" t="s">
        <v>761</v>
      </c>
      <c r="AA54" s="912" t="s">
        <v>761</v>
      </c>
      <c r="AB54" s="912" t="s">
        <v>761</v>
      </c>
      <c r="AC54" s="912" t="s">
        <v>761</v>
      </c>
      <c r="AD54" s="912"/>
    </row>
    <row customHeight="1" ht="36">
      <c r="A55" s="911"/>
      <c r="B55" s="965">
        <v>38</v>
      </c>
      <c r="C55" s="909">
        <v>1</v>
      </c>
      <c r="D55" s="1033"/>
      <c r="E55" s="909"/>
      <c r="F55" s="909"/>
      <c r="G55" s="909"/>
      <c r="H55" s="957"/>
      <c r="I55" s="1071" t="str">
        <f>INDEX(TEMPLATE_NUMBER_POINT_FHD,B55,MATCH(TEMPLATE_SPHERE,TEMPLATE_SPHERE_LIST_FOR_NOTE,0))</f>
        <v>5.1</v>
      </c>
      <c r="J55" s="1071" t="str">
        <f>INDEX(TEMPLATE_DATA_POINT_FHD,B55,MATCH(TEMPLATE_SPHERE,TEMPLATE_SPHERE_LIST_FOR_NOTE,0))</f>
        <v>Изменение стоимости основных фондов за счет:</v>
      </c>
      <c r="K55" s="107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0" t="str">
        <f>IF(I55=0,"",I55)</f>
        <v>5.1</v>
      </c>
      <c r="M55" s="910" t="str">
        <f>IF(J55=0,"",J55)</f>
        <v>Изменение стоимости основных фондов за счет:</v>
      </c>
      <c r="N55" s="910" t="str">
        <f>IF(K55=0,"",K55)</f>
        <v>Указываются общее изменение стоимости основных фондов за счет их ввода в эксплуатацию и вывода из эксплуатации.</v>
      </c>
      <c r="O55" s="1023" t="s">
        <v>322</v>
      </c>
      <c r="P55" s="1023" t="s">
        <v>762</v>
      </c>
      <c r="Q55" s="1023" t="s">
        <v>762</v>
      </c>
      <c r="R55" s="1023" t="s">
        <v>762</v>
      </c>
      <c r="S55" s="1023"/>
      <c r="T55" s="91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9" t="s">
        <v>2149</v>
      </c>
      <c r="V55" s="909" t="s">
        <v>2149</v>
      </c>
      <c r="W55" s="909" t="s">
        <v>2149</v>
      </c>
      <c r="X55" s="909"/>
      <c r="Y55" s="1066"/>
      <c r="Z55" s="912" t="s">
        <v>2150</v>
      </c>
      <c r="AA55" s="912" t="s">
        <v>2150</v>
      </c>
      <c r="AB55" s="912" t="s">
        <v>2150</v>
      </c>
      <c r="AC55" s="912" t="s">
        <v>2150</v>
      </c>
      <c r="AD55" s="912"/>
    </row>
    <row customHeight="1" ht="27">
      <c r="A56" s="911"/>
      <c r="B56" s="965">
        <v>39</v>
      </c>
      <c r="C56" s="909" t="s">
        <v>1030</v>
      </c>
      <c r="D56" s="1033"/>
      <c r="E56" s="909"/>
      <c r="F56" s="909"/>
      <c r="G56" s="909"/>
      <c r="H56" s="957"/>
      <c r="I56" s="1071" t="str">
        <f>INDEX(TEMPLATE_NUMBER_POINT_FHD,B56,MATCH(TEMPLATE_SPHERE,TEMPLATE_SPHERE_LIST_FOR_NOTE,0))</f>
        <v>5.1.1</v>
      </c>
      <c r="J56" s="1071" t="str">
        <f>INDEX(TEMPLATE_DATA_POINT_FHD,B56,MATCH(TEMPLATE_SPHERE,TEMPLATE_SPHERE_LIST_FOR_NOTE,0))</f>
        <v>Изменения стоимости основных фондов за счет их ввода в эксплуатацию</v>
      </c>
      <c r="K56" s="1071" t="str">
        <f>INDEX(TEMPLATE_NOTE_POINT_FHD,B56,MATCH(TEMPLATE_SPHERE,TEMPLATE_SPHERE_LIST_FOR_NOTE,0))</f>
        <v>Указываются изменение стоимости основных фондов за счет их ввода в эксплуатацию.</v>
      </c>
      <c r="L56" s="910" t="str">
        <f>IF(I56=0,"",I56)</f>
        <v>5.1.1</v>
      </c>
      <c r="M56" s="910" t="str">
        <f>IF(J56=0,"",J56)</f>
        <v>Изменения стоимости основных фондов за счет их ввода в эксплуатацию</v>
      </c>
      <c r="N56" s="910" t="str">
        <f>IF(K56=0,"",K56)</f>
        <v>Указываются изменение стоимости основных фондов за счет их ввода в эксплуатацию.</v>
      </c>
      <c r="O56" s="1023" t="s">
        <v>1147</v>
      </c>
      <c r="P56" s="1023" t="s">
        <v>765</v>
      </c>
      <c r="Q56" s="1023" t="s">
        <v>765</v>
      </c>
      <c r="R56" s="1023" t="s">
        <v>765</v>
      </c>
      <c r="S56" s="1023"/>
      <c r="T56" s="91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9" t="s">
        <v>2151</v>
      </c>
      <c r="V56" s="909" t="s">
        <v>2151</v>
      </c>
      <c r="W56" s="909" t="s">
        <v>2151</v>
      </c>
      <c r="X56" s="909"/>
      <c r="Y56" s="1066"/>
      <c r="Z56" s="912" t="s">
        <v>767</v>
      </c>
      <c r="AA56" s="912" t="s">
        <v>767</v>
      </c>
      <c r="AB56" s="912" t="s">
        <v>767</v>
      </c>
      <c r="AC56" s="912" t="s">
        <v>767</v>
      </c>
      <c r="AD56" s="912"/>
    </row>
    <row customHeight="1" ht="27">
      <c r="A57" s="911"/>
      <c r="B57" s="965">
        <v>40</v>
      </c>
      <c r="C57" s="909" t="s">
        <v>1032</v>
      </c>
      <c r="D57" s="1033"/>
      <c r="E57" s="909"/>
      <c r="F57" s="909"/>
      <c r="G57" s="909"/>
      <c r="H57" s="957"/>
      <c r="I57" s="1071" t="str">
        <f>INDEX(TEMPLATE_NUMBER_POINT_FHD,B57,MATCH(TEMPLATE_SPHERE,TEMPLATE_SPHERE_LIST_FOR_NOTE,0))</f>
        <v>5.1.2</v>
      </c>
      <c r="J57" s="1071" t="str">
        <f>INDEX(TEMPLATE_DATA_POINT_FHD,B57,MATCH(TEMPLATE_SPHERE,TEMPLATE_SPHERE_LIST_FOR_NOTE,0))</f>
        <v>Изменения стоимости основных фондов за счет их вывода в эксплуатацию</v>
      </c>
      <c r="K57" s="1071" t="str">
        <f>INDEX(TEMPLATE_NOTE_POINT_FHD,B57,MATCH(TEMPLATE_SPHERE,TEMPLATE_SPHERE_LIST_FOR_NOTE,0))</f>
        <v>Указываются изменение стоимости основных фондов за счет их вывода из эксплуатации.</v>
      </c>
      <c r="L57" s="910" t="str">
        <f>IF(I57=0,"",I57)</f>
        <v>5.1.2</v>
      </c>
      <c r="M57" s="910" t="str">
        <f>IF(J57=0,"",J57)</f>
        <v>Изменения стоимости основных фондов за счет их вывода в эксплуатацию</v>
      </c>
      <c r="N57" s="910" t="str">
        <f>IF(K57=0,"",K57)</f>
        <v>Указываются изменение стоимости основных фондов за счет их вывода из эксплуатации.</v>
      </c>
      <c r="O57" s="1023" t="s">
        <v>2152</v>
      </c>
      <c r="P57" s="1023" t="s">
        <v>768</v>
      </c>
      <c r="Q57" s="1023" t="s">
        <v>768</v>
      </c>
      <c r="R57" s="1023" t="s">
        <v>768</v>
      </c>
      <c r="S57" s="1023"/>
      <c r="T57" s="91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9" t="s">
        <v>2153</v>
      </c>
      <c r="V57" s="909" t="s">
        <v>2153</v>
      </c>
      <c r="W57" s="909" t="s">
        <v>2153</v>
      </c>
      <c r="X57" s="909"/>
      <c r="Y57" s="1066"/>
      <c r="Z57" s="912" t="s">
        <v>770</v>
      </c>
      <c r="AA57" s="912" t="s">
        <v>770</v>
      </c>
      <c r="AB57" s="912" t="s">
        <v>770</v>
      </c>
      <c r="AC57" s="912" t="s">
        <v>770</v>
      </c>
      <c r="AD57" s="912"/>
    </row>
    <row customHeight="1" ht="18">
      <c r="A58" s="911"/>
      <c r="B58" s="965">
        <v>41</v>
      </c>
      <c r="C58" s="909">
        <v>2</v>
      </c>
      <c r="D58" s="1033"/>
      <c r="E58" s="909"/>
      <c r="F58" s="909"/>
      <c r="G58" s="909"/>
      <c r="H58" s="957"/>
      <c r="I58" s="1071" t="str">
        <f>INDEX(TEMPLATE_NUMBER_POINT_FHD,B58,MATCH(TEMPLATE_SPHERE,TEMPLATE_SPHERE_LIST_FOR_NOTE,0))</f>
        <v>5.2</v>
      </c>
      <c r="J58" s="1071" t="str">
        <f>INDEX(TEMPLATE_DATA_POINT_FHD,B58,MATCH(TEMPLATE_SPHERE,TEMPLATE_SPHERE_LIST_FOR_NOTE,0))</f>
        <v>Изменение стоимости основных фондов за счет их переоценки</v>
      </c>
      <c r="K58" s="1071">
        <f>INDEX(TEMPLATE_NOTE_POINT_FHD,B58,MATCH(TEMPLATE_SPHERE,TEMPLATE_SPHERE_LIST_FOR_NOTE,0))</f>
        <v>0</v>
      </c>
      <c r="L58" s="910" t="str">
        <f>IF(I58=0,"",I58)</f>
        <v>5.2</v>
      </c>
      <c r="M58" s="910" t="str">
        <f>IF(J58=0,"",J58)</f>
        <v>Изменение стоимости основных фондов за счет их переоценки</v>
      </c>
      <c r="N58" s="910" t="str">
        <f>IF(K58=0,"",K58)</f>
        <v/>
      </c>
      <c r="O58" s="1023" t="s">
        <v>890</v>
      </c>
      <c r="P58" s="1023" t="s">
        <v>804</v>
      </c>
      <c r="Q58" s="1023" t="s">
        <v>804</v>
      </c>
      <c r="R58" s="1023" t="s">
        <v>804</v>
      </c>
      <c r="S58" s="1023"/>
      <c r="T58" s="91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9" t="s">
        <v>2154</v>
      </c>
      <c r="V58" s="909" t="s">
        <v>2154</v>
      </c>
      <c r="W58" s="909" t="s">
        <v>2154</v>
      </c>
      <c r="X58" s="909"/>
      <c r="Y58" s="1066"/>
      <c r="Z58" s="912"/>
      <c r="AA58" s="915"/>
      <c r="AB58" s="912"/>
      <c r="AC58" s="912"/>
      <c r="AD58" s="912"/>
    </row>
    <row customHeight="1" ht="36">
      <c r="A59" s="911"/>
      <c r="B59" s="965">
        <v>42</v>
      </c>
      <c r="C59" s="909">
        <v>3</v>
      </c>
      <c r="D59" s="1033" t="s">
        <v>2142</v>
      </c>
      <c r="E59" s="909" t="s">
        <v>2142</v>
      </c>
      <c r="F59" s="909" t="s">
        <v>2142</v>
      </c>
      <c r="G59" s="909"/>
      <c r="H59" s="957"/>
      <c r="I59" s="1071">
        <f>INDEX(TEMPLATE_NUMBER_POINT_FHD,B59,MATCH(TEMPLATE_SPHERE,TEMPLATE_SPHERE_LIST_FOR_NOTE,0))</f>
        <v>0</v>
      </c>
      <c r="J59" s="1071">
        <f>INDEX(TEMPLATE_DATA_POINT_FHD,B59,MATCH(TEMPLATE_SPHERE,TEMPLATE_SPHERE_LIST_FOR_NOTE,0))</f>
        <v>0</v>
      </c>
      <c r="K59" s="1071">
        <f>INDEX(TEMPLATE_NOTE_POINT_FHD,B59,MATCH(TEMPLATE_SPHERE,TEMPLATE_SPHERE_LIST_FOR_NOTE,0))</f>
        <v>0</v>
      </c>
      <c r="L59" s="910" t="str">
        <f>IF(I59=0,"",I59)</f>
        <v/>
      </c>
      <c r="M59" s="910" t="str">
        <f>IF(J59=0,"",J59)</f>
        <v/>
      </c>
      <c r="N59" s="910" t="str">
        <f>IF(K59=0,"",K59)</f>
        <v/>
      </c>
      <c r="O59" s="1023"/>
      <c r="P59" s="1023" t="s">
        <v>116</v>
      </c>
      <c r="Q59" s="1023" t="s">
        <v>116</v>
      </c>
      <c r="R59" s="1023" t="s">
        <v>116</v>
      </c>
      <c r="S59" s="1023"/>
      <c r="T59" s="909"/>
      <c r="U59" s="909" t="s">
        <v>2155</v>
      </c>
      <c r="V59" s="909" t="s">
        <v>2156</v>
      </c>
      <c r="W59" s="909" t="s">
        <v>2157</v>
      </c>
      <c r="X59" s="909"/>
      <c r="Y59" s="1066"/>
      <c r="Z59" s="912"/>
      <c r="AA59" s="915"/>
      <c r="AB59" s="912"/>
      <c r="AC59" s="912"/>
      <c r="AD59" s="912"/>
    </row>
    <row customHeight="1" ht="81">
      <c r="A60" s="911"/>
      <c r="B60" s="965">
        <v>43</v>
      </c>
      <c r="C60" s="909" t="s">
        <v>2158</v>
      </c>
      <c r="D60" s="1033" t="s">
        <v>2158</v>
      </c>
      <c r="E60" s="909" t="s">
        <v>2158</v>
      </c>
      <c r="F60" s="909" t="s">
        <v>2158</v>
      </c>
      <c r="G60" s="909"/>
      <c r="H60" s="957"/>
      <c r="I60" s="1071" t="str">
        <f>INDEX(TEMPLATE_NUMBER_POINT_FHD,B60,MATCH(TEMPLATE_SPHERE,TEMPLATE_SPHERE_LIST_FOR_NOTE,0))</f>
        <v>6</v>
      </c>
      <c r="J60" s="107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0" t="str">
        <f>IF(I60=0,"",I60)</f>
        <v>6</v>
      </c>
      <c r="M60" s="910" t="str">
        <f>IF(J60=0,"",J60)</f>
        <v>Годовая бухгалтерская (финансовая) отчетность, включая бухгалтерский баланс и приложения к нему</v>
      </c>
      <c r="N60" s="91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3" t="s">
        <v>97</v>
      </c>
      <c r="P60" s="1023" t="s">
        <v>97</v>
      </c>
      <c r="Q60" s="1023" t="s">
        <v>97</v>
      </c>
      <c r="R60" s="1023" t="s">
        <v>97</v>
      </c>
      <c r="S60" s="1023"/>
      <c r="T60" s="909" t="s">
        <v>638</v>
      </c>
      <c r="U60" s="909" t="s">
        <v>638</v>
      </c>
      <c r="V60" s="909" t="s">
        <v>638</v>
      </c>
      <c r="W60" s="909" t="s">
        <v>638</v>
      </c>
      <c r="X60" s="909"/>
      <c r="Y60" s="1066"/>
      <c r="Z60" s="912" t="s">
        <v>2159</v>
      </c>
      <c r="AA60" s="915" t="s">
        <v>2160</v>
      </c>
      <c r="AB60" s="912" t="s">
        <v>2161</v>
      </c>
      <c r="AC60" s="912" t="s">
        <v>2160</v>
      </c>
      <c r="AD60" s="912"/>
    </row>
    <row customHeight="1" ht="9">
      <c r="A61" s="911"/>
      <c r="B61" s="965">
        <v>44</v>
      </c>
      <c r="C61" s="909"/>
      <c r="D61" s="1033" t="s">
        <v>2162</v>
      </c>
      <c r="E61" s="909"/>
      <c r="F61" s="909"/>
      <c r="G61" s="909"/>
      <c r="H61" s="957"/>
      <c r="I61" s="1071">
        <f>INDEX(TEMPLATE_NUMBER_POINT_FHD,B61,MATCH(TEMPLATE_SPHERE,TEMPLATE_SPHERE_LIST_FOR_NOTE,0))</f>
        <v>0</v>
      </c>
      <c r="J61" s="1071">
        <f>INDEX(TEMPLATE_DATA_POINT_FHD,B61,MATCH(TEMPLATE_SPHERE,TEMPLATE_SPHERE_LIST_FOR_NOTE,0))</f>
        <v>0</v>
      </c>
      <c r="K61" s="1071">
        <f>INDEX(TEMPLATE_NOTE_POINT_FHD,B61,MATCH(TEMPLATE_SPHERE,TEMPLATE_SPHERE_LIST_FOR_NOTE,0))</f>
        <v>0</v>
      </c>
      <c r="L61" s="910" t="str">
        <f>IF(I61=0,"",I61)</f>
        <v/>
      </c>
      <c r="M61" s="910" t="str">
        <f>IF(J61=0,"",J61)</f>
        <v/>
      </c>
      <c r="N61" s="910" t="str">
        <f>IF(K61=0,"",K61)</f>
        <v/>
      </c>
      <c r="O61" s="1023"/>
      <c r="P61" s="1023" t="s">
        <v>98</v>
      </c>
      <c r="Q61" s="1023"/>
      <c r="R61" s="1023"/>
      <c r="S61" s="1023"/>
      <c r="T61" s="909"/>
      <c r="U61" s="909" t="s">
        <v>2163</v>
      </c>
      <c r="V61" s="909"/>
      <c r="W61" s="909"/>
      <c r="X61" s="909"/>
      <c r="Y61" s="1066"/>
      <c r="Z61" s="912"/>
      <c r="AA61" s="915"/>
      <c r="AB61" s="912"/>
      <c r="AC61" s="912"/>
      <c r="AD61" s="912"/>
    </row>
    <row customHeight="1" ht="9">
      <c r="A62" s="911"/>
      <c r="B62" s="965">
        <v>45</v>
      </c>
      <c r="C62" s="909"/>
      <c r="D62" s="1033" t="s">
        <v>2164</v>
      </c>
      <c r="E62" s="909"/>
      <c r="F62" s="909"/>
      <c r="G62" s="909"/>
      <c r="H62" s="957"/>
      <c r="I62" s="1071">
        <f>INDEX(TEMPLATE_NUMBER_POINT_FHD,B62,MATCH(TEMPLATE_SPHERE,TEMPLATE_SPHERE_LIST_FOR_NOTE,0))</f>
        <v>0</v>
      </c>
      <c r="J62" s="1071">
        <f>INDEX(TEMPLATE_DATA_POINT_FHD,B62,MATCH(TEMPLATE_SPHERE,TEMPLATE_SPHERE_LIST_FOR_NOTE,0))</f>
        <v>0</v>
      </c>
      <c r="K62" s="1071">
        <f>INDEX(TEMPLATE_NOTE_POINT_FHD,B62,MATCH(TEMPLATE_SPHERE,TEMPLATE_SPHERE_LIST_FOR_NOTE,0))</f>
        <v>0</v>
      </c>
      <c r="L62" s="910" t="str">
        <f>IF(I62=0,"",I62)</f>
        <v/>
      </c>
      <c r="M62" s="910" t="str">
        <f>IF(J62=0,"",J62)</f>
        <v/>
      </c>
      <c r="N62" s="910" t="str">
        <f>IF(K62=0,"",K62)</f>
        <v/>
      </c>
      <c r="O62" s="1023"/>
      <c r="P62" s="1023" t="s">
        <v>117</v>
      </c>
      <c r="Q62" s="1023"/>
      <c r="R62" s="1023"/>
      <c r="S62" s="1023"/>
      <c r="T62" s="909"/>
      <c r="U62" s="909" t="s">
        <v>2165</v>
      </c>
      <c r="V62" s="909"/>
      <c r="W62" s="909"/>
      <c r="X62" s="909"/>
      <c r="Y62" s="1066"/>
      <c r="Z62" s="912"/>
      <c r="AA62" s="915"/>
      <c r="AB62" s="912"/>
      <c r="AC62" s="912"/>
      <c r="AD62" s="912"/>
    </row>
    <row customHeight="1" ht="18">
      <c r="A63" s="911"/>
      <c r="B63" s="965">
        <v>46</v>
      </c>
      <c r="C63" s="909"/>
      <c r="D63" s="1033" t="s">
        <v>2166</v>
      </c>
      <c r="E63" s="909"/>
      <c r="F63" s="909"/>
      <c r="G63" s="909"/>
      <c r="H63" s="957"/>
      <c r="I63" s="1071">
        <f>INDEX(TEMPLATE_NUMBER_POINT_FHD,B63,MATCH(TEMPLATE_SPHERE,TEMPLATE_SPHERE_LIST_FOR_NOTE,0))</f>
        <v>0</v>
      </c>
      <c r="J63" s="1071">
        <f>INDEX(TEMPLATE_DATA_POINT_FHD,B63,MATCH(TEMPLATE_SPHERE,TEMPLATE_SPHERE_LIST_FOR_NOTE,0))</f>
        <v>0</v>
      </c>
      <c r="K63" s="1071">
        <f>INDEX(TEMPLATE_NOTE_POINT_FHD,B63,MATCH(TEMPLATE_SPHERE,TEMPLATE_SPHERE_LIST_FOR_NOTE,0))</f>
        <v>0</v>
      </c>
      <c r="L63" s="910" t="str">
        <f>IF(I63=0,"",I63)</f>
        <v/>
      </c>
      <c r="M63" s="910" t="str">
        <f>IF(J63=0,"",J63)</f>
        <v/>
      </c>
      <c r="N63" s="910" t="str">
        <f>IF(K63=0,"",K63)</f>
        <v/>
      </c>
      <c r="O63" s="1023"/>
      <c r="P63" s="1023" t="s">
        <v>153</v>
      </c>
      <c r="Q63" s="1023"/>
      <c r="R63" s="1023"/>
      <c r="S63" s="1023"/>
      <c r="T63" s="909"/>
      <c r="U63" s="909" t="s">
        <v>2167</v>
      </c>
      <c r="V63" s="909"/>
      <c r="W63" s="909"/>
      <c r="X63" s="909"/>
      <c r="Y63" s="1066"/>
      <c r="Z63" s="912"/>
      <c r="AA63" s="915"/>
      <c r="AB63" s="912"/>
      <c r="AC63" s="912"/>
      <c r="AD63" s="912"/>
    </row>
    <row customHeight="1" ht="18">
      <c r="A64" s="911"/>
      <c r="B64" s="965">
        <v>47</v>
      </c>
      <c r="C64" s="909"/>
      <c r="D64" s="1033" t="s">
        <v>2168</v>
      </c>
      <c r="E64" s="909"/>
      <c r="F64" s="909"/>
      <c r="G64" s="909"/>
      <c r="H64" s="957"/>
      <c r="I64" s="1071">
        <f>INDEX(TEMPLATE_NUMBER_POINT_FHD,B64,MATCH(TEMPLATE_SPHERE,TEMPLATE_SPHERE_LIST_FOR_NOTE,0))</f>
        <v>0</v>
      </c>
      <c r="J64" s="1071">
        <f>INDEX(TEMPLATE_DATA_POINT_FHD,B64,MATCH(TEMPLATE_SPHERE,TEMPLATE_SPHERE_LIST_FOR_NOTE,0))</f>
        <v>0</v>
      </c>
      <c r="K64" s="1071">
        <f>INDEX(TEMPLATE_NOTE_POINT_FHD,B64,MATCH(TEMPLATE_SPHERE,TEMPLATE_SPHERE_LIST_FOR_NOTE,0))</f>
        <v>0</v>
      </c>
      <c r="L64" s="910" t="str">
        <f>IF(I64=0,"",I64)</f>
        <v/>
      </c>
      <c r="M64" s="910" t="str">
        <f>IF(J64=0,"",J64)</f>
        <v/>
      </c>
      <c r="N64" s="910" t="str">
        <f>IF(K64=0,"",K64)</f>
        <v/>
      </c>
      <c r="O64" s="1023"/>
      <c r="P64" s="1023" t="s">
        <v>154</v>
      </c>
      <c r="Q64" s="1023"/>
      <c r="R64" s="1023"/>
      <c r="S64" s="1023"/>
      <c r="T64" s="909"/>
      <c r="U64" s="909" t="s">
        <v>2169</v>
      </c>
      <c r="V64" s="909"/>
      <c r="W64" s="909"/>
      <c r="X64" s="909"/>
      <c r="Y64" s="1066"/>
      <c r="Z64" s="912"/>
      <c r="AA64" s="915" t="s">
        <v>2170</v>
      </c>
      <c r="AB64" s="912"/>
      <c r="AC64" s="912"/>
      <c r="AD64" s="912"/>
    </row>
    <row customHeight="1" ht="18">
      <c r="A65" s="911"/>
      <c r="B65" s="965">
        <v>48</v>
      </c>
      <c r="C65" s="909"/>
      <c r="D65" s="1033"/>
      <c r="E65" s="909"/>
      <c r="F65" s="909"/>
      <c r="G65" s="909"/>
      <c r="H65" s="957"/>
      <c r="I65" s="1071">
        <f>INDEX(TEMPLATE_NUMBER_POINT_FHD,B65,MATCH(TEMPLATE_SPHERE,TEMPLATE_SPHERE_LIST_FOR_NOTE,0))</f>
        <v>0</v>
      </c>
      <c r="J65" s="1071">
        <f>INDEX(TEMPLATE_DATA_POINT_FHD,B65,MATCH(TEMPLATE_SPHERE,TEMPLATE_SPHERE_LIST_FOR_NOTE,0))</f>
        <v>0</v>
      </c>
      <c r="K65" s="1071">
        <f>INDEX(TEMPLATE_NOTE_POINT_FHD,B65,MATCH(TEMPLATE_SPHERE,TEMPLATE_SPHERE_LIST_FOR_NOTE,0))</f>
        <v>0</v>
      </c>
      <c r="L65" s="910" t="str">
        <f>IF(I65=0,"",I65)</f>
        <v/>
      </c>
      <c r="M65" s="910" t="str">
        <f>IF(J65=0,"",J65)</f>
        <v/>
      </c>
      <c r="N65" s="910" t="str">
        <f>IF(K65=0,"",K65)</f>
        <v/>
      </c>
      <c r="O65" s="1023"/>
      <c r="P65" s="1023" t="s">
        <v>2083</v>
      </c>
      <c r="Q65" s="1023"/>
      <c r="R65" s="1023"/>
      <c r="S65" s="1023"/>
      <c r="T65" s="909"/>
      <c r="U65" s="909" t="s">
        <v>2171</v>
      </c>
      <c r="V65" s="909"/>
      <c r="W65" s="909"/>
      <c r="X65" s="909"/>
      <c r="Y65" s="1066"/>
      <c r="Z65" s="912"/>
      <c r="AA65" s="915"/>
      <c r="AB65" s="912"/>
      <c r="AC65" s="912"/>
      <c r="AD65" s="912"/>
    </row>
    <row customHeight="1" ht="18">
      <c r="A66" s="911"/>
      <c r="B66" s="965">
        <v>49</v>
      </c>
      <c r="C66" s="909"/>
      <c r="D66" s="1033"/>
      <c r="E66" s="909"/>
      <c r="F66" s="909"/>
      <c r="G66" s="909"/>
      <c r="H66" s="957"/>
      <c r="I66" s="1071">
        <f>INDEX(TEMPLATE_NUMBER_POINT_FHD,B66,MATCH(TEMPLATE_SPHERE,TEMPLATE_SPHERE_LIST_FOR_NOTE,0))</f>
        <v>0</v>
      </c>
      <c r="J66" s="1071">
        <f>INDEX(TEMPLATE_DATA_POINT_FHD,B66,MATCH(TEMPLATE_SPHERE,TEMPLATE_SPHERE_LIST_FOR_NOTE,0))</f>
        <v>0</v>
      </c>
      <c r="K66" s="1071">
        <f>INDEX(TEMPLATE_NOTE_POINT_FHD,B66,MATCH(TEMPLATE_SPHERE,TEMPLATE_SPHERE_LIST_FOR_NOTE,0))</f>
        <v>0</v>
      </c>
      <c r="L66" s="910" t="str">
        <f>IF(I66=0,"",I66)</f>
        <v/>
      </c>
      <c r="M66" s="910" t="str">
        <f>IF(J66=0,"",J66)</f>
        <v/>
      </c>
      <c r="N66" s="910" t="str">
        <f>IF(K66=0,"",K66)</f>
        <v/>
      </c>
      <c r="O66" s="1023"/>
      <c r="P66" s="1023" t="s">
        <v>2087</v>
      </c>
      <c r="Q66" s="1023"/>
      <c r="R66" s="1023"/>
      <c r="S66" s="1023"/>
      <c r="T66" s="909"/>
      <c r="U66" s="909" t="s">
        <v>2172</v>
      </c>
      <c r="V66" s="909"/>
      <c r="W66" s="909"/>
      <c r="X66" s="909"/>
      <c r="Y66" s="1066"/>
      <c r="Z66" s="912"/>
      <c r="AA66" s="915"/>
      <c r="AB66" s="912"/>
      <c r="AC66" s="912"/>
      <c r="AD66" s="912"/>
    </row>
    <row customHeight="1" ht="27">
      <c r="A67" s="911"/>
      <c r="B67" s="965">
        <v>50</v>
      </c>
      <c r="C67" s="909"/>
      <c r="D67" s="1033"/>
      <c r="E67" s="909"/>
      <c r="F67" s="909"/>
      <c r="G67" s="909"/>
      <c r="H67" s="957"/>
      <c r="I67" s="1071">
        <f>INDEX(TEMPLATE_NUMBER_POINT_FHD,B67,MATCH(TEMPLATE_SPHERE,TEMPLATE_SPHERE_LIST_FOR_NOTE,0))</f>
        <v>0</v>
      </c>
      <c r="J67" s="1071">
        <f>INDEX(TEMPLATE_DATA_POINT_FHD,B67,MATCH(TEMPLATE_SPHERE,TEMPLATE_SPHERE_LIST_FOR_NOTE,0))</f>
        <v>0</v>
      </c>
      <c r="K67" s="1071">
        <f>INDEX(TEMPLATE_NOTE_POINT_FHD,B67,MATCH(TEMPLATE_SPHERE,TEMPLATE_SPHERE_LIST_FOR_NOTE,0))</f>
        <v>0</v>
      </c>
      <c r="L67" s="910" t="str">
        <f>IF(I67=0,"",I67)</f>
        <v/>
      </c>
      <c r="M67" s="910" t="str">
        <f>IF(J67=0,"",J67)</f>
        <v/>
      </c>
      <c r="N67" s="910" t="str">
        <f>IF(K67=0,"",K67)</f>
        <v/>
      </c>
      <c r="O67" s="1023"/>
      <c r="P67" s="1023" t="s">
        <v>2173</v>
      </c>
      <c r="Q67" s="1023"/>
      <c r="R67" s="1023"/>
      <c r="S67" s="1023"/>
      <c r="T67" s="909"/>
      <c r="U67" s="909" t="s">
        <v>2174</v>
      </c>
      <c r="V67" s="909"/>
      <c r="W67" s="909"/>
      <c r="X67" s="909"/>
      <c r="Y67" s="1066"/>
      <c r="Z67" s="912"/>
      <c r="AA67" s="915"/>
      <c r="AB67" s="912"/>
      <c r="AC67" s="912"/>
      <c r="AD67" s="912"/>
    </row>
    <row customHeight="1" ht="27">
      <c r="A68" s="911"/>
      <c r="B68" s="965">
        <v>51</v>
      </c>
      <c r="C68" s="909"/>
      <c r="D68" s="1033"/>
      <c r="E68" s="909"/>
      <c r="F68" s="909"/>
      <c r="G68" s="909"/>
      <c r="H68" s="957"/>
      <c r="I68" s="1071">
        <f>INDEX(TEMPLATE_NUMBER_POINT_FHD,B68,MATCH(TEMPLATE_SPHERE,TEMPLATE_SPHERE_LIST_FOR_NOTE,0))</f>
        <v>0</v>
      </c>
      <c r="J68" s="1071">
        <f>INDEX(TEMPLATE_DATA_POINT_FHD,B68,MATCH(TEMPLATE_SPHERE,TEMPLATE_SPHERE_LIST_FOR_NOTE,0))</f>
        <v>0</v>
      </c>
      <c r="K68" s="1071">
        <f>INDEX(TEMPLATE_NOTE_POINT_FHD,B68,MATCH(TEMPLATE_SPHERE,TEMPLATE_SPHERE_LIST_FOR_NOTE,0))</f>
        <v>0</v>
      </c>
      <c r="L68" s="910" t="str">
        <f>IF(I68=0,"",I68)</f>
        <v/>
      </c>
      <c r="M68" s="910" t="str">
        <f>IF(J68=0,"",J68)</f>
        <v/>
      </c>
      <c r="N68" s="910" t="str">
        <f>IF(K68=0,"",K68)</f>
        <v/>
      </c>
      <c r="O68" s="1023"/>
      <c r="P68" s="1023" t="s">
        <v>2175</v>
      </c>
      <c r="Q68" s="1023"/>
      <c r="R68" s="1023"/>
      <c r="S68" s="1023"/>
      <c r="T68" s="909"/>
      <c r="U68" s="909" t="s">
        <v>2176</v>
      </c>
      <c r="V68" s="909"/>
      <c r="W68" s="909"/>
      <c r="X68" s="909"/>
      <c r="Y68" s="1066"/>
      <c r="Z68" s="912"/>
      <c r="AA68" s="915"/>
      <c r="AB68" s="912"/>
      <c r="AC68" s="912"/>
      <c r="AD68" s="912"/>
    </row>
    <row customHeight="1" ht="9">
      <c r="A69" s="911"/>
      <c r="B69" s="965">
        <v>52</v>
      </c>
      <c r="C69" s="909"/>
      <c r="D69" s="1033" t="s">
        <v>2177</v>
      </c>
      <c r="E69" s="909"/>
      <c r="F69" s="909"/>
      <c r="G69" s="909"/>
      <c r="H69" s="957"/>
      <c r="I69" s="1071">
        <f>INDEX(TEMPLATE_NUMBER_POINT_FHD,B69,MATCH(TEMPLATE_SPHERE,TEMPLATE_SPHERE_LIST_FOR_NOTE,0))</f>
        <v>0</v>
      </c>
      <c r="J69" s="1071">
        <f>INDEX(TEMPLATE_DATA_POINT_FHD,B69,MATCH(TEMPLATE_SPHERE,TEMPLATE_SPHERE_LIST_FOR_NOTE,0))</f>
        <v>0</v>
      </c>
      <c r="K69" s="1071">
        <f>INDEX(TEMPLATE_NOTE_POINT_FHD,B69,MATCH(TEMPLATE_SPHERE,TEMPLATE_SPHERE_LIST_FOR_NOTE,0))</f>
        <v>0</v>
      </c>
      <c r="L69" s="910" t="str">
        <f>IF(I69=0,"",I69)</f>
        <v/>
      </c>
      <c r="M69" s="910" t="str">
        <f>IF(J69=0,"",J69)</f>
        <v/>
      </c>
      <c r="N69" s="910" t="str">
        <f>IF(K69=0,"",K69)</f>
        <v/>
      </c>
      <c r="O69" s="1023"/>
      <c r="P69" s="1023" t="s">
        <v>104</v>
      </c>
      <c r="Q69" s="1023"/>
      <c r="R69" s="1023"/>
      <c r="S69" s="1023"/>
      <c r="T69" s="909"/>
      <c r="U69" s="909" t="s">
        <v>2178</v>
      </c>
      <c r="V69" s="909"/>
      <c r="W69" s="909"/>
      <c r="X69" s="909"/>
      <c r="Y69" s="1066"/>
      <c r="Z69" s="912"/>
      <c r="AA69" s="915"/>
      <c r="AB69" s="912"/>
      <c r="AC69" s="912"/>
      <c r="AD69" s="912"/>
    </row>
    <row customHeight="1" ht="27">
      <c r="A70" s="911"/>
      <c r="B70" s="965">
        <v>53</v>
      </c>
      <c r="C70" s="909"/>
      <c r="D70" s="1033"/>
      <c r="E70" s="909" t="s">
        <v>2162</v>
      </c>
      <c r="F70" s="909"/>
      <c r="G70" s="909"/>
      <c r="H70" s="957"/>
      <c r="I70" s="1071">
        <f>INDEX(TEMPLATE_NUMBER_POINT_FHD,B70,MATCH(TEMPLATE_SPHERE,TEMPLATE_SPHERE_LIST_FOR_NOTE,0))</f>
        <v>0</v>
      </c>
      <c r="J70" s="1071">
        <f>INDEX(TEMPLATE_DATA_POINT_FHD,B70,MATCH(TEMPLATE_SPHERE,TEMPLATE_SPHERE_LIST_FOR_NOTE,0))</f>
        <v>0</v>
      </c>
      <c r="K70" s="1071">
        <f>INDEX(TEMPLATE_NOTE_POINT_FHD,B70,MATCH(TEMPLATE_SPHERE,TEMPLATE_SPHERE_LIST_FOR_NOTE,0))</f>
        <v>0</v>
      </c>
      <c r="L70" s="910" t="str">
        <f>IF(I70=0,"",I70)</f>
        <v/>
      </c>
      <c r="M70" s="910" t="str">
        <f>IF(J70=0,"",J70)</f>
        <v/>
      </c>
      <c r="N70" s="910" t="str">
        <f>IF(K70=0,"",K70)</f>
        <v/>
      </c>
      <c r="O70" s="1023"/>
      <c r="P70" s="1023"/>
      <c r="Q70" s="1023" t="s">
        <v>98</v>
      </c>
      <c r="R70" s="1023"/>
      <c r="S70" s="1023"/>
      <c r="T70" s="909"/>
      <c r="U70" s="909"/>
      <c r="V70" s="909" t="s">
        <v>2179</v>
      </c>
      <c r="W70" s="909"/>
      <c r="X70" s="909"/>
      <c r="Y70" s="1066"/>
      <c r="Z70" s="912"/>
      <c r="AA70" s="915"/>
      <c r="AB70" s="912"/>
      <c r="AC70" s="912"/>
      <c r="AD70" s="912"/>
    </row>
    <row customHeight="1" ht="36">
      <c r="A71" s="911"/>
      <c r="B71" s="965">
        <v>54</v>
      </c>
      <c r="C71" s="909"/>
      <c r="D71" s="1033"/>
      <c r="E71" s="909" t="s">
        <v>2164</v>
      </c>
      <c r="F71" s="909"/>
      <c r="G71" s="909"/>
      <c r="H71" s="957"/>
      <c r="I71" s="1071">
        <f>INDEX(TEMPLATE_NUMBER_POINT_FHD,B71,MATCH(TEMPLATE_SPHERE,TEMPLATE_SPHERE_LIST_FOR_NOTE,0))</f>
        <v>0</v>
      </c>
      <c r="J71" s="1071">
        <f>INDEX(TEMPLATE_DATA_POINT_FHD,B71,MATCH(TEMPLATE_SPHERE,TEMPLATE_SPHERE_LIST_FOR_NOTE,0))</f>
        <v>0</v>
      </c>
      <c r="K71" s="1071">
        <f>INDEX(TEMPLATE_NOTE_POINT_FHD,B71,MATCH(TEMPLATE_SPHERE,TEMPLATE_SPHERE_LIST_FOR_NOTE,0))</f>
        <v>0</v>
      </c>
      <c r="L71" s="910" t="str">
        <f>IF(I71=0,"",I71)</f>
        <v/>
      </c>
      <c r="M71" s="910" t="str">
        <f>IF(J71=0,"",J71)</f>
        <v/>
      </c>
      <c r="N71" s="910" t="str">
        <f>IF(K71=0,"",K71)</f>
        <v/>
      </c>
      <c r="O71" s="1023"/>
      <c r="P71" s="1023"/>
      <c r="Q71" s="1023" t="s">
        <v>117</v>
      </c>
      <c r="R71" s="1023"/>
      <c r="S71" s="1023"/>
      <c r="T71" s="909"/>
      <c r="U71" s="909"/>
      <c r="V71" s="909" t="s">
        <v>2180</v>
      </c>
      <c r="W71" s="909"/>
      <c r="X71" s="909"/>
      <c r="Y71" s="1066"/>
      <c r="Z71" s="912"/>
      <c r="AA71" s="915"/>
      <c r="AB71" s="912"/>
      <c r="AC71" s="912"/>
      <c r="AD71" s="912"/>
    </row>
    <row customHeight="1" ht="27">
      <c r="A72" s="911"/>
      <c r="B72" s="965">
        <v>55</v>
      </c>
      <c r="C72" s="909"/>
      <c r="D72" s="1033"/>
      <c r="E72" s="909" t="s">
        <v>2166</v>
      </c>
      <c r="F72" s="909"/>
      <c r="G72" s="909"/>
      <c r="H72" s="957"/>
      <c r="I72" s="1071">
        <f>INDEX(TEMPLATE_NUMBER_POINT_FHD,B72,MATCH(TEMPLATE_SPHERE,TEMPLATE_SPHERE_LIST_FOR_NOTE,0))</f>
        <v>0</v>
      </c>
      <c r="J72" s="1071">
        <f>INDEX(TEMPLATE_DATA_POINT_FHD,B72,MATCH(TEMPLATE_SPHERE,TEMPLATE_SPHERE_LIST_FOR_NOTE,0))</f>
        <v>0</v>
      </c>
      <c r="K72" s="1071">
        <f>INDEX(TEMPLATE_NOTE_POINT_FHD,B72,MATCH(TEMPLATE_SPHERE,TEMPLATE_SPHERE_LIST_FOR_NOTE,0))</f>
        <v>0</v>
      </c>
      <c r="L72" s="910" t="str">
        <f>IF(I72=0,"",I72)</f>
        <v/>
      </c>
      <c r="M72" s="910" t="str">
        <f>IF(J72=0,"",J72)</f>
        <v/>
      </c>
      <c r="N72" s="910" t="str">
        <f>IF(K72=0,"",K72)</f>
        <v/>
      </c>
      <c r="O72" s="1023"/>
      <c r="P72" s="1023"/>
      <c r="Q72" s="1023" t="s">
        <v>153</v>
      </c>
      <c r="R72" s="1023"/>
      <c r="S72" s="1023"/>
      <c r="T72" s="909"/>
      <c r="U72" s="909"/>
      <c r="V72" s="909" t="s">
        <v>2181</v>
      </c>
      <c r="W72" s="909"/>
      <c r="X72" s="909"/>
      <c r="Y72" s="1066"/>
      <c r="Z72" s="912"/>
      <c r="AA72" s="915"/>
      <c r="AB72" s="912"/>
      <c r="AC72" s="912"/>
      <c r="AD72" s="912"/>
    </row>
    <row customHeight="1" ht="36">
      <c r="A73" s="911"/>
      <c r="B73" s="965">
        <v>56</v>
      </c>
      <c r="C73" s="909"/>
      <c r="D73" s="1033"/>
      <c r="E73" s="909" t="s">
        <v>2168</v>
      </c>
      <c r="F73" s="909"/>
      <c r="G73" s="909"/>
      <c r="H73" s="957"/>
      <c r="I73" s="1071">
        <f>INDEX(TEMPLATE_NUMBER_POINT_FHD,B73,MATCH(TEMPLATE_SPHERE,TEMPLATE_SPHERE_LIST_FOR_NOTE,0))</f>
        <v>0</v>
      </c>
      <c r="J73" s="1071">
        <f>INDEX(TEMPLATE_DATA_POINT_FHD,B73,MATCH(TEMPLATE_SPHERE,TEMPLATE_SPHERE_LIST_FOR_NOTE,0))</f>
        <v>0</v>
      </c>
      <c r="K73" s="1071">
        <f>INDEX(TEMPLATE_NOTE_POINT_FHD,B73,MATCH(TEMPLATE_SPHERE,TEMPLATE_SPHERE_LIST_FOR_NOTE,0))</f>
        <v>0</v>
      </c>
      <c r="L73" s="910" t="str">
        <f>IF(I73=0,"",I73)</f>
        <v/>
      </c>
      <c r="M73" s="910" t="str">
        <f>IF(J73=0,"",J73)</f>
        <v/>
      </c>
      <c r="N73" s="910" t="str">
        <f>IF(K73=0,"",K73)</f>
        <v/>
      </c>
      <c r="O73" s="1023"/>
      <c r="P73" s="1023"/>
      <c r="Q73" s="1023" t="s">
        <v>154</v>
      </c>
      <c r="R73" s="1023"/>
      <c r="S73" s="1023"/>
      <c r="T73" s="909"/>
      <c r="U73" s="909"/>
      <c r="V73" s="909" t="s">
        <v>2182</v>
      </c>
      <c r="W73" s="909"/>
      <c r="X73" s="909"/>
      <c r="Y73" s="1066"/>
      <c r="Z73" s="912"/>
      <c r="AA73" s="915"/>
      <c r="AB73" s="912"/>
      <c r="AC73" s="912"/>
      <c r="AD73" s="912"/>
    </row>
    <row customHeight="1" ht="18">
      <c r="A74" s="911"/>
      <c r="B74" s="965">
        <v>57</v>
      </c>
      <c r="C74" s="909"/>
      <c r="D74" s="1033"/>
      <c r="E74" s="909" t="s">
        <v>2177</v>
      </c>
      <c r="F74" s="909"/>
      <c r="G74" s="909"/>
      <c r="H74" s="957"/>
      <c r="I74" s="1071">
        <f>INDEX(TEMPLATE_NUMBER_POINT_FHD,B74,MATCH(TEMPLATE_SPHERE,TEMPLATE_SPHERE_LIST_FOR_NOTE,0))</f>
        <v>0</v>
      </c>
      <c r="J74" s="1071">
        <f>INDEX(TEMPLATE_DATA_POINT_FHD,B74,MATCH(TEMPLATE_SPHERE,TEMPLATE_SPHERE_LIST_FOR_NOTE,0))</f>
        <v>0</v>
      </c>
      <c r="K74" s="1071">
        <f>INDEX(TEMPLATE_NOTE_POINT_FHD,B74,MATCH(TEMPLATE_SPHERE,TEMPLATE_SPHERE_LIST_FOR_NOTE,0))</f>
        <v>0</v>
      </c>
      <c r="L74" s="910" t="str">
        <f>IF(I74=0,"",I74)</f>
        <v/>
      </c>
      <c r="M74" s="910" t="str">
        <f>IF(J74=0,"",J74)</f>
        <v/>
      </c>
      <c r="N74" s="910" t="str">
        <f>IF(K74=0,"",K74)</f>
        <v/>
      </c>
      <c r="O74" s="1023"/>
      <c r="P74" s="1023"/>
      <c r="Q74" s="1023" t="s">
        <v>104</v>
      </c>
      <c r="R74" s="1023"/>
      <c r="S74" s="1023"/>
      <c r="T74" s="909"/>
      <c r="U74" s="909"/>
      <c r="V74" s="909" t="s">
        <v>2183</v>
      </c>
      <c r="W74" s="909"/>
      <c r="X74" s="909"/>
      <c r="Y74" s="1066"/>
      <c r="Z74" s="912"/>
      <c r="AA74" s="915"/>
      <c r="AB74" s="912"/>
      <c r="AC74" s="912"/>
      <c r="AD74" s="912"/>
    </row>
    <row customHeight="1" ht="18">
      <c r="A75" s="911"/>
      <c r="B75" s="965">
        <v>58</v>
      </c>
      <c r="C75" s="909"/>
      <c r="D75" s="1033"/>
      <c r="E75" s="909"/>
      <c r="F75" s="909" t="s">
        <v>2162</v>
      </c>
      <c r="G75" s="909"/>
      <c r="H75" s="957"/>
      <c r="I75" s="1071">
        <f>INDEX(TEMPLATE_NUMBER_POINT_FHD,B75,MATCH(TEMPLATE_SPHERE,TEMPLATE_SPHERE_LIST_FOR_NOTE,0))</f>
        <v>0</v>
      </c>
      <c r="J75" s="1071">
        <f>INDEX(TEMPLATE_DATA_POINT_FHD,B75,MATCH(TEMPLATE_SPHERE,TEMPLATE_SPHERE_LIST_FOR_NOTE,0))</f>
        <v>0</v>
      </c>
      <c r="K75" s="1071">
        <f>INDEX(TEMPLATE_NOTE_POINT_FHD,B75,MATCH(TEMPLATE_SPHERE,TEMPLATE_SPHERE_LIST_FOR_NOTE,0))</f>
        <v>0</v>
      </c>
      <c r="L75" s="910" t="str">
        <f>IF(I75=0,"",I75)</f>
        <v/>
      </c>
      <c r="M75" s="910" t="str">
        <f>IF(J75=0,"",J75)</f>
        <v/>
      </c>
      <c r="N75" s="910" t="str">
        <f>IF(K75=0,"",K75)</f>
        <v/>
      </c>
      <c r="O75" s="1023"/>
      <c r="P75" s="1023"/>
      <c r="Q75" s="1023"/>
      <c r="R75" s="1023" t="s">
        <v>98</v>
      </c>
      <c r="S75" s="1023"/>
      <c r="T75" s="909"/>
      <c r="U75" s="909"/>
      <c r="V75" s="909"/>
      <c r="W75" s="909" t="s">
        <v>2184</v>
      </c>
      <c r="X75" s="909"/>
      <c r="Y75" s="1066"/>
      <c r="Z75" s="912"/>
      <c r="AA75" s="915"/>
      <c r="AB75" s="912"/>
      <c r="AC75" s="912"/>
      <c r="AD75" s="912"/>
    </row>
    <row customHeight="1" ht="36">
      <c r="A76" s="911"/>
      <c r="B76" s="965">
        <v>59</v>
      </c>
      <c r="C76" s="909"/>
      <c r="D76" s="1033"/>
      <c r="E76" s="909"/>
      <c r="F76" s="909" t="s">
        <v>2164</v>
      </c>
      <c r="G76" s="909"/>
      <c r="H76" s="957"/>
      <c r="I76" s="1071">
        <f>INDEX(TEMPLATE_NUMBER_POINT_FHD,B76,MATCH(TEMPLATE_SPHERE,TEMPLATE_SPHERE_LIST_FOR_NOTE,0))</f>
        <v>0</v>
      </c>
      <c r="J76" s="1071">
        <f>INDEX(TEMPLATE_DATA_POINT_FHD,B76,MATCH(TEMPLATE_SPHERE,TEMPLATE_SPHERE_LIST_FOR_NOTE,0))</f>
        <v>0</v>
      </c>
      <c r="K76" s="1071">
        <f>INDEX(TEMPLATE_NOTE_POINT_FHD,B76,MATCH(TEMPLATE_SPHERE,TEMPLATE_SPHERE_LIST_FOR_NOTE,0))</f>
        <v>0</v>
      </c>
      <c r="L76" s="910" t="str">
        <f>IF(I76=0,"",I76)</f>
        <v/>
      </c>
      <c r="M76" s="910" t="str">
        <f>IF(J76=0,"",J76)</f>
        <v/>
      </c>
      <c r="N76" s="910" t="str">
        <f>IF(K76=0,"",K76)</f>
        <v/>
      </c>
      <c r="O76" s="1023"/>
      <c r="P76" s="1023"/>
      <c r="Q76" s="1023"/>
      <c r="R76" s="1023" t="s">
        <v>117</v>
      </c>
      <c r="S76" s="1023"/>
      <c r="T76" s="909"/>
      <c r="U76" s="909"/>
      <c r="V76" s="909"/>
      <c r="W76" s="909" t="s">
        <v>2185</v>
      </c>
      <c r="X76" s="909"/>
      <c r="Y76" s="1066"/>
      <c r="Z76" s="912"/>
      <c r="AA76" s="915"/>
      <c r="AB76" s="912"/>
      <c r="AC76" s="912"/>
      <c r="AD76" s="912"/>
    </row>
    <row customHeight="1" ht="18">
      <c r="A77" s="911"/>
      <c r="B77" s="965">
        <v>60</v>
      </c>
      <c r="C77" s="909"/>
      <c r="D77" s="1033"/>
      <c r="E77" s="909"/>
      <c r="F77" s="909" t="s">
        <v>2166</v>
      </c>
      <c r="G77" s="909"/>
      <c r="H77" s="957"/>
      <c r="I77" s="1071">
        <f>INDEX(TEMPLATE_NUMBER_POINT_FHD,B77,MATCH(TEMPLATE_SPHERE,TEMPLATE_SPHERE_LIST_FOR_NOTE,0))</f>
        <v>0</v>
      </c>
      <c r="J77" s="1071">
        <f>INDEX(TEMPLATE_DATA_POINT_FHD,B77,MATCH(TEMPLATE_SPHERE,TEMPLATE_SPHERE_LIST_FOR_NOTE,0))</f>
        <v>0</v>
      </c>
      <c r="K77" s="1071">
        <f>INDEX(TEMPLATE_NOTE_POINT_FHD,B77,MATCH(TEMPLATE_SPHERE,TEMPLATE_SPHERE_LIST_FOR_NOTE,0))</f>
        <v>0</v>
      </c>
      <c r="L77" s="910" t="str">
        <f>IF(I77=0,"",I77)</f>
        <v/>
      </c>
      <c r="M77" s="910" t="str">
        <f>IF(J77=0,"",J77)</f>
        <v/>
      </c>
      <c r="N77" s="910" t="str">
        <f>IF(K77=0,"",K77)</f>
        <v/>
      </c>
      <c r="O77" s="1023"/>
      <c r="P77" s="1023"/>
      <c r="Q77" s="1023"/>
      <c r="R77" s="1023" t="s">
        <v>153</v>
      </c>
      <c r="S77" s="1023"/>
      <c r="T77" s="909"/>
      <c r="U77" s="909"/>
      <c r="V77" s="909"/>
      <c r="W77" s="909" t="s">
        <v>2186</v>
      </c>
      <c r="X77" s="909"/>
      <c r="Y77" s="1066"/>
      <c r="Z77" s="912"/>
      <c r="AA77" s="915"/>
      <c r="AB77" s="912"/>
      <c r="AC77" s="912"/>
      <c r="AD77" s="912"/>
    </row>
    <row customHeight="1" ht="72">
      <c r="A78" s="911"/>
      <c r="B78" s="965">
        <v>61</v>
      </c>
      <c r="C78" s="909" t="s">
        <v>2162</v>
      </c>
      <c r="D78" s="1033"/>
      <c r="E78" s="909"/>
      <c r="F78" s="909"/>
      <c r="G78" s="909"/>
      <c r="H78" s="957"/>
      <c r="I78" s="1071" t="str">
        <f>INDEX(TEMPLATE_NUMBER_POINT_FHD,B78,MATCH(TEMPLATE_SPHERE,TEMPLATE_SPHERE_LIST_FOR_NOTE,0))</f>
        <v>7</v>
      </c>
      <c r="J78" s="107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0" t="str">
        <f>IF(I78=0,"",I78)</f>
        <v>7</v>
      </c>
      <c r="M78" s="91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3" t="s">
        <v>98</v>
      </c>
      <c r="P78" s="1023"/>
      <c r="Q78" s="1023"/>
      <c r="R78" s="1023"/>
      <c r="S78" s="1023"/>
      <c r="T78" s="909" t="s">
        <v>643</v>
      </c>
      <c r="U78" s="909"/>
      <c r="V78" s="909"/>
      <c r="W78" s="909"/>
      <c r="X78" s="909"/>
      <c r="Y78" s="1066"/>
      <c r="Z78" s="912" t="s">
        <v>2187</v>
      </c>
      <c r="AA78" s="915"/>
      <c r="AB78" s="912"/>
      <c r="AC78" s="912"/>
      <c r="AD78" s="912"/>
    </row>
    <row customHeight="1" ht="36">
      <c r="A79" s="911"/>
      <c r="B79" s="965">
        <v>62</v>
      </c>
      <c r="C79" s="909" t="s">
        <v>2164</v>
      </c>
      <c r="D79" s="1033"/>
      <c r="E79" s="909"/>
      <c r="F79" s="909"/>
      <c r="G79" s="909"/>
      <c r="H79" s="957"/>
      <c r="I79" s="1071" t="str">
        <f>INDEX(TEMPLATE_NUMBER_POINT_FHD,B79,MATCH(TEMPLATE_SPHERE,TEMPLATE_SPHERE_LIST_FOR_NOTE,0))</f>
        <v>8</v>
      </c>
      <c r="J79" s="107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0" t="str">
        <f>IF(I79=0,"",I79)</f>
        <v>8</v>
      </c>
      <c r="M79" s="910" t="str">
        <f>IF(J79=0,"",J79)</f>
        <v>Тепловая нагрузка по договорам, заключенным в рамках осуществления регулируемых видов деятельности</v>
      </c>
      <c r="N79" s="91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3" t="s">
        <v>117</v>
      </c>
      <c r="P79" s="1023"/>
      <c r="Q79" s="1023"/>
      <c r="R79" s="1023"/>
      <c r="S79" s="1023"/>
      <c r="T79" s="909" t="s">
        <v>2188</v>
      </c>
      <c r="U79" s="909"/>
      <c r="V79" s="909"/>
      <c r="W79" s="909"/>
      <c r="X79" s="909"/>
      <c r="Y79" s="1066"/>
      <c r="Z79" s="912" t="s">
        <v>2189</v>
      </c>
      <c r="AA79" s="915"/>
      <c r="AB79" s="912"/>
      <c r="AC79" s="912"/>
      <c r="AD79" s="912"/>
    </row>
    <row customHeight="1" ht="45">
      <c r="A80" s="911"/>
      <c r="B80" s="965">
        <v>63</v>
      </c>
      <c r="C80" s="909" t="s">
        <v>2166</v>
      </c>
      <c r="D80" s="1033"/>
      <c r="E80" s="909"/>
      <c r="F80" s="909"/>
      <c r="G80" s="909"/>
      <c r="H80" s="957"/>
      <c r="I80" s="1071" t="str">
        <f>INDEX(TEMPLATE_NUMBER_POINT_FHD,B80,MATCH(TEMPLATE_SPHERE,TEMPLATE_SPHERE_LIST_FOR_NOTE,0))</f>
        <v>9</v>
      </c>
      <c r="J80" s="107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0" t="str">
        <f>IF(I80=0,"",I80)</f>
        <v>9</v>
      </c>
      <c r="M80" s="910" t="str">
        <f>IF(J80=0,"",J80)</f>
        <v>Объем вырабатываемой регулируемой организацией тепловой энергии в рамках осуществления регулируемых видов деятельности</v>
      </c>
      <c r="N80" s="91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3" t="s">
        <v>153</v>
      </c>
      <c r="P80" s="1023"/>
      <c r="Q80" s="1023"/>
      <c r="R80" s="1023"/>
      <c r="S80" s="1023"/>
      <c r="T80" s="909" t="s">
        <v>2190</v>
      </c>
      <c r="U80" s="909"/>
      <c r="V80" s="909"/>
      <c r="W80" s="909"/>
      <c r="X80" s="909"/>
      <c r="Y80" s="1066"/>
      <c r="Z80" s="912" t="s">
        <v>2191</v>
      </c>
      <c r="AA80" s="915"/>
      <c r="AB80" s="912"/>
      <c r="AC80" s="912"/>
      <c r="AD80" s="912"/>
    </row>
    <row customHeight="1" ht="36">
      <c r="A81" s="911"/>
      <c r="B81" s="965">
        <v>64</v>
      </c>
      <c r="C81" s="909" t="s">
        <v>2168</v>
      </c>
      <c r="D81" s="1033"/>
      <c r="E81" s="909"/>
      <c r="F81" s="909"/>
      <c r="G81" s="909"/>
      <c r="H81" s="957"/>
      <c r="I81" s="1071" t="str">
        <f>INDEX(TEMPLATE_NUMBER_POINT_FHD,B81,MATCH(TEMPLATE_SPHERE,TEMPLATE_SPHERE_LIST_FOR_NOTE,0))</f>
        <v>9.1</v>
      </c>
      <c r="J81" s="107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1" t="str">
        <f>INDEX(TEMPLATE_NOTE_POINT_FHD,B81,MATCH(TEMPLATE_SPHERE,TEMPLATE_SPHERE_LIST_FOR_NOTE,0))</f>
        <v>Информация указывается только едиными теплоснабжающими организациями.</v>
      </c>
      <c r="L81" s="910" t="str">
        <f>IF(I81=0,"",I81)</f>
        <v>9.1</v>
      </c>
      <c r="M81" s="910" t="str">
        <f>IF(J81=0,"",J81)</f>
        <v>Объем приобретаемой регулируемой организацией тепловой энергии в рамках осуществления регулируемых видов деятельности</v>
      </c>
      <c r="N81" s="910" t="str">
        <f>IF(K81=0,"",K81)</f>
        <v>Информация указывается только едиными теплоснабжающими организациями.</v>
      </c>
      <c r="O81" s="1023" t="s">
        <v>2074</v>
      </c>
      <c r="P81" s="1023"/>
      <c r="Q81" s="1023"/>
      <c r="R81" s="1023"/>
      <c r="S81" s="1023"/>
      <c r="T81" s="909" t="s">
        <v>2192</v>
      </c>
      <c r="U81" s="909"/>
      <c r="V81" s="909"/>
      <c r="W81" s="909"/>
      <c r="X81" s="909"/>
      <c r="Y81" s="1066"/>
      <c r="Z81" s="912" t="s">
        <v>2193</v>
      </c>
      <c r="AA81" s="915"/>
      <c r="AB81" s="912"/>
      <c r="AC81" s="912"/>
      <c r="AD81" s="912"/>
    </row>
    <row customHeight="1" ht="90">
      <c r="A82" s="911"/>
      <c r="B82" s="965">
        <v>65</v>
      </c>
      <c r="C82" s="909" t="s">
        <v>2177</v>
      </c>
      <c r="D82" s="1033"/>
      <c r="E82" s="909"/>
      <c r="F82" s="909"/>
      <c r="G82" s="909"/>
      <c r="H82" s="957"/>
      <c r="I82" s="1071" t="str">
        <f>INDEX(TEMPLATE_NUMBER_POINT_FHD,B82,MATCH(TEMPLATE_SPHERE,TEMPLATE_SPHERE_LIST_FOR_NOTE,0))</f>
        <v>10</v>
      </c>
      <c r="J82" s="107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0" t="str">
        <f>IF(I82=0,"",I82)</f>
        <v>10</v>
      </c>
      <c r="M82" s="91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3" t="s">
        <v>154</v>
      </c>
      <c r="P82" s="1023"/>
      <c r="Q82" s="1023"/>
      <c r="R82" s="1023"/>
      <c r="S82" s="1023"/>
      <c r="T82" s="909" t="s">
        <v>2194</v>
      </c>
      <c r="U82" s="909"/>
      <c r="V82" s="909"/>
      <c r="W82" s="909"/>
      <c r="X82" s="909"/>
      <c r="Y82" s="1066"/>
      <c r="Z82" s="912" t="s">
        <v>2195</v>
      </c>
      <c r="AA82" s="915"/>
      <c r="AB82" s="912"/>
      <c r="AC82" s="912"/>
      <c r="AD82" s="912"/>
    </row>
    <row customHeight="1" ht="9">
      <c r="A83" s="911"/>
      <c r="B83" s="965">
        <v>66</v>
      </c>
      <c r="C83" s="909"/>
      <c r="D83" s="1033"/>
      <c r="E83" s="909"/>
      <c r="F83" s="909"/>
      <c r="G83" s="909"/>
      <c r="H83" s="957"/>
      <c r="I83" s="1071" t="str">
        <f>INDEX(TEMPLATE_NUMBER_POINT_FHD,B83,MATCH(TEMPLATE_SPHERE,TEMPLATE_SPHERE_LIST_FOR_NOTE,0))</f>
        <v>10.1</v>
      </c>
      <c r="J83" s="1071" t="str">
        <f>INDEX(TEMPLATE_DATA_POINT_FHD,B83,MATCH(TEMPLATE_SPHERE,TEMPLATE_SPHERE_LIST_FOR_NOTE,0))</f>
        <v>По приборам учёта </v>
      </c>
      <c r="K83" s="1071">
        <f>INDEX(TEMPLATE_NOTE_POINT_FHD,B83,MATCH(TEMPLATE_SPHERE,TEMPLATE_SPHERE_LIST_FOR_NOTE,0))</f>
        <v>0</v>
      </c>
      <c r="L83" s="910" t="str">
        <f>IF(I83=0,"",I83)</f>
        <v>10.1</v>
      </c>
      <c r="M83" s="910" t="str">
        <f>IF(J83=0,"",J83)</f>
        <v>По приборам учёта </v>
      </c>
      <c r="N83" s="910" t="str">
        <f>IF(K83=0,"",K83)</f>
        <v/>
      </c>
      <c r="O83" s="1023" t="s">
        <v>2083</v>
      </c>
      <c r="P83" s="1023"/>
      <c r="Q83" s="1023"/>
      <c r="R83" s="1023"/>
      <c r="S83" s="1023"/>
      <c r="T83" s="909" t="s">
        <v>2196</v>
      </c>
      <c r="U83" s="909"/>
      <c r="V83" s="909"/>
      <c r="W83" s="909"/>
      <c r="X83" s="909"/>
      <c r="Y83" s="1066"/>
      <c r="Z83" s="912"/>
      <c r="AA83" s="915"/>
      <c r="AB83" s="912"/>
      <c r="AC83" s="912"/>
      <c r="AD83" s="912"/>
    </row>
    <row customHeight="1" ht="54">
      <c r="A84" s="911"/>
      <c r="B84" s="965">
        <v>67</v>
      </c>
      <c r="C84" s="909"/>
      <c r="D84" s="1033"/>
      <c r="E84" s="909"/>
      <c r="F84" s="909"/>
      <c r="G84" s="909"/>
      <c r="H84" s="957"/>
      <c r="I84" s="1071" t="str">
        <f>INDEX(TEMPLATE_NUMBER_POINT_FHD,B84,MATCH(TEMPLATE_SPHERE,TEMPLATE_SPHERE_LIST_FOR_NOTE,0))</f>
        <v>10.1.1</v>
      </c>
      <c r="J84" s="107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1">
        <f>INDEX(TEMPLATE_NOTE_POINT_FHD,B84,MATCH(TEMPLATE_SPHERE,TEMPLATE_SPHERE_LIST_FOR_NOTE,0))</f>
        <v>0</v>
      </c>
      <c r="L84" s="910" t="str">
        <f>IF(I84=0,"",I84)</f>
        <v>10.1.1</v>
      </c>
      <c r="M84" s="91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0" t="str">
        <f>IF(K84=0,"",K84)</f>
        <v/>
      </c>
      <c r="O84" s="1023" t="s">
        <v>2197</v>
      </c>
      <c r="P84" s="1023"/>
      <c r="Q84" s="1023"/>
      <c r="R84" s="1023"/>
      <c r="S84" s="1023"/>
      <c r="T84" s="909" t="s">
        <v>2198</v>
      </c>
      <c r="U84" s="909"/>
      <c r="V84" s="909"/>
      <c r="W84" s="909"/>
      <c r="X84" s="909"/>
      <c r="Y84" s="1066"/>
      <c r="Z84" s="912"/>
      <c r="AA84" s="915"/>
      <c r="AB84" s="912"/>
      <c r="AC84" s="912"/>
      <c r="AD84" s="912"/>
    </row>
    <row customHeight="1" ht="9">
      <c r="A85" s="911"/>
      <c r="B85" s="965">
        <v>68</v>
      </c>
      <c r="C85" s="909"/>
      <c r="D85" s="1033"/>
      <c r="E85" s="909"/>
      <c r="F85" s="909"/>
      <c r="G85" s="909"/>
      <c r="H85" s="957"/>
      <c r="I85" s="1071" t="str">
        <f>INDEX(TEMPLATE_NUMBER_POINT_FHD,B85,MATCH(TEMPLATE_SPHERE,TEMPLATE_SPHERE_LIST_FOR_NOTE,0))</f>
        <v>10.2</v>
      </c>
      <c r="J85" s="1071" t="str">
        <f>INDEX(TEMPLATE_DATA_POINT_FHD,B85,MATCH(TEMPLATE_SPHERE,TEMPLATE_SPHERE_LIST_FOR_NOTE,0))</f>
        <v>Расчётным путём</v>
      </c>
      <c r="K85" s="1071">
        <f>INDEX(TEMPLATE_NOTE_POINT_FHD,B85,MATCH(TEMPLATE_SPHERE,TEMPLATE_SPHERE_LIST_FOR_NOTE,0))</f>
        <v>0</v>
      </c>
      <c r="L85" s="910" t="str">
        <f>IF(I85=0,"",I85)</f>
        <v>10.2</v>
      </c>
      <c r="M85" s="910" t="str">
        <f>IF(J85=0,"",J85)</f>
        <v>Расчётным путём</v>
      </c>
      <c r="N85" s="910" t="str">
        <f>IF(K85=0,"",K85)</f>
        <v/>
      </c>
      <c r="O85" s="1023" t="s">
        <v>2087</v>
      </c>
      <c r="P85" s="1023"/>
      <c r="Q85" s="1023"/>
      <c r="R85" s="1023"/>
      <c r="S85" s="1023"/>
      <c r="T85" s="909" t="s">
        <v>2199</v>
      </c>
      <c r="U85" s="909"/>
      <c r="V85" s="909"/>
      <c r="W85" s="909"/>
      <c r="X85" s="909"/>
      <c r="Y85" s="1066"/>
      <c r="Z85" s="912"/>
      <c r="AA85" s="915"/>
      <c r="AB85" s="912"/>
      <c r="AC85" s="912"/>
      <c r="AD85" s="912"/>
    </row>
    <row customHeight="1" ht="27">
      <c r="A86" s="911"/>
      <c r="B86" s="965">
        <v>69</v>
      </c>
      <c r="C86" s="909"/>
      <c r="D86" s="1033"/>
      <c r="E86" s="909"/>
      <c r="F86" s="909"/>
      <c r="G86" s="909"/>
      <c r="H86" s="957"/>
      <c r="I86" s="1071" t="str">
        <f>INDEX(TEMPLATE_NUMBER_POINT_FHD,B86,MATCH(TEMPLATE_SPHERE,TEMPLATE_SPHERE_LIST_FOR_NOTE,0))</f>
        <v>10.3</v>
      </c>
      <c r="J86" s="1071" t="str">
        <f>INDEX(TEMPLATE_DATA_POINT_FHD,B86,MATCH(TEMPLATE_SPHERE,TEMPLATE_SPHERE_LIST_FOR_NOTE,0))</f>
        <v>По нормативам потребления коммунальных услуг и нормативам потребления коммунальных ресурсов</v>
      </c>
      <c r="K86" s="1071">
        <f>INDEX(TEMPLATE_NOTE_POINT_FHD,B86,MATCH(TEMPLATE_SPHERE,TEMPLATE_SPHERE_LIST_FOR_NOTE,0))</f>
        <v>0</v>
      </c>
      <c r="L86" s="910" t="str">
        <f>IF(I86=0,"",I86)</f>
        <v>10.3</v>
      </c>
      <c r="M86" s="910" t="str">
        <f>IF(J86=0,"",J86)</f>
        <v>По нормативам потребления коммунальных услуг и нормативам потребления коммунальных ресурсов</v>
      </c>
      <c r="N86" s="910" t="str">
        <f>IF(K86=0,"",K86)</f>
        <v/>
      </c>
      <c r="O86" s="1023" t="s">
        <v>2200</v>
      </c>
      <c r="P86" s="1023"/>
      <c r="Q86" s="1023"/>
      <c r="R86" s="1023"/>
      <c r="S86" s="1023"/>
      <c r="T86" s="909" t="s">
        <v>2201</v>
      </c>
      <c r="U86" s="909"/>
      <c r="V86" s="909"/>
      <c r="W86" s="909"/>
      <c r="X86" s="909"/>
      <c r="Y86" s="1066"/>
      <c r="Z86" s="912"/>
      <c r="AA86" s="915"/>
      <c r="AB86" s="912"/>
      <c r="AC86" s="912"/>
      <c r="AD86" s="912"/>
    </row>
    <row customHeight="1" ht="36">
      <c r="A87" s="911"/>
      <c r="B87" s="965">
        <v>70</v>
      </c>
      <c r="C87" s="909" t="s">
        <v>2202</v>
      </c>
      <c r="D87" s="1033"/>
      <c r="E87" s="909"/>
      <c r="F87" s="909"/>
      <c r="G87" s="909"/>
      <c r="H87" s="957"/>
      <c r="I87" s="1071" t="str">
        <f>INDEX(TEMPLATE_NUMBER_POINT_FHD,B87,MATCH(TEMPLATE_SPHERE,TEMPLATE_SPHERE_LIST_FOR_NOTE,0))</f>
        <v>11</v>
      </c>
      <c r="J87" s="107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1">
        <f>INDEX(TEMPLATE_NOTE_POINT_FHD,B87,MATCH(TEMPLATE_SPHERE,TEMPLATE_SPHERE_LIST_FOR_NOTE,0))</f>
        <v>0</v>
      </c>
      <c r="L87" s="910" t="str">
        <f>IF(I87=0,"",I87)</f>
        <v>11</v>
      </c>
      <c r="M87" s="91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0" t="str">
        <f>IF(K87=0,"",K87)</f>
        <v/>
      </c>
      <c r="O87" s="1023" t="s">
        <v>104</v>
      </c>
      <c r="P87" s="1023"/>
      <c r="Q87" s="1023"/>
      <c r="R87" s="1023"/>
      <c r="S87" s="1023"/>
      <c r="T87" s="909" t="s">
        <v>2203</v>
      </c>
      <c r="U87" s="909"/>
      <c r="V87" s="909"/>
      <c r="W87" s="909"/>
      <c r="X87" s="909"/>
      <c r="Y87" s="1066"/>
      <c r="Z87" s="912"/>
      <c r="AA87" s="915"/>
      <c r="AB87" s="912"/>
      <c r="AC87" s="912"/>
      <c r="AD87" s="912"/>
    </row>
    <row customHeight="1" ht="18">
      <c r="A88" s="911"/>
      <c r="B88" s="965">
        <v>71</v>
      </c>
      <c r="C88" s="909" t="s">
        <v>2204</v>
      </c>
      <c r="D88" s="1033"/>
      <c r="E88" s="909"/>
      <c r="F88" s="909"/>
      <c r="G88" s="909"/>
      <c r="H88" s="957"/>
      <c r="I88" s="1071" t="str">
        <f>INDEX(TEMPLATE_NUMBER_POINT_FHD,B88,MATCH(TEMPLATE_SPHERE,TEMPLATE_SPHERE_LIST_FOR_NOTE,0))</f>
        <v>12</v>
      </c>
      <c r="J88" s="1071" t="str">
        <f>INDEX(TEMPLATE_DATA_POINT_FHD,B88,MATCH(TEMPLATE_SPHERE,TEMPLATE_SPHERE_LIST_FOR_NOTE,0))</f>
        <v>Фактический объем потерь при передаче тепловой энергии</v>
      </c>
      <c r="K88" s="1071">
        <f>INDEX(TEMPLATE_NOTE_POINT_FHD,B88,MATCH(TEMPLATE_SPHERE,TEMPLATE_SPHERE_LIST_FOR_NOTE,0))</f>
        <v>0</v>
      </c>
      <c r="L88" s="910" t="str">
        <f>IF(I88=0,"",I88)</f>
        <v>12</v>
      </c>
      <c r="M88" s="910" t="str">
        <f>IF(J88=0,"",J88)</f>
        <v>Фактический объем потерь при передаче тепловой энергии</v>
      </c>
      <c r="N88" s="910" t="str">
        <f>IF(K88=0,"",K88)</f>
        <v/>
      </c>
      <c r="O88" s="1023" t="s">
        <v>155</v>
      </c>
      <c r="P88" s="1023"/>
      <c r="Q88" s="1023"/>
      <c r="R88" s="1023"/>
      <c r="S88" s="1023"/>
      <c r="T88" s="909" t="s">
        <v>675</v>
      </c>
      <c r="U88" s="909"/>
      <c r="V88" s="909"/>
      <c r="W88" s="909"/>
      <c r="X88" s="909"/>
      <c r="Y88" s="1066"/>
      <c r="Z88" s="912"/>
      <c r="AA88" s="915"/>
      <c r="AB88" s="912"/>
      <c r="AC88" s="912"/>
      <c r="AD88" s="912"/>
    </row>
    <row customHeight="1" ht="18">
      <c r="A89" s="911"/>
      <c r="B89" s="965">
        <v>72</v>
      </c>
      <c r="C89" s="909" t="s">
        <v>2205</v>
      </c>
      <c r="D89" s="1033" t="s">
        <v>2202</v>
      </c>
      <c r="E89" s="909" t="s">
        <v>2202</v>
      </c>
      <c r="F89" s="909" t="s">
        <v>2168</v>
      </c>
      <c r="G89" s="909"/>
      <c r="H89" s="957"/>
      <c r="I89" s="1071" t="str">
        <f>INDEX(TEMPLATE_NUMBER_POINT_FHD,B89,MATCH(TEMPLATE_SPHERE,TEMPLATE_SPHERE_LIST_FOR_NOTE,0))</f>
        <v>13</v>
      </c>
      <c r="J89" s="1071" t="str">
        <f>INDEX(TEMPLATE_DATA_POINT_FHD,B89,MATCH(TEMPLATE_SPHERE,TEMPLATE_SPHERE_LIST_FOR_NOTE,0))</f>
        <v>Среднесписочная численность основного производственного персонала</v>
      </c>
      <c r="K89" s="1071">
        <f>INDEX(TEMPLATE_NOTE_POINT_FHD,B89,MATCH(TEMPLATE_SPHERE,TEMPLATE_SPHERE_LIST_FOR_NOTE,0))</f>
        <v>0</v>
      </c>
      <c r="L89" s="910" t="str">
        <f>IF(I89=0,"",I89)</f>
        <v>13</v>
      </c>
      <c r="M89" s="910" t="str">
        <f>IF(J89=0,"",J89)</f>
        <v>Среднесписочная численность основного производственного персонала</v>
      </c>
      <c r="N89" s="910" t="str">
        <f>IF(K89=0,"",K89)</f>
        <v/>
      </c>
      <c r="O89" s="1023" t="s">
        <v>156</v>
      </c>
      <c r="P89" s="1023" t="s">
        <v>155</v>
      </c>
      <c r="Q89" s="1023" t="s">
        <v>155</v>
      </c>
      <c r="R89" s="1023" t="s">
        <v>154</v>
      </c>
      <c r="S89" s="1023"/>
      <c r="T89" s="909" t="s">
        <v>683</v>
      </c>
      <c r="U89" s="909" t="s">
        <v>683</v>
      </c>
      <c r="V89" s="909" t="s">
        <v>683</v>
      </c>
      <c r="W89" s="909" t="s">
        <v>683</v>
      </c>
      <c r="X89" s="909"/>
      <c r="Y89" s="1066"/>
      <c r="Z89" s="912"/>
      <c r="AA89" s="915"/>
      <c r="AB89" s="912"/>
      <c r="AC89" s="912"/>
      <c r="AD89" s="912"/>
    </row>
    <row customHeight="1" ht="27">
      <c r="A90" s="911"/>
      <c r="B90" s="965">
        <v>73</v>
      </c>
      <c r="C90" s="909" t="s">
        <v>2206</v>
      </c>
      <c r="D90" s="1033"/>
      <c r="E90" s="909"/>
      <c r="F90" s="909"/>
      <c r="G90" s="909"/>
      <c r="H90" s="957"/>
      <c r="I90" s="1071" t="str">
        <f>INDEX(TEMPLATE_NUMBER_POINT_FHD,B90,MATCH(TEMPLATE_SPHERE,TEMPLATE_SPHERE_LIST_FOR_NOTE,0))</f>
        <v>14</v>
      </c>
      <c r="J90" s="1071" t="str">
        <f>INDEX(TEMPLATE_DATA_POINT_FHD,B90,MATCH(TEMPLATE_SPHERE,TEMPLATE_SPHERE_LIST_FOR_NOTE,0))</f>
        <v>Среднесписочная численность административно-управленческого персонала</v>
      </c>
      <c r="K90" s="1071">
        <f>INDEX(TEMPLATE_NOTE_POINT_FHD,B90,MATCH(TEMPLATE_SPHERE,TEMPLATE_SPHERE_LIST_FOR_NOTE,0))</f>
        <v>0</v>
      </c>
      <c r="L90" s="910" t="str">
        <f>IF(I90=0,"",I90)</f>
        <v>14</v>
      </c>
      <c r="M90" s="910" t="str">
        <f>IF(J90=0,"",J90)</f>
        <v>Среднесписочная численность административно-управленческого персонала</v>
      </c>
      <c r="N90" s="910" t="str">
        <f>IF(K90=0,"",K90)</f>
        <v/>
      </c>
      <c r="O90" s="1023" t="s">
        <v>157</v>
      </c>
      <c r="P90" s="1023"/>
      <c r="Q90" s="1023"/>
      <c r="R90" s="1023"/>
      <c r="S90" s="1023"/>
      <c r="T90" s="909" t="s">
        <v>685</v>
      </c>
      <c r="U90" s="909"/>
      <c r="V90" s="909"/>
      <c r="W90" s="909"/>
      <c r="X90" s="909"/>
      <c r="Y90" s="1066"/>
      <c r="Z90" s="912"/>
      <c r="AA90" s="915"/>
      <c r="AB90" s="912"/>
      <c r="AC90" s="912"/>
      <c r="AD90" s="912"/>
    </row>
    <row customHeight="1" ht="18">
      <c r="A91" s="911"/>
      <c r="B91" s="965">
        <v>74</v>
      </c>
      <c r="C91" s="909"/>
      <c r="D91" s="1033" t="s">
        <v>2204</v>
      </c>
      <c r="E91" s="909" t="s">
        <v>2204</v>
      </c>
      <c r="F91" s="909"/>
      <c r="G91" s="909"/>
      <c r="H91" s="957"/>
      <c r="I91" s="1071">
        <f>INDEX(TEMPLATE_NUMBER_POINT_FHD,B91,MATCH(TEMPLATE_SPHERE,TEMPLATE_SPHERE_LIST_FOR_NOTE,0))</f>
        <v>0</v>
      </c>
      <c r="J91" s="1071">
        <f>INDEX(TEMPLATE_DATA_POINT_FHD,B91,MATCH(TEMPLATE_SPHERE,TEMPLATE_SPHERE_LIST_FOR_NOTE,0))</f>
        <v>0</v>
      </c>
      <c r="K91" s="1071">
        <f>INDEX(TEMPLATE_NOTE_POINT_FHD,B91,MATCH(TEMPLATE_SPHERE,TEMPLATE_SPHERE_LIST_FOR_NOTE,0))</f>
        <v>0</v>
      </c>
      <c r="L91" s="910" t="str">
        <f>IF(I91=0,"",I91)</f>
        <v/>
      </c>
      <c r="M91" s="910" t="str">
        <f>IF(J91=0,"",J91)</f>
        <v/>
      </c>
      <c r="N91" s="910" t="str">
        <f>IF(K91=0,"",K91)</f>
        <v/>
      </c>
      <c r="O91" s="1023"/>
      <c r="P91" s="1023" t="s">
        <v>156</v>
      </c>
      <c r="Q91" s="1023" t="s">
        <v>156</v>
      </c>
      <c r="R91" s="1023"/>
      <c r="S91" s="1023"/>
      <c r="T91" s="909"/>
      <c r="U91" s="909" t="s">
        <v>2207</v>
      </c>
      <c r="V91" s="909" t="s">
        <v>2207</v>
      </c>
      <c r="W91" s="909"/>
      <c r="X91" s="909"/>
      <c r="Y91" s="1066"/>
      <c r="Z91" s="912"/>
      <c r="AA91" s="915"/>
      <c r="AB91" s="912"/>
      <c r="AC91" s="912"/>
      <c r="AD91" s="912"/>
    </row>
    <row customHeight="1" ht="27">
      <c r="A92" s="911"/>
      <c r="B92" s="965">
        <v>75</v>
      </c>
      <c r="C92" s="909"/>
      <c r="D92" s="1033" t="s">
        <v>2205</v>
      </c>
      <c r="E92" s="909"/>
      <c r="F92" s="909"/>
      <c r="G92" s="909"/>
      <c r="H92" s="957"/>
      <c r="I92" s="1071">
        <f>INDEX(TEMPLATE_NUMBER_POINT_FHD,B92,MATCH(TEMPLATE_SPHERE,TEMPLATE_SPHERE_LIST_FOR_NOTE,0))</f>
        <v>0</v>
      </c>
      <c r="J92" s="1071">
        <f>INDEX(TEMPLATE_DATA_POINT_FHD,B92,MATCH(TEMPLATE_SPHERE,TEMPLATE_SPHERE_LIST_FOR_NOTE,0))</f>
        <v>0</v>
      </c>
      <c r="K92" s="1071">
        <f>INDEX(TEMPLATE_NOTE_POINT_FHD,B92,MATCH(TEMPLATE_SPHERE,TEMPLATE_SPHERE_LIST_FOR_NOTE,0))</f>
        <v>0</v>
      </c>
      <c r="L92" s="910" t="str">
        <f>IF(I92=0,"",I92)</f>
        <v/>
      </c>
      <c r="M92" s="910" t="str">
        <f>IF(J92=0,"",J92)</f>
        <v/>
      </c>
      <c r="N92" s="910" t="str">
        <f>IF(K92=0,"",K92)</f>
        <v/>
      </c>
      <c r="O92" s="1023"/>
      <c r="P92" s="1023" t="s">
        <v>157</v>
      </c>
      <c r="Q92" s="1023"/>
      <c r="R92" s="1023"/>
      <c r="S92" s="1023"/>
      <c r="T92" s="909"/>
      <c r="U92" s="909" t="s">
        <v>2208</v>
      </c>
      <c r="V92" s="909"/>
      <c r="W92" s="909"/>
      <c r="X92" s="909"/>
      <c r="Y92" s="1066"/>
      <c r="Z92" s="912"/>
      <c r="AA92" s="915" t="s">
        <v>2209</v>
      </c>
      <c r="AB92" s="912"/>
      <c r="AC92" s="912"/>
      <c r="AD92" s="912"/>
    </row>
    <row customHeight="1" ht="27">
      <c r="A93" s="911"/>
      <c r="B93" s="965">
        <v>76</v>
      </c>
      <c r="C93" s="909"/>
      <c r="D93" s="1033"/>
      <c r="E93" s="909"/>
      <c r="F93" s="909"/>
      <c r="G93" s="909"/>
      <c r="H93" s="957"/>
      <c r="I93" s="1071">
        <f>INDEX(TEMPLATE_NUMBER_POINT_FHD,B93,MATCH(TEMPLATE_SPHERE,TEMPLATE_SPHERE_LIST_FOR_NOTE,0))</f>
        <v>0</v>
      </c>
      <c r="J93" s="1071">
        <f>INDEX(TEMPLATE_DATA_POINT_FHD,B93,MATCH(TEMPLATE_SPHERE,TEMPLATE_SPHERE_LIST_FOR_NOTE,0))</f>
        <v>0</v>
      </c>
      <c r="K93" s="1071">
        <f>INDEX(TEMPLATE_NOTE_POINT_FHD,B93,MATCH(TEMPLATE_SPHERE,TEMPLATE_SPHERE_LIST_FOR_NOTE,0))</f>
        <v>0</v>
      </c>
      <c r="L93" s="910" t="str">
        <f>IF(I93=0,"",I93)</f>
        <v/>
      </c>
      <c r="M93" s="910" t="str">
        <f>IF(J93=0,"",J93)</f>
        <v/>
      </c>
      <c r="N93" s="910" t="str">
        <f>IF(K93=0,"",K93)</f>
        <v/>
      </c>
      <c r="O93" s="1023"/>
      <c r="P93" s="1023" t="s">
        <v>2115</v>
      </c>
      <c r="Q93" s="1023"/>
      <c r="R93" s="1023"/>
      <c r="S93" s="1023"/>
      <c r="T93" s="909"/>
      <c r="U93" s="909" t="s">
        <v>2210</v>
      </c>
      <c r="V93" s="909"/>
      <c r="W93" s="909"/>
      <c r="X93" s="909"/>
      <c r="Y93" s="1066"/>
      <c r="Z93" s="912"/>
      <c r="AA93" s="915" t="s">
        <v>2211</v>
      </c>
      <c r="AB93" s="912"/>
      <c r="AC93" s="912"/>
      <c r="AD93" s="912"/>
    </row>
    <row customHeight="1" ht="45">
      <c r="A94" s="911"/>
      <c r="B94" s="965">
        <v>77</v>
      </c>
      <c r="C94" s="909"/>
      <c r="D94" s="1033" t="s">
        <v>2206</v>
      </c>
      <c r="E94" s="909"/>
      <c r="F94" s="909"/>
      <c r="G94" s="909"/>
      <c r="H94" s="957"/>
      <c r="I94" s="1071">
        <f>INDEX(TEMPLATE_NUMBER_POINT_FHD,B94,MATCH(TEMPLATE_SPHERE,TEMPLATE_SPHERE_LIST_FOR_NOTE,0))</f>
        <v>0</v>
      </c>
      <c r="J94" s="1071">
        <f>INDEX(TEMPLATE_DATA_POINT_FHD,B94,MATCH(TEMPLATE_SPHERE,TEMPLATE_SPHERE_LIST_FOR_NOTE,0))</f>
        <v>0</v>
      </c>
      <c r="K94" s="1071">
        <f>INDEX(TEMPLATE_NOTE_POINT_FHD,B94,MATCH(TEMPLATE_SPHERE,TEMPLATE_SPHERE_LIST_FOR_NOTE,0))</f>
        <v>0</v>
      </c>
      <c r="L94" s="910" t="str">
        <f>IF(I94=0,"",I94)</f>
        <v/>
      </c>
      <c r="M94" s="910" t="str">
        <f>IF(J94=0,"",J94)</f>
        <v/>
      </c>
      <c r="N94" s="910" t="str">
        <f>IF(K94=0,"",K94)</f>
        <v/>
      </c>
      <c r="O94" s="1023"/>
      <c r="P94" s="1023" t="s">
        <v>1467</v>
      </c>
      <c r="Q94" s="1023"/>
      <c r="R94" s="1023"/>
      <c r="S94" s="1023"/>
      <c r="T94" s="909"/>
      <c r="U94" s="909" t="s">
        <v>2212</v>
      </c>
      <c r="V94" s="909"/>
      <c r="W94" s="909"/>
      <c r="X94" s="909"/>
      <c r="Y94" s="1066"/>
      <c r="Z94" s="912"/>
      <c r="AA94" s="915" t="s">
        <v>2213</v>
      </c>
      <c r="AB94" s="912"/>
      <c r="AC94" s="912"/>
      <c r="AD94" s="912"/>
    </row>
    <row customHeight="1" ht="99">
      <c r="A95" s="911"/>
      <c r="B95" s="965">
        <v>78</v>
      </c>
      <c r="C95" s="909" t="s">
        <v>2214</v>
      </c>
      <c r="D95" s="1033"/>
      <c r="E95" s="909"/>
      <c r="F95" s="909"/>
      <c r="G95" s="909"/>
      <c r="H95" s="957"/>
      <c r="I95" s="1071" t="str">
        <f>INDEX(TEMPLATE_NUMBER_POINT_FHD,B95,MATCH(TEMPLATE_SPHERE,TEMPLATE_SPHERE_LIST_FOR_NOTE,0))</f>
        <v>15</v>
      </c>
      <c r="J95" s="107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1">
        <f>INDEX(TEMPLATE_NOTE_POINT_FHD,B95,MATCH(TEMPLATE_SPHERE,TEMPLATE_SPHERE_LIST_FOR_NOTE,0))</f>
        <v>0</v>
      </c>
      <c r="L95" s="910" t="str">
        <f>IF(I95=0,"",I95)</f>
        <v>15</v>
      </c>
      <c r="M95" s="91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0" t="str">
        <f>IF(K95=0,"",K95)</f>
        <v/>
      </c>
      <c r="O95" s="1023" t="s">
        <v>1467</v>
      </c>
      <c r="P95" s="1023"/>
      <c r="Q95" s="1023"/>
      <c r="R95" s="1023"/>
      <c r="S95" s="1023"/>
      <c r="T95" s="909" t="s">
        <v>2215</v>
      </c>
      <c r="U95" s="909"/>
      <c r="V95" s="909"/>
      <c r="W95" s="909"/>
      <c r="X95" s="909"/>
      <c r="Y95" s="1066"/>
      <c r="Z95" s="912"/>
      <c r="AA95" s="915"/>
      <c r="AB95" s="912"/>
      <c r="AC95" s="912"/>
      <c r="AD95" s="912"/>
    </row>
    <row customHeight="1" ht="99">
      <c r="A96" s="911"/>
      <c r="B96" s="965">
        <v>79</v>
      </c>
      <c r="C96" s="909" t="s">
        <v>1156</v>
      </c>
      <c r="D96" s="1033"/>
      <c r="E96" s="909"/>
      <c r="F96" s="909"/>
      <c r="G96" s="909"/>
      <c r="H96" s="957"/>
      <c r="I96" s="1071" t="str">
        <f>INDEX(TEMPLATE_NUMBER_POINT_FHD,B96,MATCH(TEMPLATE_SPHERE,TEMPLATE_SPHERE_LIST_FOR_NOTE,0))</f>
        <v>16</v>
      </c>
      <c r="J96" s="107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0" t="str">
        <f>IF(I96=0,"",I96)</f>
        <v>16</v>
      </c>
      <c r="M96" s="91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3" t="s">
        <v>1473</v>
      </c>
      <c r="P96" s="1023"/>
      <c r="Q96" s="1023"/>
      <c r="R96" s="1023"/>
      <c r="S96" s="1023"/>
      <c r="T96" s="909" t="s">
        <v>2216</v>
      </c>
      <c r="U96" s="909"/>
      <c r="V96" s="909"/>
      <c r="W96" s="909"/>
      <c r="X96" s="909"/>
      <c r="Y96" s="1066"/>
      <c r="Z96" s="912" t="s">
        <v>2217</v>
      </c>
      <c r="AA96" s="915"/>
      <c r="AB96" s="912"/>
      <c r="AC96" s="912"/>
      <c r="AD96" s="912"/>
    </row>
    <row customHeight="1" ht="63">
      <c r="A97" s="911"/>
      <c r="B97" s="965">
        <v>80</v>
      </c>
      <c r="C97" s="909" t="s">
        <v>2218</v>
      </c>
      <c r="D97" s="1033"/>
      <c r="E97" s="909"/>
      <c r="F97" s="909"/>
      <c r="G97" s="909"/>
      <c r="H97" s="957"/>
      <c r="I97" s="1071" t="str">
        <f>INDEX(TEMPLATE_NUMBER_POINT_FHD,B97,MATCH(TEMPLATE_SPHERE,TEMPLATE_SPHERE_LIST_FOR_NOTE,0))</f>
        <v>17</v>
      </c>
      <c r="J97" s="107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0" t="str">
        <f>IF(I97=0,"",I97)</f>
        <v>17</v>
      </c>
      <c r="M97" s="91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0" t="str">
        <f>IF(K97=0,"",K97)</f>
        <v>Регулируемыми организациями указывается информация с по договорам, заключенным в рамках осуществления регулируемой деятельности.</v>
      </c>
      <c r="O97" s="1023" t="s">
        <v>1485</v>
      </c>
      <c r="P97" s="1023"/>
      <c r="Q97" s="1023"/>
      <c r="R97" s="1023"/>
      <c r="S97" s="1023"/>
      <c r="T97" s="909" t="s">
        <v>2219</v>
      </c>
      <c r="U97" s="909"/>
      <c r="V97" s="909"/>
      <c r="W97" s="909"/>
      <c r="X97" s="909"/>
      <c r="Y97" s="1066"/>
      <c r="Z97" s="912" t="s">
        <v>2220</v>
      </c>
      <c r="AA97" s="915"/>
      <c r="AB97" s="912"/>
      <c r="AC97" s="912"/>
      <c r="AD97" s="912"/>
    </row>
    <row customHeight="1" ht="63">
      <c r="A98" s="911"/>
      <c r="B98" s="965">
        <v>81</v>
      </c>
      <c r="C98" s="909" t="s">
        <v>2221</v>
      </c>
      <c r="D98" s="1033"/>
      <c r="E98" s="909"/>
      <c r="F98" s="909"/>
      <c r="G98" s="909"/>
      <c r="H98" s="957"/>
      <c r="I98" s="1071" t="str">
        <f>INDEX(TEMPLATE_NUMBER_POINT_FHD,B98,MATCH(TEMPLATE_SPHERE,TEMPLATE_SPHERE_LIST_FOR_NOTE,0))</f>
        <v>18</v>
      </c>
      <c r="J98" s="107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0" t="str">
        <f>IF(I98=0,"",I98)</f>
        <v>18</v>
      </c>
      <c r="M98" s="91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0" t="str">
        <f>IF(K98=0,"",K98)</f>
        <v>Регулируемыми организациями указывается информация с по договорам, заключенным в рамках осуществления регулируемой деятельности.</v>
      </c>
      <c r="O98" s="1023" t="s">
        <v>1499</v>
      </c>
      <c r="P98" s="1023"/>
      <c r="Q98" s="1023"/>
      <c r="R98" s="1023"/>
      <c r="S98" s="1023"/>
      <c r="T98" s="909" t="s">
        <v>2222</v>
      </c>
      <c r="U98" s="909"/>
      <c r="V98" s="909"/>
      <c r="W98" s="909"/>
      <c r="X98" s="909"/>
      <c r="Y98" s="1066"/>
      <c r="Z98" s="912" t="s">
        <v>2220</v>
      </c>
      <c r="AA98" s="915"/>
      <c r="AB98" s="912"/>
      <c r="AC98" s="912"/>
      <c r="AD98" s="912"/>
    </row>
    <row customHeight="1" ht="90">
      <c r="A99" s="911"/>
      <c r="B99" s="965">
        <v>82</v>
      </c>
      <c r="C99" s="909" t="s">
        <v>2223</v>
      </c>
      <c r="D99" s="1033"/>
      <c r="E99" s="909"/>
      <c r="F99" s="909"/>
      <c r="G99" s="909"/>
      <c r="H99" s="957"/>
      <c r="I99" s="1071" t="str">
        <f>INDEX(TEMPLATE_NUMBER_POINT_FHD,B99,MATCH(TEMPLATE_SPHERE,TEMPLATE_SPHERE_LIST_FOR_NOTE,0))</f>
        <v>19</v>
      </c>
      <c r="J99" s="107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1" t="str">
        <f>INDEX(TEMPLATE_NOTE_POINT_FHD,B99,MATCH(TEMPLATE_SPHERE,TEMPLATE_SPHERE_LIST_FOR_NOTE,0))</f>
        <v>Указывается ссылка на документ, предварительно загруженный в хранилище файлов ФГИС ЕИАС.</v>
      </c>
      <c r="L99" s="910" t="str">
        <f>IF(I99=0,"",I99)</f>
        <v>19</v>
      </c>
      <c r="M99" s="91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0" t="str">
        <f>IF(K99=0,"",K99)</f>
        <v>Указывается ссылка на документ, предварительно загруженный в хранилище файлов ФГИС ЕИАС.</v>
      </c>
      <c r="O99" s="1023" t="s">
        <v>1511</v>
      </c>
      <c r="P99" s="1023"/>
      <c r="Q99" s="1023"/>
      <c r="R99" s="1023"/>
      <c r="S99" s="1023"/>
      <c r="T99" s="909" t="s">
        <v>2224</v>
      </c>
      <c r="U99" s="909"/>
      <c r="V99" s="909"/>
      <c r="W99" s="909"/>
      <c r="X99" s="909"/>
      <c r="Y99" s="1066"/>
      <c r="Z99" s="912" t="s">
        <v>640</v>
      </c>
      <c r="AA99" s="915"/>
      <c r="AB99" s="912"/>
      <c r="AC99" s="912"/>
      <c r="AD99" s="912"/>
    </row>
    <row customHeight="1" ht="27">
      <c r="A100" s="911"/>
      <c r="B100" s="965">
        <v>83</v>
      </c>
      <c r="C100" s="909"/>
      <c r="D100" s="1033"/>
      <c r="E100" s="909"/>
      <c r="F100" s="909"/>
      <c r="G100" s="909"/>
      <c r="H100" s="957"/>
      <c r="I100" s="1071" t="str">
        <f>INDEX(TEMPLATE_NUMBER_POINT_FHD,B100,MATCH(TEMPLATE_SPHERE,TEMPLATE_SPHERE_LIST_FOR_NOTE,0))</f>
        <v>19.1</v>
      </c>
      <c r="J100" s="1071" t="str">
        <f>INDEX(TEMPLATE_DATA_POINT_FHD,B100,MATCH(TEMPLATE_SPHERE,TEMPLATE_SPHERE_LIST_FOR_NOTE,0))</f>
        <v>Информация о показателях физического износа объектов теплоснабжения</v>
      </c>
      <c r="K100" s="1071" t="str">
        <f>INDEX(TEMPLATE_NOTE_POINT_FHD,B100,MATCH(TEMPLATE_SPHERE,TEMPLATE_SPHERE_LIST_FOR_NOTE,0))</f>
        <v>Указывается ссылка на документ, предварительно загруженный в хранилище файлов ФГИС ЕИАС.</v>
      </c>
      <c r="L100" s="910" t="str">
        <f>IF(I100=0,"",I100)</f>
        <v>19.1</v>
      </c>
      <c r="M100" s="910" t="str">
        <f>IF(J100=0,"",J100)</f>
        <v>Информация о показателях физического износа объектов теплоснабжения</v>
      </c>
      <c r="N100" s="910" t="str">
        <f>IF(K100=0,"",K100)</f>
        <v>Указывается ссылка на документ, предварительно загруженный в хранилище файлов ФГИС ЕИАС.</v>
      </c>
      <c r="O100" s="1023" t="s">
        <v>2225</v>
      </c>
      <c r="P100" s="1023"/>
      <c r="Q100" s="1023"/>
      <c r="R100" s="1023"/>
      <c r="S100" s="1023"/>
      <c r="T100" s="909" t="s">
        <v>2226</v>
      </c>
      <c r="U100" s="909"/>
      <c r="V100" s="909"/>
      <c r="W100" s="909"/>
      <c r="X100" s="909"/>
      <c r="Y100" s="1066"/>
      <c r="Z100" s="912" t="s">
        <v>640</v>
      </c>
      <c r="AA100" s="915"/>
      <c r="AB100" s="912"/>
      <c r="AC100" s="912"/>
      <c r="AD100" s="912"/>
    </row>
    <row customHeight="1" ht="27">
      <c r="A101" s="911"/>
      <c r="B101" s="965">
        <v>84</v>
      </c>
      <c r="C101" s="909"/>
      <c r="D101" s="1033"/>
      <c r="E101" s="909"/>
      <c r="F101" s="909"/>
      <c r="G101" s="909"/>
      <c r="H101" s="957"/>
      <c r="I101" s="1071" t="str">
        <f>INDEX(TEMPLATE_NUMBER_POINT_FHD,B101,MATCH(TEMPLATE_SPHERE,TEMPLATE_SPHERE_LIST_FOR_NOTE,0))</f>
        <v>19.2</v>
      </c>
      <c r="J101" s="1071" t="str">
        <f>INDEX(TEMPLATE_DATA_POINT_FHD,B101,MATCH(TEMPLATE_SPHERE,TEMPLATE_SPHERE_LIST_FOR_NOTE,0))</f>
        <v>Информация о показателях энергетической эффективности объектов теплоснабжения</v>
      </c>
      <c r="K101" s="1071" t="str">
        <f>INDEX(TEMPLATE_NOTE_POINT_FHD,B101,MATCH(TEMPLATE_SPHERE,TEMPLATE_SPHERE_LIST_FOR_NOTE,0))</f>
        <v>Указывается ссылка на документ, предварительно загруженный в хранилище файлов ФГИС ЕИАС.</v>
      </c>
      <c r="L101" s="910" t="str">
        <f>IF(I101=0,"",I101)</f>
        <v>19.2</v>
      </c>
      <c r="M101" s="910" t="str">
        <f>IF(J101=0,"",J101)</f>
        <v>Информация о показателях энергетической эффективности объектов теплоснабжения</v>
      </c>
      <c r="N101" s="910" t="str">
        <f>IF(K101=0,"",K101)</f>
        <v>Указывается ссылка на документ, предварительно загруженный в хранилище файлов ФГИС ЕИАС.</v>
      </c>
      <c r="O101" s="1023" t="s">
        <v>2227</v>
      </c>
      <c r="P101" s="1023"/>
      <c r="Q101" s="1023"/>
      <c r="R101" s="1023"/>
      <c r="S101" s="1023"/>
      <c r="T101" s="909" t="s">
        <v>2228</v>
      </c>
      <c r="U101" s="909"/>
      <c r="V101" s="909"/>
      <c r="W101" s="909"/>
      <c r="X101" s="909"/>
      <c r="Y101" s="1066"/>
      <c r="Z101" s="912" t="s">
        <v>640</v>
      </c>
      <c r="AA101" s="915"/>
      <c r="AB101" s="912"/>
      <c r="AC101" s="912"/>
      <c r="AD101" s="912"/>
    </row>
    <row customHeight="1" ht="9">
      <c r="A102" s="911"/>
      <c r="B102" s="911"/>
      <c r="C102" s="909"/>
      <c r="D102" s="909"/>
      <c r="E102" s="909"/>
      <c r="F102" s="909"/>
      <c r="G102" s="909"/>
      <c r="H102" s="957"/>
      <c r="I102" s="957"/>
      <c r="J102" s="957"/>
      <c r="K102" s="957"/>
      <c r="L102" s="957"/>
      <c r="M102" s="909"/>
      <c r="N102" s="956"/>
      <c r="O102" s="1023"/>
      <c r="P102" s="1023"/>
      <c r="Q102" s="1023"/>
      <c r="R102" s="1023"/>
      <c r="S102" s="909"/>
      <c r="T102" s="909"/>
      <c r="U102" s="909"/>
      <c r="V102" s="909"/>
      <c r="W102" s="909"/>
      <c r="X102" s="909"/>
      <c r="Y102" s="1066"/>
      <c r="Z102" s="912"/>
      <c r="AA102" s="915"/>
      <c r="AB102" s="912"/>
      <c r="AC102" s="912"/>
      <c r="AD102" s="912"/>
    </row>
    <row customHeight="1" ht="9">
      <c r="A103" s="911"/>
      <c r="B103" s="911"/>
      <c r="C103" s="909"/>
      <c r="D103" s="909"/>
      <c r="E103" s="909"/>
      <c r="F103" s="909"/>
      <c r="G103" s="909"/>
      <c r="H103" s="957"/>
      <c r="I103" s="957"/>
      <c r="J103" s="957"/>
      <c r="K103" s="957"/>
      <c r="L103" s="957"/>
      <c r="M103" s="909"/>
      <c r="N103" s="956"/>
      <c r="O103" s="1023"/>
      <c r="P103" s="1023"/>
      <c r="Q103" s="1023"/>
      <c r="R103" s="1023"/>
      <c r="S103" s="909"/>
      <c r="T103" s="909"/>
      <c r="U103" s="909"/>
      <c r="V103" s="909"/>
      <c r="W103" s="909"/>
      <c r="X103" s="909"/>
      <c r="Y103" s="1066"/>
      <c r="Z103" s="912"/>
      <c r="AA103" s="915"/>
      <c r="AB103" s="912"/>
      <c r="AC103" s="912"/>
      <c r="AD103" s="912"/>
    </row>
    <row customHeight="1" ht="9">
      <c r="A104" s="911"/>
      <c r="B104" s="911"/>
      <c r="C104" s="909"/>
      <c r="D104" s="909"/>
      <c r="E104" s="909"/>
      <c r="F104" s="909"/>
      <c r="G104" s="909"/>
      <c r="H104" s="957"/>
      <c r="I104" s="957"/>
      <c r="J104" s="957"/>
      <c r="K104" s="957"/>
      <c r="L104" s="957"/>
      <c r="M104" s="909"/>
      <c r="N104" s="956"/>
      <c r="O104" s="1023"/>
      <c r="P104" s="1023"/>
      <c r="Q104" s="1023"/>
      <c r="R104" s="1023"/>
      <c r="S104" s="909"/>
      <c r="T104" s="909"/>
      <c r="U104" s="909"/>
      <c r="V104" s="909"/>
      <c r="W104" s="909"/>
      <c r="X104" s="909"/>
      <c r="Y104" s="1066"/>
      <c r="Z104" s="912"/>
      <c r="AA104" s="915"/>
      <c r="AB104" s="912"/>
      <c r="AC104" s="912"/>
      <c r="AD104" s="912"/>
    </row>
    <row customHeight="1" ht="9">
      <c r="A105" s="911"/>
      <c r="B105" s="911"/>
      <c r="C105" s="909"/>
      <c r="D105" s="909"/>
      <c r="E105" s="909"/>
      <c r="F105" s="909"/>
      <c r="G105" s="909"/>
      <c r="H105" s="957"/>
      <c r="I105" s="957"/>
      <c r="J105" s="957"/>
      <c r="K105" s="957"/>
      <c r="L105" s="957"/>
      <c r="M105" s="909"/>
      <c r="N105" s="956"/>
      <c r="O105" s="1023"/>
      <c r="P105" s="1023"/>
      <c r="Q105" s="1023"/>
      <c r="R105" s="1023"/>
      <c r="S105" s="909"/>
      <c r="T105" s="909"/>
      <c r="U105" s="909"/>
      <c r="V105" s="909"/>
      <c r="W105" s="909"/>
      <c r="X105" s="909"/>
      <c r="Y105" s="1066"/>
      <c r="Z105" s="912"/>
      <c r="AA105" s="915"/>
      <c r="AB105" s="912"/>
      <c r="AC105" s="912"/>
      <c r="AD105" s="912"/>
    </row>
    <row customHeight="1" ht="9">
      <c r="A106" s="911"/>
      <c r="B106" s="911"/>
      <c r="C106" s="909"/>
      <c r="D106" s="909"/>
      <c r="E106" s="909"/>
      <c r="F106" s="909"/>
      <c r="G106" s="909"/>
      <c r="H106" s="957"/>
      <c r="I106" s="957"/>
      <c r="J106" s="957"/>
      <c r="K106" s="957"/>
      <c r="L106" s="957"/>
      <c r="M106" s="909"/>
      <c r="N106" s="956"/>
      <c r="O106" s="1023"/>
      <c r="P106" s="1023"/>
      <c r="Q106" s="1023"/>
      <c r="R106" s="1023"/>
      <c r="S106" s="909"/>
      <c r="T106" s="909"/>
      <c r="U106" s="909"/>
      <c r="V106" s="909"/>
      <c r="W106" s="909"/>
      <c r="X106" s="909"/>
      <c r="Y106" s="1066"/>
      <c r="Z106" s="912"/>
      <c r="AA106" s="915"/>
      <c r="AB106" s="912"/>
      <c r="AC106" s="912"/>
      <c r="AD106" s="912"/>
    </row>
    <row customHeight="1" ht="9">
      <c r="A107" s="911"/>
      <c r="B107" s="911"/>
      <c r="C107" s="909"/>
      <c r="D107" s="909"/>
      <c r="E107" s="909"/>
      <c r="F107" s="909"/>
      <c r="G107" s="909"/>
      <c r="H107" s="957"/>
      <c r="I107" s="957"/>
      <c r="J107" s="957"/>
      <c r="K107" s="957"/>
      <c r="L107" s="957"/>
      <c r="M107" s="909"/>
      <c r="N107" s="956"/>
      <c r="O107" s="1023"/>
      <c r="P107" s="1023"/>
      <c r="Q107" s="1023"/>
      <c r="R107" s="1023"/>
      <c r="S107" s="909"/>
      <c r="T107" s="909"/>
      <c r="U107" s="909"/>
      <c r="V107" s="909"/>
      <c r="W107" s="909"/>
      <c r="X107" s="909"/>
      <c r="Y107" s="1066"/>
      <c r="Z107" s="912"/>
      <c r="AA107" s="915"/>
      <c r="AB107" s="912"/>
      <c r="AC107" s="912"/>
      <c r="AD107" s="912"/>
    </row>
    <row customHeight="1" ht="9">
      <c r="A108" s="911"/>
      <c r="B108" s="911"/>
      <c r="C108" s="909"/>
      <c r="D108" s="909"/>
      <c r="E108" s="909"/>
      <c r="F108" s="909"/>
      <c r="G108" s="909"/>
      <c r="H108" s="957"/>
      <c r="I108" s="957"/>
      <c r="J108" s="957"/>
      <c r="K108" s="957"/>
      <c r="L108" s="957"/>
      <c r="M108" s="909"/>
      <c r="N108" s="956"/>
      <c r="O108" s="1023"/>
      <c r="P108" s="1023"/>
      <c r="Q108" s="1023"/>
      <c r="R108" s="1023"/>
      <c r="S108" s="909"/>
      <c r="T108" s="909"/>
      <c r="U108" s="909"/>
      <c r="V108" s="909"/>
      <c r="W108" s="909"/>
      <c r="X108" s="909"/>
      <c r="Y108" s="1066"/>
      <c r="Z108" s="912"/>
      <c r="AA108" s="915"/>
      <c r="AB108" s="912"/>
      <c r="AC108" s="912"/>
      <c r="AD108" s="912"/>
    </row>
    <row customHeight="1" ht="9">
      <c r="A109" s="911"/>
      <c r="B109" s="911"/>
      <c r="C109" s="909"/>
      <c r="D109" s="909"/>
      <c r="E109" s="909"/>
      <c r="F109" s="909"/>
      <c r="G109" s="909"/>
      <c r="H109" s="957"/>
      <c r="I109" s="957"/>
      <c r="J109" s="957"/>
      <c r="K109" s="957"/>
      <c r="L109" s="957"/>
      <c r="M109" s="909"/>
      <c r="N109" s="956"/>
      <c r="O109" s="1023"/>
      <c r="P109" s="1023"/>
      <c r="Q109" s="1023"/>
      <c r="R109" s="1023"/>
      <c r="S109" s="909"/>
      <c r="T109" s="909"/>
      <c r="U109" s="909"/>
      <c r="V109" s="909"/>
      <c r="W109" s="909"/>
      <c r="X109" s="909"/>
      <c r="Y109" s="1066"/>
      <c r="Z109" s="912"/>
      <c r="AA109" s="915"/>
      <c r="AB109" s="912"/>
      <c r="AC109" s="912"/>
      <c r="AD109" s="912"/>
    </row>
    <row customHeight="1" ht="9">
      <c r="A110" s="911"/>
      <c r="B110" s="911"/>
      <c r="C110" s="909"/>
      <c r="D110" s="909"/>
      <c r="E110" s="909"/>
      <c r="F110" s="909"/>
      <c r="G110" s="909"/>
      <c r="H110" s="957"/>
      <c r="I110" s="957"/>
      <c r="J110" s="957"/>
      <c r="K110" s="957"/>
      <c r="L110" s="957"/>
      <c r="M110" s="909"/>
      <c r="N110" s="956"/>
      <c r="O110" s="1023"/>
      <c r="P110" s="1023"/>
      <c r="Q110" s="1023"/>
      <c r="R110" s="1023"/>
      <c r="S110" s="909"/>
      <c r="T110" s="909"/>
      <c r="U110" s="909"/>
      <c r="V110" s="909"/>
      <c r="W110" s="909"/>
      <c r="X110" s="909"/>
      <c r="Y110" s="1066"/>
      <c r="Z110" s="912"/>
      <c r="AA110" s="915"/>
      <c r="AB110" s="912"/>
      <c r="AC110" s="912"/>
      <c r="AD110" s="912"/>
    </row>
    <row customHeight="1" ht="9">
      <c r="A111" s="911"/>
      <c r="B111" s="911"/>
      <c r="C111" s="909"/>
      <c r="D111" s="909"/>
      <c r="E111" s="909"/>
      <c r="F111" s="909"/>
      <c r="G111" s="909"/>
      <c r="H111" s="957"/>
      <c r="I111" s="957"/>
      <c r="J111" s="957"/>
      <c r="K111" s="957"/>
      <c r="L111" s="957"/>
      <c r="M111" s="909"/>
      <c r="N111" s="956"/>
      <c r="O111" s="1023"/>
      <c r="P111" s="1023"/>
      <c r="Q111" s="1023"/>
      <c r="R111" s="1023"/>
      <c r="S111" s="909"/>
      <c r="T111" s="909"/>
      <c r="U111" s="909"/>
      <c r="V111" s="909"/>
      <c r="W111" s="909"/>
      <c r="X111" s="909"/>
      <c r="Y111" s="1066"/>
      <c r="Z111" s="912"/>
      <c r="AA111" s="915"/>
      <c r="AB111" s="912"/>
      <c r="AC111" s="912"/>
      <c r="AD111" s="912"/>
    </row>
    <row customHeight="1" ht="9">
      <c r="A112" s="911"/>
      <c r="B112" s="911"/>
      <c r="C112" s="909"/>
      <c r="D112" s="909"/>
      <c r="E112" s="909"/>
      <c r="F112" s="909"/>
      <c r="G112" s="909"/>
      <c r="H112" s="957"/>
      <c r="I112" s="957"/>
      <c r="J112" s="957"/>
      <c r="K112" s="957"/>
      <c r="L112" s="957"/>
      <c r="M112" s="909"/>
      <c r="N112" s="956"/>
      <c r="O112" s="1023"/>
      <c r="P112" s="1023"/>
      <c r="Q112" s="1023"/>
      <c r="R112" s="1023"/>
      <c r="S112" s="909"/>
      <c r="T112" s="909"/>
      <c r="U112" s="909"/>
      <c r="V112" s="909"/>
      <c r="W112" s="909"/>
      <c r="X112" s="909"/>
      <c r="Y112" s="1066"/>
      <c r="Z112" s="912"/>
      <c r="AA112" s="915"/>
      <c r="AB112" s="912"/>
      <c r="AC112" s="912"/>
      <c r="AD112" s="912"/>
    </row>
    <row customHeight="1" ht="9">
      <c r="A113" s="911"/>
      <c r="B113" s="911"/>
      <c r="C113" s="909"/>
      <c r="D113" s="909"/>
      <c r="E113" s="909"/>
      <c r="F113" s="909"/>
      <c r="G113" s="909"/>
      <c r="H113" s="957"/>
      <c r="I113" s="957"/>
      <c r="J113" s="957"/>
      <c r="K113" s="957"/>
      <c r="L113" s="957"/>
      <c r="M113" s="909"/>
      <c r="N113" s="956"/>
      <c r="O113" s="1023"/>
      <c r="P113" s="1023"/>
      <c r="Q113" s="1023"/>
      <c r="R113" s="1023"/>
      <c r="S113" s="909"/>
      <c r="T113" s="909"/>
      <c r="U113" s="909"/>
      <c r="V113" s="909"/>
      <c r="W113" s="909"/>
      <c r="X113" s="909"/>
      <c r="Y113" s="1066"/>
      <c r="Z113" s="912"/>
      <c r="AA113" s="915"/>
      <c r="AB113" s="912"/>
      <c r="AC113" s="912"/>
      <c r="AD113" s="912"/>
    </row>
    <row customHeight="1" ht="9">
      <c r="A114" s="911"/>
      <c r="B114" s="911"/>
      <c r="C114" s="909"/>
      <c r="D114" s="909"/>
      <c r="E114" s="909"/>
      <c r="F114" s="909"/>
      <c r="G114" s="909"/>
      <c r="H114" s="957"/>
      <c r="I114" s="957"/>
      <c r="J114" s="957"/>
      <c r="K114" s="957"/>
      <c r="L114" s="957"/>
      <c r="M114" s="909"/>
      <c r="N114" s="956"/>
      <c r="O114" s="1023"/>
      <c r="P114" s="1023"/>
      <c r="Q114" s="1023"/>
      <c r="R114" s="1023"/>
      <c r="S114" s="909"/>
      <c r="T114" s="909"/>
      <c r="U114" s="909"/>
      <c r="V114" s="909"/>
      <c r="W114" s="909"/>
      <c r="X114" s="909"/>
      <c r="Y114" s="1066"/>
      <c r="Z114" s="912"/>
      <c r="AA114" s="915"/>
      <c r="AB114" s="912"/>
      <c r="AC114" s="912"/>
      <c r="AD114" s="912"/>
    </row>
    <row customHeight="1" ht="9">
      <c r="A115" s="911"/>
      <c r="B115" s="911"/>
      <c r="C115" s="909"/>
      <c r="D115" s="909"/>
      <c r="E115" s="909"/>
      <c r="F115" s="909"/>
      <c r="G115" s="909"/>
      <c r="H115" s="957"/>
      <c r="I115" s="957"/>
      <c r="J115" s="957"/>
      <c r="K115" s="957"/>
      <c r="L115" s="957"/>
      <c r="M115" s="909"/>
      <c r="N115" s="956"/>
      <c r="O115" s="1023"/>
      <c r="P115" s="1023"/>
      <c r="Q115" s="1023"/>
      <c r="R115" s="1023"/>
      <c r="S115" s="909"/>
      <c r="T115" s="909"/>
      <c r="U115" s="909"/>
      <c r="V115" s="909"/>
      <c r="W115" s="909"/>
      <c r="X115" s="909"/>
      <c r="Y115" s="1066"/>
      <c r="Z115" s="912"/>
      <c r="AA115" s="915"/>
      <c r="AB115" s="912"/>
      <c r="AC115" s="912"/>
      <c r="AD115" s="912"/>
    </row>
    <row customHeight="1" ht="9">
      <c r="A116" s="911"/>
      <c r="B116" s="911"/>
      <c r="C116" s="909"/>
      <c r="D116" s="909"/>
      <c r="E116" s="909"/>
      <c r="F116" s="909"/>
      <c r="G116" s="909"/>
      <c r="H116" s="957"/>
      <c r="I116" s="957"/>
      <c r="J116" s="957"/>
      <c r="K116" s="957"/>
      <c r="L116" s="957"/>
      <c r="M116" s="909"/>
      <c r="N116" s="956"/>
      <c r="O116" s="1023"/>
      <c r="P116" s="1023"/>
      <c r="Q116" s="1023"/>
      <c r="R116" s="1023"/>
      <c r="S116" s="909"/>
      <c r="T116" s="909"/>
      <c r="U116" s="909"/>
      <c r="V116" s="909"/>
      <c r="W116" s="909"/>
      <c r="X116" s="909"/>
      <c r="Y116" s="1066"/>
      <c r="Z116" s="912"/>
      <c r="AA116" s="915"/>
      <c r="AB116" s="912"/>
      <c r="AC116" s="912"/>
      <c r="AD116" s="912"/>
    </row>
    <row customHeight="1" ht="9">
      <c r="A117" s="911"/>
      <c r="B117" s="911"/>
      <c r="C117" s="909"/>
      <c r="D117" s="909"/>
      <c r="E117" s="909"/>
      <c r="F117" s="909"/>
      <c r="G117" s="909"/>
      <c r="H117" s="957"/>
      <c r="I117" s="957"/>
      <c r="J117" s="957"/>
      <c r="K117" s="957"/>
      <c r="L117" s="957"/>
      <c r="M117" s="909"/>
      <c r="N117" s="956"/>
      <c r="O117" s="1023"/>
      <c r="P117" s="1023"/>
      <c r="Q117" s="1023"/>
      <c r="R117" s="1023"/>
      <c r="S117" s="909"/>
      <c r="T117" s="909"/>
      <c r="U117" s="909"/>
      <c r="V117" s="909"/>
      <c r="W117" s="909"/>
      <c r="X117" s="909"/>
      <c r="Y117" s="1066"/>
      <c r="Z117" s="912"/>
      <c r="AA117" s="915"/>
      <c r="AB117" s="912"/>
      <c r="AC117" s="912"/>
      <c r="AD117" s="912"/>
    </row>
    <row customHeight="1" ht="9">
      <c r="A118" s="911"/>
      <c r="B118" s="911"/>
      <c r="C118" s="909"/>
      <c r="D118" s="909"/>
      <c r="E118" s="909"/>
      <c r="F118" s="909"/>
      <c r="G118" s="909"/>
      <c r="H118" s="957"/>
      <c r="I118" s="957"/>
      <c r="J118" s="957"/>
      <c r="K118" s="957"/>
      <c r="L118" s="957"/>
      <c r="M118" s="909"/>
      <c r="N118" s="956"/>
      <c r="O118" s="1023"/>
      <c r="P118" s="1023"/>
      <c r="Q118" s="1023"/>
      <c r="R118" s="1023"/>
      <c r="S118" s="909"/>
      <c r="T118" s="909"/>
      <c r="U118" s="909"/>
      <c r="V118" s="909"/>
      <c r="W118" s="909"/>
      <c r="X118" s="909"/>
      <c r="Y118" s="1066"/>
      <c r="Z118" s="912"/>
      <c r="AA118" s="915"/>
      <c r="AB118" s="912"/>
      <c r="AC118" s="912"/>
      <c r="AD118" s="912"/>
    </row>
    <row customHeight="1" ht="9">
      <c r="A119" s="911"/>
      <c r="B119" s="911"/>
      <c r="C119" s="909"/>
      <c r="D119" s="909"/>
      <c r="E119" s="909"/>
      <c r="F119" s="909"/>
      <c r="G119" s="909"/>
      <c r="H119" s="957"/>
      <c r="I119" s="957"/>
      <c r="J119" s="957"/>
      <c r="K119" s="957"/>
      <c r="L119" s="957"/>
      <c r="M119" s="909"/>
      <c r="N119" s="956"/>
      <c r="O119" s="1023"/>
      <c r="P119" s="1023"/>
      <c r="Q119" s="1023"/>
      <c r="R119" s="1023"/>
      <c r="S119" s="909"/>
      <c r="T119" s="909"/>
      <c r="U119" s="909"/>
      <c r="V119" s="909"/>
      <c r="W119" s="909"/>
      <c r="X119" s="909"/>
      <c r="Y119" s="1066"/>
      <c r="Z119" s="912"/>
      <c r="AA119" s="915"/>
      <c r="AB119" s="912"/>
      <c r="AC119" s="912"/>
      <c r="AD119" s="912"/>
    </row>
    <row customHeight="1" ht="9">
      <c r="A120" s="911"/>
      <c r="B120" s="911"/>
      <c r="C120" s="909"/>
      <c r="D120" s="909"/>
      <c r="E120" s="909"/>
      <c r="F120" s="909"/>
      <c r="G120" s="909"/>
      <c r="H120" s="957"/>
      <c r="I120" s="957"/>
      <c r="J120" s="957"/>
      <c r="K120" s="957"/>
      <c r="L120" s="957"/>
      <c r="M120" s="909"/>
      <c r="N120" s="956"/>
      <c r="O120" s="1023"/>
      <c r="P120" s="1023"/>
      <c r="Q120" s="1023"/>
      <c r="R120" s="1023"/>
      <c r="S120" s="909"/>
      <c r="T120" s="909"/>
      <c r="U120" s="909"/>
      <c r="V120" s="909"/>
      <c r="W120" s="909"/>
      <c r="X120" s="909"/>
      <c r="Y120" s="1066"/>
      <c r="Z120" s="912"/>
      <c r="AA120" s="915"/>
      <c r="AB120" s="912"/>
      <c r="AC120" s="912"/>
      <c r="AD120" s="912"/>
    </row>
    <row customHeight="1" ht="9">
      <c r="A121" s="911"/>
      <c r="B121" s="911"/>
      <c r="C121" s="909"/>
      <c r="D121" s="909"/>
      <c r="E121" s="909"/>
      <c r="F121" s="909"/>
      <c r="G121" s="909"/>
      <c r="H121" s="957"/>
      <c r="I121" s="957"/>
      <c r="J121" s="957"/>
      <c r="K121" s="957"/>
      <c r="L121" s="957"/>
      <c r="M121" s="909"/>
      <c r="N121" s="956"/>
      <c r="O121" s="1023"/>
      <c r="P121" s="1023"/>
      <c r="Q121" s="1023"/>
      <c r="R121" s="1023"/>
      <c r="S121" s="909"/>
      <c r="T121" s="909"/>
      <c r="U121" s="909"/>
      <c r="V121" s="909"/>
      <c r="W121" s="909"/>
      <c r="X121" s="909"/>
      <c r="Y121" s="1066"/>
      <c r="Z121" s="912"/>
      <c r="AA121" s="915"/>
      <c r="AB121" s="912"/>
      <c r="AC121" s="912"/>
      <c r="AD121" s="912"/>
    </row>
    <row customHeight="1" ht="9">
      <c r="A122" s="911"/>
      <c r="B122" s="911"/>
      <c r="C122" s="909"/>
      <c r="D122" s="909"/>
      <c r="E122" s="909"/>
      <c r="F122" s="909"/>
      <c r="G122" s="909"/>
      <c r="H122" s="957"/>
      <c r="I122" s="957"/>
      <c r="J122" s="957"/>
      <c r="K122" s="957"/>
      <c r="L122" s="957"/>
      <c r="M122" s="909"/>
      <c r="N122" s="956"/>
      <c r="O122" s="1023"/>
      <c r="P122" s="1023"/>
      <c r="Q122" s="1023"/>
      <c r="R122" s="1023"/>
      <c r="S122" s="909"/>
      <c r="T122" s="909"/>
      <c r="U122" s="909"/>
      <c r="V122" s="909"/>
      <c r="W122" s="909"/>
      <c r="X122" s="909"/>
      <c r="Y122" s="1066"/>
      <c r="Z122" s="912"/>
      <c r="AA122" s="915"/>
      <c r="AB122" s="912"/>
      <c r="AC122" s="912"/>
      <c r="AD122" s="912"/>
    </row>
    <row customHeight="1" ht="9">
      <c r="A123" s="911"/>
      <c r="B123" s="911"/>
      <c r="C123" s="909"/>
      <c r="D123" s="909"/>
      <c r="E123" s="909"/>
      <c r="F123" s="909"/>
      <c r="G123" s="909"/>
      <c r="H123" s="957"/>
      <c r="I123" s="957"/>
      <c r="J123" s="957"/>
      <c r="K123" s="957"/>
      <c r="L123" s="957"/>
      <c r="M123" s="909"/>
      <c r="N123" s="956"/>
      <c r="O123" s="1023"/>
      <c r="P123" s="1023"/>
      <c r="Q123" s="1023"/>
      <c r="R123" s="1023"/>
      <c r="S123" s="909"/>
      <c r="T123" s="909"/>
      <c r="U123" s="909"/>
      <c r="V123" s="909"/>
      <c r="W123" s="909"/>
      <c r="X123" s="909"/>
      <c r="Y123" s="1066"/>
      <c r="Z123" s="912"/>
      <c r="AA123" s="915"/>
      <c r="AB123" s="912"/>
      <c r="AC123" s="912"/>
      <c r="AD123" s="912"/>
    </row>
    <row customHeight="1" ht="9">
      <c r="A124" s="911"/>
      <c r="B124" s="911"/>
      <c r="C124" s="909"/>
      <c r="D124" s="909"/>
      <c r="E124" s="909"/>
      <c r="F124" s="909"/>
      <c r="G124" s="909"/>
      <c r="H124" s="957"/>
      <c r="I124" s="957"/>
      <c r="J124" s="957"/>
      <c r="K124" s="957"/>
      <c r="L124" s="957"/>
      <c r="M124" s="909"/>
      <c r="N124" s="956"/>
      <c r="O124" s="1023"/>
      <c r="P124" s="1023"/>
      <c r="Q124" s="1023"/>
      <c r="R124" s="1023"/>
      <c r="S124" s="909"/>
      <c r="T124" s="909"/>
      <c r="U124" s="909"/>
      <c r="V124" s="909"/>
      <c r="W124" s="909"/>
      <c r="X124" s="909"/>
      <c r="Y124" s="1066"/>
      <c r="Z124" s="912"/>
      <c r="AA124" s="915"/>
      <c r="AB124" s="912"/>
      <c r="AC124" s="912"/>
      <c r="AD124" s="912"/>
    </row>
    <row customHeight="1" ht="9">
      <c r="A125" s="911"/>
      <c r="B125" s="911"/>
      <c r="C125" s="909"/>
      <c r="D125" s="909"/>
      <c r="E125" s="909"/>
      <c r="F125" s="909"/>
      <c r="G125" s="909"/>
      <c r="H125" s="957"/>
      <c r="I125" s="957"/>
      <c r="J125" s="957"/>
      <c r="K125" s="957"/>
      <c r="L125" s="957"/>
      <c r="M125" s="909"/>
      <c r="N125" s="956"/>
      <c r="O125" s="1023"/>
      <c r="P125" s="1023"/>
      <c r="Q125" s="1023"/>
      <c r="R125" s="1023"/>
      <c r="S125" s="909"/>
      <c r="T125" s="909"/>
      <c r="U125" s="909"/>
      <c r="V125" s="909"/>
      <c r="W125" s="909"/>
      <c r="X125" s="909"/>
      <c r="Y125" s="1066"/>
      <c r="Z125" s="912"/>
      <c r="AA125" s="915"/>
      <c r="AB125" s="912"/>
      <c r="AC125" s="912"/>
      <c r="AD125" s="912"/>
    </row>
    <row customHeight="1" ht="9">
      <c r="A126" s="911"/>
      <c r="B126" s="911"/>
      <c r="C126" s="909"/>
      <c r="D126" s="909"/>
      <c r="E126" s="909"/>
      <c r="F126" s="909"/>
      <c r="G126" s="909"/>
      <c r="H126" s="957"/>
      <c r="I126" s="957"/>
      <c r="J126" s="957"/>
      <c r="K126" s="957"/>
      <c r="L126" s="957"/>
      <c r="M126" s="909"/>
      <c r="N126" s="956"/>
      <c r="O126" s="1023"/>
      <c r="P126" s="1023"/>
      <c r="Q126" s="1023"/>
      <c r="R126" s="1023"/>
      <c r="S126" s="909"/>
      <c r="T126" s="909"/>
      <c r="U126" s="909"/>
      <c r="V126" s="909"/>
      <c r="W126" s="909"/>
      <c r="X126" s="909"/>
      <c r="Y126" s="1066"/>
      <c r="Z126" s="912"/>
      <c r="AA126" s="915"/>
      <c r="AB126" s="912"/>
      <c r="AC126" s="912"/>
      <c r="AD126" s="912"/>
    </row>
    <row customHeight="1" ht="9">
      <c r="A127" s="911"/>
      <c r="B127" s="911"/>
      <c r="C127" s="909"/>
      <c r="D127" s="909"/>
      <c r="E127" s="909"/>
      <c r="F127" s="909"/>
      <c r="G127" s="909"/>
      <c r="H127" s="957"/>
      <c r="I127" s="957"/>
      <c r="J127" s="957"/>
      <c r="K127" s="957"/>
      <c r="L127" s="957"/>
      <c r="M127" s="909"/>
      <c r="N127" s="956"/>
      <c r="O127" s="1023"/>
      <c r="P127" s="1023"/>
      <c r="Q127" s="1023"/>
      <c r="R127" s="1023"/>
      <c r="S127" s="909"/>
      <c r="T127" s="909"/>
      <c r="U127" s="909"/>
      <c r="V127" s="909"/>
      <c r="W127" s="909"/>
      <c r="X127" s="909"/>
      <c r="Y127" s="1066"/>
      <c r="Z127" s="912"/>
      <c r="AA127" s="915"/>
      <c r="AB127" s="912"/>
      <c r="AC127" s="912"/>
      <c r="AD127" s="912"/>
    </row>
    <row customHeight="1" ht="9">
      <c r="A128" s="911"/>
      <c r="B128" s="911"/>
      <c r="C128" s="909"/>
      <c r="D128" s="909"/>
      <c r="E128" s="909"/>
      <c r="F128" s="909"/>
      <c r="G128" s="909"/>
      <c r="H128" s="957"/>
      <c r="I128" s="957"/>
      <c r="J128" s="957"/>
      <c r="K128" s="957"/>
      <c r="L128" s="957"/>
      <c r="M128" s="909"/>
      <c r="N128" s="956"/>
      <c r="O128" s="1023"/>
      <c r="P128" s="1023"/>
      <c r="Q128" s="1023"/>
      <c r="R128" s="1023"/>
      <c r="S128" s="909"/>
      <c r="T128" s="909"/>
      <c r="U128" s="909"/>
      <c r="V128" s="909"/>
      <c r="W128" s="909"/>
      <c r="X128" s="909"/>
      <c r="Y128" s="1066"/>
      <c r="Z128" s="912"/>
      <c r="AA128" s="915"/>
      <c r="AB128" s="912"/>
      <c r="AC128" s="912"/>
      <c r="AD128" s="912"/>
    </row>
    <row customHeight="1" ht="9">
      <c r="A129" s="911"/>
      <c r="B129" s="911"/>
      <c r="C129" s="909"/>
      <c r="D129" s="909"/>
      <c r="E129" s="909"/>
      <c r="F129" s="909"/>
      <c r="G129" s="909"/>
      <c r="H129" s="957"/>
      <c r="I129" s="957"/>
      <c r="J129" s="957"/>
      <c r="K129" s="957"/>
      <c r="L129" s="957"/>
      <c r="M129" s="909"/>
      <c r="N129" s="956"/>
      <c r="O129" s="1023"/>
      <c r="P129" s="1023"/>
      <c r="Q129" s="1023"/>
      <c r="R129" s="1023"/>
      <c r="S129" s="909"/>
      <c r="T129" s="909"/>
      <c r="U129" s="909"/>
      <c r="V129" s="909"/>
      <c r="W129" s="909"/>
      <c r="X129" s="909"/>
      <c r="Y129" s="1066"/>
      <c r="Z129" s="912"/>
      <c r="AA129" s="915"/>
      <c r="AB129" s="912"/>
      <c r="AC129" s="912"/>
      <c r="AD129" s="912"/>
    </row>
    <row customHeight="1" ht="9">
      <c r="A130" s="911"/>
      <c r="B130" s="911"/>
      <c r="C130" s="909"/>
      <c r="D130" s="909"/>
      <c r="E130" s="909"/>
      <c r="F130" s="909"/>
      <c r="G130" s="909"/>
      <c r="H130" s="957"/>
      <c r="I130" s="957"/>
      <c r="J130" s="957"/>
      <c r="K130" s="957"/>
      <c r="L130" s="957"/>
      <c r="M130" s="909"/>
      <c r="N130" s="956"/>
      <c r="O130" s="1025"/>
      <c r="P130" s="1025"/>
      <c r="Q130" s="1025"/>
      <c r="R130" s="1025"/>
      <c r="S130" s="909"/>
      <c r="T130" s="909"/>
      <c r="U130" s="909"/>
      <c r="V130" s="909"/>
      <c r="W130" s="909"/>
      <c r="X130" s="909"/>
      <c r="Y130" s="1066"/>
      <c r="Z130" s="912"/>
      <c r="AA130" s="915"/>
      <c r="AB130" s="912"/>
      <c r="AC130" s="912"/>
      <c r="AD130" s="912"/>
    </row>
    <row customHeight="1" ht="9">
      <c r="A131" s="911"/>
      <c r="B131" s="911"/>
      <c r="C131" s="909"/>
      <c r="D131" s="909"/>
      <c r="E131" s="909"/>
      <c r="F131" s="909"/>
      <c r="G131" s="909"/>
      <c r="H131" s="957"/>
      <c r="I131" s="957"/>
      <c r="J131" s="957"/>
      <c r="K131" s="957"/>
      <c r="L131" s="957"/>
      <c r="M131" s="909"/>
      <c r="N131" s="956"/>
      <c r="O131" s="1026"/>
      <c r="P131" s="1026"/>
      <c r="Q131" s="1026"/>
      <c r="R131" s="1026"/>
      <c r="S131" s="909"/>
      <c r="T131" s="909"/>
      <c r="U131" s="909"/>
      <c r="V131" s="909"/>
      <c r="W131" s="909"/>
      <c r="X131" s="909"/>
      <c r="Y131" s="1066"/>
      <c r="Z131" s="912"/>
      <c r="AA131" s="915"/>
      <c r="AB131" s="912"/>
      <c r="AC131" s="912"/>
      <c r="AD131" s="912"/>
    </row>
    <row customHeight="1" ht="9">
      <c r="A132" s="911"/>
      <c r="B132" s="911"/>
      <c r="C132" s="909"/>
      <c r="D132" s="909"/>
      <c r="E132" s="909"/>
      <c r="F132" s="909"/>
      <c r="G132" s="909"/>
      <c r="H132" s="957"/>
      <c r="I132" s="957"/>
      <c r="J132" s="957"/>
      <c r="K132" s="957"/>
      <c r="L132" s="957"/>
      <c r="M132" s="909"/>
      <c r="N132" s="956"/>
      <c r="O132" s="1025"/>
      <c r="P132" s="1025"/>
      <c r="Q132" s="1025"/>
      <c r="R132" s="1025"/>
      <c r="S132" s="909"/>
      <c r="T132" s="909"/>
      <c r="U132" s="909"/>
      <c r="V132" s="909"/>
      <c r="W132" s="909"/>
      <c r="X132" s="909"/>
      <c r="Y132" s="1066"/>
      <c r="Z132" s="912"/>
      <c r="AA132" s="915"/>
      <c r="AB132" s="912"/>
      <c r="AC132" s="912"/>
      <c r="AD132" s="912"/>
    </row>
    <row customHeight="1" ht="9">
      <c r="A133" s="911"/>
      <c r="B133" s="911"/>
      <c r="C133" s="909"/>
      <c r="D133" s="909"/>
      <c r="E133" s="909"/>
      <c r="F133" s="909"/>
      <c r="G133" s="909"/>
      <c r="H133" s="957"/>
      <c r="I133" s="957"/>
      <c r="J133" s="957"/>
      <c r="K133" s="957"/>
      <c r="L133" s="957"/>
      <c r="M133" s="909"/>
      <c r="N133" s="956"/>
      <c r="O133" s="1026"/>
      <c r="P133" s="1026"/>
      <c r="Q133" s="1026"/>
      <c r="R133" s="1026"/>
      <c r="S133" s="909"/>
      <c r="T133" s="909"/>
      <c r="U133" s="909"/>
      <c r="V133" s="909"/>
      <c r="W133" s="909"/>
      <c r="X133" s="909"/>
      <c r="Y133" s="1066"/>
      <c r="Z133" s="912"/>
      <c r="AA133" s="915"/>
      <c r="AB133" s="912"/>
      <c r="AC133" s="912"/>
      <c r="AD133" s="912"/>
    </row>
    <row customHeight="1" ht="9">
      <c r="A134" s="911"/>
      <c r="B134" s="911"/>
      <c r="C134" s="909"/>
      <c r="D134" s="909"/>
      <c r="E134" s="909"/>
      <c r="F134" s="909"/>
      <c r="G134" s="909"/>
      <c r="H134" s="957"/>
      <c r="I134" s="957"/>
      <c r="J134" s="957"/>
      <c r="K134" s="957"/>
      <c r="L134" s="957"/>
      <c r="M134" s="909"/>
      <c r="N134" s="956"/>
      <c r="O134" s="1023"/>
      <c r="P134" s="1023"/>
      <c r="Q134" s="1023"/>
      <c r="R134" s="1023"/>
      <c r="S134" s="909"/>
      <c r="T134" s="909"/>
      <c r="U134" s="909"/>
      <c r="V134" s="909"/>
      <c r="W134" s="909"/>
      <c r="X134" s="909"/>
      <c r="Y134" s="1066"/>
      <c r="Z134" s="912"/>
      <c r="AA134" s="915"/>
      <c r="AB134" s="912"/>
      <c r="AC134" s="912"/>
      <c r="AD134" s="912"/>
    </row>
    <row customHeight="1" ht="9">
      <c r="A135" s="911"/>
      <c r="B135" s="911"/>
      <c r="C135" s="909"/>
      <c r="D135" s="909"/>
      <c r="E135" s="909"/>
      <c r="F135" s="909"/>
      <c r="G135" s="909"/>
      <c r="H135" s="957"/>
      <c r="I135" s="957"/>
      <c r="J135" s="957"/>
      <c r="K135" s="957"/>
      <c r="L135" s="957"/>
      <c r="M135" s="909"/>
      <c r="N135" s="956"/>
      <c r="O135" s="1023"/>
      <c r="P135" s="1023"/>
      <c r="Q135" s="1023"/>
      <c r="R135" s="1023"/>
      <c r="S135" s="909"/>
      <c r="T135" s="909"/>
      <c r="U135" s="909"/>
      <c r="V135" s="909"/>
      <c r="W135" s="909"/>
      <c r="X135" s="909"/>
      <c r="Y135" s="1066"/>
      <c r="Z135" s="912"/>
      <c r="AA135" s="915"/>
      <c r="AB135" s="912"/>
      <c r="AC135" s="912"/>
      <c r="AD135" s="912"/>
    </row>
    <row customHeight="1" ht="9">
      <c r="A136" s="911"/>
      <c r="B136" s="911"/>
      <c r="C136" s="909"/>
      <c r="D136" s="909"/>
      <c r="E136" s="909"/>
      <c r="F136" s="909"/>
      <c r="G136" s="909"/>
      <c r="H136" s="957"/>
      <c r="I136" s="957"/>
      <c r="J136" s="957"/>
      <c r="K136" s="957"/>
      <c r="L136" s="957"/>
      <c r="M136" s="909"/>
      <c r="N136" s="956"/>
      <c r="O136" s="1023"/>
      <c r="P136" s="1023"/>
      <c r="Q136" s="1023"/>
      <c r="R136" s="1023"/>
      <c r="S136" s="909"/>
      <c r="T136" s="909"/>
      <c r="U136" s="909"/>
      <c r="V136" s="909"/>
      <c r="W136" s="909"/>
      <c r="X136" s="909"/>
      <c r="Y136" s="1066"/>
      <c r="Z136" s="912"/>
      <c r="AA136" s="915"/>
      <c r="AB136" s="912"/>
      <c r="AC136" s="912"/>
      <c r="AD136" s="912"/>
    </row>
    <row customHeight="1" ht="9">
      <c r="A137" s="911"/>
      <c r="B137" s="911"/>
      <c r="C137" s="909"/>
      <c r="D137" s="909"/>
      <c r="E137" s="909"/>
      <c r="F137" s="909"/>
      <c r="G137" s="909"/>
      <c r="H137" s="957"/>
      <c r="I137" s="957"/>
      <c r="J137" s="957"/>
      <c r="K137" s="957"/>
      <c r="L137" s="957"/>
      <c r="M137" s="909"/>
      <c r="N137" s="956"/>
      <c r="O137" s="1027"/>
      <c r="P137" s="1027"/>
      <c r="Q137" s="1027"/>
      <c r="R137" s="1027"/>
      <c r="S137" s="909"/>
      <c r="T137" s="909"/>
      <c r="U137" s="909"/>
      <c r="V137" s="909"/>
      <c r="W137" s="909"/>
      <c r="X137" s="909"/>
      <c r="Y137" s="1066"/>
      <c r="Z137" s="912"/>
      <c r="AA137" s="915"/>
      <c r="AB137" s="912"/>
      <c r="AC137" s="912"/>
      <c r="AD137" s="912"/>
    </row>
    <row customHeight="1" ht="9">
      <c r="A138" s="911"/>
      <c r="B138" s="911"/>
      <c r="C138" s="909"/>
      <c r="D138" s="909"/>
      <c r="E138" s="909"/>
      <c r="F138" s="909"/>
      <c r="G138" s="909"/>
      <c r="H138" s="957"/>
      <c r="I138" s="957"/>
      <c r="J138" s="957"/>
      <c r="K138" s="957"/>
      <c r="L138" s="957"/>
      <c r="M138" s="909"/>
      <c r="N138" s="956"/>
      <c r="O138" s="1024"/>
      <c r="P138" s="1024"/>
      <c r="Q138" s="1024"/>
      <c r="R138" s="1024"/>
      <c r="S138" s="909"/>
      <c r="T138" s="909"/>
      <c r="U138" s="909"/>
      <c r="V138" s="909"/>
      <c r="W138" s="909"/>
      <c r="X138" s="909"/>
      <c r="Y138" s="1066"/>
      <c r="Z138" s="912"/>
      <c r="AA138" s="915"/>
      <c r="AB138" s="912"/>
      <c r="AC138" s="912"/>
      <c r="AD138" s="912"/>
    </row>
    <row customHeight="1" ht="9">
      <c r="A139" s="911"/>
      <c r="B139" s="911"/>
      <c r="C139" s="909"/>
      <c r="D139" s="909"/>
      <c r="E139" s="909"/>
      <c r="F139" s="909"/>
      <c r="G139" s="909"/>
      <c r="H139" s="957"/>
      <c r="I139" s="957"/>
      <c r="J139" s="957"/>
      <c r="K139" s="957"/>
      <c r="L139" s="957"/>
      <c r="M139" s="909"/>
      <c r="N139" s="956"/>
      <c r="O139" s="909"/>
      <c r="P139" s="909"/>
      <c r="Q139" s="909"/>
      <c r="R139" s="909"/>
      <c r="S139" s="909"/>
      <c r="T139" s="909"/>
      <c r="U139" s="909"/>
      <c r="V139" s="909"/>
      <c r="W139" s="909"/>
      <c r="X139" s="909"/>
      <c r="Y139" s="1066"/>
      <c r="Z139" s="912"/>
      <c r="AA139" s="915"/>
      <c r="AB139" s="912"/>
      <c r="AC139" s="912"/>
      <c r="AD139" s="912"/>
    </row>
    <row customHeight="1" ht="9">
      <c r="A140" s="911"/>
      <c r="B140" s="911"/>
      <c r="C140" s="909"/>
      <c r="D140" s="909"/>
      <c r="E140" s="909"/>
      <c r="F140" s="909"/>
      <c r="G140" s="909"/>
      <c r="H140" s="957"/>
      <c r="I140" s="957"/>
      <c r="J140" s="957"/>
      <c r="K140" s="957"/>
      <c r="L140" s="957"/>
      <c r="M140" s="909"/>
      <c r="N140" s="956"/>
      <c r="O140" s="909"/>
      <c r="P140" s="909"/>
      <c r="Q140" s="909"/>
      <c r="R140" s="909"/>
      <c r="S140" s="909"/>
      <c r="T140" s="909"/>
      <c r="U140" s="909"/>
      <c r="V140" s="909"/>
      <c r="W140" s="909"/>
      <c r="X140" s="909"/>
      <c r="Y140" s="1066"/>
      <c r="Z140" s="912"/>
      <c r="AA140" s="915"/>
      <c r="AB140" s="912"/>
      <c r="AC140" s="912"/>
      <c r="AD140" s="912"/>
    </row>
    <row customHeight="1" ht="9">
      <c r="A141" s="911"/>
      <c r="B141" s="911"/>
      <c r="C141" s="909"/>
      <c r="D141" s="909"/>
      <c r="E141" s="909"/>
      <c r="F141" s="909"/>
      <c r="G141" s="909"/>
      <c r="H141" s="957"/>
      <c r="I141" s="957"/>
      <c r="J141" s="957"/>
      <c r="K141" s="957"/>
      <c r="L141" s="957"/>
      <c r="M141" s="909"/>
      <c r="N141" s="956"/>
      <c r="O141" s="909"/>
      <c r="P141" s="909"/>
      <c r="Q141" s="909"/>
      <c r="R141" s="909"/>
      <c r="S141" s="909"/>
      <c r="T141" s="909"/>
      <c r="U141" s="909"/>
      <c r="V141" s="909"/>
      <c r="W141" s="909"/>
      <c r="X141" s="909"/>
      <c r="Y141" s="1066"/>
      <c r="Z141" s="912"/>
      <c r="AA141" s="915"/>
      <c r="AB141" s="912"/>
      <c r="AC141" s="912"/>
      <c r="AD141" s="912"/>
    </row>
    <row customHeight="1" ht="9">
      <c r="A142" s="911"/>
      <c r="B142" s="911"/>
      <c r="C142" s="909"/>
      <c r="D142" s="909"/>
      <c r="E142" s="909"/>
      <c r="F142" s="909"/>
      <c r="G142" s="909"/>
      <c r="H142" s="957"/>
      <c r="I142" s="957"/>
      <c r="J142" s="957"/>
      <c r="K142" s="957"/>
      <c r="L142" s="957"/>
      <c r="M142" s="909"/>
      <c r="N142" s="956"/>
      <c r="O142" s="909"/>
      <c r="P142" s="909"/>
      <c r="Q142" s="909"/>
      <c r="R142" s="909"/>
      <c r="S142" s="909"/>
      <c r="T142" s="909"/>
      <c r="U142" s="909"/>
      <c r="V142" s="909"/>
      <c r="W142" s="909"/>
      <c r="X142" s="909"/>
      <c r="Y142" s="1066"/>
      <c r="Z142" s="912"/>
      <c r="AA142" s="915"/>
      <c r="AB142" s="912"/>
      <c r="AC142" s="912"/>
      <c r="AD142" s="912"/>
    </row>
    <row customHeight="1" ht="9">
      <c r="A143" s="911"/>
      <c r="B143" s="911"/>
      <c r="C143" s="909"/>
      <c r="D143" s="909"/>
      <c r="E143" s="909"/>
      <c r="F143" s="909"/>
      <c r="G143" s="909"/>
      <c r="H143" s="957"/>
      <c r="I143" s="957"/>
      <c r="J143" s="957"/>
      <c r="K143" s="957"/>
      <c r="L143" s="957"/>
      <c r="M143" s="909"/>
      <c r="N143" s="956"/>
      <c r="O143" s="909"/>
      <c r="P143" s="909"/>
      <c r="Q143" s="909"/>
      <c r="R143" s="909"/>
      <c r="S143" s="909"/>
      <c r="T143" s="909"/>
      <c r="U143" s="909"/>
      <c r="V143" s="909"/>
      <c r="W143" s="909"/>
      <c r="X143" s="909"/>
      <c r="Y143" s="1066"/>
      <c r="Z143" s="912"/>
      <c r="AA143" s="915"/>
      <c r="AB143" s="912"/>
      <c r="AC143" s="912"/>
      <c r="AD143" s="912"/>
    </row>
    <row customHeight="1" ht="9">
      <c r="A144" s="911"/>
      <c r="B144" s="911"/>
      <c r="C144" s="909"/>
      <c r="D144" s="909"/>
      <c r="E144" s="909"/>
      <c r="F144" s="909"/>
      <c r="G144" s="909"/>
      <c r="H144" s="957"/>
      <c r="I144" s="957"/>
      <c r="J144" s="957"/>
      <c r="K144" s="957"/>
      <c r="L144" s="957"/>
      <c r="M144" s="909"/>
      <c r="N144" s="956"/>
      <c r="O144" s="909"/>
      <c r="P144" s="909"/>
      <c r="Q144" s="909"/>
      <c r="R144" s="909"/>
      <c r="S144" s="909"/>
      <c r="T144" s="909"/>
      <c r="U144" s="909"/>
      <c r="V144" s="909"/>
      <c r="W144" s="909"/>
      <c r="X144" s="909"/>
      <c r="Y144" s="1066"/>
      <c r="Z144" s="912"/>
      <c r="AA144" s="915"/>
      <c r="AB144" s="912"/>
      <c r="AC144" s="912"/>
      <c r="AD144" s="912"/>
    </row>
    <row customHeight="1" ht="9">
      <c r="A145" s="911"/>
      <c r="B145" s="911"/>
      <c r="C145" s="909"/>
      <c r="D145" s="909"/>
      <c r="E145" s="909"/>
      <c r="F145" s="909"/>
      <c r="G145" s="909"/>
      <c r="H145" s="957"/>
      <c r="I145" s="957"/>
      <c r="J145" s="957"/>
      <c r="K145" s="957"/>
      <c r="L145" s="957"/>
      <c r="M145" s="909"/>
      <c r="N145" s="956"/>
      <c r="O145" s="909"/>
      <c r="P145" s="909"/>
      <c r="Q145" s="909"/>
      <c r="R145" s="909"/>
      <c r="S145" s="909"/>
      <c r="T145" s="909"/>
      <c r="U145" s="909"/>
      <c r="V145" s="909"/>
      <c r="W145" s="909"/>
      <c r="X145" s="909"/>
      <c r="Y145" s="1066"/>
      <c r="Z145" s="912"/>
      <c r="AA145" s="915"/>
      <c r="AB145" s="912"/>
      <c r="AC145" s="912"/>
      <c r="AD145" s="912"/>
    </row>
    <row customHeight="1" ht="9">
      <c r="A146" s="911"/>
      <c r="B146" s="911"/>
      <c r="C146" s="909"/>
      <c r="D146" s="909"/>
      <c r="E146" s="909"/>
      <c r="F146" s="909"/>
      <c r="G146" s="909"/>
      <c r="H146" s="957"/>
      <c r="I146" s="957"/>
      <c r="J146" s="957"/>
      <c r="K146" s="957"/>
      <c r="L146" s="957"/>
      <c r="M146" s="909"/>
      <c r="N146" s="956"/>
      <c r="O146" s="909"/>
      <c r="P146" s="909"/>
      <c r="Q146" s="909"/>
      <c r="R146" s="909"/>
      <c r="S146" s="909"/>
      <c r="T146" s="909"/>
      <c r="U146" s="909"/>
      <c r="V146" s="909"/>
      <c r="W146" s="909"/>
      <c r="X146" s="909"/>
      <c r="Y146" s="1066"/>
      <c r="Z146" s="912"/>
      <c r="AA146" s="915"/>
      <c r="AB146" s="912"/>
      <c r="AC146" s="912"/>
      <c r="AD146" s="912"/>
    </row>
    <row customHeight="1" ht="9">
      <c r="A147" s="911"/>
      <c r="B147" s="911"/>
      <c r="C147" s="911"/>
      <c r="D147" s="911"/>
      <c r="E147" s="911"/>
      <c r="F147" s="911"/>
      <c r="G147" s="911"/>
      <c r="H147" s="911"/>
      <c r="I147" s="911"/>
      <c r="J147" s="911"/>
      <c r="K147" s="911"/>
      <c r="L147" s="911"/>
      <c r="M147" s="911"/>
      <c r="N147" s="911"/>
      <c r="O147" s="911"/>
      <c r="P147" s="911"/>
      <c r="Q147" s="911"/>
      <c r="R147" s="911"/>
      <c r="S147" s="911"/>
      <c r="T147" s="911"/>
      <c r="U147" s="911"/>
      <c r="V147" s="911"/>
      <c r="W147" s="911"/>
      <c r="X147" s="911"/>
      <c r="Y147" s="911"/>
      <c r="Z147" s="911"/>
      <c r="AA147" s="911"/>
      <c r="AB147" s="911"/>
      <c r="AC147" s="911"/>
      <c r="AD147" s="911"/>
    </row>
    <row customHeight="1" ht="90">
      <c r="A148" s="911" t="s">
        <v>1666</v>
      </c>
      <c r="B148" s="911"/>
      <c r="C148" s="909" t="s">
        <v>2229</v>
      </c>
      <c r="D148" s="909" t="s">
        <v>1567</v>
      </c>
      <c r="E148" s="909" t="s">
        <v>1668</v>
      </c>
      <c r="F148" s="909" t="s">
        <v>2230</v>
      </c>
      <c r="G148" s="909"/>
      <c r="H148" s="909"/>
      <c r="I148" s="1029"/>
      <c r="J148" s="1029"/>
      <c r="K148" s="1029"/>
      <c r="L148" s="1029"/>
      <c r="M148" s="95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4"/>
      <c r="O148" s="909"/>
      <c r="P148" s="910"/>
      <c r="Q148" s="910"/>
      <c r="R148" s="910"/>
      <c r="S148" s="909"/>
      <c r="T148" s="909" t="s">
        <v>2231</v>
      </c>
      <c r="U148" s="91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0"/>
      <c r="W148" s="910"/>
      <c r="X148" s="909" t="s">
        <v>2232</v>
      </c>
      <c r="Y148" s="1066"/>
      <c r="Z148" s="912"/>
      <c r="AA148" s="915"/>
      <c r="AB148" s="912"/>
      <c r="AC148" s="912"/>
      <c r="AD148" s="912"/>
    </row>
    <row customHeight="1" ht="9">
      <c r="A149" s="911"/>
      <c r="B149" s="911"/>
      <c r="C149" s="911"/>
      <c r="D149" s="911"/>
      <c r="E149" s="911"/>
      <c r="F149" s="911"/>
      <c r="G149" s="911"/>
      <c r="H149" s="911"/>
      <c r="I149" s="911"/>
      <c r="J149" s="911"/>
      <c r="K149" s="911"/>
      <c r="L149" s="911"/>
      <c r="M149" s="911"/>
      <c r="N149" s="911"/>
      <c r="O149" s="911"/>
      <c r="P149" s="911"/>
      <c r="Q149" s="911"/>
      <c r="R149" s="911"/>
      <c r="S149" s="911"/>
      <c r="T149" s="911"/>
      <c r="U149" s="911"/>
      <c r="V149" s="911"/>
      <c r="W149" s="911"/>
      <c r="X149" s="911"/>
      <c r="Y149" s="911"/>
      <c r="Z149" s="911"/>
      <c r="AA149" s="911"/>
      <c r="AB149" s="911"/>
      <c r="AC149" s="911"/>
      <c r="AD149" s="911"/>
    </row>
    <row customHeight="1" ht="9">
      <c r="A150" s="911" t="s">
        <v>1670</v>
      </c>
      <c r="B150" s="911"/>
      <c r="C150" s="909"/>
      <c r="D150" s="909"/>
      <c r="E150" s="909"/>
      <c r="F150" s="909"/>
      <c r="G150" s="909"/>
      <c r="H150" s="909"/>
      <c r="I150" s="909"/>
      <c r="J150" s="909"/>
      <c r="K150" s="909"/>
      <c r="L150" s="909"/>
      <c r="M150" s="909"/>
      <c r="N150" s="909"/>
      <c r="O150" s="909"/>
      <c r="P150" s="909"/>
      <c r="Q150" s="909"/>
      <c r="R150" s="909"/>
      <c r="S150" s="909"/>
      <c r="T150" s="909"/>
      <c r="U150" s="909"/>
      <c r="V150" s="909"/>
      <c r="W150" s="909"/>
      <c r="X150" s="909"/>
      <c r="Y150" s="1066"/>
      <c r="Z150" s="912"/>
      <c r="AA150" s="915"/>
      <c r="AB150" s="912"/>
      <c r="AC150" s="912"/>
      <c r="AD150" s="912"/>
    </row>
    <row customHeight="1" ht="9">
      <c r="A151" s="911"/>
      <c r="B151" s="911"/>
      <c r="C151" s="911"/>
      <c r="D151" s="911"/>
      <c r="E151" s="911"/>
      <c r="F151" s="911"/>
      <c r="G151" s="911"/>
      <c r="H151" s="911"/>
      <c r="I151" s="911"/>
      <c r="J151" s="911"/>
      <c r="K151" s="911"/>
      <c r="L151" s="911"/>
      <c r="M151" s="911"/>
      <c r="N151" s="911"/>
      <c r="O151" s="911"/>
      <c r="P151" s="911"/>
      <c r="Q151" s="911"/>
      <c r="R151" s="911"/>
      <c r="S151" s="911"/>
      <c r="T151" s="911"/>
      <c r="U151" s="911"/>
      <c r="V151" s="911"/>
      <c r="W151" s="911"/>
      <c r="X151" s="911"/>
      <c r="Y151" s="911"/>
      <c r="Z151" s="911"/>
      <c r="AA151" s="911"/>
      <c r="AB151" s="911"/>
      <c r="AC151" s="911"/>
      <c r="AD151" s="911"/>
    </row>
    <row customHeight="1" ht="9">
      <c r="A152" s="911" t="s">
        <v>1673</v>
      </c>
      <c r="B152" s="911"/>
      <c r="C152" s="909"/>
      <c r="D152" s="909"/>
      <c r="E152" s="909"/>
      <c r="F152" s="909"/>
      <c r="G152" s="909"/>
      <c r="H152" s="909"/>
      <c r="I152" s="909"/>
      <c r="J152" s="909"/>
      <c r="K152" s="909"/>
      <c r="L152" s="909"/>
      <c r="M152" s="909"/>
      <c r="N152" s="909"/>
      <c r="O152" s="909"/>
      <c r="P152" s="909"/>
      <c r="Q152" s="909"/>
      <c r="R152" s="909"/>
      <c r="S152" s="909"/>
      <c r="T152" s="909"/>
      <c r="U152" s="909"/>
      <c r="V152" s="909"/>
      <c r="W152" s="909"/>
      <c r="X152" s="909"/>
      <c r="Y152" s="1066"/>
      <c r="Z152" s="912"/>
      <c r="AA152" s="915"/>
      <c r="AB152" s="912"/>
      <c r="AC152" s="912"/>
      <c r="AD152" s="912"/>
    </row>
    <row customHeight="1" ht="9">
      <c r="A153" s="911"/>
      <c r="B153" s="911"/>
      <c r="C153" s="911"/>
      <c r="D153" s="911"/>
      <c r="E153" s="911"/>
      <c r="F153" s="911"/>
      <c r="G153" s="911"/>
      <c r="H153" s="911"/>
      <c r="I153" s="911"/>
      <c r="J153" s="911"/>
      <c r="K153" s="911"/>
      <c r="L153" s="911"/>
      <c r="M153" s="911"/>
      <c r="N153" s="911"/>
      <c r="O153" s="911"/>
      <c r="P153" s="911"/>
      <c r="Q153" s="911"/>
      <c r="R153" s="911"/>
      <c r="S153" s="911"/>
      <c r="T153" s="911"/>
      <c r="U153" s="911"/>
      <c r="V153" s="911"/>
      <c r="W153" s="911"/>
      <c r="X153" s="911"/>
      <c r="Y153" s="911"/>
      <c r="Z153" s="911"/>
      <c r="AA153" s="911"/>
      <c r="AB153" s="911"/>
      <c r="AC153" s="911"/>
      <c r="AD153" s="911"/>
    </row>
    <row customHeight="1" ht="9">
      <c r="A154" s="911" t="s">
        <v>1678</v>
      </c>
      <c r="B154" s="911"/>
      <c r="C154" s="909"/>
      <c r="D154" s="909"/>
      <c r="E154" s="909"/>
      <c r="F154" s="909"/>
      <c r="G154" s="909"/>
      <c r="H154" s="909"/>
      <c r="I154" s="909"/>
      <c r="J154" s="909"/>
      <c r="K154" s="909"/>
      <c r="L154" s="909"/>
      <c r="M154" s="909"/>
      <c r="N154" s="909"/>
      <c r="O154" s="909"/>
      <c r="P154" s="909"/>
      <c r="Q154" s="909"/>
      <c r="R154" s="909"/>
      <c r="S154" s="909"/>
      <c r="T154" s="909"/>
      <c r="U154" s="909"/>
      <c r="V154" s="909"/>
      <c r="W154" s="909"/>
      <c r="X154" s="909"/>
      <c r="Y154" s="1066"/>
      <c r="Z154" s="912"/>
      <c r="AA154" s="915"/>
      <c r="AB154" s="912"/>
      <c r="AC154" s="912"/>
      <c r="AD154" s="91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9697C-7559-AF89-EA79-23854AEC097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5002" width="10.57421875" hidden="1"/>
    <col min="2" max="2" style="5002" width="11.00390625" hidden="1" customWidth="1"/>
    <col min="3" max="3" style="5002" width="10.57421875" hidden="1"/>
    <col min="4" max="4" style="5002" width="11.8515625" hidden="1" customWidth="1"/>
    <col min="5" max="5" style="5002" width="12.28125" hidden="1" customWidth="1"/>
    <col min="6" max="8" style="4246" width="12.28125" hidden="1" customWidth="1"/>
    <col min="9" max="9" style="5737" width="3.00390625" customWidth="1"/>
    <col min="10" max="11" style="5023" width="3.00390625" customWidth="1"/>
    <col min="12" max="12" style="5711" width="12.00390625" customWidth="1"/>
    <col min="13" max="13" style="5053" width="31.00390625" customWidth="1"/>
    <col min="14" max="14" style="5053" width="1.00390625" customWidth="1"/>
    <col min="15" max="18" style="5053" width="24.00390625" customWidth="1"/>
    <col min="19" max="19" style="5053" width="11.00390625" customWidth="1"/>
    <col min="20" max="20" style="5053" width="3.7109375" customWidth="1"/>
    <col min="21" max="21" style="5053" width="11.00390625" customWidth="1"/>
    <col min="22" max="22" style="5053" width="8.57421875" customWidth="1"/>
    <col min="23" max="23" style="5053" width="4.00390625" customWidth="1"/>
    <col min="24" max="24" style="5053" width="115.00390625" customWidth="1"/>
    <col min="25" max="29" style="4562" width="10.00390625" customWidth="1"/>
    <col min="30" max="30" style="5053" width="10.57421875" hidden="1"/>
  </cols>
  <sheetData>
    <row customHeight="1" ht="22.5" hidden="1">
      <c r="R1" s="393"/>
      <c r="S1" s="393"/>
      <c r="AD1" s="1221" t="s">
        <v>14</v>
      </c>
    </row>
    <row customHeight="1" ht="14.25" hidden="1">
      <c r="V2" s="393"/>
      <c r="AD2" s="1221">
        <v>0</v>
      </c>
    </row>
    <row customHeight="1" ht="14.25" hidden="1">
      <c r="AD3" s="1221">
        <v>0</v>
      </c>
    </row>
    <row customHeight="1" ht="14.699999999999998">
      <c r="J4" s="442"/>
      <c r="K4" s="442"/>
      <c r="L4" s="1341"/>
      <c r="M4" s="429"/>
      <c r="N4" s="429"/>
      <c r="O4" s="575"/>
      <c r="P4" s="575"/>
      <c r="Q4" s="575"/>
      <c r="R4" s="575"/>
      <c r="S4" s="575"/>
      <c r="T4" s="575"/>
      <c r="U4" s="575"/>
      <c r="V4" s="575"/>
      <c r="AD4" s="1221">
        <v>14</v>
      </c>
    </row>
    <row customHeight="1" ht="67.2">
      <c r="J5" s="442"/>
      <c r="K5" s="442"/>
      <c r="L5" s="2669" t="s">
        <v>2233</v>
      </c>
      <c r="M5" s="2669"/>
      <c r="N5" s="2669"/>
      <c r="O5" s="2669"/>
      <c r="P5" s="2669"/>
      <c r="Q5" s="2669"/>
      <c r="R5" s="2669"/>
      <c r="S5" s="2669"/>
      <c r="T5" s="2669"/>
      <c r="U5" s="2669"/>
      <c r="V5" s="1309"/>
      <c r="AD5" s="1221">
        <v>64</v>
      </c>
    </row>
    <row customHeight="1" ht="14.699999999999998">
      <c r="J6" s="442"/>
      <c r="K6" s="442"/>
      <c r="L6" s="2670" t="str">
        <f>IF(org=0,"Не определено",org)</f>
        <v>Филиал "Уренгойская ГРЭС" АО "Интер РАО - Электрогенерация"</v>
      </c>
      <c r="M6" s="2670"/>
      <c r="N6" s="2670"/>
      <c r="O6" s="2670"/>
      <c r="P6" s="2670"/>
      <c r="Q6" s="2670"/>
      <c r="R6" s="2670"/>
      <c r="S6" s="2670"/>
      <c r="T6" s="2670"/>
      <c r="U6" s="2670"/>
      <c r="V6" s="1309"/>
      <c r="AD6" s="1221">
        <v>14</v>
      </c>
    </row>
    <row customHeight="1" ht="14.699999999999998">
      <c r="J7" s="442"/>
      <c r="K7" s="442"/>
      <c r="L7" s="1341"/>
      <c r="M7" s="429"/>
      <c r="N7" s="429"/>
      <c r="O7" s="388"/>
      <c r="P7" s="388"/>
      <c r="Q7" s="388"/>
      <c r="R7" s="388"/>
      <c r="S7" s="388"/>
      <c r="T7" s="388"/>
      <c r="U7" s="388"/>
      <c r="V7" s="388"/>
      <c r="W7" s="575"/>
      <c r="AD7" s="1221">
        <v>14</v>
      </c>
    </row>
    <row s="5597" customFormat="1" customHeight="1" ht="48.29999999999999">
      <c r="A8" s="1434"/>
      <c r="B8" s="1434"/>
      <c r="C8" s="1434"/>
      <c r="D8" s="1434"/>
      <c r="E8" s="1434"/>
      <c r="F8" s="1434"/>
      <c r="G8" s="1434"/>
      <c r="H8" s="1434"/>
      <c r="L8" s="1342"/>
      <c r="M8" s="361" t="s">
        <v>42</v>
      </c>
      <c r="N8" s="370"/>
      <c r="O8" s="2317" t="str">
        <f>IF(TITLE_NAME_OR_PR_CHANGE="",IF(TITLE_NAME_OR_PR="","",TITLE_NAME_OR_PR),TITLE_NAME_OR_PR_CHANGE)</f>
        <v>Департамент тарифной политики, энергетики и ЖКК ЯНАО </v>
      </c>
      <c r="P8" s="2317"/>
      <c r="Q8" s="2317"/>
      <c r="R8" s="2317"/>
      <c r="S8" s="2317"/>
      <c r="T8" s="2317"/>
      <c r="U8" s="2317"/>
      <c r="V8" s="392"/>
      <c r="W8" s="392"/>
      <c r="X8" s="346"/>
      <c r="Y8" s="434"/>
      <c r="Z8" s="434"/>
      <c r="AA8" s="434"/>
      <c r="AB8" s="434"/>
      <c r="AC8" s="434"/>
      <c r="AD8" s="484">
        <v>46</v>
      </c>
    </row>
    <row s="5597" customFormat="1" customHeight="1" ht="24">
      <c r="A9" s="1434"/>
      <c r="B9" s="1434"/>
      <c r="C9" s="1434"/>
      <c r="D9" s="1434"/>
      <c r="E9" s="1434"/>
      <c r="F9" s="1434"/>
      <c r="G9" s="1434"/>
      <c r="H9" s="1434"/>
      <c r="L9" s="1342"/>
      <c r="M9" s="361" t="s">
        <v>429</v>
      </c>
      <c r="N9" s="370"/>
      <c r="O9" s="2317" t="str">
        <f>IF(TITLE_DATE_CHANGE_PERIOD="",IF(TITLE_DATE_PR="","",TITLE_DATE_PR),TITLE_DATE_CHANGE_PERIOD)</f>
        <v>45658.41605324074</v>
      </c>
      <c r="P9" s="2317"/>
      <c r="Q9" s="2317"/>
      <c r="R9" s="2317"/>
      <c r="S9" s="2317"/>
      <c r="T9" s="2317"/>
      <c r="U9" s="2317"/>
      <c r="V9" s="392"/>
      <c r="W9" s="392"/>
      <c r="X9" s="346"/>
      <c r="Y9" s="434"/>
      <c r="Z9" s="434"/>
      <c r="AA9" s="434"/>
      <c r="AB9" s="434"/>
      <c r="AC9" s="434"/>
      <c r="AD9" s="484">
        <v>23</v>
      </c>
    </row>
    <row s="5597" customFormat="1" customHeight="1" ht="24">
      <c r="A10" s="1434"/>
      <c r="B10" s="1434"/>
      <c r="C10" s="1434"/>
      <c r="D10" s="1434"/>
      <c r="E10" s="1434"/>
      <c r="F10" s="1434"/>
      <c r="G10" s="1434"/>
      <c r="H10" s="1434"/>
      <c r="L10" s="1316"/>
      <c r="M10" s="361" t="s">
        <v>430</v>
      </c>
      <c r="N10" s="370"/>
      <c r="O10" s="2317" t="str">
        <f>IF(TITLE_NUMBER_PR_CHANGE="",IF(TITLE_NUMBER_PR="","",TITLE_NUMBER_PR),TITLE_NUMBER_PR_CHANGE)</f>
        <v>447-т</v>
      </c>
      <c r="P10" s="2317"/>
      <c r="Q10" s="2317"/>
      <c r="R10" s="2317"/>
      <c r="S10" s="2317"/>
      <c r="T10" s="2317"/>
      <c r="U10" s="2317"/>
      <c r="V10" s="392"/>
      <c r="W10" s="392"/>
      <c r="X10" s="346"/>
      <c r="Y10" s="434"/>
      <c r="Z10" s="434"/>
      <c r="AA10" s="434"/>
      <c r="AB10" s="434"/>
      <c r="AC10" s="434"/>
      <c r="AD10" s="484">
        <v>23</v>
      </c>
    </row>
    <row s="5597" customFormat="1" customHeight="1" ht="24">
      <c r="A11" s="1434"/>
      <c r="B11" s="1434"/>
      <c r="C11" s="1434"/>
      <c r="D11" s="1434"/>
      <c r="E11" s="1434"/>
      <c r="F11" s="1434"/>
      <c r="G11" s="1434"/>
      <c r="H11" s="1434"/>
      <c r="L11" s="1316"/>
      <c r="M11" s="361" t="s">
        <v>44</v>
      </c>
      <c r="N11" s="370"/>
      <c r="O11" s="2317" t="str">
        <f>IF(TITLE_IST_PUB_CHANGE="",IF(TITLE_IST_PUB="","",TITLE_IST_PUB),TITLE_IST_PUB_CHANGE)</f>
        <v>Официальный сайт Департамента тарифной политики, энергетики и ЖКК ЯНАО, https://rek-yamal.ru, 05.12.2024</v>
      </c>
      <c r="P11" s="2317"/>
      <c r="Q11" s="2317"/>
      <c r="R11" s="2317"/>
      <c r="S11" s="2317"/>
      <c r="T11" s="2317"/>
      <c r="U11" s="2317"/>
      <c r="V11" s="392"/>
      <c r="W11" s="392"/>
      <c r="X11" s="346"/>
      <c r="Y11" s="434"/>
      <c r="Z11" s="434"/>
      <c r="AA11" s="434"/>
      <c r="AB11" s="434"/>
      <c r="AC11" s="434"/>
      <c r="AD11" s="484">
        <v>23</v>
      </c>
    </row>
    <row s="5597" customFormat="1" customHeight="1" ht="11.25" hidden="1">
      <c r="A12" s="1434"/>
      <c r="B12" s="1434"/>
      <c r="C12" s="1434"/>
      <c r="D12" s="1434"/>
      <c r="E12" s="1434"/>
      <c r="F12" s="1434"/>
      <c r="G12" s="1434"/>
      <c r="H12" s="1434"/>
      <c r="L12" s="2671"/>
      <c r="M12" s="2671"/>
      <c r="N12" s="1353"/>
      <c r="O12" s="392"/>
      <c r="P12" s="392"/>
      <c r="Q12" s="392"/>
      <c r="R12" s="392"/>
      <c r="S12" s="392"/>
      <c r="T12" s="392"/>
      <c r="U12" s="392"/>
      <c r="V12" s="344" t="s">
        <v>433</v>
      </c>
      <c r="Y12" s="434"/>
      <c r="Z12" s="434"/>
      <c r="AA12" s="434"/>
      <c r="AB12" s="434"/>
      <c r="AC12" s="434"/>
      <c r="AD12" s="484">
        <v>0</v>
      </c>
    </row>
    <row customHeight="1" ht="14.699999999999998">
      <c r="J13" s="442"/>
      <c r="K13" s="442"/>
      <c r="L13" s="1341"/>
      <c r="M13" s="429"/>
      <c r="N13" s="1310"/>
      <c r="O13" s="2318"/>
      <c r="P13" s="2318"/>
      <c r="Q13" s="2318"/>
      <c r="R13" s="2318"/>
      <c r="S13" s="2318"/>
      <c r="T13" s="2318"/>
      <c r="U13" s="2318"/>
      <c r="V13" s="2318"/>
      <c r="AD13" s="1221">
        <v>14</v>
      </c>
    </row>
    <row customHeight="1" ht="14.699999999999998">
      <c r="J14" s="442"/>
      <c r="K14" s="442"/>
      <c r="L14" s="2193" t="s">
        <v>309</v>
      </c>
      <c r="M14" s="2193"/>
      <c r="N14" s="2193"/>
      <c r="O14" s="2193"/>
      <c r="P14" s="2193"/>
      <c r="Q14" s="2193"/>
      <c r="R14" s="2193"/>
      <c r="S14" s="2193"/>
      <c r="T14" s="2193"/>
      <c r="U14" s="2193"/>
      <c r="V14" s="2193"/>
      <c r="W14" s="2193"/>
      <c r="X14" s="2193" t="s">
        <v>310</v>
      </c>
      <c r="AD14" s="1221">
        <v>14</v>
      </c>
    </row>
    <row customHeight="1" ht="14.699999999999998">
      <c r="J15" s="442"/>
      <c r="K15" s="442"/>
      <c r="L15" s="2339" t="s">
        <v>93</v>
      </c>
      <c r="M15" s="2275" t="s">
        <v>434</v>
      </c>
      <c r="N15" s="367"/>
      <c r="O15" s="2340" t="s">
        <v>2234</v>
      </c>
      <c r="P15" s="2341"/>
      <c r="Q15" s="2341"/>
      <c r="R15" s="2341"/>
      <c r="S15" s="2341"/>
      <c r="T15" s="2341"/>
      <c r="U15" s="2342"/>
      <c r="V15" s="2343" t="s">
        <v>436</v>
      </c>
      <c r="W15" s="2346" t="s">
        <v>1153</v>
      </c>
      <c r="X15" s="2193"/>
      <c r="AD15" s="1221">
        <v>14</v>
      </c>
    </row>
    <row customHeight="1" ht="35.699999999999996">
      <c r="J16" s="442"/>
      <c r="K16" s="442"/>
      <c r="L16" s="2339"/>
      <c r="M16" s="2275"/>
      <c r="N16" s="1097"/>
      <c r="O16" s="2326" t="s">
        <v>439</v>
      </c>
      <c r="P16" s="2326" t="s">
        <v>440</v>
      </c>
      <c r="Q16" s="2328" t="s">
        <v>441</v>
      </c>
      <c r="R16" s="2329"/>
      <c r="S16" s="2328" t="s">
        <v>455</v>
      </c>
      <c r="T16" s="2335"/>
      <c r="U16" s="2329"/>
      <c r="V16" s="2344"/>
      <c r="W16" s="2347"/>
      <c r="X16" s="2193"/>
      <c r="AD16" s="1221">
        <v>34</v>
      </c>
    </row>
    <row customHeight="1" ht="35.699999999999996">
      <c r="A17" s="1436" t="s">
        <v>139</v>
      </c>
      <c r="B17" s="1436" t="s">
        <v>140</v>
      </c>
      <c r="C17" s="1436" t="s">
        <v>141</v>
      </c>
      <c r="D17" s="1436" t="s">
        <v>142</v>
      </c>
      <c r="E17" s="1436"/>
      <c r="J17" s="442"/>
      <c r="K17" s="442"/>
      <c r="L17" s="2339"/>
      <c r="M17" s="2275"/>
      <c r="N17" s="368"/>
      <c r="O17" s="2327"/>
      <c r="P17" s="2327"/>
      <c r="Q17" s="1288" t="s">
        <v>450</v>
      </c>
      <c r="R17" s="1288" t="s">
        <v>451</v>
      </c>
      <c r="S17" s="1358" t="s">
        <v>452</v>
      </c>
      <c r="T17" s="2336" t="s">
        <v>453</v>
      </c>
      <c r="U17" s="2337"/>
      <c r="V17" s="2345"/>
      <c r="W17" s="2348"/>
      <c r="X17" s="2193"/>
      <c r="AD17" s="1221">
        <v>34</v>
      </c>
    </row>
    <row s="4153" customFormat="1" customHeight="1" ht="11.549999999999999">
      <c r="A18" s="1436"/>
      <c r="B18" s="1436"/>
      <c r="C18" s="1436"/>
      <c r="D18" s="1436"/>
      <c r="E18" s="1436"/>
      <c r="F18" s="1428"/>
      <c r="G18" s="1428"/>
      <c r="H18" s="1428"/>
      <c r="I18" s="1312"/>
      <c r="J18" s="1313"/>
      <c r="K18" s="1320">
        <v>1</v>
      </c>
      <c r="L18" s="1343" t="s">
        <v>114</v>
      </c>
      <c r="M18" s="1321" t="s">
        <v>115</v>
      </c>
      <c r="N18" s="1311" t="str">
        <f>OFFSET(N18,0,-1)</f>
        <v>2</v>
      </c>
      <c r="O18" s="1355">
        <f>OFFSET(O18,0,-1)+1</f>
        <v>3</v>
      </c>
      <c r="P18" s="1355"/>
      <c r="Q18" s="1355">
        <f>OFFSET(Q18,0,-1)+1</f>
        <v>1</v>
      </c>
      <c r="R18" s="1355">
        <f>OFFSET(R18,0,-1)+1</f>
        <v>2</v>
      </c>
      <c r="S18" s="1355">
        <f>OFFSET(S18,0,-1)+1</f>
        <v>3</v>
      </c>
      <c r="T18" s="2338">
        <f>OFFSET(T18,0,-1)+1</f>
        <v>4</v>
      </c>
      <c r="U18" s="2338"/>
      <c r="V18" s="1355">
        <f>OFFSET(V18,0,-2)+1</f>
        <v>5</v>
      </c>
      <c r="W18" s="1311">
        <f>OFFSET(W18,0,-1)</f>
        <v>5</v>
      </c>
      <c r="X18" s="1355">
        <f>OFFSET(X18,0,-1)+1</f>
        <v>6</v>
      </c>
      <c r="Y18" s="577"/>
      <c r="Z18" s="577"/>
      <c r="AA18" s="577"/>
      <c r="AB18" s="577"/>
      <c r="AC18" s="577"/>
      <c r="AD18" s="562">
        <v>11</v>
      </c>
    </row>
    <row customHeight="1" ht="21">
      <c r="A19" s="1429" t="s">
        <v>179</v>
      </c>
      <c r="B19" s="1429" t="s">
        <v>180</v>
      </c>
      <c r="C19" s="1429" t="s">
        <v>181</v>
      </c>
      <c r="D19" s="1429" t="s">
        <v>182</v>
      </c>
      <c r="E19" s="1429"/>
      <c r="F19" s="1431"/>
      <c r="G19" s="1431"/>
      <c r="H19" s="1431"/>
      <c r="I19" s="427"/>
      <c r="J19" s="426"/>
      <c r="K19" s="421"/>
      <c r="L19" s="1359">
        <f>INDEX(PT_DIFFERENTIATION_NUM_NTAR,MATCH(A19,PT_DIFFERENTIATION_NTAR_ID,0))</f>
        <v>0</v>
      </c>
      <c r="M19" s="364" t="s">
        <v>128</v>
      </c>
      <c r="N19" s="366"/>
      <c r="O19" s="2672" t="str">
        <f>INDEX(PT_DIFFERENTIATION_NTAR,MATCH(A19,PT_DIFFERENTIATION_NTAR_ID,0))</f>
        <v/>
      </c>
      <c r="P19" s="2672"/>
      <c r="Q19" s="2672"/>
      <c r="R19" s="2672"/>
      <c r="S19" s="2672"/>
      <c r="T19" s="2672"/>
      <c r="U19" s="2672"/>
      <c r="V19" s="2672"/>
      <c r="W19" s="2672"/>
      <c r="X19" s="1324" t="s">
        <v>405</v>
      </c>
      <c r="Z19" s="566"/>
      <c r="AA19" s="566" t="str">
        <f>IF(M19="","",M19)</f>
        <v>Наименование тарифа</v>
      </c>
      <c r="AB19" s="566"/>
      <c r="AC19" s="566"/>
      <c r="AD19" s="1221">
        <v>20</v>
      </c>
    </row>
    <row customHeight="1" ht="21">
      <c r="A20" s="1429" t="s">
        <v>179</v>
      </c>
      <c r="B20" s="1429" t="s">
        <v>180</v>
      </c>
      <c r="C20" s="1429" t="s">
        <v>181</v>
      </c>
      <c r="D20" s="1429" t="s">
        <v>182</v>
      </c>
      <c r="E20" s="1429"/>
      <c r="F20" s="1431"/>
      <c r="G20" s="1431"/>
      <c r="H20" s="1431"/>
      <c r="I20" s="1356"/>
      <c r="J20" s="418"/>
      <c r="K20" s="419"/>
      <c r="L20" s="1359" t="str">
        <f>INDEX(PT_DIFFERENTIATION_NUM_TER,MATCH(B19,PT_DIFFERENTIATION_TER_ID,0))</f>
        <v>.</v>
      </c>
      <c r="M20" s="374" t="s">
        <v>406</v>
      </c>
      <c r="N20" s="366"/>
      <c r="O20" s="2672" t="str">
        <f>INDEX(PT_DIFFERENTIATION_TER,MATCH(B19,PT_DIFFERENTIATION_TER_ID,0))</f>
        <v/>
      </c>
      <c r="P20" s="2672"/>
      <c r="Q20" s="2672"/>
      <c r="R20" s="2672"/>
      <c r="S20" s="2672"/>
      <c r="T20" s="2672"/>
      <c r="U20" s="2672"/>
      <c r="V20" s="2672"/>
      <c r="W20" s="2672"/>
      <c r="X20" s="1324" t="s">
        <v>407</v>
      </c>
      <c r="Z20" s="566"/>
      <c r="AA20" s="566" t="str">
        <f>IF(M20="","",M20)</f>
        <v>Территория действия тарифа</v>
      </c>
      <c r="AB20" s="566"/>
      <c r="AC20" s="566"/>
      <c r="AD20" s="1221">
        <v>20</v>
      </c>
    </row>
    <row customHeight="1" ht="24">
      <c r="A21" s="1429" t="s">
        <v>179</v>
      </c>
      <c r="B21" s="1429" t="s">
        <v>180</v>
      </c>
      <c r="C21" s="1429" t="s">
        <v>181</v>
      </c>
      <c r="D21" s="1429" t="s">
        <v>182</v>
      </c>
      <c r="E21" s="1429"/>
      <c r="F21" s="1431"/>
      <c r="G21" s="1431"/>
      <c r="H21" s="1431"/>
      <c r="I21" s="420"/>
      <c r="J21" s="418"/>
      <c r="K21" s="419"/>
      <c r="L21" s="1359" t="str">
        <f>INDEX(PT_DIFFERENTIATION_NUM_CS,MATCH(C19,PT_DIFFERENTIATION_CS_ID,0))</f>
        <v>..</v>
      </c>
      <c r="M21" s="375" t="s">
        <v>408</v>
      </c>
      <c r="N21" s="366"/>
      <c r="O21" s="2672" t="str">
        <f>INDEX(PT_DIFFERENTIATION_CS,MATCH(C19,PT_DIFFERENTIATION_CS_ID,0))</f>
        <v/>
      </c>
      <c r="P21" s="2672"/>
      <c r="Q21" s="2672"/>
      <c r="R21" s="2672"/>
      <c r="S21" s="2672"/>
      <c r="T21" s="2672"/>
      <c r="U21" s="2672"/>
      <c r="V21" s="2672"/>
      <c r="W21" s="2672"/>
      <c r="X21" s="1324" t="s">
        <v>409</v>
      </c>
      <c r="Z21" s="566"/>
      <c r="AA21" s="566" t="str">
        <f>IF(M21="","",M21)</f>
        <v>Наименование системы теплоснабжения </v>
      </c>
      <c r="AB21" s="566"/>
      <c r="AC21" s="566"/>
      <c r="AD21" s="1221">
        <v>23</v>
      </c>
    </row>
    <row customHeight="1" ht="21">
      <c r="A22" s="1429" t="s">
        <v>179</v>
      </c>
      <c r="B22" s="1429" t="s">
        <v>180</v>
      </c>
      <c r="C22" s="1429" t="s">
        <v>181</v>
      </c>
      <c r="D22" s="1429" t="s">
        <v>182</v>
      </c>
      <c r="E22" s="1429"/>
      <c r="F22" s="1431"/>
      <c r="G22" s="1431"/>
      <c r="H22" s="1431"/>
      <c r="I22" s="420"/>
      <c r="J22" s="418"/>
      <c r="K22" s="419"/>
      <c r="L22" s="1359" t="str">
        <f>INDEX(PT_DIFFERENTIATION_NUM_IST_TE,MATCH(D19,PT_DIFFERENTIATION_IST_TE_ID,0))</f>
        <v>...</v>
      </c>
      <c r="M22" s="376" t="s">
        <v>410</v>
      </c>
      <c r="N22" s="366"/>
      <c r="O22" s="2672" t="str">
        <f>INDEX(PT_DIFFERENTIATION_IST_TE,MATCH(D19,PT_DIFFERENTIATION_IST_TE_ID,0))</f>
        <v/>
      </c>
      <c r="P22" s="2672"/>
      <c r="Q22" s="2672"/>
      <c r="R22" s="2672"/>
      <c r="S22" s="2672"/>
      <c r="T22" s="2672"/>
      <c r="U22" s="2672"/>
      <c r="V22" s="2672"/>
      <c r="W22" s="2672"/>
      <c r="X22" s="1324" t="s">
        <v>411</v>
      </c>
      <c r="Z22" s="566"/>
      <c r="AA22" s="566" t="str">
        <f>IF(M22="","",M22)</f>
        <v>Источник тепловой энергии  </v>
      </c>
      <c r="AB22" s="566"/>
      <c r="AC22" s="566"/>
      <c r="AD22" s="1221">
        <v>20</v>
      </c>
    </row>
    <row customHeight="1" ht="96.75">
      <c r="A23" s="1429" t="s">
        <v>179</v>
      </c>
      <c r="B23" s="1429" t="s">
        <v>180</v>
      </c>
      <c r="C23" s="1429" t="s">
        <v>181</v>
      </c>
      <c r="D23" s="1429" t="s">
        <v>182</v>
      </c>
      <c r="E23" s="1429"/>
      <c r="F23" s="2673" t="str">
        <f>L22&amp;".1"</f>
        <v>....1</v>
      </c>
      <c r="I23" s="2323">
        <v>1</v>
      </c>
      <c r="J23" s="1357"/>
      <c r="K23" s="422"/>
      <c r="L23" s="1359" t="str">
        <f>$F$23</f>
        <v>....1</v>
      </c>
      <c r="M23" s="351" t="s">
        <v>413</v>
      </c>
      <c r="N23" s="366"/>
      <c r="O23" s="2371"/>
      <c r="P23" s="2371"/>
      <c r="Q23" s="2371"/>
      <c r="R23" s="2371"/>
      <c r="S23" s="2371"/>
      <c r="T23" s="2371"/>
      <c r="U23" s="2371"/>
      <c r="V23" s="2371"/>
      <c r="W23" s="2371"/>
      <c r="X23" s="1324" t="s">
        <v>414</v>
      </c>
      <c r="Z23" s="566"/>
      <c r="AA23" s="566" t="str">
        <f>IF(M23="","",M23)</f>
        <v>Схема подключения теплопотребляющей установки к коллектору источника тепловой энергии</v>
      </c>
      <c r="AB23" s="566"/>
      <c r="AC23" s="566"/>
      <c r="AD23" s="1221">
        <v>92</v>
      </c>
    </row>
    <row customHeight="1" ht="86.25">
      <c r="A24" s="1429" t="s">
        <v>179</v>
      </c>
      <c r="B24" s="1429" t="s">
        <v>180</v>
      </c>
      <c r="C24" s="1429" t="s">
        <v>181</v>
      </c>
      <c r="D24" s="1429" t="s">
        <v>182</v>
      </c>
      <c r="E24" s="1429"/>
      <c r="F24" s="2673"/>
      <c r="G24" s="2283" t="str">
        <f>F23&amp;".1"</f>
        <v>....1.1</v>
      </c>
      <c r="I24" s="2323"/>
      <c r="J24" s="2323">
        <v>1</v>
      </c>
      <c r="K24" s="423"/>
      <c r="L24" s="1359" t="str">
        <f>$G$24</f>
        <v>....1.1</v>
      </c>
      <c r="M24" s="352" t="s">
        <v>416</v>
      </c>
      <c r="N24" s="366"/>
      <c r="O24" s="2311"/>
      <c r="P24" s="2312"/>
      <c r="Q24" s="2312"/>
      <c r="R24" s="2312"/>
      <c r="S24" s="2312"/>
      <c r="T24" s="2312"/>
      <c r="U24" s="2312"/>
      <c r="V24" s="2312"/>
      <c r="W24" s="2313"/>
      <c r="X24" s="1324" t="s">
        <v>417</v>
      </c>
      <c r="Z24" s="566"/>
      <c r="AA24" s="566" t="str">
        <f>IF(M24="","",M24)</f>
        <v>Группа потребителей</v>
      </c>
      <c r="AB24" s="566"/>
      <c r="AC24" s="566"/>
      <c r="AD24" s="1221">
        <v>82</v>
      </c>
    </row>
    <row customHeight="1" ht="11.549999999999999">
      <c r="A25" s="1429" t="s">
        <v>179</v>
      </c>
      <c r="B25" s="1429" t="s">
        <v>180</v>
      </c>
      <c r="C25" s="1429" t="s">
        <v>181</v>
      </c>
      <c r="D25" s="1429" t="s">
        <v>182</v>
      </c>
      <c r="E25" s="1429"/>
      <c r="F25" s="2673"/>
      <c r="G25" s="2283"/>
      <c r="H25" s="2283" t="str">
        <f>G24&amp;".1"</f>
        <v>....1.1.1</v>
      </c>
      <c r="I25" s="2323"/>
      <c r="J25" s="2323"/>
      <c r="K25" s="423">
        <v>1</v>
      </c>
      <c r="L25" s="1359" t="str">
        <f>$H$25</f>
        <v>....1.1.1</v>
      </c>
      <c r="M25" s="1413"/>
      <c r="N25" s="366"/>
      <c r="O25" s="817"/>
      <c r="P25" s="391"/>
      <c r="Q25" s="817"/>
      <c r="R25" s="1323"/>
      <c r="S25" s="2668"/>
      <c r="T25" s="2173" t="s">
        <v>71</v>
      </c>
      <c r="U25" s="2668"/>
      <c r="V25" s="2173" t="s">
        <v>19</v>
      </c>
      <c r="W25" s="391"/>
      <c r="X25" s="2319" t="s">
        <v>419</v>
      </c>
      <c r="Y25" s="577">
        <f>STRCHECKDATE(O26:W26)</f>
      </c>
      <c r="Z25" s="566"/>
      <c r="AA25" s="566" t="str">
        <f>IF(M25="","",M25)</f>
        <v/>
      </c>
      <c r="AB25" s="566"/>
      <c r="AC25" s="566"/>
      <c r="AD25" s="1221">
        <v>11</v>
      </c>
    </row>
    <row customHeight="1" ht="11.549999999999999">
      <c r="A26" s="1429" t="s">
        <v>179</v>
      </c>
      <c r="B26" s="1429" t="s">
        <v>180</v>
      </c>
      <c r="C26" s="1429" t="s">
        <v>181</v>
      </c>
      <c r="D26" s="1429" t="s">
        <v>182</v>
      </c>
      <c r="E26" s="1429"/>
      <c r="F26" s="2673"/>
      <c r="G26" s="2283"/>
      <c r="H26" s="2283"/>
      <c r="I26" s="2323"/>
      <c r="J26" s="2323"/>
      <c r="K26" s="423"/>
      <c r="L26" s="1360"/>
      <c r="M26" s="366"/>
      <c r="N26" s="366"/>
      <c r="O26" s="391"/>
      <c r="P26" s="391"/>
      <c r="Q26" s="391"/>
      <c r="R26" s="394" t="str">
        <f>S25&amp;"-"&amp;U25</f>
        <v>-</v>
      </c>
      <c r="S26" s="2332"/>
      <c r="T26" s="2173"/>
      <c r="U26" s="2332"/>
      <c r="V26" s="2173"/>
      <c r="W26" s="391"/>
      <c r="X26" s="2320"/>
      <c r="Z26" s="566"/>
      <c r="AA26" s="566" t="str">
        <f>IF(M26="","",M26)</f>
        <v/>
      </c>
      <c r="AB26" s="566"/>
      <c r="AC26" s="566"/>
      <c r="AD26" s="1221">
        <v>11</v>
      </c>
    </row>
    <row customHeight="1" ht="15.75">
      <c r="A27" s="1429" t="s">
        <v>179</v>
      </c>
      <c r="B27" s="1429" t="s">
        <v>180</v>
      </c>
      <c r="C27" s="1429" t="s">
        <v>181</v>
      </c>
      <c r="D27" s="1429" t="s">
        <v>182</v>
      </c>
      <c r="E27" s="1429"/>
      <c r="F27" s="2673"/>
      <c r="G27" s="2283"/>
      <c r="I27" s="2323"/>
      <c r="J27" s="2323"/>
      <c r="K27" s="422"/>
      <c r="L27" s="1344"/>
      <c r="M27" s="354" t="s">
        <v>420</v>
      </c>
      <c r="N27" s="433"/>
      <c r="O27" s="433"/>
      <c r="P27" s="433"/>
      <c r="Q27" s="433"/>
      <c r="R27" s="433"/>
      <c r="S27" s="433"/>
      <c r="T27" s="433"/>
      <c r="U27" s="433"/>
      <c r="V27" s="433"/>
      <c r="W27" s="390"/>
      <c r="X27" s="2321"/>
      <c r="Z27" s="566"/>
      <c r="AA27" s="566" t="str">
        <f>IF(M27="","",M27)</f>
        <v>Добавить вид теплоносителя (параметры теплоносителя)</v>
      </c>
      <c r="AB27" s="566"/>
      <c r="AC27" s="566"/>
      <c r="AD27" s="1221">
        <v>15</v>
      </c>
    </row>
    <row customHeight="1" ht="15.75">
      <c r="A28" s="1429" t="s">
        <v>179</v>
      </c>
      <c r="B28" s="1429" t="s">
        <v>180</v>
      </c>
      <c r="C28" s="1429" t="s">
        <v>181</v>
      </c>
      <c r="D28" s="1429" t="s">
        <v>182</v>
      </c>
      <c r="E28" s="1429"/>
      <c r="F28" s="2673"/>
      <c r="I28" s="2323"/>
      <c r="J28" s="1357"/>
      <c r="K28" s="422"/>
      <c r="L28" s="1344"/>
      <c r="M28" s="353" t="s">
        <v>421</v>
      </c>
      <c r="N28" s="433"/>
      <c r="O28" s="433"/>
      <c r="P28" s="433"/>
      <c r="Q28" s="433"/>
      <c r="R28" s="433"/>
      <c r="S28" s="433"/>
      <c r="T28" s="433"/>
      <c r="U28" s="433"/>
      <c r="V28" s="432"/>
      <c r="W28" s="433"/>
      <c r="X28" s="369"/>
      <c r="Z28" s="566"/>
      <c r="AA28" s="566" t="str">
        <f>IF(M28="","",M28)</f>
        <v>Добавить группу потребителей</v>
      </c>
      <c r="AB28" s="566"/>
      <c r="AC28" s="566"/>
      <c r="AD28" s="1221">
        <v>15</v>
      </c>
    </row>
    <row customHeight="1" ht="14.699999999999998">
      <c r="A29" s="1429" t="s">
        <v>179</v>
      </c>
      <c r="B29" s="1429" t="s">
        <v>180</v>
      </c>
      <c r="C29" s="1429" t="s">
        <v>181</v>
      </c>
      <c r="D29" s="1429" t="s">
        <v>182</v>
      </c>
      <c r="E29" s="1429"/>
      <c r="F29" s="1431"/>
      <c r="G29" s="1431"/>
      <c r="H29" s="603"/>
      <c r="I29" s="426"/>
      <c r="J29" s="441"/>
      <c r="K29" s="421"/>
      <c r="L29" s="1344"/>
      <c r="M29" s="431" t="s">
        <v>422</v>
      </c>
      <c r="N29" s="433"/>
      <c r="O29" s="433"/>
      <c r="P29" s="433"/>
      <c r="Q29" s="433"/>
      <c r="R29" s="433"/>
      <c r="S29" s="433"/>
      <c r="T29" s="433"/>
      <c r="U29" s="433"/>
      <c r="V29" s="432"/>
      <c r="W29" s="433"/>
      <c r="X29" s="369"/>
      <c r="Z29" s="566"/>
      <c r="AA29" s="566" t="str">
        <f>IF(M29="","",M29)</f>
        <v>Добавить схему подключения</v>
      </c>
      <c r="AB29" s="566"/>
      <c r="AC29" s="566"/>
      <c r="AD29" s="1221">
        <v>14</v>
      </c>
    </row>
    <row customHeight="1" ht="14.699999999999998">
      <c r="A30" s="1429" t="s">
        <v>179</v>
      </c>
      <c r="B30" s="1429" t="s">
        <v>180</v>
      </c>
      <c r="C30" s="1429" t="s">
        <v>181</v>
      </c>
      <c r="D30" s="1429"/>
      <c r="E30" s="1429" t="s">
        <v>595</v>
      </c>
      <c r="F30" s="1431"/>
      <c r="G30" s="1431"/>
      <c r="H30" s="603"/>
      <c r="I30" s="426"/>
      <c r="J30" s="441"/>
      <c r="K30" s="421"/>
      <c r="L30" s="1345"/>
      <c r="M30" s="1334"/>
      <c r="N30" s="1335"/>
      <c r="O30" s="1335"/>
      <c r="P30" s="1335"/>
      <c r="Q30" s="1335"/>
      <c r="R30" s="1335"/>
      <c r="S30" s="1335"/>
      <c r="T30" s="1335"/>
      <c r="U30" s="1335"/>
      <c r="V30" s="1336"/>
      <c r="W30" s="1335"/>
      <c r="X30" s="1337"/>
      <c r="Z30" s="566"/>
      <c r="AA30" s="566" t="str">
        <f>IF(M30="","",M30)</f>
        <v/>
      </c>
      <c r="AB30" s="566"/>
      <c r="AC30" s="566"/>
      <c r="AD30" s="1221">
        <v>14</v>
      </c>
    </row>
    <row customHeight="1" ht="14.699999999999998">
      <c r="A31" s="1429" t="s">
        <v>179</v>
      </c>
      <c r="B31" s="1429" t="s">
        <v>180</v>
      </c>
      <c r="C31" s="1429"/>
      <c r="D31" s="1429"/>
      <c r="E31" s="1429" t="s">
        <v>2235</v>
      </c>
      <c r="F31" s="1583"/>
      <c r="G31" s="1583"/>
      <c r="H31" s="603"/>
      <c r="I31" s="424"/>
      <c r="J31" s="441"/>
      <c r="K31" s="425"/>
      <c r="L31" s="1345"/>
      <c r="M31" s="1338"/>
      <c r="N31" s="1335"/>
      <c r="O31" s="1335"/>
      <c r="P31" s="1335"/>
      <c r="Q31" s="1335"/>
      <c r="R31" s="1335"/>
      <c r="S31" s="1335"/>
      <c r="T31" s="1335"/>
      <c r="U31" s="1335"/>
      <c r="V31" s="1336"/>
      <c r="W31" s="1335"/>
      <c r="X31" s="1337"/>
      <c r="Z31" s="566"/>
      <c r="AA31" s="566" t="str">
        <f>IF(M31="","",M31)</f>
        <v/>
      </c>
      <c r="AB31" s="566"/>
      <c r="AC31" s="566"/>
      <c r="AD31" s="1221">
        <v>14</v>
      </c>
    </row>
    <row customHeight="1" ht="14.699999999999998">
      <c r="A32" s="1429" t="s">
        <v>2236</v>
      </c>
      <c r="B32" s="1429"/>
      <c r="C32" s="1429"/>
      <c r="D32" s="1429"/>
      <c r="E32" s="1429" t="s">
        <v>109</v>
      </c>
      <c r="F32" s="1583"/>
      <c r="G32" s="1583"/>
      <c r="H32" s="603"/>
      <c r="I32" s="426"/>
      <c r="J32" s="441"/>
      <c r="K32" s="421"/>
      <c r="L32" s="1345"/>
      <c r="M32" s="1339"/>
      <c r="N32" s="1335"/>
      <c r="O32" s="1335"/>
      <c r="P32" s="1335"/>
      <c r="Q32" s="1335"/>
      <c r="R32" s="1335"/>
      <c r="S32" s="1335"/>
      <c r="T32" s="1335"/>
      <c r="U32" s="1335"/>
      <c r="V32" s="1336"/>
      <c r="W32" s="1335"/>
      <c r="X32" s="1337"/>
      <c r="Z32" s="566"/>
      <c r="AA32" s="566" t="str">
        <f>IF(M32="","",M32)</f>
        <v/>
      </c>
      <c r="AB32" s="566"/>
      <c r="AC32" s="566"/>
      <c r="AD32" s="1221">
        <v>14</v>
      </c>
    </row>
    <row s="5774" customFormat="1" customHeight="1" ht="11.549999999999999">
      <c r="A33" s="1429"/>
      <c r="B33" s="1429"/>
      <c r="C33" s="1429"/>
      <c r="D33" s="1429"/>
      <c r="E33" s="1429" t="s">
        <v>176</v>
      </c>
      <c r="F33" s="1584"/>
      <c r="G33" s="1585"/>
      <c r="H33" s="603"/>
      <c r="L33" s="1346"/>
      <c r="M33" s="1340"/>
      <c r="N33" s="1335"/>
      <c r="O33" s="1335"/>
      <c r="P33" s="1335"/>
      <c r="Q33" s="1335"/>
      <c r="R33" s="1335"/>
      <c r="S33" s="1335"/>
      <c r="T33" s="1335"/>
      <c r="U33" s="1335"/>
      <c r="V33" s="1336"/>
      <c r="W33" s="1335"/>
      <c r="X33" s="1337"/>
      <c r="Y33" s="445"/>
      <c r="Z33" s="445"/>
      <c r="AA33" s="445"/>
      <c r="AB33" s="445"/>
      <c r="AC33" s="445"/>
      <c r="AD33" s="439">
        <v>11</v>
      </c>
    </row>
    <row customHeight="1" ht="11.549999999999999">
      <c r="F34" s="1226"/>
      <c r="G34" s="1226"/>
      <c r="H34" s="603"/>
      <c r="I34" s="1221"/>
      <c r="J34" s="1221"/>
      <c r="K34" s="1221"/>
      <c r="Y34" s="1221"/>
      <c r="Z34" s="1221"/>
      <c r="AA34" s="1221"/>
      <c r="AB34" s="1221"/>
      <c r="AC34" s="1221"/>
      <c r="AD34" s="1221">
        <v>11</v>
      </c>
    </row>
    <row customHeight="1" ht="28.5">
      <c r="H35" s="603"/>
      <c r="L35" s="1354" t="s">
        <v>812</v>
      </c>
      <c r="M35" s="2351" t="s">
        <v>2237</v>
      </c>
      <c r="N35" s="2351"/>
      <c r="O35" s="2351"/>
      <c r="P35" s="2351"/>
      <c r="Q35" s="2351"/>
      <c r="R35" s="2351"/>
      <c r="S35" s="2351"/>
      <c r="T35" s="2351"/>
      <c r="U35" s="2351"/>
      <c r="V35" s="2351"/>
      <c r="W35" s="2351"/>
      <c r="X35" s="2351"/>
      <c r="AD35" s="1221">
        <v>27</v>
      </c>
    </row>
    <row customHeight="1" ht="109.19999999999999">
      <c r="H36" s="603"/>
      <c r="I36" s="1369"/>
      <c r="M36" s="2351" t="s">
        <v>2238</v>
      </c>
      <c r="N36" s="2351"/>
      <c r="O36" s="2351"/>
      <c r="P36" s="2351"/>
      <c r="Q36" s="2351"/>
      <c r="R36" s="2351"/>
      <c r="S36" s="2351"/>
      <c r="T36" s="2351"/>
      <c r="U36" s="2351"/>
      <c r="V36" s="2351"/>
      <c r="W36" s="2351"/>
      <c r="X36" s="2351"/>
      <c r="AD36" s="1221">
        <v>104</v>
      </c>
    </row>
    <row customHeight="1" ht="14.699999999999998">
      <c r="H37" s="603"/>
      <c r="AD37" s="1221">
        <v>14</v>
      </c>
    </row>
    <row customHeight="1" ht="14.699999999999998">
      <c r="H38" s="603"/>
      <c r="AD38" s="1221">
        <v>14</v>
      </c>
    </row>
    <row customHeight="1" ht="14.699999999999998">
      <c r="H39" s="603"/>
      <c r="AD39" s="1221">
        <v>14</v>
      </c>
    </row>
    <row customHeight="1" ht="14.699999999999998">
      <c r="H40" s="603"/>
      <c r="AD40" s="1221">
        <v>14</v>
      </c>
    </row>
    <row customHeight="1" ht="22.5" hidden="1">
      <c r="A41" s="1226" t="s">
        <v>87</v>
      </c>
      <c r="B41" s="1226">
        <v>0</v>
      </c>
      <c r="C41" s="1226">
        <v>0</v>
      </c>
      <c r="D41" s="1226">
        <v>0</v>
      </c>
      <c r="E41" s="1226">
        <v>0</v>
      </c>
      <c r="F41" s="1428">
        <v>0</v>
      </c>
      <c r="G41" s="1428">
        <v>0</v>
      </c>
      <c r="H41" s="1428">
        <v>0</v>
      </c>
      <c r="I41" s="1352">
        <v>3</v>
      </c>
      <c r="J41" s="410">
        <v>3</v>
      </c>
      <c r="K41" s="410">
        <v>3</v>
      </c>
      <c r="L41" s="647">
        <v>12</v>
      </c>
      <c r="M41" s="1221">
        <v>31</v>
      </c>
      <c r="N41" s="1221">
        <v>1</v>
      </c>
      <c r="O41" s="1221">
        <v>24</v>
      </c>
      <c r="P41" s="1221">
        <v>24</v>
      </c>
      <c r="Q41" s="1221">
        <v>24</v>
      </c>
      <c r="R41" s="1221">
        <v>24</v>
      </c>
      <c r="S41" s="1221">
        <v>11</v>
      </c>
      <c r="T41" s="1221">
        <v>3</v>
      </c>
      <c r="U41" s="1221">
        <v>11</v>
      </c>
      <c r="V41" s="1221">
        <v>8</v>
      </c>
      <c r="W41" s="1221">
        <v>4</v>
      </c>
      <c r="X41" s="1221">
        <v>115</v>
      </c>
      <c r="Y41" s="577">
        <v>10</v>
      </c>
      <c r="Z41" s="577">
        <v>10</v>
      </c>
      <c r="AA41" s="577">
        <v>10</v>
      </c>
      <c r="AB41" s="577">
        <v>10</v>
      </c>
      <c r="AC41" s="577">
        <v>10</v>
      </c>
      <c r="AD41" s="122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550C1-E0AA-5B7C-3B6A-AAD8E71EE9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8F49F-D472-1AC7-5095-C4F1A3A374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004F2-9434-754E-DEE5-1EA55FBE50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3AA67-CC28-7C01-6393-D26FF03B75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255C6-9B0D-DA92-B6C6-71F230E424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084AD-E654-9FC5-8BDA-6A357BA83D0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5319" width="15.00390625" hidden="1" customWidth="1"/>
    <col min="2" max="2" style="3292" width="15.00390625" hidden="1" customWidth="1"/>
    <col min="3" max="3" style="3290" width="3.00390625" customWidth="1"/>
    <col min="4" max="4" style="3371" width="6.00390625" customWidth="1"/>
    <col min="5" max="5" style="3290" width="52.00390625" customWidth="1"/>
    <col min="6" max="6" style="3290" width="48.00390625" customWidth="1"/>
    <col min="7" max="7" style="3290" width="121.00390625" customWidth="1"/>
    <col min="8" max="8" style="3290" width="8.00390625" customWidth="1"/>
    <col min="9" max="9" style="3290" width="64.00390625" customWidth="1"/>
    <col min="10" max="10" style="3290" width="9.140625" hidden="1"/>
  </cols>
  <sheetData>
    <row customHeight="1" ht="11.25" hidden="1">
      <c r="A1" s="1752" t="s">
        <v>308</v>
      </c>
      <c r="J1" s="521" t="s">
        <v>14</v>
      </c>
    </row>
    <row customHeight="1" ht="11.25" hidden="1">
      <c r="J2" s="521">
        <v>0</v>
      </c>
    </row>
    <row s="3291" customFormat="1" customHeight="1" ht="11.549999999999999">
      <c r="A3" s="1752"/>
      <c r="B3" s="567"/>
      <c r="D3" s="544"/>
      <c r="J3" s="543">
        <v>11</v>
      </c>
    </row>
    <row customHeight="1" ht="27.299999999999997">
      <c r="D4" s="222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4"/>
      <c r="F4" s="2225"/>
      <c r="I4" s="781"/>
      <c r="J4" s="521">
        <v>26</v>
      </c>
    </row>
    <row customHeight="1" ht="18">
      <c r="D5" s="2242" t="str">
        <f>IF(org=0,"Не определено",org)</f>
        <v>Филиал "Уренгойская ГРЭС" АО "Интер РАО - Электрогенерация"</v>
      </c>
      <c r="E5" s="2242"/>
      <c r="F5" s="2242"/>
      <c r="I5" s="781"/>
      <c r="J5" s="521">
        <v>17</v>
      </c>
    </row>
    <row s="3291" customFormat="1" customHeight="1" ht="11.549999999999999">
      <c r="A6" s="1752"/>
      <c r="B6" s="567"/>
      <c r="D6" s="780"/>
      <c r="E6" s="780"/>
      <c r="F6" s="818"/>
      <c r="G6" s="780"/>
      <c r="J6" s="543">
        <v>11</v>
      </c>
    </row>
    <row customHeight="1" ht="11.25" hidden="1">
      <c r="A7" s="523"/>
      <c r="B7" s="568"/>
      <c r="C7" s="523"/>
      <c r="D7" s="529"/>
      <c r="E7" s="2273"/>
      <c r="F7" s="2273"/>
      <c r="J7" s="521">
        <v>0</v>
      </c>
    </row>
    <row customHeight="1" ht="11.549999999999999">
      <c r="A8" s="523"/>
      <c r="B8" s="568"/>
      <c r="C8" s="523"/>
      <c r="D8" s="2270" t="s">
        <v>309</v>
      </c>
      <c r="E8" s="2271"/>
      <c r="F8" s="2271"/>
      <c r="G8" s="2274" t="s">
        <v>310</v>
      </c>
      <c r="J8" s="521">
        <v>11</v>
      </c>
    </row>
    <row customHeight="1" ht="11.549999999999999">
      <c r="A9" s="523"/>
      <c r="B9" s="568"/>
      <c r="C9" s="523"/>
      <c r="D9" s="538" t="s">
        <v>93</v>
      </c>
      <c r="E9" s="512" t="s">
        <v>311</v>
      </c>
      <c r="F9" s="512" t="s">
        <v>312</v>
      </c>
      <c r="G9" s="2275"/>
      <c r="J9" s="521">
        <v>11</v>
      </c>
    </row>
    <row customHeight="1" ht="12" hidden="1">
      <c r="A10" s="523"/>
      <c r="B10" s="568"/>
      <c r="C10" s="523"/>
      <c r="D10" s="530"/>
      <c r="E10" s="530"/>
      <c r="F10" s="530"/>
      <c r="G10" s="530"/>
      <c r="J10" s="521">
        <v>0</v>
      </c>
    </row>
    <row customHeight="1" ht="22.5" hidden="1">
      <c r="A11" s="523"/>
      <c r="B11" s="568"/>
      <c r="C11" s="523"/>
      <c r="D11" s="1075" t="s">
        <v>114</v>
      </c>
      <c r="E11" s="1078" t="s">
        <v>313</v>
      </c>
      <c r="F11" s="1077" t="str">
        <f>IF(region_name="","",region_name)</f>
        <v>Ямало-Ненецкий автономный округ</v>
      </c>
      <c r="G11" s="1078" t="s">
        <v>314</v>
      </c>
      <c r="H11" s="541"/>
      <c r="J11" s="521">
        <v>0</v>
      </c>
    </row>
    <row customHeight="1" ht="22.5" hidden="1">
      <c r="A12" s="523"/>
      <c r="B12" s="568"/>
      <c r="C12" s="523"/>
      <c r="D12" s="511" t="s">
        <v>114</v>
      </c>
      <c r="E12" s="51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9" t="s">
        <v>315</v>
      </c>
      <c r="G12" s="540"/>
      <c r="H12" s="541"/>
      <c r="J12" s="521">
        <v>0</v>
      </c>
    </row>
    <row customHeight="1" ht="23.25">
      <c r="A13" s="523"/>
      <c r="B13" s="568"/>
      <c r="C13" s="523"/>
      <c r="D13" s="511" t="s">
        <v>114</v>
      </c>
      <c r="E13" s="508" t="str">
        <f>"Наименование юридического лица"&amp;IF(TEMPLATE_SPHERE="TKO"," (индивидуального предпринимателя)","")</f>
        <v>Наименование юридического лица</v>
      </c>
      <c r="F13" s="507"/>
      <c r="G13" s="51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1"/>
      <c r="J13" s="521">
        <v>22</v>
      </c>
    </row>
    <row customHeight="1" ht="22.5" hidden="1">
      <c r="A14" s="523"/>
      <c r="B14" s="568"/>
      <c r="C14" s="523"/>
      <c r="D14" s="1075" t="s">
        <v>316</v>
      </c>
      <c r="E14" s="1076" t="s">
        <v>317</v>
      </c>
      <c r="F14" s="1077" t="str">
        <f>IF(inn="","",inn)</f>
        <v>7704784450</v>
      </c>
      <c r="G14" s="1078" t="s">
        <v>318</v>
      </c>
      <c r="H14" s="541"/>
      <c r="J14" s="521">
        <v>0</v>
      </c>
    </row>
    <row customHeight="1" ht="22.5" hidden="1">
      <c r="A15" s="523"/>
      <c r="B15" s="568"/>
      <c r="C15" s="523"/>
      <c r="D15" s="1075" t="s">
        <v>319</v>
      </c>
      <c r="E15" s="1076" t="s">
        <v>320</v>
      </c>
      <c r="F15" s="1077" t="str">
        <f>IF(kpp="","",kpp)</f>
        <v>890443001</v>
      </c>
      <c r="G15" s="1078" t="s">
        <v>321</v>
      </c>
      <c r="H15" s="541"/>
      <c r="J15" s="521">
        <v>0</v>
      </c>
    </row>
    <row customHeight="1" ht="39">
      <c r="A16" s="523"/>
      <c r="B16" s="568"/>
      <c r="C16" s="523"/>
      <c r="D16" s="511" t="s">
        <v>115</v>
      </c>
      <c r="E16" s="5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7"/>
      <c r="G16" s="51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1"/>
      <c r="J16" s="521">
        <v>37</v>
      </c>
    </row>
    <row customHeight="1" ht="23.25">
      <c r="A17" s="523"/>
      <c r="B17" s="568"/>
      <c r="C17" s="523"/>
      <c r="D17" s="511" t="s">
        <v>95</v>
      </c>
      <c r="E17" s="508" t="str">
        <f>"Дата присвоения ОГРН"&amp;IF(TEMPLATE_SPHERE="TKO",""," (ОГРНИП)")</f>
        <v>Дата присвоения ОГРН (ОГРНИП)</v>
      </c>
      <c r="F17" s="1798" t="s">
        <v>28</v>
      </c>
      <c r="G17" s="510" t="str">
        <f>"Дата присвоения ОГРН"&amp;IF(TEMPLATE_SPHERE="TKO",""," (ОГРНИП)")&amp;" указывается в виде «ДД.ММ.ГГГГ»."</f>
        <v>Дата присвоения ОГРН (ОГРНИП) указывается в виде «ДД.ММ.ГГГГ».</v>
      </c>
      <c r="H17" s="541"/>
      <c r="J17" s="521">
        <v>22</v>
      </c>
    </row>
    <row customHeight="1" ht="71.25">
      <c r="A18" s="523"/>
      <c r="B18" s="568"/>
      <c r="C18" s="523"/>
      <c r="D18" s="511" t="s">
        <v>96</v>
      </c>
      <c r="E18" s="5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7"/>
      <c r="G18" s="540"/>
      <c r="H18" s="541"/>
      <c r="J18" s="521">
        <v>68</v>
      </c>
    </row>
    <row customHeight="1" ht="22.5" hidden="1">
      <c r="A19" s="2268" t="s">
        <v>322</v>
      </c>
      <c r="B19" s="568"/>
      <c r="C19" s="2279"/>
      <c r="D19" s="511" t="str">
        <f>A19</f>
        <v>5.1</v>
      </c>
      <c r="E19" s="508" t="s">
        <v>323</v>
      </c>
      <c r="F19" s="509" t="s">
        <v>315</v>
      </c>
      <c r="G19" s="510" t="s">
        <v>324</v>
      </c>
      <c r="H19" s="541"/>
      <c r="I19" s="918"/>
      <c r="J19" s="521">
        <v>0</v>
      </c>
    </row>
    <row customHeight="1" ht="24" hidden="1">
      <c r="A20" s="2268"/>
      <c r="B20" s="568"/>
      <c r="C20" s="2279"/>
      <c r="D20" s="506" t="str">
        <f>D19&amp;".1"</f>
        <v>5.1.1</v>
      </c>
      <c r="E20" s="505" t="s">
        <v>325</v>
      </c>
      <c r="F20" s="947" t="s">
        <v>28</v>
      </c>
      <c r="G20" s="540"/>
      <c r="H20" s="541"/>
      <c r="I20" s="918"/>
      <c r="J20" s="521">
        <v>0</v>
      </c>
    </row>
    <row customHeight="1" ht="22.5" hidden="1">
      <c r="A21" s="2268"/>
      <c r="B21" s="568"/>
      <c r="C21" s="2279"/>
      <c r="D21" s="506" t="str">
        <f>D19&amp;".2"</f>
        <v>5.1.2</v>
      </c>
      <c r="E21" s="505" t="s">
        <v>326</v>
      </c>
      <c r="F21" s="1799" t="s">
        <v>28</v>
      </c>
      <c r="G21" s="510" t="s">
        <v>327</v>
      </c>
      <c r="H21" s="541"/>
      <c r="I21" s="918"/>
      <c r="J21" s="521">
        <v>0</v>
      </c>
    </row>
    <row customHeight="1" ht="22.5" hidden="1">
      <c r="A22" s="2268"/>
      <c r="B22" s="568"/>
      <c r="C22" s="2279"/>
      <c r="D22" s="506" t="str">
        <f>D19&amp;".3"</f>
        <v>5.1.3</v>
      </c>
      <c r="E22" s="505" t="s">
        <v>328</v>
      </c>
      <c r="F22" s="947" t="s">
        <v>28</v>
      </c>
      <c r="G22" s="540"/>
      <c r="H22" s="541"/>
      <c r="I22" s="918"/>
      <c r="J22" s="521">
        <v>0</v>
      </c>
    </row>
    <row customHeight="1" ht="22.5" hidden="1">
      <c r="A23" s="2268"/>
      <c r="B23" s="568"/>
      <c r="C23" s="2279"/>
      <c r="D23" s="506" t="str">
        <f>D19&amp;".4"</f>
        <v>5.1.4</v>
      </c>
      <c r="E23" s="505" t="s">
        <v>329</v>
      </c>
      <c r="F23" s="947" t="s">
        <v>28</v>
      </c>
      <c r="G23" s="510" t="s">
        <v>330</v>
      </c>
      <c r="H23" s="541"/>
      <c r="I23" s="918"/>
      <c r="J23" s="521">
        <v>0</v>
      </c>
    </row>
    <row customHeight="1" ht="22.5" hidden="1">
      <c r="A24" s="2044"/>
      <c r="B24" s="568"/>
      <c r="C24" s="558"/>
      <c r="D24" s="533"/>
      <c r="E24" s="1234" t="s">
        <v>331</v>
      </c>
      <c r="F24" s="534"/>
      <c r="G24" s="535"/>
      <c r="H24" s="541"/>
      <c r="I24" s="918"/>
      <c r="J24" s="521">
        <v>0</v>
      </c>
    </row>
    <row s="3292" customFormat="1" customHeight="1" ht="24.75" hidden="1">
      <c r="A25" s="523"/>
      <c r="B25" s="568"/>
      <c r="C25" s="568"/>
      <c r="D25" s="1072" t="s">
        <v>95</v>
      </c>
      <c r="E25" s="1074" t="s">
        <v>332</v>
      </c>
      <c r="F25" s="1079" t="s">
        <v>315</v>
      </c>
      <c r="G25" s="1074"/>
      <c r="J25" s="567">
        <v>0</v>
      </c>
    </row>
    <row s="3292" customFormat="1" customHeight="1" ht="11.25" hidden="1">
      <c r="A26" s="523"/>
      <c r="B26" s="568"/>
      <c r="C26" s="568"/>
      <c r="D26" s="1072" t="s">
        <v>333</v>
      </c>
      <c r="E26" s="1073" t="s">
        <v>334</v>
      </c>
      <c r="F26" s="1079" t="s">
        <v>315</v>
      </c>
      <c r="G26" s="1074"/>
      <c r="J26" s="567">
        <v>0</v>
      </c>
    </row>
    <row s="3292" customFormat="1" customHeight="1" ht="11.25" hidden="1">
      <c r="A27" s="523"/>
      <c r="B27" s="568"/>
      <c r="C27" s="568"/>
      <c r="D27" s="1072" t="s">
        <v>335</v>
      </c>
      <c r="E27" s="1080" t="s">
        <v>336</v>
      </c>
      <c r="F27" s="1081"/>
      <c r="G27" s="107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7">
        <v>0</v>
      </c>
    </row>
    <row s="3292" customFormat="1" customHeight="1" ht="11.25" hidden="1">
      <c r="A28" s="523"/>
      <c r="B28" s="568"/>
      <c r="C28" s="568"/>
      <c r="D28" s="1072" t="s">
        <v>337</v>
      </c>
      <c r="E28" s="1080" t="s">
        <v>338</v>
      </c>
      <c r="F28" s="1081"/>
      <c r="G28" s="107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7">
        <v>0</v>
      </c>
    </row>
    <row s="3292" customFormat="1" customHeight="1" ht="11.25" hidden="1">
      <c r="A29" s="523"/>
      <c r="B29" s="568"/>
      <c r="C29" s="568"/>
      <c r="D29" s="1072" t="s">
        <v>339</v>
      </c>
      <c r="E29" s="1080" t="s">
        <v>340</v>
      </c>
      <c r="F29" s="1081"/>
      <c r="G29" s="107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7">
        <v>0</v>
      </c>
    </row>
    <row s="3292" customFormat="1" customHeight="1" ht="11.25" hidden="1">
      <c r="A30" s="523"/>
      <c r="B30" s="568"/>
      <c r="C30" s="568"/>
      <c r="D30" s="1072" t="s">
        <v>341</v>
      </c>
      <c r="E30" s="1073" t="s">
        <v>342</v>
      </c>
      <c r="F30" s="1081"/>
      <c r="G30" s="1074"/>
      <c r="J30" s="567">
        <v>0</v>
      </c>
    </row>
    <row s="3292" customFormat="1" customHeight="1" ht="11.25" hidden="1">
      <c r="A31" s="523"/>
      <c r="B31" s="568"/>
      <c r="C31" s="568"/>
      <c r="D31" s="1072" t="s">
        <v>343</v>
      </c>
      <c r="E31" s="1073" t="s">
        <v>344</v>
      </c>
      <c r="F31" s="1081"/>
      <c r="G31" s="1074"/>
      <c r="J31" s="567">
        <v>0</v>
      </c>
    </row>
    <row s="3292" customFormat="1" customHeight="1" ht="11.25" hidden="1">
      <c r="A32" s="523"/>
      <c r="B32" s="568"/>
      <c r="C32" s="568"/>
      <c r="D32" s="1072" t="s">
        <v>345</v>
      </c>
      <c r="E32" s="1073" t="s">
        <v>346</v>
      </c>
      <c r="F32" s="1082"/>
      <c r="G32" s="1074"/>
      <c r="J32" s="567">
        <v>0</v>
      </c>
    </row>
    <row customHeight="1" ht="24">
      <c r="A33" s="523" t="str">
        <f>IF(TEMPLATE_SPHERE="HEAT","6","5")</f>
        <v>6</v>
      </c>
      <c r="B33" s="568"/>
      <c r="C33" s="523"/>
      <c r="D33" s="506" t="str">
        <f>A33</f>
        <v>6</v>
      </c>
      <c r="E33" s="5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9" t="s">
        <v>315</v>
      </c>
      <c r="G33" s="540"/>
      <c r="H33" s="541"/>
      <c r="J33" s="521">
        <v>23</v>
      </c>
    </row>
    <row customHeight="1" ht="23.25">
      <c r="A34" s="523"/>
      <c r="B34" s="568"/>
      <c r="C34" s="523"/>
      <c r="D34" s="506" t="str">
        <f>D33&amp;".1"</f>
        <v>6.1</v>
      </c>
      <c r="E34" s="508" t="str">
        <f>"фамилия"&amp;IF(TEMPLATE_SPHERE&lt;&gt;"HEAT"," руководителя","")</f>
        <v>фамилия</v>
      </c>
      <c r="F34" s="507"/>
      <c r="G34" s="51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1"/>
      <c r="J34" s="521">
        <v>22</v>
      </c>
    </row>
    <row customHeight="1" ht="23.25">
      <c r="A35" s="523"/>
      <c r="B35" s="568"/>
      <c r="C35" s="523"/>
      <c r="D35" s="506" t="str">
        <f>D33&amp;".2"</f>
        <v>6.2</v>
      </c>
      <c r="E35" s="508" t="str">
        <f>"имя"&amp;IF(TEMPLATE_SPHERE&lt;&gt;"HEAT"," руководителя","")</f>
        <v>имя</v>
      </c>
      <c r="F35" s="507"/>
      <c r="G35" s="51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1"/>
      <c r="J35" s="521">
        <v>22</v>
      </c>
    </row>
    <row customHeight="1" ht="24">
      <c r="A36" s="523"/>
      <c r="B36" s="568"/>
      <c r="C36" s="523"/>
      <c r="D36" s="506" t="str">
        <f>D33&amp;".3"</f>
        <v>6.3</v>
      </c>
      <c r="E36" s="508" t="str">
        <f>"отчество"&amp;IF(TEMPLATE_SPHERE&lt;&gt;"HEAT"," руководителя","")</f>
        <v>отчество</v>
      </c>
      <c r="F36" s="764"/>
      <c r="G36" s="51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1"/>
      <c r="J36" s="521">
        <v>23</v>
      </c>
    </row>
    <row customHeight="1" ht="35.699999999999996">
      <c r="A37" s="523"/>
      <c r="B37" s="568"/>
      <c r="C37" s="523"/>
      <c r="D37" s="506">
        <f>D33+1</f>
        <v>7</v>
      </c>
      <c r="E37" s="5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7"/>
      <c r="G37" s="510" t="s">
        <v>347</v>
      </c>
      <c r="H37" s="541"/>
      <c r="J37" s="521">
        <v>34</v>
      </c>
    </row>
    <row customHeight="1" ht="35.699999999999996">
      <c r="A38" s="523"/>
      <c r="B38" s="568"/>
      <c r="C38" s="523"/>
      <c r="D38" s="506">
        <f>D37+1</f>
        <v>8</v>
      </c>
      <c r="E38" s="5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7"/>
      <c r="G38" s="510" t="s">
        <v>347</v>
      </c>
      <c r="H38" s="541"/>
      <c r="J38" s="521">
        <v>34</v>
      </c>
    </row>
    <row customHeight="1" ht="23.25">
      <c r="A39" s="523"/>
      <c r="B39" s="568"/>
      <c r="C39" s="523"/>
      <c r="D39" s="506">
        <f>D38+1</f>
        <v>9</v>
      </c>
      <c r="E39" s="5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9" t="s">
        <v>315</v>
      </c>
      <c r="G39" s="227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1"/>
      <c r="J39" s="521">
        <v>22</v>
      </c>
    </row>
    <row customHeight="1" ht="22.5" hidden="1">
      <c r="A40" s="523"/>
      <c r="B40" s="568"/>
      <c r="C40" s="523"/>
      <c r="D40" s="506" t="str">
        <f>D39&amp;".0"</f>
        <v>9.0</v>
      </c>
      <c r="E40" s="1671"/>
      <c r="F40" s="947"/>
      <c r="G40" s="2277"/>
      <c r="H40" s="541"/>
      <c r="J40" s="521">
        <v>0</v>
      </c>
    </row>
    <row customHeight="1" ht="23.25">
      <c r="A41" s="523"/>
      <c r="B41" s="523"/>
      <c r="C41" s="1754"/>
      <c r="D41" s="506" t="str">
        <f>D39&amp;".1"</f>
        <v>9.1</v>
      </c>
      <c r="E41" s="926"/>
      <c r="F41" s="927"/>
      <c r="G41" s="2277"/>
      <c r="H41" s="541"/>
      <c r="J41" s="521">
        <v>22</v>
      </c>
    </row>
    <row customHeight="1" ht="15.75">
      <c r="A42" s="523"/>
      <c r="B42" s="568"/>
      <c r="C42" s="523"/>
      <c r="D42" s="533"/>
      <c r="E42" s="481" t="s">
        <v>348</v>
      </c>
      <c r="F42" s="535"/>
      <c r="G42" s="2278"/>
      <c r="H42" s="542"/>
      <c r="J42" s="521">
        <v>15</v>
      </c>
    </row>
    <row customHeight="1" ht="27.299999999999997">
      <c r="A43" s="523"/>
      <c r="B43" s="568"/>
      <c r="C43" s="523"/>
      <c r="D43" s="506">
        <f>D39+1</f>
        <v>10</v>
      </c>
      <c r="E43" s="5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8"/>
      <c r="G43" s="51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1"/>
      <c r="J43" s="521">
        <v>26</v>
      </c>
    </row>
    <row customHeight="1" ht="23.25">
      <c r="A44" s="523"/>
      <c r="B44" s="568"/>
      <c r="C44" s="523"/>
      <c r="D44" s="506">
        <f>D43+1</f>
        <v>11</v>
      </c>
      <c r="E44" s="5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4"/>
      <c r="G44" s="540" t="s">
        <v>349</v>
      </c>
      <c r="H44" s="541"/>
      <c r="J44" s="521">
        <v>22</v>
      </c>
    </row>
    <row customHeight="1" ht="23.25">
      <c r="A45" s="523"/>
      <c r="B45" s="568"/>
      <c r="C45" s="523"/>
      <c r="D45" s="506">
        <f>D44+1</f>
        <v>12</v>
      </c>
      <c r="E45" s="504" t="s">
        <v>350</v>
      </c>
      <c r="F45" s="509" t="s">
        <v>315</v>
      </c>
      <c r="G45" s="503" t="str">
        <f>IF(TEMPLATE_SPHERE="TKO","Указывается режим работы организации.","")</f>
        <v/>
      </c>
      <c r="H45" s="541"/>
      <c r="J45" s="521">
        <v>22</v>
      </c>
    </row>
    <row customHeight="1" ht="24">
      <c r="A46" s="523"/>
      <c r="B46" s="568"/>
      <c r="C46" s="523"/>
      <c r="D46" s="506" t="str">
        <f>D45&amp;".1"</f>
        <v>12.1</v>
      </c>
      <c r="E46" s="508" t="str">
        <f>"режим работы регулируемой организации"&amp;IF(TEMPLATE_SPHERE="HEAT",", ЕТО, ТО","")</f>
        <v>режим работы регулируемой организации, ЕТО, ТО</v>
      </c>
      <c r="F46" s="1750"/>
      <c r="G46" s="503" t="s">
        <v>351</v>
      </c>
      <c r="H46" s="541"/>
      <c r="J46" s="521">
        <v>23</v>
      </c>
    </row>
    <row customHeight="1" ht="24">
      <c r="A47" s="2268"/>
      <c r="B47" s="568"/>
      <c r="C47" s="558"/>
      <c r="D47" s="506" t="str">
        <f>D45&amp;".2"</f>
        <v>12.2</v>
      </c>
      <c r="E47" s="508" t="s">
        <v>352</v>
      </c>
      <c r="F47" s="556"/>
      <c r="G47" s="503" t="s">
        <v>353</v>
      </c>
      <c r="H47" s="541"/>
      <c r="J47" s="521">
        <v>23</v>
      </c>
    </row>
    <row customHeight="1" ht="24">
      <c r="A48" s="2268"/>
      <c r="B48" s="568"/>
      <c r="C48" s="558"/>
      <c r="D48" s="506" t="str">
        <f>D45&amp;".3"</f>
        <v>12.3</v>
      </c>
      <c r="E48" s="508" t="s">
        <v>354</v>
      </c>
      <c r="F48" s="556"/>
      <c r="G48" s="503" t="s">
        <v>355</v>
      </c>
      <c r="H48" s="541"/>
      <c r="J48" s="521">
        <v>23</v>
      </c>
    </row>
    <row customHeight="1" ht="24">
      <c r="A49" s="2268"/>
      <c r="B49" s="568"/>
      <c r="C49" s="558"/>
      <c r="D49" s="506" t="str">
        <f>IF(TEMPLATE_SPHERE="TKO",D45&amp;".0",D45&amp;".4")</f>
        <v>12.4</v>
      </c>
      <c r="E49" s="502" t="s">
        <v>356</v>
      </c>
      <c r="F49" s="1751"/>
      <c r="G49" s="1828" t="s">
        <v>357</v>
      </c>
      <c r="H49" s="541"/>
      <c r="J49" s="521">
        <v>23</v>
      </c>
    </row>
    <row customHeight="1" ht="24">
      <c r="A50" s="523"/>
      <c r="B50" s="568"/>
      <c r="C50" s="523"/>
      <c r="D50" s="533"/>
      <c r="E50" s="481" t="s">
        <v>358</v>
      </c>
      <c r="F50" s="534"/>
      <c r="G50" s="1828" t="s">
        <v>359</v>
      </c>
      <c r="H50" s="542"/>
      <c r="J50" s="521">
        <v>23</v>
      </c>
    </row>
    <row customHeight="1" ht="24">
      <c r="A51" s="924"/>
      <c r="B51" s="568"/>
      <c r="C51" s="558"/>
      <c r="D51" s="506">
        <f>D45+1</f>
        <v>13</v>
      </c>
      <c r="E51" s="594" t="s">
        <v>360</v>
      </c>
      <c r="F51" s="556"/>
      <c r="G51" s="17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1"/>
      <c r="J51" s="521">
        <v>23</v>
      </c>
    </row>
    <row customHeight="1" ht="11.549999999999999">
      <c r="A52" s="523"/>
      <c r="B52" s="568"/>
      <c r="C52" s="523"/>
      <c r="J52" s="521">
        <v>11</v>
      </c>
    </row>
    <row s="3359" customFormat="1" customHeight="1" ht="31.5">
      <c r="A53" s="1753"/>
      <c r="B53" s="569"/>
      <c r="C53" s="2269"/>
      <c r="D53" s="227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2"/>
      <c r="F53" s="2272"/>
      <c r="G53" s="2272"/>
      <c r="H53" s="520"/>
      <c r="I53" s="520"/>
      <c r="J53" s="526">
        <v>30</v>
      </c>
    </row>
    <row s="3359" customFormat="1" customHeight="1" ht="42">
      <c r="A54" s="523"/>
      <c r="B54" s="568"/>
      <c r="C54" s="2269"/>
      <c r="D54" s="227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2"/>
      <c r="F54" s="2272"/>
      <c r="G54" s="2272"/>
      <c r="J54" s="526">
        <v>40</v>
      </c>
    </row>
    <row customHeight="1" ht="11.549999999999999">
      <c r="D55" s="524"/>
      <c r="E55" s="525"/>
      <c r="F55" s="525"/>
      <c r="G55" s="525"/>
      <c r="J55" s="521">
        <v>11</v>
      </c>
    </row>
    <row customHeight="1" ht="28.5">
      <c r="D56" s="527"/>
      <c r="E56" s="524"/>
      <c r="F56" s="536"/>
      <c r="G56" s="536"/>
      <c r="J56" s="521">
        <v>27</v>
      </c>
    </row>
    <row customHeight="1" ht="11.549999999999999">
      <c r="D57" s="524"/>
      <c r="E57" s="524"/>
      <c r="F57" s="525"/>
      <c r="G57" s="525"/>
      <c r="J57" s="521">
        <v>11</v>
      </c>
    </row>
    <row customHeight="1" ht="40.949999999999996">
      <c r="D58" s="528"/>
      <c r="E58" s="537"/>
      <c r="F58" s="537"/>
      <c r="G58" s="537"/>
      <c r="J58" s="521">
        <v>39</v>
      </c>
    </row>
    <row customHeight="1" ht="28.5">
      <c r="D59" s="528"/>
      <c r="E59" s="537"/>
      <c r="F59" s="537"/>
      <c r="G59" s="537"/>
      <c r="J59" s="521">
        <v>27</v>
      </c>
    </row>
    <row customHeight="1" ht="11.25" hidden="1">
      <c r="A60" s="1752" t="s">
        <v>87</v>
      </c>
      <c r="B60" s="567">
        <v>0</v>
      </c>
      <c r="C60" s="521">
        <v>3</v>
      </c>
      <c r="D60" s="522">
        <v>6</v>
      </c>
      <c r="E60" s="521">
        <v>52</v>
      </c>
      <c r="F60" s="521">
        <v>48</v>
      </c>
      <c r="G60" s="521">
        <v>121</v>
      </c>
      <c r="H60" s="521">
        <v>8</v>
      </c>
      <c r="I60" s="521">
        <v>64</v>
      </c>
      <c r="J60" s="52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14F98-295E-E74A-C68A-6320ACE5B4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9E90B-E6CC-27D6-75BC-026B3EDE79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A3B72-778E-5A78-2C72-9A942B420A8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B9B5F-FF8F-BE9D-B659-8F35BCFA2733}" mc:Ignorable="x14ac xr xr2 xr3">
  <dimension ref="A1:E8"/>
  <sheetViews>
    <sheetView topLeftCell="A1" showGridLines="0" workbookViewId="0">
      <selection activeCell="A1" sqref="A1"/>
    </sheetView>
  </sheetViews>
  <sheetFormatPr customHeight="1" defaultRowHeight="11.25"/>
  <cols>
    <col min="1" max="1" style="5774" width="10.57421875" customWidth="1"/>
    <col min="2" max="2" style="5774" width="8.7109375" customWidth="1"/>
    <col min="3" max="3" style="5774" width="18.140625" customWidth="1"/>
    <col min="4" max="4" style="5774" width="12.57421875" customWidth="1"/>
  </cols>
  <sheetData>
    <row customHeight="1" ht="11.25">
      <c r="A1" s="2681" t="s">
        <v>2239</v>
      </c>
      <c r="B1" s="2682" t="s">
        <v>2240</v>
      </c>
      <c r="C1" s="2683" t="s">
        <v>2241</v>
      </c>
      <c r="D1" s="2684"/>
      <c r="E1" s="902" t="s">
        <v>2242</v>
      </c>
    </row>
    <row customHeight="1" ht="11.25">
      <c r="A2" s="2685"/>
      <c r="B2" s="831" t="s">
        <v>26</v>
      </c>
      <c r="C2" s="819"/>
      <c r="D2" s="830"/>
      <c r="E2" s="902"/>
    </row>
    <row customHeight="1" ht="11.25">
      <c r="A3" s="2686"/>
      <c r="B3" s="2687" t="s">
        <v>33</v>
      </c>
      <c r="C3" s="819"/>
      <c r="D3" s="830"/>
      <c r="E3" s="902"/>
    </row>
    <row customHeight="1" ht="11.25">
      <c r="A4" s="2688"/>
      <c r="B4" s="832" t="s">
        <v>1666</v>
      </c>
      <c r="C4" s="819"/>
      <c r="D4" s="830"/>
      <c r="E4" s="902"/>
    </row>
    <row customHeight="1" ht="11.25">
      <c r="A5" s="2689"/>
      <c r="B5" s="832" t="s">
        <v>1660</v>
      </c>
      <c r="C5" s="2690" t="s">
        <v>2006</v>
      </c>
      <c r="D5" s="2691" t="s">
        <v>2243</v>
      </c>
      <c r="E5" s="902"/>
    </row>
    <row s="5774" customFormat="1" customHeight="1" ht="11.25">
      <c r="A6" s="2692"/>
      <c r="B6" s="832" t="s">
        <v>1670</v>
      </c>
      <c r="C6" s="819"/>
      <c r="D6" s="830"/>
      <c r="E6" s="902"/>
    </row>
    <row customHeight="1" ht="11.25">
      <c r="A7" s="2693"/>
      <c r="B7" s="832" t="s">
        <v>1678</v>
      </c>
      <c r="C7" s="819"/>
      <c r="D7" s="830"/>
      <c r="E7" s="902"/>
    </row>
    <row customHeight="1" ht="11.25">
      <c r="A8" s="822"/>
      <c r="B8" s="832" t="s">
        <v>1673</v>
      </c>
      <c r="C8" s="819"/>
      <c r="D8" s="830"/>
      <c r="E8" s="90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EDD43-9C0C-6EC1-BF3E-E3989FDEE9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0A2C7-6BD6-7461-FF03-BA154A9B54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6654D-8E02-5406-8AE4-F76DA11BE7C7}"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774" width="9.140625"/>
    <col min="3" max="3" style="5774" width="20.7109375" customWidth="1"/>
    <col min="4" max="4" style="5774" width="25.140625" customWidth="1"/>
    <col min="5" max="9" style="5774" width="9.140625"/>
  </cols>
  <sheetData>
    <row customHeight="1" ht="11.25">
      <c r="A1" s="134" t="s">
        <v>2244</v>
      </c>
      <c r="B1" s="134" t="s">
        <v>2245</v>
      </c>
      <c r="C1" s="134" t="s">
        <v>2246</v>
      </c>
      <c r="D1" s="134" t="s">
        <v>2247</v>
      </c>
      <c r="E1" s="134" t="s">
        <v>2248</v>
      </c>
      <c r="F1" s="134" t="s">
        <v>2249</v>
      </c>
      <c r="G1" s="134" t="s">
        <v>2250</v>
      </c>
      <c r="H1" s="134" t="s">
        <v>2251</v>
      </c>
      <c r="I1" s="134" t="s">
        <v>2252</v>
      </c>
    </row>
    <row customHeight="1" ht="11.25">
      <c r="A2" s="5759" t="s">
        <v>2253</v>
      </c>
      <c r="B2" s="5759" t="s">
        <v>16</v>
      </c>
      <c r="C2" s="5759" t="s">
        <v>2254</v>
      </c>
      <c r="D2" s="5759" t="s">
        <v>2255</v>
      </c>
      <c r="E2" s="5759" t="s">
        <v>2256</v>
      </c>
      <c r="F2" s="5759" t="s">
        <v>2257</v>
      </c>
      <c r="G2" s="5759" t="s">
        <v>2258</v>
      </c>
      <c r="H2" s="5759" t="s">
        <v>28</v>
      </c>
      <c r="I2" s="5759" t="s">
        <v>816</v>
      </c>
    </row>
    <row customHeight="1" ht="11.25">
      <c r="A3" s="5759" t="s">
        <v>2253</v>
      </c>
      <c r="B3" s="5759" t="s">
        <v>16</v>
      </c>
      <c r="C3" s="5759" t="s">
        <v>2259</v>
      </c>
      <c r="D3" s="5759" t="s">
        <v>2260</v>
      </c>
      <c r="E3" s="5759" t="s">
        <v>2261</v>
      </c>
      <c r="F3" s="5759" t="s">
        <v>2262</v>
      </c>
      <c r="G3" s="5759" t="s">
        <v>2263</v>
      </c>
      <c r="H3" s="5759" t="s">
        <v>28</v>
      </c>
      <c r="I3" s="5759" t="s">
        <v>816</v>
      </c>
    </row>
    <row customHeight="1" ht="11.25">
      <c r="A4" s="5759" t="s">
        <v>2253</v>
      </c>
      <c r="B4" s="5759" t="s">
        <v>16</v>
      </c>
      <c r="C4" s="5759" t="s">
        <v>2264</v>
      </c>
      <c r="D4" s="5759" t="s">
        <v>2265</v>
      </c>
      <c r="E4" s="5759" t="s">
        <v>2266</v>
      </c>
      <c r="F4" s="5759" t="s">
        <v>2257</v>
      </c>
      <c r="G4" s="5759" t="s">
        <v>2267</v>
      </c>
      <c r="H4" s="5759" t="s">
        <v>28</v>
      </c>
      <c r="I4" s="5759" t="s">
        <v>816</v>
      </c>
    </row>
    <row customHeight="1" ht="11.25">
      <c r="A5" s="5759" t="s">
        <v>2253</v>
      </c>
      <c r="B5" s="5759" t="s">
        <v>16</v>
      </c>
      <c r="C5" s="5759" t="s">
        <v>2268</v>
      </c>
      <c r="D5" s="5759" t="s">
        <v>2269</v>
      </c>
      <c r="E5" s="5759" t="s">
        <v>2270</v>
      </c>
      <c r="F5" s="5759" t="s">
        <v>2271</v>
      </c>
      <c r="G5" s="5759" t="s">
        <v>28</v>
      </c>
      <c r="H5" s="5759" t="s">
        <v>28</v>
      </c>
      <c r="I5" s="5759" t="s">
        <v>816</v>
      </c>
    </row>
    <row customHeight="1" ht="11.25">
      <c r="A6" s="5759" t="s">
        <v>2253</v>
      </c>
      <c r="B6" s="5759" t="s">
        <v>16</v>
      </c>
      <c r="C6" s="5759" t="s">
        <v>2272</v>
      </c>
      <c r="D6" s="5759" t="s">
        <v>2273</v>
      </c>
      <c r="E6" s="5759" t="s">
        <v>2274</v>
      </c>
      <c r="F6" s="5759" t="s">
        <v>2275</v>
      </c>
      <c r="G6" s="5759" t="s">
        <v>28</v>
      </c>
      <c r="H6" s="5759" t="s">
        <v>28</v>
      </c>
      <c r="I6" s="5759" t="s">
        <v>816</v>
      </c>
    </row>
    <row customHeight="1" ht="11.25">
      <c r="A7" s="5759" t="s">
        <v>2253</v>
      </c>
      <c r="B7" s="5759" t="s">
        <v>16</v>
      </c>
      <c r="C7" s="5759" t="s">
        <v>2276</v>
      </c>
      <c r="D7" s="5759" t="s">
        <v>2277</v>
      </c>
      <c r="E7" s="5759" t="s">
        <v>2278</v>
      </c>
      <c r="F7" s="5759" t="s">
        <v>2279</v>
      </c>
      <c r="G7" s="5759" t="s">
        <v>28</v>
      </c>
      <c r="H7" s="5759" t="s">
        <v>28</v>
      </c>
      <c r="I7" s="5759" t="s">
        <v>816</v>
      </c>
    </row>
    <row customHeight="1" ht="11.25">
      <c r="A8" s="5759" t="s">
        <v>2253</v>
      </c>
      <c r="B8" s="5759" t="s">
        <v>16</v>
      </c>
      <c r="C8" s="5759" t="s">
        <v>2280</v>
      </c>
      <c r="D8" s="5759" t="s">
        <v>2281</v>
      </c>
      <c r="E8" s="5759" t="s">
        <v>2278</v>
      </c>
      <c r="F8" s="5759" t="s">
        <v>2282</v>
      </c>
      <c r="G8" s="5759" t="s">
        <v>28</v>
      </c>
      <c r="H8" s="5759" t="s">
        <v>28</v>
      </c>
      <c r="I8" s="5759" t="s">
        <v>816</v>
      </c>
    </row>
    <row customHeight="1" ht="11.25">
      <c r="A9" s="5759" t="s">
        <v>2253</v>
      </c>
      <c r="B9" s="5759" t="s">
        <v>16</v>
      </c>
      <c r="C9" s="5759" t="s">
        <v>2283</v>
      </c>
      <c r="D9" s="5759" t="s">
        <v>2284</v>
      </c>
      <c r="E9" s="5759" t="s">
        <v>2285</v>
      </c>
      <c r="F9" s="5759" t="s">
        <v>2286</v>
      </c>
      <c r="G9" s="5759" t="s">
        <v>28</v>
      </c>
      <c r="H9" s="5759" t="s">
        <v>28</v>
      </c>
      <c r="I9" s="5759" t="s">
        <v>816</v>
      </c>
    </row>
    <row customHeight="1" ht="11.25">
      <c r="A10" s="5759" t="s">
        <v>2253</v>
      </c>
      <c r="B10" s="5759" t="s">
        <v>16</v>
      </c>
      <c r="C10" s="5759" t="s">
        <v>2287</v>
      </c>
      <c r="D10" s="5759" t="s">
        <v>2288</v>
      </c>
      <c r="E10" s="5759" t="s">
        <v>2289</v>
      </c>
      <c r="F10" s="5759" t="s">
        <v>2275</v>
      </c>
      <c r="G10" s="5759" t="s">
        <v>28</v>
      </c>
      <c r="H10" s="5759" t="s">
        <v>28</v>
      </c>
      <c r="I10" s="5759" t="s">
        <v>816</v>
      </c>
    </row>
    <row customHeight="1" ht="11.25">
      <c r="A11" s="5759" t="s">
        <v>2253</v>
      </c>
      <c r="B11" s="5759" t="s">
        <v>16</v>
      </c>
      <c r="C11" s="5759" t="s">
        <v>2290</v>
      </c>
      <c r="D11" s="5759" t="s">
        <v>2291</v>
      </c>
      <c r="E11" s="5759" t="s">
        <v>2292</v>
      </c>
      <c r="F11" s="5759" t="s">
        <v>2275</v>
      </c>
      <c r="G11" s="5759" t="s">
        <v>28</v>
      </c>
      <c r="H11" s="5759" t="s">
        <v>28</v>
      </c>
      <c r="I11" s="5759" t="s">
        <v>816</v>
      </c>
    </row>
    <row customHeight="1" ht="11.25">
      <c r="A12" s="5759" t="s">
        <v>2253</v>
      </c>
      <c r="B12" s="5759" t="s">
        <v>16</v>
      </c>
      <c r="C12" s="5759" t="s">
        <v>2293</v>
      </c>
      <c r="D12" s="5759" t="s">
        <v>2294</v>
      </c>
      <c r="E12" s="5759" t="s">
        <v>2295</v>
      </c>
      <c r="F12" s="5759" t="s">
        <v>2296</v>
      </c>
      <c r="G12" s="5759" t="s">
        <v>28</v>
      </c>
      <c r="H12" s="5759" t="s">
        <v>28</v>
      </c>
      <c r="I12" s="5759" t="s">
        <v>816</v>
      </c>
    </row>
    <row customHeight="1" ht="11.25">
      <c r="A13" s="5759" t="s">
        <v>2253</v>
      </c>
      <c r="B13" s="5759" t="s">
        <v>16</v>
      </c>
      <c r="C13" s="5759" t="s">
        <v>2297</v>
      </c>
      <c r="D13" s="5759" t="s">
        <v>2298</v>
      </c>
      <c r="E13" s="5759" t="s">
        <v>2299</v>
      </c>
      <c r="F13" s="5759" t="s">
        <v>2262</v>
      </c>
      <c r="G13" s="5759" t="s">
        <v>2300</v>
      </c>
      <c r="H13" s="5759" t="s">
        <v>28</v>
      </c>
      <c r="I13" s="5759" t="s">
        <v>816</v>
      </c>
    </row>
    <row customHeight="1" ht="11.25">
      <c r="A14" s="5759" t="s">
        <v>2253</v>
      </c>
      <c r="B14" s="5759" t="s">
        <v>16</v>
      </c>
      <c r="C14" s="5759" t="s">
        <v>2301</v>
      </c>
      <c r="D14" s="5759" t="s">
        <v>2302</v>
      </c>
      <c r="E14" s="5759" t="s">
        <v>2303</v>
      </c>
      <c r="F14" s="5759" t="s">
        <v>2286</v>
      </c>
      <c r="G14" s="5759" t="s">
        <v>28</v>
      </c>
      <c r="H14" s="5759" t="s">
        <v>28</v>
      </c>
      <c r="I14" s="5759" t="s">
        <v>816</v>
      </c>
    </row>
    <row customHeight="1" ht="11.25">
      <c r="A15" s="5759" t="s">
        <v>2253</v>
      </c>
      <c r="B15" s="5759" t="s">
        <v>16</v>
      </c>
      <c r="C15" s="5759" t="s">
        <v>2304</v>
      </c>
      <c r="D15" s="5759" t="s">
        <v>2305</v>
      </c>
      <c r="E15" s="5759" t="s">
        <v>2303</v>
      </c>
      <c r="F15" s="5759" t="s">
        <v>2306</v>
      </c>
      <c r="G15" s="5759" t="s">
        <v>2307</v>
      </c>
      <c r="H15" s="5759" t="s">
        <v>28</v>
      </c>
      <c r="I15" s="5759" t="s">
        <v>816</v>
      </c>
    </row>
    <row customHeight="1" ht="11.25">
      <c r="A16" s="5759" t="s">
        <v>2253</v>
      </c>
      <c r="B16" s="5759" t="s">
        <v>16</v>
      </c>
      <c r="C16" s="5759" t="s">
        <v>2308</v>
      </c>
      <c r="D16" s="5759" t="s">
        <v>2309</v>
      </c>
      <c r="E16" s="5759" t="s">
        <v>2303</v>
      </c>
      <c r="F16" s="5759" t="s">
        <v>2296</v>
      </c>
      <c r="G16" s="5759" t="s">
        <v>28</v>
      </c>
      <c r="H16" s="5759" t="s">
        <v>28</v>
      </c>
      <c r="I16" s="5759" t="s">
        <v>816</v>
      </c>
    </row>
    <row customHeight="1" ht="11.25">
      <c r="A17" s="5759" t="s">
        <v>2253</v>
      </c>
      <c r="B17" s="5759" t="s">
        <v>16</v>
      </c>
      <c r="C17" s="5759" t="s">
        <v>2310</v>
      </c>
      <c r="D17" s="5759" t="s">
        <v>2311</v>
      </c>
      <c r="E17" s="5759" t="s">
        <v>2303</v>
      </c>
      <c r="F17" s="5759" t="s">
        <v>2312</v>
      </c>
      <c r="G17" s="5759" t="s">
        <v>2313</v>
      </c>
      <c r="H17" s="5759" t="s">
        <v>28</v>
      </c>
      <c r="I17" s="5759" t="s">
        <v>816</v>
      </c>
    </row>
    <row customHeight="1" ht="11.25">
      <c r="A18" s="5759" t="s">
        <v>2253</v>
      </c>
      <c r="B18" s="5759" t="s">
        <v>16</v>
      </c>
      <c r="C18" s="5759" t="s">
        <v>2314</v>
      </c>
      <c r="D18" s="5759" t="s">
        <v>2315</v>
      </c>
      <c r="E18" s="5759" t="s">
        <v>2303</v>
      </c>
      <c r="F18" s="5759" t="s">
        <v>2316</v>
      </c>
      <c r="G18" s="5759" t="s">
        <v>2317</v>
      </c>
      <c r="H18" s="5759" t="s">
        <v>28</v>
      </c>
      <c r="I18" s="5759" t="s">
        <v>816</v>
      </c>
    </row>
    <row customHeight="1" ht="11.25">
      <c r="A19" s="5759" t="s">
        <v>2253</v>
      </c>
      <c r="B19" s="5759" t="s">
        <v>16</v>
      </c>
      <c r="C19" s="5759" t="s">
        <v>2318</v>
      </c>
      <c r="D19" s="5759" t="s">
        <v>2319</v>
      </c>
      <c r="E19" s="5759" t="s">
        <v>2303</v>
      </c>
      <c r="F19" s="5759" t="s">
        <v>2320</v>
      </c>
      <c r="G19" s="5759" t="s">
        <v>28</v>
      </c>
      <c r="H19" s="5759" t="s">
        <v>28</v>
      </c>
      <c r="I19" s="5759" t="s">
        <v>816</v>
      </c>
    </row>
    <row customHeight="1" ht="11.25">
      <c r="A20" s="5759" t="s">
        <v>2253</v>
      </c>
      <c r="B20" s="5759" t="s">
        <v>16</v>
      </c>
      <c r="C20" s="5759" t="s">
        <v>2321</v>
      </c>
      <c r="D20" s="5759" t="s">
        <v>2322</v>
      </c>
      <c r="E20" s="5759" t="s">
        <v>2303</v>
      </c>
      <c r="F20" s="5759" t="s">
        <v>2323</v>
      </c>
      <c r="G20" s="5759" t="s">
        <v>28</v>
      </c>
      <c r="H20" s="5759" t="s">
        <v>28</v>
      </c>
      <c r="I20" s="5759" t="s">
        <v>816</v>
      </c>
    </row>
    <row customHeight="1" ht="11.25">
      <c r="A21" s="5759" t="s">
        <v>2253</v>
      </c>
      <c r="B21" s="5759" t="s">
        <v>16</v>
      </c>
      <c r="C21" s="5759" t="s">
        <v>2324</v>
      </c>
      <c r="D21" s="5759" t="s">
        <v>2325</v>
      </c>
      <c r="E21" s="5759" t="s">
        <v>2303</v>
      </c>
      <c r="F21" s="5759" t="s">
        <v>2326</v>
      </c>
      <c r="G21" s="5759" t="s">
        <v>28</v>
      </c>
      <c r="H21" s="5759" t="s">
        <v>28</v>
      </c>
      <c r="I21" s="5759" t="s">
        <v>816</v>
      </c>
    </row>
    <row customHeight="1" ht="11.25">
      <c r="A22" s="5759" t="s">
        <v>2253</v>
      </c>
      <c r="B22" s="5759" t="s">
        <v>16</v>
      </c>
      <c r="C22" s="5759" t="s">
        <v>2327</v>
      </c>
      <c r="D22" s="5759" t="s">
        <v>2328</v>
      </c>
      <c r="E22" s="5759" t="s">
        <v>2303</v>
      </c>
      <c r="F22" s="5759" t="s">
        <v>2329</v>
      </c>
      <c r="G22" s="5759" t="s">
        <v>2330</v>
      </c>
      <c r="H22" s="5759" t="s">
        <v>28</v>
      </c>
      <c r="I22" s="5759" t="s">
        <v>816</v>
      </c>
    </row>
    <row customHeight="1" ht="11.25">
      <c r="A23" s="5759" t="s">
        <v>2253</v>
      </c>
      <c r="B23" s="5759" t="s">
        <v>16</v>
      </c>
      <c r="C23" s="5759" t="s">
        <v>2331</v>
      </c>
      <c r="D23" s="5759" t="s">
        <v>2332</v>
      </c>
      <c r="E23" s="5759" t="s">
        <v>2333</v>
      </c>
      <c r="F23" s="5759" t="s">
        <v>2334</v>
      </c>
      <c r="G23" s="5759" t="s">
        <v>28</v>
      </c>
      <c r="H23" s="5759" t="s">
        <v>28</v>
      </c>
      <c r="I23" s="5759" t="s">
        <v>816</v>
      </c>
    </row>
    <row customHeight="1" ht="11.25">
      <c r="A24" s="5759" t="s">
        <v>2253</v>
      </c>
      <c r="B24" s="5759" t="s">
        <v>16</v>
      </c>
      <c r="C24" s="5759" t="s">
        <v>2335</v>
      </c>
      <c r="D24" s="5759" t="s">
        <v>2336</v>
      </c>
      <c r="E24" s="5759" t="s">
        <v>2337</v>
      </c>
      <c r="F24" s="5759" t="s">
        <v>2286</v>
      </c>
      <c r="G24" s="5759" t="s">
        <v>28</v>
      </c>
      <c r="H24" s="5759" t="s">
        <v>28</v>
      </c>
      <c r="I24" s="5759" t="s">
        <v>816</v>
      </c>
    </row>
    <row customHeight="1" ht="11.25">
      <c r="A25" s="5759" t="s">
        <v>2253</v>
      </c>
      <c r="B25" s="5759" t="s">
        <v>16</v>
      </c>
      <c r="C25" s="5759" t="s">
        <v>2338</v>
      </c>
      <c r="D25" s="5759" t="s">
        <v>2339</v>
      </c>
      <c r="E25" s="5759" t="s">
        <v>2333</v>
      </c>
      <c r="F25" s="5759" t="s">
        <v>2340</v>
      </c>
      <c r="G25" s="5759" t="s">
        <v>28</v>
      </c>
      <c r="H25" s="5759" t="s">
        <v>28</v>
      </c>
      <c r="I25" s="5759" t="s">
        <v>816</v>
      </c>
    </row>
    <row customHeight="1" ht="11.25">
      <c r="A26" s="5759" t="s">
        <v>2253</v>
      </c>
      <c r="B26" s="5759" t="s">
        <v>16</v>
      </c>
      <c r="C26" s="5759" t="s">
        <v>28</v>
      </c>
      <c r="D26" s="5759" t="s">
        <v>2341</v>
      </c>
      <c r="E26" s="5759" t="s">
        <v>2342</v>
      </c>
      <c r="F26" s="5759" t="s">
        <v>2286</v>
      </c>
      <c r="G26" s="5759" t="s">
        <v>28</v>
      </c>
      <c r="H26" s="5759" t="s">
        <v>28</v>
      </c>
      <c r="I26" s="5759" t="s">
        <v>816</v>
      </c>
    </row>
    <row customHeight="1" ht="11.25">
      <c r="A27" s="5759" t="s">
        <v>2253</v>
      </c>
      <c r="B27" s="5759" t="s">
        <v>16</v>
      </c>
      <c r="C27" s="5759" t="s">
        <v>2343</v>
      </c>
      <c r="D27" s="5759" t="s">
        <v>2344</v>
      </c>
      <c r="E27" s="5759" t="s">
        <v>2345</v>
      </c>
      <c r="F27" s="5759" t="s">
        <v>2296</v>
      </c>
      <c r="G27" s="5759" t="s">
        <v>2346</v>
      </c>
      <c r="H27" s="5759" t="s">
        <v>28</v>
      </c>
      <c r="I27" s="5759" t="s">
        <v>816</v>
      </c>
    </row>
    <row customHeight="1" ht="11.25">
      <c r="A28" s="5759" t="s">
        <v>2253</v>
      </c>
      <c r="B28" s="5759" t="s">
        <v>16</v>
      </c>
      <c r="C28" s="5759" t="s">
        <v>2347</v>
      </c>
      <c r="D28" s="5759" t="s">
        <v>2348</v>
      </c>
      <c r="E28" s="5759" t="s">
        <v>2349</v>
      </c>
      <c r="F28" s="5759" t="s">
        <v>2350</v>
      </c>
      <c r="G28" s="5759" t="s">
        <v>28</v>
      </c>
      <c r="H28" s="5759" t="s">
        <v>28</v>
      </c>
      <c r="I28" s="5759" t="s">
        <v>816</v>
      </c>
    </row>
    <row customHeight="1" ht="11.25">
      <c r="A29" s="5759" t="s">
        <v>2253</v>
      </c>
      <c r="B29" s="5759" t="s">
        <v>16</v>
      </c>
      <c r="C29" s="5759" t="s">
        <v>2351</v>
      </c>
      <c r="D29" s="5759" t="s">
        <v>2352</v>
      </c>
      <c r="E29" s="5759" t="s">
        <v>2353</v>
      </c>
      <c r="F29" s="5759" t="s">
        <v>2354</v>
      </c>
      <c r="G29" s="5759" t="s">
        <v>28</v>
      </c>
      <c r="H29" s="5759" t="s">
        <v>28</v>
      </c>
      <c r="I29" s="5759" t="s">
        <v>816</v>
      </c>
    </row>
    <row customHeight="1" ht="11.25">
      <c r="A30" s="5759" t="s">
        <v>2253</v>
      </c>
      <c r="B30" s="5759" t="s">
        <v>16</v>
      </c>
      <c r="C30" s="5759" t="s">
        <v>2355</v>
      </c>
      <c r="D30" s="5759" t="s">
        <v>2356</v>
      </c>
      <c r="E30" s="5759" t="s">
        <v>2357</v>
      </c>
      <c r="F30" s="5759" t="s">
        <v>2358</v>
      </c>
      <c r="G30" s="5759" t="s">
        <v>2359</v>
      </c>
      <c r="H30" s="5759" t="s">
        <v>28</v>
      </c>
      <c r="I30" s="5759" t="s">
        <v>816</v>
      </c>
    </row>
    <row customHeight="1" ht="11.25">
      <c r="A31" s="5759" t="s">
        <v>2253</v>
      </c>
      <c r="B31" s="5759" t="s">
        <v>16</v>
      </c>
      <c r="C31" s="5759" t="s">
        <v>2360</v>
      </c>
      <c r="D31" s="5759" t="s">
        <v>2361</v>
      </c>
      <c r="E31" s="5759" t="s">
        <v>2362</v>
      </c>
      <c r="F31" s="5759" t="s">
        <v>2363</v>
      </c>
      <c r="G31" s="5759" t="s">
        <v>2364</v>
      </c>
      <c r="H31" s="5759" t="s">
        <v>28</v>
      </c>
      <c r="I31" s="5759" t="s">
        <v>816</v>
      </c>
    </row>
    <row customHeight="1" ht="11.25">
      <c r="A32" s="5759" t="s">
        <v>2253</v>
      </c>
      <c r="B32" s="5759" t="s">
        <v>16</v>
      </c>
      <c r="C32" s="5759" t="s">
        <v>2365</v>
      </c>
      <c r="D32" s="5759" t="s">
        <v>2366</v>
      </c>
      <c r="E32" s="5759" t="s">
        <v>2333</v>
      </c>
      <c r="F32" s="5759" t="s">
        <v>2367</v>
      </c>
      <c r="G32" s="5759" t="s">
        <v>28</v>
      </c>
      <c r="H32" s="5759" t="s">
        <v>28</v>
      </c>
      <c r="I32" s="5759" t="s">
        <v>816</v>
      </c>
    </row>
    <row customHeight="1" ht="11.25">
      <c r="A33" s="5759" t="s">
        <v>2253</v>
      </c>
      <c r="B33" s="5759" t="s">
        <v>16</v>
      </c>
      <c r="C33" s="5759" t="s">
        <v>2368</v>
      </c>
      <c r="D33" s="5759" t="s">
        <v>2369</v>
      </c>
      <c r="E33" s="5759" t="s">
        <v>2256</v>
      </c>
      <c r="F33" s="5759" t="s">
        <v>2329</v>
      </c>
      <c r="G33" s="5759" t="s">
        <v>28</v>
      </c>
      <c r="H33" s="5759" t="s">
        <v>28</v>
      </c>
      <c r="I33" s="5759" t="s">
        <v>816</v>
      </c>
    </row>
    <row customHeight="1" ht="11.25">
      <c r="A34" s="5759" t="s">
        <v>2253</v>
      </c>
      <c r="B34" s="5759" t="s">
        <v>16</v>
      </c>
      <c r="C34" s="5759" t="s">
        <v>2370</v>
      </c>
      <c r="D34" s="5759" t="s">
        <v>2371</v>
      </c>
      <c r="E34" s="5759" t="s">
        <v>2372</v>
      </c>
      <c r="F34" s="5759" t="s">
        <v>2373</v>
      </c>
      <c r="G34" s="5759" t="s">
        <v>28</v>
      </c>
      <c r="H34" s="5759" t="s">
        <v>28</v>
      </c>
      <c r="I34" s="5759" t="s">
        <v>816</v>
      </c>
    </row>
    <row customHeight="1" ht="11.25">
      <c r="A35" s="5759" t="s">
        <v>2253</v>
      </c>
      <c r="B35" s="5759" t="s">
        <v>16</v>
      </c>
      <c r="C35" s="5759" t="s">
        <v>2374</v>
      </c>
      <c r="D35" s="5759" t="s">
        <v>2375</v>
      </c>
      <c r="E35" s="5759" t="s">
        <v>2349</v>
      </c>
      <c r="F35" s="5759" t="s">
        <v>2363</v>
      </c>
      <c r="G35" s="5759" t="s">
        <v>28</v>
      </c>
      <c r="H35" s="5759" t="s">
        <v>28</v>
      </c>
      <c r="I35" s="5759" t="s">
        <v>816</v>
      </c>
    </row>
    <row customHeight="1" ht="11.25">
      <c r="A36" s="5759" t="s">
        <v>2253</v>
      </c>
      <c r="B36" s="5759" t="s">
        <v>16</v>
      </c>
      <c r="C36" s="5759" t="s">
        <v>2376</v>
      </c>
      <c r="D36" s="5759" t="s">
        <v>2377</v>
      </c>
      <c r="E36" s="5759" t="s">
        <v>2378</v>
      </c>
      <c r="F36" s="5759" t="s">
        <v>2354</v>
      </c>
      <c r="G36" s="5759" t="s">
        <v>28</v>
      </c>
      <c r="H36" s="5759" t="s">
        <v>28</v>
      </c>
      <c r="I36" s="5759" t="s">
        <v>816</v>
      </c>
    </row>
    <row customHeight="1" ht="11.25">
      <c r="A37" s="5759" t="s">
        <v>2253</v>
      </c>
      <c r="B37" s="5759" t="s">
        <v>16</v>
      </c>
      <c r="C37" s="5759" t="s">
        <v>2379</v>
      </c>
      <c r="D37" s="5759" t="s">
        <v>2380</v>
      </c>
      <c r="E37" s="5759" t="s">
        <v>2381</v>
      </c>
      <c r="F37" s="5759" t="s">
        <v>2382</v>
      </c>
      <c r="G37" s="5759" t="s">
        <v>2383</v>
      </c>
      <c r="H37" s="5759" t="s">
        <v>28</v>
      </c>
      <c r="I37" s="5759" t="s">
        <v>816</v>
      </c>
    </row>
    <row customHeight="1" ht="11.25">
      <c r="A38" s="5759" t="s">
        <v>2253</v>
      </c>
      <c r="B38" s="5759" t="s">
        <v>16</v>
      </c>
      <c r="C38" s="5759" t="s">
        <v>2384</v>
      </c>
      <c r="D38" s="5759" t="s">
        <v>2385</v>
      </c>
      <c r="E38" s="5759" t="s">
        <v>2386</v>
      </c>
      <c r="F38" s="5759" t="s">
        <v>2354</v>
      </c>
      <c r="G38" s="5759" t="s">
        <v>28</v>
      </c>
      <c r="H38" s="5759" t="s">
        <v>28</v>
      </c>
      <c r="I38" s="5759" t="s">
        <v>816</v>
      </c>
    </row>
    <row customHeight="1" ht="11.25">
      <c r="A39" s="5759" t="s">
        <v>2253</v>
      </c>
      <c r="B39" s="5759" t="s">
        <v>16</v>
      </c>
      <c r="C39" s="5759" t="s">
        <v>2387</v>
      </c>
      <c r="D39" s="5759" t="s">
        <v>2388</v>
      </c>
      <c r="E39" s="5759" t="s">
        <v>2389</v>
      </c>
      <c r="F39" s="5759" t="s">
        <v>2275</v>
      </c>
      <c r="G39" s="5759" t="s">
        <v>28</v>
      </c>
      <c r="H39" s="5759" t="s">
        <v>28</v>
      </c>
      <c r="I39" s="5759" t="s">
        <v>816</v>
      </c>
    </row>
    <row customHeight="1" ht="11.25">
      <c r="A40" s="5759" t="s">
        <v>2253</v>
      </c>
      <c r="B40" s="5759" t="s">
        <v>16</v>
      </c>
      <c r="C40" s="5759" t="s">
        <v>2390</v>
      </c>
      <c r="D40" s="5759" t="s">
        <v>2391</v>
      </c>
      <c r="E40" s="5759" t="s">
        <v>2392</v>
      </c>
      <c r="F40" s="5759" t="s">
        <v>2393</v>
      </c>
      <c r="G40" s="5759" t="s">
        <v>28</v>
      </c>
      <c r="H40" s="5759" t="s">
        <v>28</v>
      </c>
      <c r="I40" s="5759" t="s">
        <v>816</v>
      </c>
    </row>
    <row customHeight="1" ht="11.25">
      <c r="A41" s="5759" t="s">
        <v>2253</v>
      </c>
      <c r="B41" s="5759" t="s">
        <v>16</v>
      </c>
      <c r="C41" s="5759" t="s">
        <v>2394</v>
      </c>
      <c r="D41" s="5759" t="s">
        <v>2395</v>
      </c>
      <c r="E41" s="5759" t="s">
        <v>2396</v>
      </c>
      <c r="F41" s="5759" t="s">
        <v>2275</v>
      </c>
      <c r="G41" s="5759" t="s">
        <v>28</v>
      </c>
      <c r="H41" s="5759" t="s">
        <v>28</v>
      </c>
      <c r="I41" s="5759" t="s">
        <v>816</v>
      </c>
    </row>
    <row customHeight="1" ht="11.25">
      <c r="A42" s="5759" t="s">
        <v>2253</v>
      </c>
      <c r="B42" s="5759" t="s">
        <v>16</v>
      </c>
      <c r="C42" s="5759" t="s">
        <v>2397</v>
      </c>
      <c r="D42" s="5759" t="s">
        <v>2398</v>
      </c>
      <c r="E42" s="5759" t="s">
        <v>2399</v>
      </c>
      <c r="F42" s="5759" t="s">
        <v>2400</v>
      </c>
      <c r="G42" s="5759" t="s">
        <v>28</v>
      </c>
      <c r="H42" s="5759" t="s">
        <v>28</v>
      </c>
      <c r="I42" s="5759" t="s">
        <v>816</v>
      </c>
    </row>
    <row customHeight="1" ht="11.25">
      <c r="A43" s="5759" t="s">
        <v>2253</v>
      </c>
      <c r="B43" s="5759" t="s">
        <v>16</v>
      </c>
      <c r="C43" s="5759" t="s">
        <v>2401</v>
      </c>
      <c r="D43" s="5759" t="s">
        <v>2402</v>
      </c>
      <c r="E43" s="5759" t="s">
        <v>2333</v>
      </c>
      <c r="F43" s="5759" t="s">
        <v>2393</v>
      </c>
      <c r="G43" s="5759" t="s">
        <v>2403</v>
      </c>
      <c r="H43" s="5759" t="s">
        <v>28</v>
      </c>
      <c r="I43" s="5759" t="s">
        <v>816</v>
      </c>
    </row>
    <row customHeight="1" ht="11.25">
      <c r="A44" s="5759" t="s">
        <v>2253</v>
      </c>
      <c r="B44" s="5759" t="s">
        <v>16</v>
      </c>
      <c r="C44" s="5759" t="s">
        <v>2404</v>
      </c>
      <c r="D44" s="5759" t="s">
        <v>2405</v>
      </c>
      <c r="E44" s="5759" t="s">
        <v>2406</v>
      </c>
      <c r="F44" s="5759" t="s">
        <v>2262</v>
      </c>
      <c r="G44" s="5759" t="s">
        <v>2407</v>
      </c>
      <c r="H44" s="5759" t="s">
        <v>28</v>
      </c>
      <c r="I44" s="5759" t="s">
        <v>816</v>
      </c>
    </row>
    <row customHeight="1" ht="11.25">
      <c r="A45" s="5759" t="s">
        <v>2253</v>
      </c>
      <c r="B45" s="5759" t="s">
        <v>16</v>
      </c>
      <c r="C45" s="5759" t="s">
        <v>2408</v>
      </c>
      <c r="D45" s="5759" t="s">
        <v>2409</v>
      </c>
      <c r="E45" s="5759" t="s">
        <v>2410</v>
      </c>
      <c r="F45" s="5759" t="s">
        <v>2411</v>
      </c>
      <c r="G45" s="5759" t="s">
        <v>28</v>
      </c>
      <c r="H45" s="5759" t="s">
        <v>28</v>
      </c>
      <c r="I45" s="5759" t="s">
        <v>816</v>
      </c>
    </row>
    <row customHeight="1" ht="11.25">
      <c r="A46" s="5759" t="s">
        <v>2253</v>
      </c>
      <c r="B46" s="5759" t="s">
        <v>16</v>
      </c>
      <c r="C46" s="5759" t="s">
        <v>2412</v>
      </c>
      <c r="D46" s="5759" t="s">
        <v>2413</v>
      </c>
      <c r="E46" s="5759" t="s">
        <v>2414</v>
      </c>
      <c r="F46" s="5759" t="s">
        <v>2415</v>
      </c>
      <c r="G46" s="5759" t="s">
        <v>2416</v>
      </c>
      <c r="H46" s="5759" t="s">
        <v>28</v>
      </c>
      <c r="I46" s="5759" t="s">
        <v>816</v>
      </c>
    </row>
    <row customHeight="1" ht="11.25">
      <c r="A47" s="5759" t="s">
        <v>2253</v>
      </c>
      <c r="B47" s="5759" t="s">
        <v>16</v>
      </c>
      <c r="C47" s="5759" t="s">
        <v>2417</v>
      </c>
      <c r="D47" s="5759" t="s">
        <v>2418</v>
      </c>
      <c r="E47" s="5759" t="s">
        <v>2419</v>
      </c>
      <c r="F47" s="5759" t="s">
        <v>2271</v>
      </c>
      <c r="G47" s="5759" t="s">
        <v>2307</v>
      </c>
      <c r="H47" s="5759" t="s">
        <v>28</v>
      </c>
      <c r="I47" s="5759" t="s">
        <v>816</v>
      </c>
    </row>
    <row customHeight="1" ht="11.25">
      <c r="A48" s="5759" t="s">
        <v>2253</v>
      </c>
      <c r="B48" s="5759" t="s">
        <v>16</v>
      </c>
      <c r="C48" s="5759" t="s">
        <v>2420</v>
      </c>
      <c r="D48" s="5759" t="s">
        <v>2421</v>
      </c>
      <c r="E48" s="5759" t="s">
        <v>2422</v>
      </c>
      <c r="F48" s="5759" t="s">
        <v>2275</v>
      </c>
      <c r="G48" s="5759" t="s">
        <v>28</v>
      </c>
      <c r="H48" s="5759" t="s">
        <v>28</v>
      </c>
      <c r="I48" s="5759" t="s">
        <v>816</v>
      </c>
    </row>
    <row customHeight="1" ht="11.25">
      <c r="A49" s="5759" t="s">
        <v>2253</v>
      </c>
      <c r="B49" s="5759" t="s">
        <v>16</v>
      </c>
      <c r="C49" s="5759" t="s">
        <v>2423</v>
      </c>
      <c r="D49" s="5759" t="s">
        <v>2424</v>
      </c>
      <c r="E49" s="5759" t="s">
        <v>2425</v>
      </c>
      <c r="F49" s="5759" t="s">
        <v>2275</v>
      </c>
      <c r="G49" s="5759" t="s">
        <v>2426</v>
      </c>
      <c r="H49" s="5759" t="s">
        <v>28</v>
      </c>
      <c r="I49" s="5759" t="s">
        <v>816</v>
      </c>
    </row>
    <row customHeight="1" ht="11.25">
      <c r="A50" s="5759" t="s">
        <v>2253</v>
      </c>
      <c r="B50" s="5759" t="s">
        <v>16</v>
      </c>
      <c r="C50" s="5759" t="s">
        <v>2427</v>
      </c>
      <c r="D50" s="5759" t="s">
        <v>2428</v>
      </c>
      <c r="E50" s="5759" t="s">
        <v>2429</v>
      </c>
      <c r="F50" s="5759" t="s">
        <v>2262</v>
      </c>
      <c r="G50" s="5759" t="s">
        <v>2430</v>
      </c>
      <c r="H50" s="5759" t="s">
        <v>28</v>
      </c>
      <c r="I50" s="5759" t="s">
        <v>816</v>
      </c>
    </row>
    <row customHeight="1" ht="11.25">
      <c r="A51" s="5759" t="s">
        <v>2253</v>
      </c>
      <c r="B51" s="5759" t="s">
        <v>16</v>
      </c>
      <c r="C51" s="5759" t="s">
        <v>2431</v>
      </c>
      <c r="D51" s="5759" t="s">
        <v>2432</v>
      </c>
      <c r="E51" s="5759" t="s">
        <v>2433</v>
      </c>
      <c r="F51" s="5759" t="s">
        <v>2262</v>
      </c>
      <c r="G51" s="5759" t="s">
        <v>28</v>
      </c>
      <c r="H51" s="5759" t="s">
        <v>28</v>
      </c>
      <c r="I51" s="5759" t="s">
        <v>816</v>
      </c>
    </row>
    <row customHeight="1" ht="11.25">
      <c r="A52" s="5759" t="s">
        <v>2253</v>
      </c>
      <c r="B52" s="5759" t="s">
        <v>16</v>
      </c>
      <c r="C52" s="5759" t="s">
        <v>2434</v>
      </c>
      <c r="D52" s="5759" t="s">
        <v>2435</v>
      </c>
      <c r="E52" s="5759" t="s">
        <v>2436</v>
      </c>
      <c r="F52" s="5759" t="s">
        <v>2286</v>
      </c>
      <c r="G52" s="5759" t="s">
        <v>2437</v>
      </c>
      <c r="H52" s="5759" t="s">
        <v>28</v>
      </c>
      <c r="I52" s="5759" t="s">
        <v>816</v>
      </c>
    </row>
    <row customHeight="1" ht="11.25">
      <c r="A53" s="5759" t="s">
        <v>2253</v>
      </c>
      <c r="B53" s="5759" t="s">
        <v>16</v>
      </c>
      <c r="C53" s="5759" t="s">
        <v>2438</v>
      </c>
      <c r="D53" s="5759" t="s">
        <v>2439</v>
      </c>
      <c r="E53" s="5759" t="s">
        <v>2440</v>
      </c>
      <c r="F53" s="5759" t="s">
        <v>2393</v>
      </c>
      <c r="G53" s="5759" t="s">
        <v>28</v>
      </c>
      <c r="H53" s="5759" t="s">
        <v>28</v>
      </c>
      <c r="I53" s="5759" t="s">
        <v>816</v>
      </c>
    </row>
    <row customHeight="1" ht="11.25">
      <c r="A54" s="5759" t="s">
        <v>2253</v>
      </c>
      <c r="B54" s="5759" t="s">
        <v>16</v>
      </c>
      <c r="C54" s="5759" t="s">
        <v>2441</v>
      </c>
      <c r="D54" s="5759" t="s">
        <v>2442</v>
      </c>
      <c r="E54" s="5759" t="s">
        <v>2443</v>
      </c>
      <c r="F54" s="5759" t="s">
        <v>2271</v>
      </c>
      <c r="G54" s="5759" t="s">
        <v>28</v>
      </c>
      <c r="H54" s="5759" t="s">
        <v>28</v>
      </c>
      <c r="I54" s="5759" t="s">
        <v>816</v>
      </c>
    </row>
    <row customHeight="1" ht="11.25">
      <c r="A55" s="5759" t="s">
        <v>2253</v>
      </c>
      <c r="B55" s="5759" t="s">
        <v>16</v>
      </c>
      <c r="C55" s="5759" t="s">
        <v>2444</v>
      </c>
      <c r="D55" s="5759" t="s">
        <v>2445</v>
      </c>
      <c r="E55" s="5759" t="s">
        <v>2446</v>
      </c>
      <c r="F55" s="5759" t="s">
        <v>2447</v>
      </c>
      <c r="G55" s="5759" t="s">
        <v>28</v>
      </c>
      <c r="H55" s="5759" t="s">
        <v>28</v>
      </c>
      <c r="I55" s="5759" t="s">
        <v>816</v>
      </c>
    </row>
    <row customHeight="1" ht="11.25">
      <c r="A56" s="5759" t="s">
        <v>2253</v>
      </c>
      <c r="B56" s="5759" t="s">
        <v>16</v>
      </c>
      <c r="C56" s="5759" t="s">
        <v>2448</v>
      </c>
      <c r="D56" s="5759" t="s">
        <v>2449</v>
      </c>
      <c r="E56" s="5759" t="s">
        <v>2450</v>
      </c>
      <c r="F56" s="5759" t="s">
        <v>2271</v>
      </c>
      <c r="G56" s="5759" t="s">
        <v>28</v>
      </c>
      <c r="H56" s="5759" t="s">
        <v>28</v>
      </c>
      <c r="I56" s="5759" t="s">
        <v>816</v>
      </c>
    </row>
    <row customHeight="1" ht="11.25">
      <c r="A57" s="5759" t="s">
        <v>2253</v>
      </c>
      <c r="B57" s="5759" t="s">
        <v>16</v>
      </c>
      <c r="C57" s="5759" t="s">
        <v>2451</v>
      </c>
      <c r="D57" s="5759" t="s">
        <v>2452</v>
      </c>
      <c r="E57" s="5759" t="s">
        <v>2453</v>
      </c>
      <c r="F57" s="5759" t="s">
        <v>2275</v>
      </c>
      <c r="G57" s="5759" t="s">
        <v>28</v>
      </c>
      <c r="H57" s="5759" t="s">
        <v>28</v>
      </c>
      <c r="I57" s="5759" t="s">
        <v>816</v>
      </c>
    </row>
    <row customHeight="1" ht="11.25">
      <c r="A58" s="5759" t="s">
        <v>2253</v>
      </c>
      <c r="B58" s="5759" t="s">
        <v>16</v>
      </c>
      <c r="C58" s="5759" t="s">
        <v>2454</v>
      </c>
      <c r="D58" s="5759" t="s">
        <v>2455</v>
      </c>
      <c r="E58" s="5759" t="s">
        <v>2456</v>
      </c>
      <c r="F58" s="5759" t="s">
        <v>2447</v>
      </c>
      <c r="G58" s="5759" t="s">
        <v>28</v>
      </c>
      <c r="H58" s="5759" t="s">
        <v>28</v>
      </c>
      <c r="I58" s="5759" t="s">
        <v>816</v>
      </c>
    </row>
    <row customHeight="1" ht="11.25">
      <c r="A59" s="5759" t="s">
        <v>2253</v>
      </c>
      <c r="B59" s="5759" t="s">
        <v>16</v>
      </c>
      <c r="C59" s="5759" t="s">
        <v>2457</v>
      </c>
      <c r="D59" s="5759" t="s">
        <v>2458</v>
      </c>
      <c r="E59" s="5759" t="s">
        <v>2459</v>
      </c>
      <c r="F59" s="5759" t="s">
        <v>2460</v>
      </c>
      <c r="G59" s="5759" t="s">
        <v>2461</v>
      </c>
      <c r="H59" s="5759" t="s">
        <v>28</v>
      </c>
      <c r="I59" s="5759" t="s">
        <v>816</v>
      </c>
    </row>
    <row customHeight="1" ht="11.25">
      <c r="A60" s="5759" t="s">
        <v>2253</v>
      </c>
      <c r="B60" s="5759" t="s">
        <v>16</v>
      </c>
      <c r="C60" s="5759" t="s">
        <v>2462</v>
      </c>
      <c r="D60" s="5759" t="s">
        <v>2463</v>
      </c>
      <c r="E60" s="5759" t="s">
        <v>2464</v>
      </c>
      <c r="F60" s="5759" t="s">
        <v>2465</v>
      </c>
      <c r="G60" s="5759" t="s">
        <v>2466</v>
      </c>
      <c r="H60" s="5759" t="s">
        <v>28</v>
      </c>
      <c r="I60" s="5759" t="s">
        <v>816</v>
      </c>
    </row>
    <row customHeight="1" ht="11.25">
      <c r="A61" s="5759" t="s">
        <v>2253</v>
      </c>
      <c r="B61" s="5759" t="s">
        <v>16</v>
      </c>
      <c r="C61" s="5759" t="s">
        <v>2467</v>
      </c>
      <c r="D61" s="5759" t="s">
        <v>2468</v>
      </c>
      <c r="E61" s="5759" t="s">
        <v>2469</v>
      </c>
      <c r="F61" s="5759" t="s">
        <v>2470</v>
      </c>
      <c r="G61" s="5759" t="s">
        <v>28</v>
      </c>
      <c r="H61" s="5759" t="s">
        <v>28</v>
      </c>
      <c r="I61" s="5759" t="s">
        <v>816</v>
      </c>
    </row>
    <row customHeight="1" ht="11.25">
      <c r="A62" s="5759" t="s">
        <v>2253</v>
      </c>
      <c r="B62" s="5759" t="s">
        <v>16</v>
      </c>
      <c r="C62" s="5759" t="s">
        <v>2471</v>
      </c>
      <c r="D62" s="5759" t="s">
        <v>2472</v>
      </c>
      <c r="E62" s="5759" t="s">
        <v>2399</v>
      </c>
      <c r="F62" s="5759" t="s">
        <v>2257</v>
      </c>
      <c r="G62" s="5759" t="s">
        <v>28</v>
      </c>
      <c r="H62" s="5759" t="s">
        <v>28</v>
      </c>
      <c r="I62" s="5759" t="s">
        <v>816</v>
      </c>
    </row>
    <row customHeight="1" ht="11.25">
      <c r="A63" s="5759" t="s">
        <v>2253</v>
      </c>
      <c r="B63" s="5759" t="s">
        <v>16</v>
      </c>
      <c r="C63" s="5759" t="s">
        <v>2473</v>
      </c>
      <c r="D63" s="5759" t="s">
        <v>2474</v>
      </c>
      <c r="E63" s="5759" t="s">
        <v>2362</v>
      </c>
      <c r="F63" s="5759" t="s">
        <v>2475</v>
      </c>
      <c r="G63" s="5759" t="s">
        <v>2476</v>
      </c>
      <c r="H63" s="5759" t="s">
        <v>28</v>
      </c>
      <c r="I63" s="5759" t="s">
        <v>816</v>
      </c>
    </row>
    <row customHeight="1" ht="11.25">
      <c r="A64" s="5759" t="s">
        <v>2253</v>
      </c>
      <c r="B64" s="5759" t="s">
        <v>16</v>
      </c>
      <c r="C64" s="5759" t="s">
        <v>2477</v>
      </c>
      <c r="D64" s="5759" t="s">
        <v>2478</v>
      </c>
      <c r="E64" s="5759" t="s">
        <v>2479</v>
      </c>
      <c r="F64" s="5759" t="s">
        <v>2470</v>
      </c>
      <c r="G64" s="5759" t="s">
        <v>28</v>
      </c>
      <c r="H64" s="5759" t="s">
        <v>28</v>
      </c>
      <c r="I64" s="5759" t="s">
        <v>816</v>
      </c>
    </row>
    <row customHeight="1" ht="11.25">
      <c r="A65" s="5759" t="s">
        <v>2253</v>
      </c>
      <c r="B65" s="5759" t="s">
        <v>16</v>
      </c>
      <c r="C65" s="5759" t="s">
        <v>2480</v>
      </c>
      <c r="D65" s="5759" t="s">
        <v>2481</v>
      </c>
      <c r="E65" s="5759" t="s">
        <v>2482</v>
      </c>
      <c r="F65" s="5759" t="s">
        <v>2271</v>
      </c>
      <c r="G65" s="5759" t="s">
        <v>28</v>
      </c>
      <c r="H65" s="5759" t="s">
        <v>28</v>
      </c>
      <c r="I65" s="5759" t="s">
        <v>816</v>
      </c>
    </row>
    <row customHeight="1" ht="11.25">
      <c r="A66" s="5759" t="s">
        <v>2253</v>
      </c>
      <c r="B66" s="5759" t="s">
        <v>16</v>
      </c>
      <c r="C66" s="5759" t="s">
        <v>2483</v>
      </c>
      <c r="D66" s="5759" t="s">
        <v>2484</v>
      </c>
      <c r="E66" s="5759" t="s">
        <v>2485</v>
      </c>
      <c r="F66" s="5759" t="s">
        <v>2486</v>
      </c>
      <c r="G66" s="5759" t="s">
        <v>28</v>
      </c>
      <c r="H66" s="5759" t="s">
        <v>28</v>
      </c>
      <c r="I66" s="5759" t="s">
        <v>816</v>
      </c>
    </row>
    <row customHeight="1" ht="11.25">
      <c r="A67" s="5759" t="s">
        <v>2253</v>
      </c>
      <c r="B67" s="5759" t="s">
        <v>16</v>
      </c>
      <c r="C67" s="5759" t="s">
        <v>2487</v>
      </c>
      <c r="D67" s="5759" t="s">
        <v>2488</v>
      </c>
      <c r="E67" s="5759" t="s">
        <v>2485</v>
      </c>
      <c r="F67" s="5759" t="s">
        <v>2489</v>
      </c>
      <c r="G67" s="5759" t="s">
        <v>28</v>
      </c>
      <c r="H67" s="5759" t="s">
        <v>28</v>
      </c>
      <c r="I67" s="5759" t="s">
        <v>816</v>
      </c>
    </row>
    <row customHeight="1" ht="11.25">
      <c r="A68" s="5759" t="s">
        <v>2253</v>
      </c>
      <c r="B68" s="5759" t="s">
        <v>16</v>
      </c>
      <c r="C68" s="5759" t="s">
        <v>2490</v>
      </c>
      <c r="D68" s="5759" t="s">
        <v>2491</v>
      </c>
      <c r="E68" s="5759" t="s">
        <v>2349</v>
      </c>
      <c r="F68" s="5759" t="s">
        <v>2492</v>
      </c>
      <c r="G68" s="5759" t="s">
        <v>28</v>
      </c>
      <c r="H68" s="5759" t="s">
        <v>28</v>
      </c>
      <c r="I68" s="5759" t="s">
        <v>816</v>
      </c>
    </row>
    <row customHeight="1" ht="11.25">
      <c r="A69" s="5759" t="s">
        <v>2253</v>
      </c>
      <c r="B69" s="5759" t="s">
        <v>16</v>
      </c>
      <c r="C69" s="5759" t="s">
        <v>2493</v>
      </c>
      <c r="D69" s="5759" t="s">
        <v>2494</v>
      </c>
      <c r="E69" s="5759" t="s">
        <v>2349</v>
      </c>
      <c r="F69" s="5759" t="s">
        <v>2495</v>
      </c>
      <c r="G69" s="5759" t="s">
        <v>28</v>
      </c>
      <c r="H69" s="5759" t="s">
        <v>28</v>
      </c>
      <c r="I69" s="5759" t="s">
        <v>816</v>
      </c>
    </row>
    <row customHeight="1" ht="11.25">
      <c r="A70" s="5759" t="s">
        <v>2253</v>
      </c>
      <c r="B70" s="5759" t="s">
        <v>16</v>
      </c>
      <c r="C70" s="5759" t="s">
        <v>2496</v>
      </c>
      <c r="D70" s="5759" t="s">
        <v>2497</v>
      </c>
      <c r="E70" s="5759" t="s">
        <v>2333</v>
      </c>
      <c r="F70" s="5759" t="s">
        <v>2400</v>
      </c>
      <c r="G70" s="5759" t="s">
        <v>28</v>
      </c>
      <c r="H70" s="5759" t="s">
        <v>28</v>
      </c>
      <c r="I70" s="5759" t="s">
        <v>816</v>
      </c>
    </row>
    <row customHeight="1" ht="11.25">
      <c r="A71" s="5759" t="s">
        <v>2253</v>
      </c>
      <c r="B71" s="5759" t="s">
        <v>16</v>
      </c>
      <c r="C71" s="5759" t="s">
        <v>2498</v>
      </c>
      <c r="D71" s="5759" t="s">
        <v>2499</v>
      </c>
      <c r="E71" s="5759" t="s">
        <v>2500</v>
      </c>
      <c r="F71" s="5759" t="s">
        <v>2501</v>
      </c>
      <c r="G71" s="5759" t="s">
        <v>28</v>
      </c>
      <c r="H71" s="5759" t="s">
        <v>28</v>
      </c>
      <c r="I71" s="5759" t="s">
        <v>816</v>
      </c>
    </row>
    <row customHeight="1" ht="11.25">
      <c r="A72" s="5759" t="s">
        <v>2253</v>
      </c>
      <c r="B72" s="5759" t="s">
        <v>16</v>
      </c>
      <c r="C72" s="5759" t="s">
        <v>2502</v>
      </c>
      <c r="D72" s="5759" t="s">
        <v>2503</v>
      </c>
      <c r="E72" s="5759" t="s">
        <v>2504</v>
      </c>
      <c r="F72" s="5759" t="s">
        <v>2505</v>
      </c>
      <c r="G72" s="5759" t="s">
        <v>28</v>
      </c>
      <c r="H72" s="5759" t="s">
        <v>28</v>
      </c>
      <c r="I72" s="5759" t="s">
        <v>816</v>
      </c>
    </row>
    <row customHeight="1" ht="11.25">
      <c r="A73" s="5759" t="s">
        <v>2253</v>
      </c>
      <c r="B73" s="5759" t="s">
        <v>16</v>
      </c>
      <c r="C73" s="5759" t="s">
        <v>2506</v>
      </c>
      <c r="D73" s="5759" t="s">
        <v>2507</v>
      </c>
      <c r="E73" s="5759" t="s">
        <v>2362</v>
      </c>
      <c r="F73" s="5759" t="s">
        <v>2489</v>
      </c>
      <c r="G73" s="5759" t="s">
        <v>2476</v>
      </c>
      <c r="H73" s="5759" t="s">
        <v>28</v>
      </c>
      <c r="I73" s="5759" t="s">
        <v>816</v>
      </c>
    </row>
    <row customHeight="1" ht="11.25">
      <c r="A74" s="5759" t="s">
        <v>2253</v>
      </c>
      <c r="B74" s="5759" t="s">
        <v>16</v>
      </c>
      <c r="C74" s="5759" t="s">
        <v>13</v>
      </c>
      <c r="D74" s="5759" t="s">
        <v>51</v>
      </c>
      <c r="E74" s="5759" t="s">
        <v>54</v>
      </c>
      <c r="F74" s="5759" t="s">
        <v>56</v>
      </c>
      <c r="G74" s="5759" t="s">
        <v>2508</v>
      </c>
      <c r="H74" s="5759" t="s">
        <v>28</v>
      </c>
      <c r="I74" s="5759" t="s">
        <v>816</v>
      </c>
    </row>
    <row customHeight="1" ht="11.25">
      <c r="A75" s="5759" t="s">
        <v>2253</v>
      </c>
      <c r="B75" s="5759" t="s">
        <v>16</v>
      </c>
      <c r="C75" s="5759" t="s">
        <v>2509</v>
      </c>
      <c r="D75" s="5759" t="s">
        <v>2510</v>
      </c>
      <c r="E75" s="5759" t="s">
        <v>2278</v>
      </c>
      <c r="F75" s="5759" t="s">
        <v>2373</v>
      </c>
      <c r="G75" s="5759" t="s">
        <v>28</v>
      </c>
      <c r="H75" s="5759" t="s">
        <v>28</v>
      </c>
      <c r="I75" s="5759" t="s">
        <v>816</v>
      </c>
    </row>
    <row customHeight="1" ht="11.25">
      <c r="A76" s="5759" t="s">
        <v>2253</v>
      </c>
      <c r="B76" s="5759" t="s">
        <v>16</v>
      </c>
      <c r="C76" s="5759" t="s">
        <v>2511</v>
      </c>
      <c r="D76" s="5759" t="s">
        <v>2512</v>
      </c>
      <c r="E76" s="5759" t="s">
        <v>2513</v>
      </c>
      <c r="F76" s="5759" t="s">
        <v>2514</v>
      </c>
      <c r="G76" s="5759" t="s">
        <v>28</v>
      </c>
      <c r="H76" s="5759" t="s">
        <v>28</v>
      </c>
      <c r="I76" s="5759" t="s">
        <v>816</v>
      </c>
    </row>
    <row customHeight="1" ht="11.25">
      <c r="A77" s="5759" t="s">
        <v>2253</v>
      </c>
      <c r="B77" s="5759" t="s">
        <v>16</v>
      </c>
      <c r="C77" s="5759" t="s">
        <v>2515</v>
      </c>
      <c r="D77" s="5759" t="s">
        <v>2516</v>
      </c>
      <c r="E77" s="5759" t="s">
        <v>2349</v>
      </c>
      <c r="F77" s="5759" t="s">
        <v>2517</v>
      </c>
      <c r="G77" s="5759" t="s">
        <v>28</v>
      </c>
      <c r="H77" s="5759" t="s">
        <v>28</v>
      </c>
      <c r="I77" s="5759" t="s">
        <v>816</v>
      </c>
    </row>
    <row customHeight="1" ht="11.25">
      <c r="A78" s="5759" t="s">
        <v>2253</v>
      </c>
      <c r="B78" s="5759" t="s">
        <v>16</v>
      </c>
      <c r="C78" s="5759" t="s">
        <v>2518</v>
      </c>
      <c r="D78" s="5759" t="s">
        <v>2519</v>
      </c>
      <c r="E78" s="5759" t="s">
        <v>2504</v>
      </c>
      <c r="F78" s="5759" t="s">
        <v>2520</v>
      </c>
      <c r="G78" s="5759" t="s">
        <v>28</v>
      </c>
      <c r="H78" s="5759" t="s">
        <v>28</v>
      </c>
      <c r="I78" s="5759" t="s">
        <v>816</v>
      </c>
    </row>
    <row customHeight="1" ht="11.25">
      <c r="A79" s="5759" t="s">
        <v>2253</v>
      </c>
      <c r="B79" s="5759" t="s">
        <v>16</v>
      </c>
      <c r="C79" s="5759" t="s">
        <v>2259</v>
      </c>
      <c r="D79" s="5759" t="s">
        <v>2260</v>
      </c>
      <c r="E79" s="5759" t="s">
        <v>2261</v>
      </c>
      <c r="F79" s="5759" t="s">
        <v>2262</v>
      </c>
      <c r="G79" s="5759" t="s">
        <v>2263</v>
      </c>
      <c r="H79" s="5759" t="s">
        <v>28</v>
      </c>
      <c r="I79" s="5759" t="s">
        <v>902</v>
      </c>
    </row>
    <row customHeight="1" ht="11.25">
      <c r="A80" s="5759" t="s">
        <v>2253</v>
      </c>
      <c r="B80" s="5759" t="s">
        <v>16</v>
      </c>
      <c r="C80" s="5759" t="s">
        <v>2283</v>
      </c>
      <c r="D80" s="5759" t="s">
        <v>2284</v>
      </c>
      <c r="E80" s="5759" t="s">
        <v>2285</v>
      </c>
      <c r="F80" s="5759" t="s">
        <v>2286</v>
      </c>
      <c r="G80" s="5759" t="s">
        <v>28</v>
      </c>
      <c r="H80" s="5759" t="s">
        <v>28</v>
      </c>
      <c r="I80" s="5759" t="s">
        <v>902</v>
      </c>
    </row>
    <row customHeight="1" ht="11.25">
      <c r="A81" s="5759" t="s">
        <v>2253</v>
      </c>
      <c r="B81" s="5759" t="s">
        <v>16</v>
      </c>
      <c r="C81" s="5759" t="s">
        <v>2290</v>
      </c>
      <c r="D81" s="5759" t="s">
        <v>2291</v>
      </c>
      <c r="E81" s="5759" t="s">
        <v>2292</v>
      </c>
      <c r="F81" s="5759" t="s">
        <v>2275</v>
      </c>
      <c r="G81" s="5759" t="s">
        <v>28</v>
      </c>
      <c r="H81" s="5759" t="s">
        <v>28</v>
      </c>
      <c r="I81" s="5759" t="s">
        <v>902</v>
      </c>
    </row>
    <row customHeight="1" ht="11.25">
      <c r="A82" s="5759" t="s">
        <v>2253</v>
      </c>
      <c r="B82" s="5759" t="s">
        <v>16</v>
      </c>
      <c r="C82" s="5759" t="s">
        <v>2293</v>
      </c>
      <c r="D82" s="5759" t="s">
        <v>2294</v>
      </c>
      <c r="E82" s="5759" t="s">
        <v>2295</v>
      </c>
      <c r="F82" s="5759" t="s">
        <v>2296</v>
      </c>
      <c r="G82" s="5759" t="s">
        <v>28</v>
      </c>
      <c r="H82" s="5759" t="s">
        <v>28</v>
      </c>
      <c r="I82" s="5759" t="s">
        <v>902</v>
      </c>
    </row>
    <row customHeight="1" ht="11.25">
      <c r="A83" s="5759" t="s">
        <v>2253</v>
      </c>
      <c r="B83" s="5759" t="s">
        <v>16</v>
      </c>
      <c r="C83" s="5759" t="s">
        <v>2297</v>
      </c>
      <c r="D83" s="5759" t="s">
        <v>2298</v>
      </c>
      <c r="E83" s="5759" t="s">
        <v>2299</v>
      </c>
      <c r="F83" s="5759" t="s">
        <v>2262</v>
      </c>
      <c r="G83" s="5759" t="s">
        <v>2300</v>
      </c>
      <c r="H83" s="5759" t="s">
        <v>28</v>
      </c>
      <c r="I83" s="5759" t="s">
        <v>902</v>
      </c>
    </row>
    <row customHeight="1" ht="11.25">
      <c r="A84" s="5759" t="s">
        <v>2253</v>
      </c>
      <c r="B84" s="5759" t="s">
        <v>16</v>
      </c>
      <c r="C84" s="5759" t="s">
        <v>2304</v>
      </c>
      <c r="D84" s="5759" t="s">
        <v>2305</v>
      </c>
      <c r="E84" s="5759" t="s">
        <v>2303</v>
      </c>
      <c r="F84" s="5759" t="s">
        <v>2306</v>
      </c>
      <c r="G84" s="5759" t="s">
        <v>2307</v>
      </c>
      <c r="H84" s="5759" t="s">
        <v>28</v>
      </c>
      <c r="I84" s="5759" t="s">
        <v>902</v>
      </c>
    </row>
    <row customHeight="1" ht="11.25">
      <c r="A85" s="5759" t="s">
        <v>2253</v>
      </c>
      <c r="B85" s="5759" t="s">
        <v>16</v>
      </c>
      <c r="C85" s="5759" t="s">
        <v>2310</v>
      </c>
      <c r="D85" s="5759" t="s">
        <v>2311</v>
      </c>
      <c r="E85" s="5759" t="s">
        <v>2303</v>
      </c>
      <c r="F85" s="5759" t="s">
        <v>2312</v>
      </c>
      <c r="G85" s="5759" t="s">
        <v>2313</v>
      </c>
      <c r="H85" s="5759" t="s">
        <v>28</v>
      </c>
      <c r="I85" s="5759" t="s">
        <v>902</v>
      </c>
    </row>
    <row customHeight="1" ht="11.25">
      <c r="A86" s="5759" t="s">
        <v>2253</v>
      </c>
      <c r="B86" s="5759" t="s">
        <v>16</v>
      </c>
      <c r="C86" s="5759" t="s">
        <v>2314</v>
      </c>
      <c r="D86" s="5759" t="s">
        <v>2315</v>
      </c>
      <c r="E86" s="5759" t="s">
        <v>2303</v>
      </c>
      <c r="F86" s="5759" t="s">
        <v>2316</v>
      </c>
      <c r="G86" s="5759" t="s">
        <v>2317</v>
      </c>
      <c r="H86" s="5759" t="s">
        <v>28</v>
      </c>
      <c r="I86" s="5759" t="s">
        <v>902</v>
      </c>
    </row>
    <row customHeight="1" ht="11.25">
      <c r="A87" s="5759" t="s">
        <v>2253</v>
      </c>
      <c r="B87" s="5759" t="s">
        <v>16</v>
      </c>
      <c r="C87" s="5759" t="s">
        <v>2324</v>
      </c>
      <c r="D87" s="5759" t="s">
        <v>2325</v>
      </c>
      <c r="E87" s="5759" t="s">
        <v>2303</v>
      </c>
      <c r="F87" s="5759" t="s">
        <v>2326</v>
      </c>
      <c r="G87" s="5759" t="s">
        <v>28</v>
      </c>
      <c r="H87" s="5759" t="s">
        <v>28</v>
      </c>
      <c r="I87" s="5759" t="s">
        <v>902</v>
      </c>
    </row>
    <row customHeight="1" ht="11.25">
      <c r="A88" s="5759" t="s">
        <v>2253</v>
      </c>
      <c r="B88" s="5759" t="s">
        <v>16</v>
      </c>
      <c r="C88" s="5759" t="s">
        <v>2327</v>
      </c>
      <c r="D88" s="5759" t="s">
        <v>2328</v>
      </c>
      <c r="E88" s="5759" t="s">
        <v>2303</v>
      </c>
      <c r="F88" s="5759" t="s">
        <v>2329</v>
      </c>
      <c r="G88" s="5759" t="s">
        <v>2330</v>
      </c>
      <c r="H88" s="5759" t="s">
        <v>28</v>
      </c>
      <c r="I88" s="5759" t="s">
        <v>902</v>
      </c>
    </row>
    <row customHeight="1" ht="11.25">
      <c r="A89" s="5759" t="s">
        <v>2253</v>
      </c>
      <c r="B89" s="5759" t="s">
        <v>16</v>
      </c>
      <c r="C89" s="5759" t="s">
        <v>2331</v>
      </c>
      <c r="D89" s="5759" t="s">
        <v>2332</v>
      </c>
      <c r="E89" s="5759" t="s">
        <v>2333</v>
      </c>
      <c r="F89" s="5759" t="s">
        <v>2334</v>
      </c>
      <c r="G89" s="5759" t="s">
        <v>28</v>
      </c>
      <c r="H89" s="5759" t="s">
        <v>28</v>
      </c>
      <c r="I89" s="5759" t="s">
        <v>902</v>
      </c>
    </row>
    <row customHeight="1" ht="11.25">
      <c r="A90" s="5759" t="s">
        <v>2253</v>
      </c>
      <c r="B90" s="5759" t="s">
        <v>16</v>
      </c>
      <c r="C90" s="5759" t="s">
        <v>28</v>
      </c>
      <c r="D90" s="5759" t="s">
        <v>2341</v>
      </c>
      <c r="E90" s="5759" t="s">
        <v>2342</v>
      </c>
      <c r="F90" s="5759" t="s">
        <v>2286</v>
      </c>
      <c r="G90" s="5759" t="s">
        <v>28</v>
      </c>
      <c r="H90" s="5759" t="s">
        <v>28</v>
      </c>
      <c r="I90" s="5759" t="s">
        <v>902</v>
      </c>
    </row>
    <row customHeight="1" ht="11.25">
      <c r="A91" s="5759" t="s">
        <v>2253</v>
      </c>
      <c r="B91" s="5759" t="s">
        <v>16</v>
      </c>
      <c r="C91" s="5759" t="s">
        <v>2347</v>
      </c>
      <c r="D91" s="5759" t="s">
        <v>2348</v>
      </c>
      <c r="E91" s="5759" t="s">
        <v>2349</v>
      </c>
      <c r="F91" s="5759" t="s">
        <v>2350</v>
      </c>
      <c r="G91" s="5759" t="s">
        <v>28</v>
      </c>
      <c r="H91" s="5759" t="s">
        <v>28</v>
      </c>
      <c r="I91" s="5759" t="s">
        <v>902</v>
      </c>
    </row>
    <row customHeight="1" ht="11.25">
      <c r="A92" s="5759" t="s">
        <v>2253</v>
      </c>
      <c r="B92" s="5759" t="s">
        <v>16</v>
      </c>
      <c r="C92" s="5759" t="s">
        <v>2355</v>
      </c>
      <c r="D92" s="5759" t="s">
        <v>2356</v>
      </c>
      <c r="E92" s="5759" t="s">
        <v>2357</v>
      </c>
      <c r="F92" s="5759" t="s">
        <v>2358</v>
      </c>
      <c r="G92" s="5759" t="s">
        <v>2359</v>
      </c>
      <c r="H92" s="5759" t="s">
        <v>28</v>
      </c>
      <c r="I92" s="5759" t="s">
        <v>902</v>
      </c>
    </row>
    <row customHeight="1" ht="11.25">
      <c r="A93" s="5759" t="s">
        <v>2253</v>
      </c>
      <c r="B93" s="5759" t="s">
        <v>16</v>
      </c>
      <c r="C93" s="5759" t="s">
        <v>2360</v>
      </c>
      <c r="D93" s="5759" t="s">
        <v>2361</v>
      </c>
      <c r="E93" s="5759" t="s">
        <v>2362</v>
      </c>
      <c r="F93" s="5759" t="s">
        <v>2363</v>
      </c>
      <c r="G93" s="5759" t="s">
        <v>2364</v>
      </c>
      <c r="H93" s="5759" t="s">
        <v>28</v>
      </c>
      <c r="I93" s="5759" t="s">
        <v>902</v>
      </c>
    </row>
    <row customHeight="1" ht="11.25">
      <c r="A94" s="5759" t="s">
        <v>2253</v>
      </c>
      <c r="B94" s="5759" t="s">
        <v>16</v>
      </c>
      <c r="C94" s="5759" t="s">
        <v>2368</v>
      </c>
      <c r="D94" s="5759" t="s">
        <v>2369</v>
      </c>
      <c r="E94" s="5759" t="s">
        <v>2256</v>
      </c>
      <c r="F94" s="5759" t="s">
        <v>2329</v>
      </c>
      <c r="G94" s="5759" t="s">
        <v>28</v>
      </c>
      <c r="H94" s="5759" t="s">
        <v>28</v>
      </c>
      <c r="I94" s="5759" t="s">
        <v>902</v>
      </c>
    </row>
    <row customHeight="1" ht="11.25">
      <c r="A95" s="5759" t="s">
        <v>2253</v>
      </c>
      <c r="B95" s="5759" t="s">
        <v>16</v>
      </c>
      <c r="C95" s="5759" t="s">
        <v>2379</v>
      </c>
      <c r="D95" s="5759" t="s">
        <v>2380</v>
      </c>
      <c r="E95" s="5759" t="s">
        <v>2381</v>
      </c>
      <c r="F95" s="5759" t="s">
        <v>2382</v>
      </c>
      <c r="G95" s="5759" t="s">
        <v>2383</v>
      </c>
      <c r="H95" s="5759" t="s">
        <v>28</v>
      </c>
      <c r="I95" s="5759" t="s">
        <v>902</v>
      </c>
    </row>
    <row customHeight="1" ht="11.25">
      <c r="A96" s="5759" t="s">
        <v>2253</v>
      </c>
      <c r="B96" s="5759" t="s">
        <v>16</v>
      </c>
      <c r="C96" s="5759" t="s">
        <v>2387</v>
      </c>
      <c r="D96" s="5759" t="s">
        <v>2388</v>
      </c>
      <c r="E96" s="5759" t="s">
        <v>2389</v>
      </c>
      <c r="F96" s="5759" t="s">
        <v>2275</v>
      </c>
      <c r="G96" s="5759" t="s">
        <v>28</v>
      </c>
      <c r="H96" s="5759" t="s">
        <v>28</v>
      </c>
      <c r="I96" s="5759" t="s">
        <v>902</v>
      </c>
    </row>
    <row customHeight="1" ht="11.25">
      <c r="A97" s="5759" t="s">
        <v>2253</v>
      </c>
      <c r="B97" s="5759" t="s">
        <v>16</v>
      </c>
      <c r="C97" s="5759" t="s">
        <v>2417</v>
      </c>
      <c r="D97" s="5759" t="s">
        <v>2418</v>
      </c>
      <c r="E97" s="5759" t="s">
        <v>2419</v>
      </c>
      <c r="F97" s="5759" t="s">
        <v>2271</v>
      </c>
      <c r="G97" s="5759" t="s">
        <v>2307</v>
      </c>
      <c r="H97" s="5759" t="s">
        <v>28</v>
      </c>
      <c r="I97" s="5759" t="s">
        <v>902</v>
      </c>
    </row>
    <row customHeight="1" ht="11.25">
      <c r="A98" s="5759" t="s">
        <v>2253</v>
      </c>
      <c r="B98" s="5759" t="s">
        <v>16</v>
      </c>
      <c r="C98" s="5759" t="s">
        <v>2431</v>
      </c>
      <c r="D98" s="5759" t="s">
        <v>2432</v>
      </c>
      <c r="E98" s="5759" t="s">
        <v>2433</v>
      </c>
      <c r="F98" s="5759" t="s">
        <v>2262</v>
      </c>
      <c r="G98" s="5759" t="s">
        <v>28</v>
      </c>
      <c r="H98" s="5759" t="s">
        <v>28</v>
      </c>
      <c r="I98" s="5759" t="s">
        <v>902</v>
      </c>
    </row>
    <row customHeight="1" ht="11.25">
      <c r="A99" s="5759" t="s">
        <v>2253</v>
      </c>
      <c r="B99" s="5759" t="s">
        <v>16</v>
      </c>
      <c r="C99" s="5759" t="s">
        <v>2434</v>
      </c>
      <c r="D99" s="5759" t="s">
        <v>2435</v>
      </c>
      <c r="E99" s="5759" t="s">
        <v>2436</v>
      </c>
      <c r="F99" s="5759" t="s">
        <v>2286</v>
      </c>
      <c r="G99" s="5759" t="s">
        <v>2437</v>
      </c>
      <c r="H99" s="5759" t="s">
        <v>28</v>
      </c>
      <c r="I99" s="5759" t="s">
        <v>902</v>
      </c>
    </row>
    <row customHeight="1" ht="11.25">
      <c r="A100" s="5759" t="s">
        <v>2253</v>
      </c>
      <c r="B100" s="5759" t="s">
        <v>16</v>
      </c>
      <c r="C100" s="5759" t="s">
        <v>2467</v>
      </c>
      <c r="D100" s="5759" t="s">
        <v>2468</v>
      </c>
      <c r="E100" s="5759" t="s">
        <v>2469</v>
      </c>
      <c r="F100" s="5759" t="s">
        <v>2470</v>
      </c>
      <c r="G100" s="5759" t="s">
        <v>28</v>
      </c>
      <c r="H100" s="5759" t="s">
        <v>28</v>
      </c>
      <c r="I100" s="5759" t="s">
        <v>902</v>
      </c>
    </row>
    <row customHeight="1" ht="11.25">
      <c r="A101" s="5759" t="s">
        <v>2253</v>
      </c>
      <c r="B101" s="5759" t="s">
        <v>16</v>
      </c>
      <c r="C101" s="5759" t="s">
        <v>2477</v>
      </c>
      <c r="D101" s="5759" t="s">
        <v>2478</v>
      </c>
      <c r="E101" s="5759" t="s">
        <v>2479</v>
      </c>
      <c r="F101" s="5759" t="s">
        <v>2470</v>
      </c>
      <c r="G101" s="5759" t="s">
        <v>28</v>
      </c>
      <c r="H101" s="5759" t="s">
        <v>28</v>
      </c>
      <c r="I101" s="5759" t="s">
        <v>902</v>
      </c>
    </row>
    <row customHeight="1" ht="11.25">
      <c r="A102" s="5759" t="s">
        <v>2253</v>
      </c>
      <c r="B102" s="5759" t="s">
        <v>16</v>
      </c>
      <c r="C102" s="5759" t="s">
        <v>2480</v>
      </c>
      <c r="D102" s="5759" t="s">
        <v>2481</v>
      </c>
      <c r="E102" s="5759" t="s">
        <v>2482</v>
      </c>
      <c r="F102" s="5759" t="s">
        <v>2271</v>
      </c>
      <c r="G102" s="5759" t="s">
        <v>28</v>
      </c>
      <c r="H102" s="5759" t="s">
        <v>28</v>
      </c>
      <c r="I102" s="5759" t="s">
        <v>902</v>
      </c>
    </row>
    <row customHeight="1" ht="11.25">
      <c r="A103" s="5759" t="s">
        <v>2253</v>
      </c>
      <c r="B103" s="5759" t="s">
        <v>16</v>
      </c>
      <c r="C103" s="5759" t="s">
        <v>2493</v>
      </c>
      <c r="D103" s="5759" t="s">
        <v>2494</v>
      </c>
      <c r="E103" s="5759" t="s">
        <v>2349</v>
      </c>
      <c r="F103" s="5759" t="s">
        <v>2495</v>
      </c>
      <c r="G103" s="5759" t="s">
        <v>28</v>
      </c>
      <c r="H103" s="5759" t="s">
        <v>28</v>
      </c>
      <c r="I103" s="5759" t="s">
        <v>902</v>
      </c>
    </row>
    <row customHeight="1" ht="11.25">
      <c r="A104" s="5759" t="s">
        <v>2253</v>
      </c>
      <c r="B104" s="5759" t="s">
        <v>16</v>
      </c>
      <c r="C104" s="5759" t="s">
        <v>2496</v>
      </c>
      <c r="D104" s="5759" t="s">
        <v>2497</v>
      </c>
      <c r="E104" s="5759" t="s">
        <v>2333</v>
      </c>
      <c r="F104" s="5759" t="s">
        <v>2400</v>
      </c>
      <c r="G104" s="5759" t="s">
        <v>28</v>
      </c>
      <c r="H104" s="5759" t="s">
        <v>28</v>
      </c>
      <c r="I104" s="5759" t="s">
        <v>902</v>
      </c>
    </row>
    <row customHeight="1" ht="11.25">
      <c r="A105" s="5759" t="s">
        <v>2253</v>
      </c>
      <c r="B105" s="5759" t="s">
        <v>16</v>
      </c>
      <c r="C105" s="5759" t="s">
        <v>2498</v>
      </c>
      <c r="D105" s="5759" t="s">
        <v>2499</v>
      </c>
      <c r="E105" s="5759" t="s">
        <v>2500</v>
      </c>
      <c r="F105" s="5759" t="s">
        <v>2501</v>
      </c>
      <c r="G105" s="5759" t="s">
        <v>28</v>
      </c>
      <c r="H105" s="5759" t="s">
        <v>28</v>
      </c>
      <c r="I105" s="5759" t="s">
        <v>902</v>
      </c>
    </row>
    <row customHeight="1" ht="11.25">
      <c r="A106" s="5759" t="s">
        <v>2253</v>
      </c>
      <c r="B106" s="5759" t="s">
        <v>16</v>
      </c>
      <c r="C106" s="5759" t="s">
        <v>2515</v>
      </c>
      <c r="D106" s="5759" t="s">
        <v>2516</v>
      </c>
      <c r="E106" s="5759" t="s">
        <v>2349</v>
      </c>
      <c r="F106" s="5759" t="s">
        <v>2517</v>
      </c>
      <c r="G106" s="5759" t="s">
        <v>28</v>
      </c>
      <c r="H106" s="5759" t="s">
        <v>28</v>
      </c>
      <c r="I106" s="5759" t="s">
        <v>902</v>
      </c>
    </row>
    <row customHeight="1" ht="11.25">
      <c r="A107" s="5759" t="s">
        <v>2253</v>
      </c>
      <c r="B107" s="5759" t="s">
        <v>16</v>
      </c>
      <c r="C107" s="5759" t="s">
        <v>2254</v>
      </c>
      <c r="D107" s="5759" t="s">
        <v>2255</v>
      </c>
      <c r="E107" s="5759" t="s">
        <v>2256</v>
      </c>
      <c r="F107" s="5759" t="s">
        <v>2257</v>
      </c>
      <c r="G107" s="5759" t="s">
        <v>2258</v>
      </c>
      <c r="H107" s="5759" t="s">
        <v>28</v>
      </c>
      <c r="I107" s="5759" t="s">
        <v>862</v>
      </c>
    </row>
    <row customHeight="1" ht="11.25">
      <c r="A108" s="5759" t="s">
        <v>2253</v>
      </c>
      <c r="B108" s="5759" t="s">
        <v>16</v>
      </c>
      <c r="C108" s="5759" t="s">
        <v>2259</v>
      </c>
      <c r="D108" s="5759" t="s">
        <v>2260</v>
      </c>
      <c r="E108" s="5759" t="s">
        <v>2261</v>
      </c>
      <c r="F108" s="5759" t="s">
        <v>2262</v>
      </c>
      <c r="G108" s="5759" t="s">
        <v>2263</v>
      </c>
      <c r="H108" s="5759" t="s">
        <v>28</v>
      </c>
      <c r="I108" s="5759" t="s">
        <v>862</v>
      </c>
    </row>
    <row customHeight="1" ht="11.25">
      <c r="A109" s="5759" t="s">
        <v>2253</v>
      </c>
      <c r="B109" s="5759" t="s">
        <v>16</v>
      </c>
      <c r="C109" s="5759" t="s">
        <v>2268</v>
      </c>
      <c r="D109" s="5759" t="s">
        <v>2269</v>
      </c>
      <c r="E109" s="5759" t="s">
        <v>2270</v>
      </c>
      <c r="F109" s="5759" t="s">
        <v>2271</v>
      </c>
      <c r="G109" s="5759" t="s">
        <v>28</v>
      </c>
      <c r="H109" s="5759" t="s">
        <v>28</v>
      </c>
      <c r="I109" s="5759" t="s">
        <v>862</v>
      </c>
    </row>
    <row customHeight="1" ht="11.25">
      <c r="A110" s="5759" t="s">
        <v>2253</v>
      </c>
      <c r="B110" s="5759" t="s">
        <v>16</v>
      </c>
      <c r="C110" s="5759" t="s">
        <v>2272</v>
      </c>
      <c r="D110" s="5759" t="s">
        <v>2273</v>
      </c>
      <c r="E110" s="5759" t="s">
        <v>2274</v>
      </c>
      <c r="F110" s="5759" t="s">
        <v>2275</v>
      </c>
      <c r="G110" s="5759" t="s">
        <v>28</v>
      </c>
      <c r="H110" s="5759" t="s">
        <v>28</v>
      </c>
      <c r="I110" s="5759" t="s">
        <v>862</v>
      </c>
    </row>
    <row customHeight="1" ht="11.25">
      <c r="A111" s="5759" t="s">
        <v>2253</v>
      </c>
      <c r="B111" s="5759" t="s">
        <v>16</v>
      </c>
      <c r="C111" s="5759" t="s">
        <v>2283</v>
      </c>
      <c r="D111" s="5759" t="s">
        <v>2284</v>
      </c>
      <c r="E111" s="5759" t="s">
        <v>2285</v>
      </c>
      <c r="F111" s="5759" t="s">
        <v>2286</v>
      </c>
      <c r="G111" s="5759" t="s">
        <v>28</v>
      </c>
      <c r="H111" s="5759" t="s">
        <v>28</v>
      </c>
      <c r="I111" s="5759" t="s">
        <v>862</v>
      </c>
    </row>
    <row customHeight="1" ht="11.25">
      <c r="A112" s="5759" t="s">
        <v>2253</v>
      </c>
      <c r="B112" s="5759" t="s">
        <v>16</v>
      </c>
      <c r="C112" s="5759" t="s">
        <v>2287</v>
      </c>
      <c r="D112" s="5759" t="s">
        <v>2288</v>
      </c>
      <c r="E112" s="5759" t="s">
        <v>2289</v>
      </c>
      <c r="F112" s="5759" t="s">
        <v>2275</v>
      </c>
      <c r="G112" s="5759" t="s">
        <v>28</v>
      </c>
      <c r="H112" s="5759" t="s">
        <v>28</v>
      </c>
      <c r="I112" s="5759" t="s">
        <v>862</v>
      </c>
    </row>
    <row customHeight="1" ht="11.25">
      <c r="A113" s="5759" t="s">
        <v>2253</v>
      </c>
      <c r="B113" s="5759" t="s">
        <v>16</v>
      </c>
      <c r="C113" s="5759" t="s">
        <v>2521</v>
      </c>
      <c r="D113" s="5759" t="s">
        <v>2522</v>
      </c>
      <c r="E113" s="5759" t="s">
        <v>2523</v>
      </c>
      <c r="F113" s="5759" t="s">
        <v>2275</v>
      </c>
      <c r="G113" s="5759" t="s">
        <v>28</v>
      </c>
      <c r="H113" s="5759" t="s">
        <v>28</v>
      </c>
      <c r="I113" s="5759" t="s">
        <v>862</v>
      </c>
    </row>
    <row customHeight="1" ht="11.25">
      <c r="A114" s="5759" t="s">
        <v>2253</v>
      </c>
      <c r="B114" s="5759" t="s">
        <v>16</v>
      </c>
      <c r="C114" s="5759" t="s">
        <v>2290</v>
      </c>
      <c r="D114" s="5759" t="s">
        <v>2291</v>
      </c>
      <c r="E114" s="5759" t="s">
        <v>2292</v>
      </c>
      <c r="F114" s="5759" t="s">
        <v>2275</v>
      </c>
      <c r="G114" s="5759" t="s">
        <v>28</v>
      </c>
      <c r="H114" s="5759" t="s">
        <v>28</v>
      </c>
      <c r="I114" s="5759" t="s">
        <v>862</v>
      </c>
    </row>
    <row customHeight="1" ht="11.25">
      <c r="A115" s="5759" t="s">
        <v>2253</v>
      </c>
      <c r="B115" s="5759" t="s">
        <v>16</v>
      </c>
      <c r="C115" s="5759" t="s">
        <v>2293</v>
      </c>
      <c r="D115" s="5759" t="s">
        <v>2294</v>
      </c>
      <c r="E115" s="5759" t="s">
        <v>2295</v>
      </c>
      <c r="F115" s="5759" t="s">
        <v>2296</v>
      </c>
      <c r="G115" s="5759" t="s">
        <v>28</v>
      </c>
      <c r="H115" s="5759" t="s">
        <v>28</v>
      </c>
      <c r="I115" s="5759" t="s">
        <v>862</v>
      </c>
    </row>
    <row customHeight="1" ht="11.25">
      <c r="A116" s="5759" t="s">
        <v>2253</v>
      </c>
      <c r="B116" s="5759" t="s">
        <v>16</v>
      </c>
      <c r="C116" s="5759" t="s">
        <v>2297</v>
      </c>
      <c r="D116" s="5759" t="s">
        <v>2298</v>
      </c>
      <c r="E116" s="5759" t="s">
        <v>2299</v>
      </c>
      <c r="F116" s="5759" t="s">
        <v>2262</v>
      </c>
      <c r="G116" s="5759" t="s">
        <v>2300</v>
      </c>
      <c r="H116" s="5759" t="s">
        <v>28</v>
      </c>
      <c r="I116" s="5759" t="s">
        <v>862</v>
      </c>
    </row>
    <row customHeight="1" ht="11.25">
      <c r="A117" s="5759" t="s">
        <v>2253</v>
      </c>
      <c r="B117" s="5759" t="s">
        <v>16</v>
      </c>
      <c r="C117" s="5759" t="s">
        <v>2304</v>
      </c>
      <c r="D117" s="5759" t="s">
        <v>2305</v>
      </c>
      <c r="E117" s="5759" t="s">
        <v>2303</v>
      </c>
      <c r="F117" s="5759" t="s">
        <v>2306</v>
      </c>
      <c r="G117" s="5759" t="s">
        <v>2307</v>
      </c>
      <c r="H117" s="5759" t="s">
        <v>28</v>
      </c>
      <c r="I117" s="5759" t="s">
        <v>862</v>
      </c>
    </row>
    <row customHeight="1" ht="11.25">
      <c r="A118" s="5759" t="s">
        <v>2253</v>
      </c>
      <c r="B118" s="5759" t="s">
        <v>16</v>
      </c>
      <c r="C118" s="5759" t="s">
        <v>2308</v>
      </c>
      <c r="D118" s="5759" t="s">
        <v>2309</v>
      </c>
      <c r="E118" s="5759" t="s">
        <v>2303</v>
      </c>
      <c r="F118" s="5759" t="s">
        <v>2296</v>
      </c>
      <c r="G118" s="5759" t="s">
        <v>28</v>
      </c>
      <c r="H118" s="5759" t="s">
        <v>28</v>
      </c>
      <c r="I118" s="5759" t="s">
        <v>862</v>
      </c>
    </row>
    <row customHeight="1" ht="11.25">
      <c r="A119" s="5759" t="s">
        <v>2253</v>
      </c>
      <c r="B119" s="5759" t="s">
        <v>16</v>
      </c>
      <c r="C119" s="5759" t="s">
        <v>2310</v>
      </c>
      <c r="D119" s="5759" t="s">
        <v>2311</v>
      </c>
      <c r="E119" s="5759" t="s">
        <v>2303</v>
      </c>
      <c r="F119" s="5759" t="s">
        <v>2312</v>
      </c>
      <c r="G119" s="5759" t="s">
        <v>2313</v>
      </c>
      <c r="H119" s="5759" t="s">
        <v>28</v>
      </c>
      <c r="I119" s="5759" t="s">
        <v>862</v>
      </c>
    </row>
    <row customHeight="1" ht="11.25">
      <c r="A120" s="5759" t="s">
        <v>2253</v>
      </c>
      <c r="B120" s="5759" t="s">
        <v>16</v>
      </c>
      <c r="C120" s="5759" t="s">
        <v>2314</v>
      </c>
      <c r="D120" s="5759" t="s">
        <v>2315</v>
      </c>
      <c r="E120" s="5759" t="s">
        <v>2303</v>
      </c>
      <c r="F120" s="5759" t="s">
        <v>2316</v>
      </c>
      <c r="G120" s="5759" t="s">
        <v>2317</v>
      </c>
      <c r="H120" s="5759" t="s">
        <v>28</v>
      </c>
      <c r="I120" s="5759" t="s">
        <v>862</v>
      </c>
    </row>
    <row customHeight="1" ht="11.25">
      <c r="A121" s="5759" t="s">
        <v>2253</v>
      </c>
      <c r="B121" s="5759" t="s">
        <v>16</v>
      </c>
      <c r="C121" s="5759" t="s">
        <v>2318</v>
      </c>
      <c r="D121" s="5759" t="s">
        <v>2319</v>
      </c>
      <c r="E121" s="5759" t="s">
        <v>2303</v>
      </c>
      <c r="F121" s="5759" t="s">
        <v>2320</v>
      </c>
      <c r="G121" s="5759" t="s">
        <v>28</v>
      </c>
      <c r="H121" s="5759" t="s">
        <v>28</v>
      </c>
      <c r="I121" s="5759" t="s">
        <v>862</v>
      </c>
    </row>
    <row customHeight="1" ht="11.25">
      <c r="A122" s="5759" t="s">
        <v>2253</v>
      </c>
      <c r="B122" s="5759" t="s">
        <v>16</v>
      </c>
      <c r="C122" s="5759" t="s">
        <v>2321</v>
      </c>
      <c r="D122" s="5759" t="s">
        <v>2322</v>
      </c>
      <c r="E122" s="5759" t="s">
        <v>2303</v>
      </c>
      <c r="F122" s="5759" t="s">
        <v>2323</v>
      </c>
      <c r="G122" s="5759" t="s">
        <v>28</v>
      </c>
      <c r="H122" s="5759" t="s">
        <v>28</v>
      </c>
      <c r="I122" s="5759" t="s">
        <v>862</v>
      </c>
    </row>
    <row customHeight="1" ht="11.25">
      <c r="A123" s="5759" t="s">
        <v>2253</v>
      </c>
      <c r="B123" s="5759" t="s">
        <v>16</v>
      </c>
      <c r="C123" s="5759" t="s">
        <v>2324</v>
      </c>
      <c r="D123" s="5759" t="s">
        <v>2325</v>
      </c>
      <c r="E123" s="5759" t="s">
        <v>2303</v>
      </c>
      <c r="F123" s="5759" t="s">
        <v>2326</v>
      </c>
      <c r="G123" s="5759" t="s">
        <v>28</v>
      </c>
      <c r="H123" s="5759" t="s">
        <v>28</v>
      </c>
      <c r="I123" s="5759" t="s">
        <v>862</v>
      </c>
    </row>
    <row customHeight="1" ht="11.25">
      <c r="A124" s="5759" t="s">
        <v>2253</v>
      </c>
      <c r="B124" s="5759" t="s">
        <v>16</v>
      </c>
      <c r="C124" s="5759" t="s">
        <v>2327</v>
      </c>
      <c r="D124" s="5759" t="s">
        <v>2328</v>
      </c>
      <c r="E124" s="5759" t="s">
        <v>2303</v>
      </c>
      <c r="F124" s="5759" t="s">
        <v>2329</v>
      </c>
      <c r="G124" s="5759" t="s">
        <v>2330</v>
      </c>
      <c r="H124" s="5759" t="s">
        <v>28</v>
      </c>
      <c r="I124" s="5759" t="s">
        <v>862</v>
      </c>
    </row>
    <row customHeight="1" ht="11.25">
      <c r="A125" s="5759" t="s">
        <v>2253</v>
      </c>
      <c r="B125" s="5759" t="s">
        <v>16</v>
      </c>
      <c r="C125" s="5759" t="s">
        <v>2331</v>
      </c>
      <c r="D125" s="5759" t="s">
        <v>2332</v>
      </c>
      <c r="E125" s="5759" t="s">
        <v>2333</v>
      </c>
      <c r="F125" s="5759" t="s">
        <v>2334</v>
      </c>
      <c r="G125" s="5759" t="s">
        <v>28</v>
      </c>
      <c r="H125" s="5759" t="s">
        <v>28</v>
      </c>
      <c r="I125" s="5759" t="s">
        <v>862</v>
      </c>
    </row>
    <row customHeight="1" ht="11.25">
      <c r="A126" s="5759" t="s">
        <v>2253</v>
      </c>
      <c r="B126" s="5759" t="s">
        <v>16</v>
      </c>
      <c r="C126" s="5759" t="s">
        <v>2338</v>
      </c>
      <c r="D126" s="5759" t="s">
        <v>2339</v>
      </c>
      <c r="E126" s="5759" t="s">
        <v>2333</v>
      </c>
      <c r="F126" s="5759" t="s">
        <v>2340</v>
      </c>
      <c r="G126" s="5759" t="s">
        <v>28</v>
      </c>
      <c r="H126" s="5759" t="s">
        <v>28</v>
      </c>
      <c r="I126" s="5759" t="s">
        <v>862</v>
      </c>
    </row>
    <row customHeight="1" ht="11.25">
      <c r="A127" s="5759" t="s">
        <v>2253</v>
      </c>
      <c r="B127" s="5759" t="s">
        <v>16</v>
      </c>
      <c r="C127" s="5759" t="s">
        <v>28</v>
      </c>
      <c r="D127" s="5759" t="s">
        <v>2341</v>
      </c>
      <c r="E127" s="5759" t="s">
        <v>2342</v>
      </c>
      <c r="F127" s="5759" t="s">
        <v>2286</v>
      </c>
      <c r="G127" s="5759" t="s">
        <v>28</v>
      </c>
      <c r="H127" s="5759" t="s">
        <v>28</v>
      </c>
      <c r="I127" s="5759" t="s">
        <v>862</v>
      </c>
    </row>
    <row customHeight="1" ht="11.25">
      <c r="A128" s="5759" t="s">
        <v>2253</v>
      </c>
      <c r="B128" s="5759" t="s">
        <v>16</v>
      </c>
      <c r="C128" s="5759" t="s">
        <v>2343</v>
      </c>
      <c r="D128" s="5759" t="s">
        <v>2344</v>
      </c>
      <c r="E128" s="5759" t="s">
        <v>2345</v>
      </c>
      <c r="F128" s="5759" t="s">
        <v>2296</v>
      </c>
      <c r="G128" s="5759" t="s">
        <v>2346</v>
      </c>
      <c r="H128" s="5759" t="s">
        <v>28</v>
      </c>
      <c r="I128" s="5759" t="s">
        <v>862</v>
      </c>
    </row>
    <row customHeight="1" ht="11.25">
      <c r="A129" s="5759" t="s">
        <v>2253</v>
      </c>
      <c r="B129" s="5759" t="s">
        <v>16</v>
      </c>
      <c r="C129" s="5759" t="s">
        <v>2524</v>
      </c>
      <c r="D129" s="5759" t="s">
        <v>2525</v>
      </c>
      <c r="E129" s="5759" t="s">
        <v>2526</v>
      </c>
      <c r="F129" s="5759" t="s">
        <v>584</v>
      </c>
      <c r="G129" s="5759" t="s">
        <v>28</v>
      </c>
      <c r="H129" s="5759" t="s">
        <v>28</v>
      </c>
      <c r="I129" s="5759" t="s">
        <v>862</v>
      </c>
    </row>
    <row customHeight="1" ht="11.25">
      <c r="A130" s="5759" t="s">
        <v>2253</v>
      </c>
      <c r="B130" s="5759" t="s">
        <v>16</v>
      </c>
      <c r="C130" s="5759" t="s">
        <v>2347</v>
      </c>
      <c r="D130" s="5759" t="s">
        <v>2348</v>
      </c>
      <c r="E130" s="5759" t="s">
        <v>2349</v>
      </c>
      <c r="F130" s="5759" t="s">
        <v>2350</v>
      </c>
      <c r="G130" s="5759" t="s">
        <v>28</v>
      </c>
      <c r="H130" s="5759" t="s">
        <v>28</v>
      </c>
      <c r="I130" s="5759" t="s">
        <v>862</v>
      </c>
    </row>
    <row customHeight="1" ht="11.25">
      <c r="A131" s="5759" t="s">
        <v>2253</v>
      </c>
      <c r="B131" s="5759" t="s">
        <v>16</v>
      </c>
      <c r="C131" s="5759" t="s">
        <v>2351</v>
      </c>
      <c r="D131" s="5759" t="s">
        <v>2352</v>
      </c>
      <c r="E131" s="5759" t="s">
        <v>2353</v>
      </c>
      <c r="F131" s="5759" t="s">
        <v>2354</v>
      </c>
      <c r="G131" s="5759" t="s">
        <v>28</v>
      </c>
      <c r="H131" s="5759" t="s">
        <v>28</v>
      </c>
      <c r="I131" s="5759" t="s">
        <v>862</v>
      </c>
    </row>
    <row customHeight="1" ht="11.25">
      <c r="A132" s="5759" t="s">
        <v>2253</v>
      </c>
      <c r="B132" s="5759" t="s">
        <v>16</v>
      </c>
      <c r="C132" s="5759" t="s">
        <v>2527</v>
      </c>
      <c r="D132" s="5759" t="s">
        <v>2528</v>
      </c>
      <c r="E132" s="5759" t="s">
        <v>2529</v>
      </c>
      <c r="F132" s="5759" t="s">
        <v>2320</v>
      </c>
      <c r="G132" s="5759" t="s">
        <v>2530</v>
      </c>
      <c r="H132" s="5759" t="s">
        <v>28</v>
      </c>
      <c r="I132" s="5759" t="s">
        <v>862</v>
      </c>
    </row>
    <row customHeight="1" ht="11.25">
      <c r="A133" s="5759" t="s">
        <v>2253</v>
      </c>
      <c r="B133" s="5759" t="s">
        <v>16</v>
      </c>
      <c r="C133" s="5759" t="s">
        <v>2355</v>
      </c>
      <c r="D133" s="5759" t="s">
        <v>2356</v>
      </c>
      <c r="E133" s="5759" t="s">
        <v>2357</v>
      </c>
      <c r="F133" s="5759" t="s">
        <v>2358</v>
      </c>
      <c r="G133" s="5759" t="s">
        <v>2359</v>
      </c>
      <c r="H133" s="5759" t="s">
        <v>28</v>
      </c>
      <c r="I133" s="5759" t="s">
        <v>862</v>
      </c>
    </row>
    <row customHeight="1" ht="11.25">
      <c r="A134" s="5759" t="s">
        <v>2253</v>
      </c>
      <c r="B134" s="5759" t="s">
        <v>16</v>
      </c>
      <c r="C134" s="5759" t="s">
        <v>2531</v>
      </c>
      <c r="D134" s="5759" t="s">
        <v>2532</v>
      </c>
      <c r="E134" s="5759" t="s">
        <v>2533</v>
      </c>
      <c r="F134" s="5759" t="s">
        <v>2320</v>
      </c>
      <c r="G134" s="5759" t="s">
        <v>28</v>
      </c>
      <c r="H134" s="5759" t="s">
        <v>28</v>
      </c>
      <c r="I134" s="5759" t="s">
        <v>862</v>
      </c>
    </row>
    <row customHeight="1" ht="11.25">
      <c r="A135" s="5759" t="s">
        <v>2253</v>
      </c>
      <c r="B135" s="5759" t="s">
        <v>16</v>
      </c>
      <c r="C135" s="5759" t="s">
        <v>2534</v>
      </c>
      <c r="D135" s="5759" t="s">
        <v>2535</v>
      </c>
      <c r="E135" s="5759" t="s">
        <v>2536</v>
      </c>
      <c r="F135" s="5759" t="s">
        <v>2275</v>
      </c>
      <c r="G135" s="5759" t="s">
        <v>28</v>
      </c>
      <c r="H135" s="5759" t="s">
        <v>28</v>
      </c>
      <c r="I135" s="5759" t="s">
        <v>862</v>
      </c>
    </row>
    <row customHeight="1" ht="11.25">
      <c r="A136" s="5759" t="s">
        <v>2253</v>
      </c>
      <c r="B136" s="5759" t="s">
        <v>16</v>
      </c>
      <c r="C136" s="5759" t="s">
        <v>2360</v>
      </c>
      <c r="D136" s="5759" t="s">
        <v>2361</v>
      </c>
      <c r="E136" s="5759" t="s">
        <v>2362</v>
      </c>
      <c r="F136" s="5759" t="s">
        <v>2363</v>
      </c>
      <c r="G136" s="5759" t="s">
        <v>2364</v>
      </c>
      <c r="H136" s="5759" t="s">
        <v>28</v>
      </c>
      <c r="I136" s="5759" t="s">
        <v>862</v>
      </c>
    </row>
    <row customHeight="1" ht="11.25">
      <c r="A137" s="5759" t="s">
        <v>2253</v>
      </c>
      <c r="B137" s="5759" t="s">
        <v>16</v>
      </c>
      <c r="C137" s="5759" t="s">
        <v>2365</v>
      </c>
      <c r="D137" s="5759" t="s">
        <v>2366</v>
      </c>
      <c r="E137" s="5759" t="s">
        <v>2333</v>
      </c>
      <c r="F137" s="5759" t="s">
        <v>2367</v>
      </c>
      <c r="G137" s="5759" t="s">
        <v>28</v>
      </c>
      <c r="H137" s="5759" t="s">
        <v>28</v>
      </c>
      <c r="I137" s="5759" t="s">
        <v>862</v>
      </c>
    </row>
    <row customHeight="1" ht="11.25">
      <c r="A138" s="5759" t="s">
        <v>2253</v>
      </c>
      <c r="B138" s="5759" t="s">
        <v>16</v>
      </c>
      <c r="C138" s="5759" t="s">
        <v>2368</v>
      </c>
      <c r="D138" s="5759" t="s">
        <v>2369</v>
      </c>
      <c r="E138" s="5759" t="s">
        <v>2256</v>
      </c>
      <c r="F138" s="5759" t="s">
        <v>2329</v>
      </c>
      <c r="G138" s="5759" t="s">
        <v>28</v>
      </c>
      <c r="H138" s="5759" t="s">
        <v>28</v>
      </c>
      <c r="I138" s="5759" t="s">
        <v>862</v>
      </c>
    </row>
    <row customHeight="1" ht="11.25">
      <c r="A139" s="5759" t="s">
        <v>2253</v>
      </c>
      <c r="B139" s="5759" t="s">
        <v>16</v>
      </c>
      <c r="C139" s="5759" t="s">
        <v>2376</v>
      </c>
      <c r="D139" s="5759" t="s">
        <v>2377</v>
      </c>
      <c r="E139" s="5759" t="s">
        <v>2378</v>
      </c>
      <c r="F139" s="5759" t="s">
        <v>2354</v>
      </c>
      <c r="G139" s="5759" t="s">
        <v>28</v>
      </c>
      <c r="H139" s="5759" t="s">
        <v>28</v>
      </c>
      <c r="I139" s="5759" t="s">
        <v>862</v>
      </c>
    </row>
    <row customHeight="1" ht="11.25">
      <c r="A140" s="5759" t="s">
        <v>2253</v>
      </c>
      <c r="B140" s="5759" t="s">
        <v>16</v>
      </c>
      <c r="C140" s="5759" t="s">
        <v>2379</v>
      </c>
      <c r="D140" s="5759" t="s">
        <v>2380</v>
      </c>
      <c r="E140" s="5759" t="s">
        <v>2381</v>
      </c>
      <c r="F140" s="5759" t="s">
        <v>2382</v>
      </c>
      <c r="G140" s="5759" t="s">
        <v>2383</v>
      </c>
      <c r="H140" s="5759" t="s">
        <v>28</v>
      </c>
      <c r="I140" s="5759" t="s">
        <v>862</v>
      </c>
    </row>
    <row customHeight="1" ht="11.25">
      <c r="A141" s="5759" t="s">
        <v>2253</v>
      </c>
      <c r="B141" s="5759" t="s">
        <v>16</v>
      </c>
      <c r="C141" s="5759" t="s">
        <v>2537</v>
      </c>
      <c r="D141" s="5759" t="s">
        <v>2538</v>
      </c>
      <c r="E141" s="5759" t="s">
        <v>2539</v>
      </c>
      <c r="F141" s="5759" t="s">
        <v>2320</v>
      </c>
      <c r="G141" s="5759" t="s">
        <v>2540</v>
      </c>
      <c r="H141" s="5759" t="s">
        <v>28</v>
      </c>
      <c r="I141" s="5759" t="s">
        <v>862</v>
      </c>
    </row>
    <row customHeight="1" ht="11.25">
      <c r="A142" s="5759" t="s">
        <v>2253</v>
      </c>
      <c r="B142" s="5759" t="s">
        <v>16</v>
      </c>
      <c r="C142" s="5759" t="s">
        <v>2387</v>
      </c>
      <c r="D142" s="5759" t="s">
        <v>2388</v>
      </c>
      <c r="E142" s="5759" t="s">
        <v>2389</v>
      </c>
      <c r="F142" s="5759" t="s">
        <v>2275</v>
      </c>
      <c r="G142" s="5759" t="s">
        <v>28</v>
      </c>
      <c r="H142" s="5759" t="s">
        <v>28</v>
      </c>
      <c r="I142" s="5759" t="s">
        <v>862</v>
      </c>
    </row>
    <row customHeight="1" ht="11.25">
      <c r="A143" s="5759" t="s">
        <v>2253</v>
      </c>
      <c r="B143" s="5759" t="s">
        <v>16</v>
      </c>
      <c r="C143" s="5759" t="s">
        <v>2397</v>
      </c>
      <c r="D143" s="5759" t="s">
        <v>2398</v>
      </c>
      <c r="E143" s="5759" t="s">
        <v>2399</v>
      </c>
      <c r="F143" s="5759" t="s">
        <v>2400</v>
      </c>
      <c r="G143" s="5759" t="s">
        <v>28</v>
      </c>
      <c r="H143" s="5759" t="s">
        <v>28</v>
      </c>
      <c r="I143" s="5759" t="s">
        <v>862</v>
      </c>
    </row>
    <row customHeight="1" ht="11.25">
      <c r="A144" s="5759" t="s">
        <v>2253</v>
      </c>
      <c r="B144" s="5759" t="s">
        <v>16</v>
      </c>
      <c r="C144" s="5759" t="s">
        <v>2401</v>
      </c>
      <c r="D144" s="5759" t="s">
        <v>2402</v>
      </c>
      <c r="E144" s="5759" t="s">
        <v>2333</v>
      </c>
      <c r="F144" s="5759" t="s">
        <v>2393</v>
      </c>
      <c r="G144" s="5759" t="s">
        <v>2403</v>
      </c>
      <c r="H144" s="5759" t="s">
        <v>28</v>
      </c>
      <c r="I144" s="5759" t="s">
        <v>862</v>
      </c>
    </row>
    <row customHeight="1" ht="11.25">
      <c r="A145" s="5759" t="s">
        <v>2253</v>
      </c>
      <c r="B145" s="5759" t="s">
        <v>16</v>
      </c>
      <c r="C145" s="5759" t="s">
        <v>2412</v>
      </c>
      <c r="D145" s="5759" t="s">
        <v>2413</v>
      </c>
      <c r="E145" s="5759" t="s">
        <v>2414</v>
      </c>
      <c r="F145" s="5759" t="s">
        <v>2415</v>
      </c>
      <c r="G145" s="5759" t="s">
        <v>2416</v>
      </c>
      <c r="H145" s="5759" t="s">
        <v>28</v>
      </c>
      <c r="I145" s="5759" t="s">
        <v>862</v>
      </c>
    </row>
    <row customHeight="1" ht="11.25">
      <c r="A146" s="5759" t="s">
        <v>2253</v>
      </c>
      <c r="B146" s="5759" t="s">
        <v>16</v>
      </c>
      <c r="C146" s="5759" t="s">
        <v>2541</v>
      </c>
      <c r="D146" s="5759" t="s">
        <v>2542</v>
      </c>
      <c r="E146" s="5759" t="s">
        <v>2543</v>
      </c>
      <c r="F146" s="5759" t="s">
        <v>2514</v>
      </c>
      <c r="G146" s="5759" t="s">
        <v>28</v>
      </c>
      <c r="H146" s="5759" t="s">
        <v>28</v>
      </c>
      <c r="I146" s="5759" t="s">
        <v>862</v>
      </c>
    </row>
    <row customHeight="1" ht="11.25">
      <c r="A147" s="5759" t="s">
        <v>2253</v>
      </c>
      <c r="B147" s="5759" t="s">
        <v>16</v>
      </c>
      <c r="C147" s="5759" t="s">
        <v>2417</v>
      </c>
      <c r="D147" s="5759" t="s">
        <v>2418</v>
      </c>
      <c r="E147" s="5759" t="s">
        <v>2419</v>
      </c>
      <c r="F147" s="5759" t="s">
        <v>2271</v>
      </c>
      <c r="G147" s="5759" t="s">
        <v>2307</v>
      </c>
      <c r="H147" s="5759" t="s">
        <v>28</v>
      </c>
      <c r="I147" s="5759" t="s">
        <v>862</v>
      </c>
    </row>
    <row customHeight="1" ht="11.25">
      <c r="A148" s="5759" t="s">
        <v>2253</v>
      </c>
      <c r="B148" s="5759" t="s">
        <v>16</v>
      </c>
      <c r="C148" s="5759" t="s">
        <v>2544</v>
      </c>
      <c r="D148" s="5759" t="s">
        <v>2545</v>
      </c>
      <c r="E148" s="5759" t="s">
        <v>2546</v>
      </c>
      <c r="F148" s="5759" t="s">
        <v>2320</v>
      </c>
      <c r="G148" s="5759" t="s">
        <v>2540</v>
      </c>
      <c r="H148" s="5759" t="s">
        <v>28</v>
      </c>
      <c r="I148" s="5759" t="s">
        <v>862</v>
      </c>
    </row>
    <row customHeight="1" ht="11.25">
      <c r="A149" s="5759" t="s">
        <v>2253</v>
      </c>
      <c r="B149" s="5759" t="s">
        <v>16</v>
      </c>
      <c r="C149" s="5759" t="s">
        <v>2431</v>
      </c>
      <c r="D149" s="5759" t="s">
        <v>2432</v>
      </c>
      <c r="E149" s="5759" t="s">
        <v>2433</v>
      </c>
      <c r="F149" s="5759" t="s">
        <v>2262</v>
      </c>
      <c r="G149" s="5759" t="s">
        <v>28</v>
      </c>
      <c r="H149" s="5759" t="s">
        <v>28</v>
      </c>
      <c r="I149" s="5759" t="s">
        <v>862</v>
      </c>
    </row>
    <row customHeight="1" ht="11.25">
      <c r="A150" s="5759" t="s">
        <v>2253</v>
      </c>
      <c r="B150" s="5759" t="s">
        <v>16</v>
      </c>
      <c r="C150" s="5759" t="s">
        <v>2438</v>
      </c>
      <c r="D150" s="5759" t="s">
        <v>2439</v>
      </c>
      <c r="E150" s="5759" t="s">
        <v>2440</v>
      </c>
      <c r="F150" s="5759" t="s">
        <v>2393</v>
      </c>
      <c r="G150" s="5759" t="s">
        <v>28</v>
      </c>
      <c r="H150" s="5759" t="s">
        <v>28</v>
      </c>
      <c r="I150" s="5759" t="s">
        <v>862</v>
      </c>
    </row>
    <row customHeight="1" ht="11.25">
      <c r="A151" s="5759" t="s">
        <v>2253</v>
      </c>
      <c r="B151" s="5759" t="s">
        <v>16</v>
      </c>
      <c r="C151" s="5759" t="s">
        <v>2441</v>
      </c>
      <c r="D151" s="5759" t="s">
        <v>2442</v>
      </c>
      <c r="E151" s="5759" t="s">
        <v>2443</v>
      </c>
      <c r="F151" s="5759" t="s">
        <v>2271</v>
      </c>
      <c r="G151" s="5759" t="s">
        <v>28</v>
      </c>
      <c r="H151" s="5759" t="s">
        <v>28</v>
      </c>
      <c r="I151" s="5759" t="s">
        <v>862</v>
      </c>
    </row>
    <row customHeight="1" ht="11.25">
      <c r="A152" s="5759" t="s">
        <v>2253</v>
      </c>
      <c r="B152" s="5759" t="s">
        <v>16</v>
      </c>
      <c r="C152" s="5759" t="s">
        <v>2547</v>
      </c>
      <c r="D152" s="5759" t="s">
        <v>2548</v>
      </c>
      <c r="E152" s="5759" t="s">
        <v>2549</v>
      </c>
      <c r="F152" s="5759" t="s">
        <v>2275</v>
      </c>
      <c r="G152" s="5759" t="s">
        <v>28</v>
      </c>
      <c r="H152" s="5759" t="s">
        <v>28</v>
      </c>
      <c r="I152" s="5759" t="s">
        <v>862</v>
      </c>
    </row>
    <row customHeight="1" ht="11.25">
      <c r="A153" s="5759" t="s">
        <v>2253</v>
      </c>
      <c r="B153" s="5759" t="s">
        <v>16</v>
      </c>
      <c r="C153" s="5759" t="s">
        <v>2454</v>
      </c>
      <c r="D153" s="5759" t="s">
        <v>2455</v>
      </c>
      <c r="E153" s="5759" t="s">
        <v>2456</v>
      </c>
      <c r="F153" s="5759" t="s">
        <v>2447</v>
      </c>
      <c r="G153" s="5759" t="s">
        <v>28</v>
      </c>
      <c r="H153" s="5759" t="s">
        <v>28</v>
      </c>
      <c r="I153" s="5759" t="s">
        <v>862</v>
      </c>
    </row>
    <row customHeight="1" ht="11.25">
      <c r="A154" s="5759" t="s">
        <v>2253</v>
      </c>
      <c r="B154" s="5759" t="s">
        <v>16</v>
      </c>
      <c r="C154" s="5759" t="s">
        <v>2462</v>
      </c>
      <c r="D154" s="5759" t="s">
        <v>2463</v>
      </c>
      <c r="E154" s="5759" t="s">
        <v>2464</v>
      </c>
      <c r="F154" s="5759" t="s">
        <v>2465</v>
      </c>
      <c r="G154" s="5759" t="s">
        <v>2466</v>
      </c>
      <c r="H154" s="5759" t="s">
        <v>28</v>
      </c>
      <c r="I154" s="5759" t="s">
        <v>862</v>
      </c>
    </row>
    <row customHeight="1" ht="11.25">
      <c r="A155" s="5759" t="s">
        <v>2253</v>
      </c>
      <c r="B155" s="5759" t="s">
        <v>16</v>
      </c>
      <c r="C155" s="5759" t="s">
        <v>2467</v>
      </c>
      <c r="D155" s="5759" t="s">
        <v>2468</v>
      </c>
      <c r="E155" s="5759" t="s">
        <v>2469</v>
      </c>
      <c r="F155" s="5759" t="s">
        <v>2470</v>
      </c>
      <c r="G155" s="5759" t="s">
        <v>28</v>
      </c>
      <c r="H155" s="5759" t="s">
        <v>28</v>
      </c>
      <c r="I155" s="5759" t="s">
        <v>862</v>
      </c>
    </row>
    <row customHeight="1" ht="11.25">
      <c r="A156" s="5759" t="s">
        <v>2253</v>
      </c>
      <c r="B156" s="5759" t="s">
        <v>16</v>
      </c>
      <c r="C156" s="5759" t="s">
        <v>2471</v>
      </c>
      <c r="D156" s="5759" t="s">
        <v>2472</v>
      </c>
      <c r="E156" s="5759" t="s">
        <v>2399</v>
      </c>
      <c r="F156" s="5759" t="s">
        <v>2257</v>
      </c>
      <c r="G156" s="5759" t="s">
        <v>28</v>
      </c>
      <c r="H156" s="5759" t="s">
        <v>28</v>
      </c>
      <c r="I156" s="5759" t="s">
        <v>862</v>
      </c>
    </row>
    <row customHeight="1" ht="11.25">
      <c r="A157" s="5759" t="s">
        <v>2253</v>
      </c>
      <c r="B157" s="5759" t="s">
        <v>16</v>
      </c>
      <c r="C157" s="5759" t="s">
        <v>2477</v>
      </c>
      <c r="D157" s="5759" t="s">
        <v>2478</v>
      </c>
      <c r="E157" s="5759" t="s">
        <v>2479</v>
      </c>
      <c r="F157" s="5759" t="s">
        <v>2470</v>
      </c>
      <c r="G157" s="5759" t="s">
        <v>28</v>
      </c>
      <c r="H157" s="5759" t="s">
        <v>28</v>
      </c>
      <c r="I157" s="5759" t="s">
        <v>862</v>
      </c>
    </row>
    <row customHeight="1" ht="11.25">
      <c r="A158" s="5759" t="s">
        <v>2253</v>
      </c>
      <c r="B158" s="5759" t="s">
        <v>16</v>
      </c>
      <c r="C158" s="5759" t="s">
        <v>2480</v>
      </c>
      <c r="D158" s="5759" t="s">
        <v>2481</v>
      </c>
      <c r="E158" s="5759" t="s">
        <v>2482</v>
      </c>
      <c r="F158" s="5759" t="s">
        <v>2271</v>
      </c>
      <c r="G158" s="5759" t="s">
        <v>28</v>
      </c>
      <c r="H158" s="5759" t="s">
        <v>28</v>
      </c>
      <c r="I158" s="5759" t="s">
        <v>862</v>
      </c>
    </row>
    <row customHeight="1" ht="11.25">
      <c r="A159" s="5759" t="s">
        <v>2253</v>
      </c>
      <c r="B159" s="5759" t="s">
        <v>16</v>
      </c>
      <c r="C159" s="5759" t="s">
        <v>2490</v>
      </c>
      <c r="D159" s="5759" t="s">
        <v>2491</v>
      </c>
      <c r="E159" s="5759" t="s">
        <v>2349</v>
      </c>
      <c r="F159" s="5759" t="s">
        <v>2492</v>
      </c>
      <c r="G159" s="5759" t="s">
        <v>28</v>
      </c>
      <c r="H159" s="5759" t="s">
        <v>28</v>
      </c>
      <c r="I159" s="5759" t="s">
        <v>862</v>
      </c>
    </row>
    <row customHeight="1" ht="11.25">
      <c r="A160" s="5759" t="s">
        <v>2253</v>
      </c>
      <c r="B160" s="5759" t="s">
        <v>16</v>
      </c>
      <c r="C160" s="5759" t="s">
        <v>2493</v>
      </c>
      <c r="D160" s="5759" t="s">
        <v>2494</v>
      </c>
      <c r="E160" s="5759" t="s">
        <v>2349</v>
      </c>
      <c r="F160" s="5759" t="s">
        <v>2495</v>
      </c>
      <c r="G160" s="5759" t="s">
        <v>28</v>
      </c>
      <c r="H160" s="5759" t="s">
        <v>28</v>
      </c>
      <c r="I160" s="5759" t="s">
        <v>862</v>
      </c>
    </row>
    <row customHeight="1" ht="11.25">
      <c r="A161" s="5759" t="s">
        <v>2253</v>
      </c>
      <c r="B161" s="5759" t="s">
        <v>16</v>
      </c>
      <c r="C161" s="5759" t="s">
        <v>2496</v>
      </c>
      <c r="D161" s="5759" t="s">
        <v>2497</v>
      </c>
      <c r="E161" s="5759" t="s">
        <v>2333</v>
      </c>
      <c r="F161" s="5759" t="s">
        <v>2400</v>
      </c>
      <c r="G161" s="5759" t="s">
        <v>28</v>
      </c>
      <c r="H161" s="5759" t="s">
        <v>28</v>
      </c>
      <c r="I161" s="5759" t="s">
        <v>862</v>
      </c>
    </row>
    <row customHeight="1" ht="11.25">
      <c r="A162" s="5759" t="s">
        <v>2253</v>
      </c>
      <c r="B162" s="5759" t="s">
        <v>16</v>
      </c>
      <c r="C162" s="5759" t="s">
        <v>2498</v>
      </c>
      <c r="D162" s="5759" t="s">
        <v>2499</v>
      </c>
      <c r="E162" s="5759" t="s">
        <v>2500</v>
      </c>
      <c r="F162" s="5759" t="s">
        <v>2501</v>
      </c>
      <c r="G162" s="5759" t="s">
        <v>28</v>
      </c>
      <c r="H162" s="5759" t="s">
        <v>28</v>
      </c>
      <c r="I162" s="5759" t="s">
        <v>862</v>
      </c>
    </row>
    <row customHeight="1" ht="11.25">
      <c r="A163" s="5759" t="s">
        <v>2253</v>
      </c>
      <c r="B163" s="5759" t="s">
        <v>16</v>
      </c>
      <c r="C163" s="5759" t="s">
        <v>2502</v>
      </c>
      <c r="D163" s="5759" t="s">
        <v>2503</v>
      </c>
      <c r="E163" s="5759" t="s">
        <v>2504</v>
      </c>
      <c r="F163" s="5759" t="s">
        <v>2505</v>
      </c>
      <c r="G163" s="5759" t="s">
        <v>28</v>
      </c>
      <c r="H163" s="5759" t="s">
        <v>28</v>
      </c>
      <c r="I163" s="5759" t="s">
        <v>862</v>
      </c>
    </row>
    <row customHeight="1" ht="11.25">
      <c r="A164" s="5759" t="s">
        <v>2253</v>
      </c>
      <c r="B164" s="5759" t="s">
        <v>16</v>
      </c>
      <c r="C164" s="5759" t="s">
        <v>2506</v>
      </c>
      <c r="D164" s="5759" t="s">
        <v>2507</v>
      </c>
      <c r="E164" s="5759" t="s">
        <v>2362</v>
      </c>
      <c r="F164" s="5759" t="s">
        <v>2489</v>
      </c>
      <c r="G164" s="5759" t="s">
        <v>2476</v>
      </c>
      <c r="H164" s="5759" t="s">
        <v>28</v>
      </c>
      <c r="I164" s="5759" t="s">
        <v>862</v>
      </c>
    </row>
    <row customHeight="1" ht="11.25">
      <c r="A165" s="5759" t="s">
        <v>2253</v>
      </c>
      <c r="B165" s="5759" t="s">
        <v>16</v>
      </c>
      <c r="C165" s="5759" t="s">
        <v>2515</v>
      </c>
      <c r="D165" s="5759" t="s">
        <v>2516</v>
      </c>
      <c r="E165" s="5759" t="s">
        <v>2349</v>
      </c>
      <c r="F165" s="5759" t="s">
        <v>2517</v>
      </c>
      <c r="G165" s="5759" t="s">
        <v>28</v>
      </c>
      <c r="H165" s="5759" t="s">
        <v>28</v>
      </c>
      <c r="I165" s="5759" t="s">
        <v>862</v>
      </c>
    </row>
    <row customHeight="1" ht="11.25">
      <c r="A166" s="5759" t="s">
        <v>2253</v>
      </c>
      <c r="B166" s="5759" t="s">
        <v>16</v>
      </c>
      <c r="C166" s="5759" t="s">
        <v>2518</v>
      </c>
      <c r="D166" s="5759" t="s">
        <v>2519</v>
      </c>
      <c r="E166" s="5759" t="s">
        <v>2504</v>
      </c>
      <c r="F166" s="5759" t="s">
        <v>2520</v>
      </c>
      <c r="G166" s="5759" t="s">
        <v>28</v>
      </c>
      <c r="H166" s="5759" t="s">
        <v>28</v>
      </c>
      <c r="I166" s="5759" t="s">
        <v>862</v>
      </c>
    </row>
    <row customHeight="1" ht="11.25">
      <c r="A167" s="5759" t="s">
        <v>2253</v>
      </c>
      <c r="B167" s="5759" t="s">
        <v>16</v>
      </c>
      <c r="C167" s="5759" t="s">
        <v>2254</v>
      </c>
      <c r="D167" s="5759" t="s">
        <v>2255</v>
      </c>
      <c r="E167" s="5759" t="s">
        <v>2256</v>
      </c>
      <c r="F167" s="5759" t="s">
        <v>2257</v>
      </c>
      <c r="G167" s="5759" t="s">
        <v>2258</v>
      </c>
      <c r="H167" s="5759" t="s">
        <v>28</v>
      </c>
      <c r="I167" s="5759" t="s">
        <v>915</v>
      </c>
    </row>
    <row customHeight="1" ht="11.25">
      <c r="A168" s="5759" t="s">
        <v>2253</v>
      </c>
      <c r="B168" s="5759" t="s">
        <v>16</v>
      </c>
      <c r="C168" s="5759" t="s">
        <v>2259</v>
      </c>
      <c r="D168" s="5759" t="s">
        <v>2260</v>
      </c>
      <c r="E168" s="5759" t="s">
        <v>2261</v>
      </c>
      <c r="F168" s="5759" t="s">
        <v>2262</v>
      </c>
      <c r="G168" s="5759" t="s">
        <v>2263</v>
      </c>
      <c r="H168" s="5759" t="s">
        <v>28</v>
      </c>
      <c r="I168" s="5759" t="s">
        <v>915</v>
      </c>
    </row>
    <row customHeight="1" ht="11.25">
      <c r="A169" s="5759" t="s">
        <v>2253</v>
      </c>
      <c r="B169" s="5759" t="s">
        <v>16</v>
      </c>
      <c r="C169" s="5759" t="s">
        <v>2283</v>
      </c>
      <c r="D169" s="5759" t="s">
        <v>2284</v>
      </c>
      <c r="E169" s="5759" t="s">
        <v>2285</v>
      </c>
      <c r="F169" s="5759" t="s">
        <v>2286</v>
      </c>
      <c r="G169" s="5759" t="s">
        <v>28</v>
      </c>
      <c r="H169" s="5759" t="s">
        <v>28</v>
      </c>
      <c r="I169" s="5759" t="s">
        <v>915</v>
      </c>
    </row>
    <row customHeight="1" ht="11.25">
      <c r="A170" s="5759" t="s">
        <v>2253</v>
      </c>
      <c r="B170" s="5759" t="s">
        <v>16</v>
      </c>
      <c r="C170" s="5759" t="s">
        <v>2287</v>
      </c>
      <c r="D170" s="5759" t="s">
        <v>2288</v>
      </c>
      <c r="E170" s="5759" t="s">
        <v>2289</v>
      </c>
      <c r="F170" s="5759" t="s">
        <v>2275</v>
      </c>
      <c r="G170" s="5759" t="s">
        <v>28</v>
      </c>
      <c r="H170" s="5759" t="s">
        <v>28</v>
      </c>
      <c r="I170" s="5759" t="s">
        <v>915</v>
      </c>
    </row>
    <row customHeight="1" ht="11.25">
      <c r="A171" s="5759" t="s">
        <v>2253</v>
      </c>
      <c r="B171" s="5759" t="s">
        <v>16</v>
      </c>
      <c r="C171" s="5759" t="s">
        <v>2293</v>
      </c>
      <c r="D171" s="5759" t="s">
        <v>2294</v>
      </c>
      <c r="E171" s="5759" t="s">
        <v>2295</v>
      </c>
      <c r="F171" s="5759" t="s">
        <v>2296</v>
      </c>
      <c r="G171" s="5759" t="s">
        <v>28</v>
      </c>
      <c r="H171" s="5759" t="s">
        <v>28</v>
      </c>
      <c r="I171" s="5759" t="s">
        <v>915</v>
      </c>
    </row>
    <row customHeight="1" ht="11.25">
      <c r="A172" s="5759" t="s">
        <v>2253</v>
      </c>
      <c r="B172" s="5759" t="s">
        <v>16</v>
      </c>
      <c r="C172" s="5759" t="s">
        <v>2297</v>
      </c>
      <c r="D172" s="5759" t="s">
        <v>2298</v>
      </c>
      <c r="E172" s="5759" t="s">
        <v>2299</v>
      </c>
      <c r="F172" s="5759" t="s">
        <v>2262</v>
      </c>
      <c r="G172" s="5759" t="s">
        <v>2300</v>
      </c>
      <c r="H172" s="5759" t="s">
        <v>28</v>
      </c>
      <c r="I172" s="5759" t="s">
        <v>915</v>
      </c>
    </row>
    <row customHeight="1" ht="11.25">
      <c r="A173" s="5759" t="s">
        <v>2253</v>
      </c>
      <c r="B173" s="5759" t="s">
        <v>16</v>
      </c>
      <c r="C173" s="5759" t="s">
        <v>2304</v>
      </c>
      <c r="D173" s="5759" t="s">
        <v>2305</v>
      </c>
      <c r="E173" s="5759" t="s">
        <v>2303</v>
      </c>
      <c r="F173" s="5759" t="s">
        <v>2306</v>
      </c>
      <c r="G173" s="5759" t="s">
        <v>2307</v>
      </c>
      <c r="H173" s="5759" t="s">
        <v>28</v>
      </c>
      <c r="I173" s="5759" t="s">
        <v>915</v>
      </c>
    </row>
    <row customHeight="1" ht="11.25">
      <c r="A174" s="5759" t="s">
        <v>2253</v>
      </c>
      <c r="B174" s="5759" t="s">
        <v>16</v>
      </c>
      <c r="C174" s="5759" t="s">
        <v>2310</v>
      </c>
      <c r="D174" s="5759" t="s">
        <v>2311</v>
      </c>
      <c r="E174" s="5759" t="s">
        <v>2303</v>
      </c>
      <c r="F174" s="5759" t="s">
        <v>2312</v>
      </c>
      <c r="G174" s="5759" t="s">
        <v>2313</v>
      </c>
      <c r="H174" s="5759" t="s">
        <v>28</v>
      </c>
      <c r="I174" s="5759" t="s">
        <v>915</v>
      </c>
    </row>
    <row customHeight="1" ht="11.25">
      <c r="A175" s="5759" t="s">
        <v>2253</v>
      </c>
      <c r="B175" s="5759" t="s">
        <v>16</v>
      </c>
      <c r="C175" s="5759" t="s">
        <v>2314</v>
      </c>
      <c r="D175" s="5759" t="s">
        <v>2315</v>
      </c>
      <c r="E175" s="5759" t="s">
        <v>2303</v>
      </c>
      <c r="F175" s="5759" t="s">
        <v>2316</v>
      </c>
      <c r="G175" s="5759" t="s">
        <v>2317</v>
      </c>
      <c r="H175" s="5759" t="s">
        <v>28</v>
      </c>
      <c r="I175" s="5759" t="s">
        <v>915</v>
      </c>
    </row>
    <row customHeight="1" ht="11.25">
      <c r="A176" s="5759" t="s">
        <v>2253</v>
      </c>
      <c r="B176" s="5759" t="s">
        <v>16</v>
      </c>
      <c r="C176" s="5759" t="s">
        <v>2324</v>
      </c>
      <c r="D176" s="5759" t="s">
        <v>2325</v>
      </c>
      <c r="E176" s="5759" t="s">
        <v>2303</v>
      </c>
      <c r="F176" s="5759" t="s">
        <v>2326</v>
      </c>
      <c r="G176" s="5759" t="s">
        <v>28</v>
      </c>
      <c r="H176" s="5759" t="s">
        <v>28</v>
      </c>
      <c r="I176" s="5759" t="s">
        <v>915</v>
      </c>
    </row>
    <row customHeight="1" ht="11.25">
      <c r="A177" s="5759" t="s">
        <v>2253</v>
      </c>
      <c r="B177" s="5759" t="s">
        <v>16</v>
      </c>
      <c r="C177" s="5759" t="s">
        <v>2327</v>
      </c>
      <c r="D177" s="5759" t="s">
        <v>2328</v>
      </c>
      <c r="E177" s="5759" t="s">
        <v>2303</v>
      </c>
      <c r="F177" s="5759" t="s">
        <v>2329</v>
      </c>
      <c r="G177" s="5759" t="s">
        <v>2330</v>
      </c>
      <c r="H177" s="5759" t="s">
        <v>28</v>
      </c>
      <c r="I177" s="5759" t="s">
        <v>915</v>
      </c>
    </row>
    <row customHeight="1" ht="11.25">
      <c r="A178" s="5759" t="s">
        <v>2253</v>
      </c>
      <c r="B178" s="5759" t="s">
        <v>16</v>
      </c>
      <c r="C178" s="5759" t="s">
        <v>2331</v>
      </c>
      <c r="D178" s="5759" t="s">
        <v>2332</v>
      </c>
      <c r="E178" s="5759" t="s">
        <v>2333</v>
      </c>
      <c r="F178" s="5759" t="s">
        <v>2334</v>
      </c>
      <c r="G178" s="5759" t="s">
        <v>28</v>
      </c>
      <c r="H178" s="5759" t="s">
        <v>28</v>
      </c>
      <c r="I178" s="5759" t="s">
        <v>915</v>
      </c>
    </row>
    <row customHeight="1" ht="11.25">
      <c r="A179" s="5759" t="s">
        <v>2253</v>
      </c>
      <c r="B179" s="5759" t="s">
        <v>16</v>
      </c>
      <c r="C179" s="5759" t="s">
        <v>2338</v>
      </c>
      <c r="D179" s="5759" t="s">
        <v>2339</v>
      </c>
      <c r="E179" s="5759" t="s">
        <v>2333</v>
      </c>
      <c r="F179" s="5759" t="s">
        <v>2340</v>
      </c>
      <c r="G179" s="5759" t="s">
        <v>28</v>
      </c>
      <c r="H179" s="5759" t="s">
        <v>28</v>
      </c>
      <c r="I179" s="5759" t="s">
        <v>915</v>
      </c>
    </row>
    <row customHeight="1" ht="11.25">
      <c r="A180" s="5759" t="s">
        <v>2253</v>
      </c>
      <c r="B180" s="5759" t="s">
        <v>16</v>
      </c>
      <c r="C180" s="5759" t="s">
        <v>28</v>
      </c>
      <c r="D180" s="5759" t="s">
        <v>2341</v>
      </c>
      <c r="E180" s="5759" t="s">
        <v>2342</v>
      </c>
      <c r="F180" s="5759" t="s">
        <v>2286</v>
      </c>
      <c r="G180" s="5759" t="s">
        <v>28</v>
      </c>
      <c r="H180" s="5759" t="s">
        <v>28</v>
      </c>
      <c r="I180" s="5759" t="s">
        <v>915</v>
      </c>
    </row>
    <row customHeight="1" ht="11.25">
      <c r="A181" s="5759" t="s">
        <v>2253</v>
      </c>
      <c r="B181" s="5759" t="s">
        <v>16</v>
      </c>
      <c r="C181" s="5759" t="s">
        <v>2343</v>
      </c>
      <c r="D181" s="5759" t="s">
        <v>2344</v>
      </c>
      <c r="E181" s="5759" t="s">
        <v>2345</v>
      </c>
      <c r="F181" s="5759" t="s">
        <v>2296</v>
      </c>
      <c r="G181" s="5759" t="s">
        <v>2346</v>
      </c>
      <c r="H181" s="5759" t="s">
        <v>28</v>
      </c>
      <c r="I181" s="5759" t="s">
        <v>915</v>
      </c>
    </row>
    <row customHeight="1" ht="11.25">
      <c r="A182" s="5759" t="s">
        <v>2253</v>
      </c>
      <c r="B182" s="5759" t="s">
        <v>16</v>
      </c>
      <c r="C182" s="5759" t="s">
        <v>2347</v>
      </c>
      <c r="D182" s="5759" t="s">
        <v>2348</v>
      </c>
      <c r="E182" s="5759" t="s">
        <v>2349</v>
      </c>
      <c r="F182" s="5759" t="s">
        <v>2350</v>
      </c>
      <c r="G182" s="5759" t="s">
        <v>28</v>
      </c>
      <c r="H182" s="5759" t="s">
        <v>28</v>
      </c>
      <c r="I182" s="5759" t="s">
        <v>915</v>
      </c>
    </row>
    <row customHeight="1" ht="11.25">
      <c r="A183" s="5759" t="s">
        <v>2253</v>
      </c>
      <c r="B183" s="5759" t="s">
        <v>16</v>
      </c>
      <c r="C183" s="5759" t="s">
        <v>2351</v>
      </c>
      <c r="D183" s="5759" t="s">
        <v>2352</v>
      </c>
      <c r="E183" s="5759" t="s">
        <v>2353</v>
      </c>
      <c r="F183" s="5759" t="s">
        <v>2354</v>
      </c>
      <c r="G183" s="5759" t="s">
        <v>28</v>
      </c>
      <c r="H183" s="5759" t="s">
        <v>28</v>
      </c>
      <c r="I183" s="5759" t="s">
        <v>915</v>
      </c>
    </row>
    <row customHeight="1" ht="11.25">
      <c r="A184" s="5759" t="s">
        <v>2253</v>
      </c>
      <c r="B184" s="5759" t="s">
        <v>16</v>
      </c>
      <c r="C184" s="5759" t="s">
        <v>2355</v>
      </c>
      <c r="D184" s="5759" t="s">
        <v>2356</v>
      </c>
      <c r="E184" s="5759" t="s">
        <v>2357</v>
      </c>
      <c r="F184" s="5759" t="s">
        <v>2358</v>
      </c>
      <c r="G184" s="5759" t="s">
        <v>2359</v>
      </c>
      <c r="H184" s="5759" t="s">
        <v>28</v>
      </c>
      <c r="I184" s="5759" t="s">
        <v>915</v>
      </c>
    </row>
    <row customHeight="1" ht="11.25">
      <c r="A185" s="5759" t="s">
        <v>2253</v>
      </c>
      <c r="B185" s="5759" t="s">
        <v>16</v>
      </c>
      <c r="C185" s="5759" t="s">
        <v>2360</v>
      </c>
      <c r="D185" s="5759" t="s">
        <v>2361</v>
      </c>
      <c r="E185" s="5759" t="s">
        <v>2362</v>
      </c>
      <c r="F185" s="5759" t="s">
        <v>2363</v>
      </c>
      <c r="G185" s="5759" t="s">
        <v>2364</v>
      </c>
      <c r="H185" s="5759" t="s">
        <v>28</v>
      </c>
      <c r="I185" s="5759" t="s">
        <v>915</v>
      </c>
    </row>
    <row customHeight="1" ht="11.25">
      <c r="A186" s="5759" t="s">
        <v>2253</v>
      </c>
      <c r="B186" s="5759" t="s">
        <v>16</v>
      </c>
      <c r="C186" s="5759" t="s">
        <v>2365</v>
      </c>
      <c r="D186" s="5759" t="s">
        <v>2366</v>
      </c>
      <c r="E186" s="5759" t="s">
        <v>2333</v>
      </c>
      <c r="F186" s="5759" t="s">
        <v>2367</v>
      </c>
      <c r="G186" s="5759" t="s">
        <v>28</v>
      </c>
      <c r="H186" s="5759" t="s">
        <v>28</v>
      </c>
      <c r="I186" s="5759" t="s">
        <v>915</v>
      </c>
    </row>
    <row customHeight="1" ht="11.25">
      <c r="A187" s="5759" t="s">
        <v>2253</v>
      </c>
      <c r="B187" s="5759" t="s">
        <v>16</v>
      </c>
      <c r="C187" s="5759" t="s">
        <v>2368</v>
      </c>
      <c r="D187" s="5759" t="s">
        <v>2369</v>
      </c>
      <c r="E187" s="5759" t="s">
        <v>2256</v>
      </c>
      <c r="F187" s="5759" t="s">
        <v>2329</v>
      </c>
      <c r="G187" s="5759" t="s">
        <v>28</v>
      </c>
      <c r="H187" s="5759" t="s">
        <v>28</v>
      </c>
      <c r="I187" s="5759" t="s">
        <v>915</v>
      </c>
    </row>
    <row customHeight="1" ht="11.25">
      <c r="A188" s="5759" t="s">
        <v>2253</v>
      </c>
      <c r="B188" s="5759" t="s">
        <v>16</v>
      </c>
      <c r="C188" s="5759" t="s">
        <v>2376</v>
      </c>
      <c r="D188" s="5759" t="s">
        <v>2377</v>
      </c>
      <c r="E188" s="5759" t="s">
        <v>2378</v>
      </c>
      <c r="F188" s="5759" t="s">
        <v>2354</v>
      </c>
      <c r="G188" s="5759" t="s">
        <v>28</v>
      </c>
      <c r="H188" s="5759" t="s">
        <v>28</v>
      </c>
      <c r="I188" s="5759" t="s">
        <v>915</v>
      </c>
    </row>
    <row customHeight="1" ht="11.25">
      <c r="A189" s="5759" t="s">
        <v>2253</v>
      </c>
      <c r="B189" s="5759" t="s">
        <v>16</v>
      </c>
      <c r="C189" s="5759" t="s">
        <v>2379</v>
      </c>
      <c r="D189" s="5759" t="s">
        <v>2380</v>
      </c>
      <c r="E189" s="5759" t="s">
        <v>2381</v>
      </c>
      <c r="F189" s="5759" t="s">
        <v>2382</v>
      </c>
      <c r="G189" s="5759" t="s">
        <v>2383</v>
      </c>
      <c r="H189" s="5759" t="s">
        <v>28</v>
      </c>
      <c r="I189" s="5759" t="s">
        <v>915</v>
      </c>
    </row>
    <row customHeight="1" ht="11.25">
      <c r="A190" s="5759" t="s">
        <v>2253</v>
      </c>
      <c r="B190" s="5759" t="s">
        <v>16</v>
      </c>
      <c r="C190" s="5759" t="s">
        <v>2387</v>
      </c>
      <c r="D190" s="5759" t="s">
        <v>2388</v>
      </c>
      <c r="E190" s="5759" t="s">
        <v>2389</v>
      </c>
      <c r="F190" s="5759" t="s">
        <v>2275</v>
      </c>
      <c r="G190" s="5759" t="s">
        <v>28</v>
      </c>
      <c r="H190" s="5759" t="s">
        <v>28</v>
      </c>
      <c r="I190" s="5759" t="s">
        <v>915</v>
      </c>
    </row>
    <row customHeight="1" ht="11.25">
      <c r="A191" s="5759" t="s">
        <v>2253</v>
      </c>
      <c r="B191" s="5759" t="s">
        <v>16</v>
      </c>
      <c r="C191" s="5759" t="s">
        <v>2394</v>
      </c>
      <c r="D191" s="5759" t="s">
        <v>2395</v>
      </c>
      <c r="E191" s="5759" t="s">
        <v>2396</v>
      </c>
      <c r="F191" s="5759" t="s">
        <v>2275</v>
      </c>
      <c r="G191" s="5759" t="s">
        <v>28</v>
      </c>
      <c r="H191" s="5759" t="s">
        <v>28</v>
      </c>
      <c r="I191" s="5759" t="s">
        <v>915</v>
      </c>
    </row>
    <row customHeight="1" ht="11.25">
      <c r="A192" s="5759" t="s">
        <v>2253</v>
      </c>
      <c r="B192" s="5759" t="s">
        <v>16</v>
      </c>
      <c r="C192" s="5759" t="s">
        <v>2397</v>
      </c>
      <c r="D192" s="5759" t="s">
        <v>2398</v>
      </c>
      <c r="E192" s="5759" t="s">
        <v>2399</v>
      </c>
      <c r="F192" s="5759" t="s">
        <v>2400</v>
      </c>
      <c r="G192" s="5759" t="s">
        <v>28</v>
      </c>
      <c r="H192" s="5759" t="s">
        <v>28</v>
      </c>
      <c r="I192" s="5759" t="s">
        <v>915</v>
      </c>
    </row>
    <row customHeight="1" ht="11.25">
      <c r="A193" s="5759" t="s">
        <v>2253</v>
      </c>
      <c r="B193" s="5759" t="s">
        <v>16</v>
      </c>
      <c r="C193" s="5759" t="s">
        <v>2401</v>
      </c>
      <c r="D193" s="5759" t="s">
        <v>2402</v>
      </c>
      <c r="E193" s="5759" t="s">
        <v>2333</v>
      </c>
      <c r="F193" s="5759" t="s">
        <v>2393</v>
      </c>
      <c r="G193" s="5759" t="s">
        <v>2403</v>
      </c>
      <c r="H193" s="5759" t="s">
        <v>28</v>
      </c>
      <c r="I193" s="5759" t="s">
        <v>915</v>
      </c>
    </row>
    <row customHeight="1" ht="11.25">
      <c r="A194" s="5759" t="s">
        <v>2253</v>
      </c>
      <c r="B194" s="5759" t="s">
        <v>16</v>
      </c>
      <c r="C194" s="5759" t="s">
        <v>2412</v>
      </c>
      <c r="D194" s="5759" t="s">
        <v>2413</v>
      </c>
      <c r="E194" s="5759" t="s">
        <v>2414</v>
      </c>
      <c r="F194" s="5759" t="s">
        <v>2415</v>
      </c>
      <c r="G194" s="5759" t="s">
        <v>2416</v>
      </c>
      <c r="H194" s="5759" t="s">
        <v>28</v>
      </c>
      <c r="I194" s="5759" t="s">
        <v>915</v>
      </c>
    </row>
    <row customHeight="1" ht="11.25">
      <c r="A195" s="5759" t="s">
        <v>2253</v>
      </c>
      <c r="B195" s="5759" t="s">
        <v>16</v>
      </c>
      <c r="C195" s="5759" t="s">
        <v>2417</v>
      </c>
      <c r="D195" s="5759" t="s">
        <v>2418</v>
      </c>
      <c r="E195" s="5759" t="s">
        <v>2419</v>
      </c>
      <c r="F195" s="5759" t="s">
        <v>2271</v>
      </c>
      <c r="G195" s="5759" t="s">
        <v>2307</v>
      </c>
      <c r="H195" s="5759" t="s">
        <v>28</v>
      </c>
      <c r="I195" s="5759" t="s">
        <v>915</v>
      </c>
    </row>
    <row customHeight="1" ht="11.25">
      <c r="A196" s="5759" t="s">
        <v>2253</v>
      </c>
      <c r="B196" s="5759" t="s">
        <v>16</v>
      </c>
      <c r="C196" s="5759" t="s">
        <v>2431</v>
      </c>
      <c r="D196" s="5759" t="s">
        <v>2432</v>
      </c>
      <c r="E196" s="5759" t="s">
        <v>2433</v>
      </c>
      <c r="F196" s="5759" t="s">
        <v>2262</v>
      </c>
      <c r="G196" s="5759" t="s">
        <v>28</v>
      </c>
      <c r="H196" s="5759" t="s">
        <v>28</v>
      </c>
      <c r="I196" s="5759" t="s">
        <v>915</v>
      </c>
    </row>
    <row customHeight="1" ht="11.25">
      <c r="A197" s="5759" t="s">
        <v>2253</v>
      </c>
      <c r="B197" s="5759" t="s">
        <v>16</v>
      </c>
      <c r="C197" s="5759" t="s">
        <v>2454</v>
      </c>
      <c r="D197" s="5759" t="s">
        <v>2455</v>
      </c>
      <c r="E197" s="5759" t="s">
        <v>2456</v>
      </c>
      <c r="F197" s="5759" t="s">
        <v>2447</v>
      </c>
      <c r="G197" s="5759" t="s">
        <v>28</v>
      </c>
      <c r="H197" s="5759" t="s">
        <v>28</v>
      </c>
      <c r="I197" s="5759" t="s">
        <v>915</v>
      </c>
    </row>
    <row customHeight="1" ht="11.25">
      <c r="A198" s="5759" t="s">
        <v>2253</v>
      </c>
      <c r="B198" s="5759" t="s">
        <v>16</v>
      </c>
      <c r="C198" s="5759" t="s">
        <v>2462</v>
      </c>
      <c r="D198" s="5759" t="s">
        <v>2463</v>
      </c>
      <c r="E198" s="5759" t="s">
        <v>2464</v>
      </c>
      <c r="F198" s="5759" t="s">
        <v>2465</v>
      </c>
      <c r="G198" s="5759" t="s">
        <v>2466</v>
      </c>
      <c r="H198" s="5759" t="s">
        <v>28</v>
      </c>
      <c r="I198" s="5759" t="s">
        <v>915</v>
      </c>
    </row>
    <row customHeight="1" ht="11.25">
      <c r="A199" s="5759" t="s">
        <v>2253</v>
      </c>
      <c r="B199" s="5759" t="s">
        <v>16</v>
      </c>
      <c r="C199" s="5759" t="s">
        <v>2467</v>
      </c>
      <c r="D199" s="5759" t="s">
        <v>2468</v>
      </c>
      <c r="E199" s="5759" t="s">
        <v>2469</v>
      </c>
      <c r="F199" s="5759" t="s">
        <v>2470</v>
      </c>
      <c r="G199" s="5759" t="s">
        <v>28</v>
      </c>
      <c r="H199" s="5759" t="s">
        <v>28</v>
      </c>
      <c r="I199" s="5759" t="s">
        <v>915</v>
      </c>
    </row>
    <row customHeight="1" ht="11.25">
      <c r="A200" s="5759" t="s">
        <v>2253</v>
      </c>
      <c r="B200" s="5759" t="s">
        <v>16</v>
      </c>
      <c r="C200" s="5759" t="s">
        <v>2477</v>
      </c>
      <c r="D200" s="5759" t="s">
        <v>2478</v>
      </c>
      <c r="E200" s="5759" t="s">
        <v>2479</v>
      </c>
      <c r="F200" s="5759" t="s">
        <v>2470</v>
      </c>
      <c r="G200" s="5759" t="s">
        <v>28</v>
      </c>
      <c r="H200" s="5759" t="s">
        <v>28</v>
      </c>
      <c r="I200" s="5759" t="s">
        <v>915</v>
      </c>
    </row>
    <row customHeight="1" ht="11.25">
      <c r="A201" s="5759" t="s">
        <v>2253</v>
      </c>
      <c r="B201" s="5759" t="s">
        <v>16</v>
      </c>
      <c r="C201" s="5759" t="s">
        <v>2490</v>
      </c>
      <c r="D201" s="5759" t="s">
        <v>2491</v>
      </c>
      <c r="E201" s="5759" t="s">
        <v>2349</v>
      </c>
      <c r="F201" s="5759" t="s">
        <v>2492</v>
      </c>
      <c r="G201" s="5759" t="s">
        <v>28</v>
      </c>
      <c r="H201" s="5759" t="s">
        <v>28</v>
      </c>
      <c r="I201" s="5759" t="s">
        <v>915</v>
      </c>
    </row>
    <row customHeight="1" ht="11.25">
      <c r="A202" s="5759" t="s">
        <v>2253</v>
      </c>
      <c r="B202" s="5759" t="s">
        <v>16</v>
      </c>
      <c r="C202" s="5759" t="s">
        <v>2493</v>
      </c>
      <c r="D202" s="5759" t="s">
        <v>2494</v>
      </c>
      <c r="E202" s="5759" t="s">
        <v>2349</v>
      </c>
      <c r="F202" s="5759" t="s">
        <v>2495</v>
      </c>
      <c r="G202" s="5759" t="s">
        <v>28</v>
      </c>
      <c r="H202" s="5759" t="s">
        <v>28</v>
      </c>
      <c r="I202" s="5759" t="s">
        <v>915</v>
      </c>
    </row>
    <row customHeight="1" ht="11.25">
      <c r="A203" s="5759" t="s">
        <v>2253</v>
      </c>
      <c r="B203" s="5759" t="s">
        <v>16</v>
      </c>
      <c r="C203" s="5759" t="s">
        <v>2496</v>
      </c>
      <c r="D203" s="5759" t="s">
        <v>2497</v>
      </c>
      <c r="E203" s="5759" t="s">
        <v>2333</v>
      </c>
      <c r="F203" s="5759" t="s">
        <v>2400</v>
      </c>
      <c r="G203" s="5759" t="s">
        <v>28</v>
      </c>
      <c r="H203" s="5759" t="s">
        <v>28</v>
      </c>
      <c r="I203" s="5759" t="s">
        <v>915</v>
      </c>
    </row>
    <row customHeight="1" ht="11.25">
      <c r="A204" s="5759" t="s">
        <v>2253</v>
      </c>
      <c r="B204" s="5759" t="s">
        <v>16</v>
      </c>
      <c r="C204" s="5759" t="s">
        <v>2498</v>
      </c>
      <c r="D204" s="5759" t="s">
        <v>2499</v>
      </c>
      <c r="E204" s="5759" t="s">
        <v>2500</v>
      </c>
      <c r="F204" s="5759" t="s">
        <v>2501</v>
      </c>
      <c r="G204" s="5759" t="s">
        <v>28</v>
      </c>
      <c r="H204" s="5759" t="s">
        <v>28</v>
      </c>
      <c r="I204" s="5759" t="s">
        <v>915</v>
      </c>
    </row>
    <row customHeight="1" ht="11.25">
      <c r="A205" s="5759" t="s">
        <v>2253</v>
      </c>
      <c r="B205" s="5759" t="s">
        <v>16</v>
      </c>
      <c r="C205" s="5759" t="s">
        <v>2502</v>
      </c>
      <c r="D205" s="5759" t="s">
        <v>2503</v>
      </c>
      <c r="E205" s="5759" t="s">
        <v>2504</v>
      </c>
      <c r="F205" s="5759" t="s">
        <v>2505</v>
      </c>
      <c r="G205" s="5759" t="s">
        <v>28</v>
      </c>
      <c r="H205" s="5759" t="s">
        <v>28</v>
      </c>
      <c r="I205" s="5759" t="s">
        <v>915</v>
      </c>
    </row>
    <row customHeight="1" ht="11.25">
      <c r="A206" s="5759" t="s">
        <v>2253</v>
      </c>
      <c r="B206" s="5759" t="s">
        <v>16</v>
      </c>
      <c r="C206" s="5759" t="s">
        <v>2506</v>
      </c>
      <c r="D206" s="5759" t="s">
        <v>2507</v>
      </c>
      <c r="E206" s="5759" t="s">
        <v>2362</v>
      </c>
      <c r="F206" s="5759" t="s">
        <v>2489</v>
      </c>
      <c r="G206" s="5759" t="s">
        <v>2476</v>
      </c>
      <c r="H206" s="5759" t="s">
        <v>28</v>
      </c>
      <c r="I206" s="5759" t="s">
        <v>915</v>
      </c>
    </row>
    <row customHeight="1" ht="11.25">
      <c r="A207" s="5759" t="s">
        <v>2253</v>
      </c>
      <c r="B207" s="5759" t="s">
        <v>16</v>
      </c>
      <c r="C207" s="5759" t="s">
        <v>13</v>
      </c>
      <c r="D207" s="5759" t="s">
        <v>51</v>
      </c>
      <c r="E207" s="5759" t="s">
        <v>54</v>
      </c>
      <c r="F207" s="5759" t="s">
        <v>56</v>
      </c>
      <c r="G207" s="5759" t="s">
        <v>2508</v>
      </c>
      <c r="H207" s="5759" t="s">
        <v>28</v>
      </c>
      <c r="I207" s="5759" t="s">
        <v>915</v>
      </c>
    </row>
    <row customHeight="1" ht="11.25">
      <c r="A208" s="5759" t="s">
        <v>2253</v>
      </c>
      <c r="B208" s="5759" t="s">
        <v>16</v>
      </c>
      <c r="C208" s="5759" t="s">
        <v>2515</v>
      </c>
      <c r="D208" s="5759" t="s">
        <v>2516</v>
      </c>
      <c r="E208" s="5759" t="s">
        <v>2349</v>
      </c>
      <c r="F208" s="5759" t="s">
        <v>2517</v>
      </c>
      <c r="G208" s="5759" t="s">
        <v>28</v>
      </c>
      <c r="H208" s="5759" t="s">
        <v>28</v>
      </c>
      <c r="I208" s="5759" t="s">
        <v>915</v>
      </c>
    </row>
    <row customHeight="1" ht="11.25">
      <c r="A209" s="5759" t="s">
        <v>2253</v>
      </c>
      <c r="B209" s="5759" t="s">
        <v>16</v>
      </c>
      <c r="C209" s="5759" t="s">
        <v>2518</v>
      </c>
      <c r="D209" s="5759" t="s">
        <v>2519</v>
      </c>
      <c r="E209" s="5759" t="s">
        <v>2504</v>
      </c>
      <c r="F209" s="5759" t="s">
        <v>2520</v>
      </c>
      <c r="G209" s="5759" t="s">
        <v>28</v>
      </c>
      <c r="H209" s="5759" t="s">
        <v>28</v>
      </c>
      <c r="I209" s="5759" t="s">
        <v>915</v>
      </c>
    </row>
    <row customHeight="1" ht="11.25">
      <c r="A210" s="5759" t="s">
        <v>2253</v>
      </c>
      <c r="B210" s="5759" t="s">
        <v>16</v>
      </c>
      <c r="C210" s="5759" t="s">
        <v>2550</v>
      </c>
      <c r="D210" s="5759" t="s">
        <v>2551</v>
      </c>
      <c r="E210" s="5759" t="s">
        <v>2552</v>
      </c>
      <c r="F210" s="5759" t="s">
        <v>2271</v>
      </c>
      <c r="G210" s="5759" t="s">
        <v>28</v>
      </c>
      <c r="H210" s="5759" t="s">
        <v>28</v>
      </c>
      <c r="I210" s="5759" t="s">
        <v>1624</v>
      </c>
    </row>
    <row customHeight="1" ht="11.25">
      <c r="A211" s="5759" t="s">
        <v>2253</v>
      </c>
      <c r="B211" s="5759" t="s">
        <v>16</v>
      </c>
      <c r="C211" s="5759" t="s">
        <v>2553</v>
      </c>
      <c r="D211" s="5759" t="s">
        <v>2554</v>
      </c>
      <c r="E211" s="5759" t="s">
        <v>2555</v>
      </c>
      <c r="F211" s="5759" t="s">
        <v>2275</v>
      </c>
      <c r="G211" s="5759" t="s">
        <v>2556</v>
      </c>
      <c r="H211" s="5759" t="s">
        <v>28</v>
      </c>
      <c r="I211" s="5759" t="s">
        <v>1624</v>
      </c>
    </row>
    <row customHeight="1" ht="11.25">
      <c r="A212" s="5759" t="s">
        <v>2253</v>
      </c>
      <c r="B212" s="5759" t="s">
        <v>16</v>
      </c>
      <c r="C212" s="5759" t="s">
        <v>2557</v>
      </c>
      <c r="D212" s="5759" t="s">
        <v>2558</v>
      </c>
      <c r="E212" s="5759" t="s">
        <v>2559</v>
      </c>
      <c r="F212" s="5759" t="s">
        <v>2286</v>
      </c>
      <c r="G212" s="5759" t="s">
        <v>28</v>
      </c>
      <c r="H212" s="5759" t="s">
        <v>28</v>
      </c>
      <c r="I212" s="5759" t="s">
        <v>1624</v>
      </c>
    </row>
    <row customHeight="1" ht="11.25">
      <c r="A213" s="5759" t="s">
        <v>2253</v>
      </c>
      <c r="B213" s="5759" t="s">
        <v>16</v>
      </c>
      <c r="C213" s="5759" t="s">
        <v>28</v>
      </c>
      <c r="D213" s="5759" t="s">
        <v>2341</v>
      </c>
      <c r="E213" s="5759" t="s">
        <v>2342</v>
      </c>
      <c r="F213" s="5759" t="s">
        <v>2286</v>
      </c>
      <c r="G213" s="5759" t="s">
        <v>28</v>
      </c>
      <c r="H213" s="5759" t="s">
        <v>28</v>
      </c>
      <c r="I213" s="5759" t="s">
        <v>1624</v>
      </c>
    </row>
    <row customHeight="1" ht="11.25">
      <c r="A214" s="5759" t="s">
        <v>2253</v>
      </c>
      <c r="B214" s="5759" t="s">
        <v>16</v>
      </c>
      <c r="C214" s="5759" t="s">
        <v>2560</v>
      </c>
      <c r="D214" s="5759" t="s">
        <v>2561</v>
      </c>
      <c r="E214" s="5759" t="s">
        <v>2562</v>
      </c>
      <c r="F214" s="5759" t="s">
        <v>2447</v>
      </c>
      <c r="G214" s="5759" t="s">
        <v>2563</v>
      </c>
      <c r="H214" s="5759" t="s">
        <v>28</v>
      </c>
      <c r="I214" s="5759" t="s">
        <v>1624</v>
      </c>
    </row>
    <row customHeight="1" ht="11.25">
      <c r="A215" s="5759" t="s">
        <v>2253</v>
      </c>
      <c r="B215" s="5759" t="s">
        <v>16</v>
      </c>
      <c r="C215" s="5759" t="s">
        <v>2564</v>
      </c>
      <c r="D215" s="5759" t="s">
        <v>2565</v>
      </c>
      <c r="E215" s="5759" t="s">
        <v>2566</v>
      </c>
      <c r="F215" s="5759" t="s">
        <v>2447</v>
      </c>
      <c r="G215" s="5759" t="s">
        <v>2567</v>
      </c>
      <c r="H215" s="5759" t="s">
        <v>28</v>
      </c>
      <c r="I215" s="5759" t="s">
        <v>1624</v>
      </c>
    </row>
    <row customHeight="1" ht="11.25">
      <c r="A216" s="5759" t="s">
        <v>2253</v>
      </c>
      <c r="B216" s="5759" t="s">
        <v>16</v>
      </c>
      <c r="C216" s="5759" t="s">
        <v>2355</v>
      </c>
      <c r="D216" s="5759" t="s">
        <v>2356</v>
      </c>
      <c r="E216" s="5759" t="s">
        <v>2357</v>
      </c>
      <c r="F216" s="5759" t="s">
        <v>2358</v>
      </c>
      <c r="G216" s="5759" t="s">
        <v>2359</v>
      </c>
      <c r="H216" s="5759" t="s">
        <v>28</v>
      </c>
      <c r="I216" s="5759" t="s">
        <v>1624</v>
      </c>
    </row>
    <row customHeight="1" ht="11.25">
      <c r="A217" s="5759" t="s">
        <v>2253</v>
      </c>
      <c r="B217" s="5759" t="s">
        <v>16</v>
      </c>
      <c r="C217" s="5759" t="s">
        <v>2568</v>
      </c>
      <c r="D217" s="5759" t="s">
        <v>2569</v>
      </c>
      <c r="E217" s="5759" t="s">
        <v>2570</v>
      </c>
      <c r="F217" s="5759" t="s">
        <v>2262</v>
      </c>
      <c r="G217" s="5759" t="s">
        <v>2416</v>
      </c>
      <c r="H217" s="5759" t="s">
        <v>28</v>
      </c>
      <c r="I217" s="5759" t="s">
        <v>1624</v>
      </c>
    </row>
    <row customHeight="1" ht="11.25">
      <c r="A218" s="5759" t="s">
        <v>2253</v>
      </c>
      <c r="B218" s="5759" t="s">
        <v>16</v>
      </c>
      <c r="C218" s="5759" t="s">
        <v>2534</v>
      </c>
      <c r="D218" s="5759" t="s">
        <v>2535</v>
      </c>
      <c r="E218" s="5759" t="s">
        <v>2536</v>
      </c>
      <c r="F218" s="5759" t="s">
        <v>2275</v>
      </c>
      <c r="G218" s="5759" t="s">
        <v>28</v>
      </c>
      <c r="H218" s="5759" t="s">
        <v>28</v>
      </c>
      <c r="I218" s="5759" t="s">
        <v>1624</v>
      </c>
    </row>
    <row customHeight="1" ht="11.25">
      <c r="A219" s="5759" t="s">
        <v>2253</v>
      </c>
      <c r="B219" s="5759" t="s">
        <v>16</v>
      </c>
      <c r="C219" s="5759" t="s">
        <v>2379</v>
      </c>
      <c r="D219" s="5759" t="s">
        <v>2380</v>
      </c>
      <c r="E219" s="5759" t="s">
        <v>2381</v>
      </c>
      <c r="F219" s="5759" t="s">
        <v>2382</v>
      </c>
      <c r="G219" s="5759" t="s">
        <v>2383</v>
      </c>
      <c r="H219" s="5759" t="s">
        <v>28</v>
      </c>
      <c r="I219" s="5759" t="s">
        <v>1624</v>
      </c>
    </row>
    <row customHeight="1" ht="11.25">
      <c r="A220" s="5759" t="s">
        <v>2253</v>
      </c>
      <c r="B220" s="5759" t="s">
        <v>16</v>
      </c>
      <c r="C220" s="5759" t="s">
        <v>2387</v>
      </c>
      <c r="D220" s="5759" t="s">
        <v>2388</v>
      </c>
      <c r="E220" s="5759" t="s">
        <v>2389</v>
      </c>
      <c r="F220" s="5759" t="s">
        <v>2275</v>
      </c>
      <c r="G220" s="5759" t="s">
        <v>28</v>
      </c>
      <c r="H220" s="5759" t="s">
        <v>28</v>
      </c>
      <c r="I220" s="5759" t="s">
        <v>1624</v>
      </c>
    </row>
    <row customHeight="1" ht="11.25">
      <c r="A221" s="5759" t="s">
        <v>2253</v>
      </c>
      <c r="B221" s="5759" t="s">
        <v>16</v>
      </c>
      <c r="C221" s="5759" t="s">
        <v>2571</v>
      </c>
      <c r="D221" s="5759" t="s">
        <v>2572</v>
      </c>
      <c r="E221" s="5759" t="s">
        <v>2573</v>
      </c>
      <c r="F221" s="5759" t="s">
        <v>2275</v>
      </c>
      <c r="G221" s="5759" t="s">
        <v>28</v>
      </c>
      <c r="H221" s="5759" t="s">
        <v>28</v>
      </c>
      <c r="I221" s="5759" t="s">
        <v>1624</v>
      </c>
    </row>
    <row customHeight="1" ht="11.25">
      <c r="A222" s="5759" t="s">
        <v>2253</v>
      </c>
      <c r="B222" s="5759" t="s">
        <v>16</v>
      </c>
      <c r="C222" s="5759" t="s">
        <v>2574</v>
      </c>
      <c r="D222" s="5759" t="s">
        <v>2575</v>
      </c>
      <c r="E222" s="5759" t="s">
        <v>2576</v>
      </c>
      <c r="F222" s="5759" t="s">
        <v>2577</v>
      </c>
      <c r="G222" s="5759" t="s">
        <v>2578</v>
      </c>
      <c r="H222" s="5759" t="s">
        <v>28</v>
      </c>
      <c r="I222" s="5759" t="s">
        <v>1624</v>
      </c>
    </row>
    <row customHeight="1" ht="11.25">
      <c r="A223" s="5759" t="s">
        <v>2253</v>
      </c>
      <c r="B223" s="5759" t="s">
        <v>16</v>
      </c>
      <c r="C223" s="5759" t="s">
        <v>2579</v>
      </c>
      <c r="D223" s="5759" t="s">
        <v>2580</v>
      </c>
      <c r="E223" s="5759" t="s">
        <v>2581</v>
      </c>
      <c r="F223" s="5759" t="s">
        <v>2286</v>
      </c>
      <c r="G223" s="5759" t="s">
        <v>2582</v>
      </c>
      <c r="H223" s="5759" t="s">
        <v>28</v>
      </c>
      <c r="I223" s="5759" t="s">
        <v>1624</v>
      </c>
    </row>
    <row customHeight="1" ht="11.25">
      <c r="A224" s="5759" t="s">
        <v>2253</v>
      </c>
      <c r="B224" s="5759" t="s">
        <v>16</v>
      </c>
      <c r="C224" s="5759" t="s">
        <v>2583</v>
      </c>
      <c r="D224" s="5759" t="s">
        <v>2584</v>
      </c>
      <c r="E224" s="5759" t="s">
        <v>2585</v>
      </c>
      <c r="F224" s="5759" t="s">
        <v>2577</v>
      </c>
      <c r="G224" s="5759" t="s">
        <v>28</v>
      </c>
      <c r="H224" s="5759" t="s">
        <v>28</v>
      </c>
      <c r="I224" s="5759" t="s">
        <v>1624</v>
      </c>
    </row>
    <row customHeight="1" ht="11.25">
      <c r="A225" s="5759" t="s">
        <v>2253</v>
      </c>
      <c r="B225" s="5759" t="s">
        <v>16</v>
      </c>
      <c r="C225" s="5759" t="s">
        <v>2586</v>
      </c>
      <c r="D225" s="5759" t="s">
        <v>2587</v>
      </c>
      <c r="E225" s="5759" t="s">
        <v>2504</v>
      </c>
      <c r="F225" s="5759" t="s">
        <v>2271</v>
      </c>
      <c r="G225" s="5759" t="s">
        <v>2588</v>
      </c>
      <c r="H225" s="5759" t="s">
        <v>28</v>
      </c>
      <c r="I225" s="5759"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8B36C-B8E7-D3A8-53DB-ADB8835BE66A}" mc:Ignorable="x14ac xr xr2 xr3">
  <sheetPr>
    <tabColor rgb="FFFFCC99"/>
  </sheetPr>
  <dimension ref="A1:G14"/>
  <sheetViews>
    <sheetView topLeftCell="A1" showGridLines="0" workbookViewId="0">
      <selection activeCell="A1" sqref="A1"/>
    </sheetView>
  </sheetViews>
  <sheetFormatPr customHeight="1" defaultRowHeight="11.25"/>
  <cols>
    <col min="1" max="1" style="5774" width="9.140625"/>
  </cols>
  <sheetData>
    <row customHeight="1" ht="11.25">
      <c r="A1" s="439" t="s">
        <v>2589</v>
      </c>
      <c r="B1" s="128" t="s">
        <v>2590</v>
      </c>
      <c r="C1" s="128" t="s">
        <v>2591</v>
      </c>
      <c r="D1" s="128" t="s">
        <v>2592</v>
      </c>
      <c r="E1" s="66" t="s">
        <v>2593</v>
      </c>
      <c r="F1" s="66" t="s">
        <v>2594</v>
      </c>
      <c r="G1" s="66" t="s">
        <v>2595</v>
      </c>
    </row>
    <row customHeight="1" ht="11.25">
      <c r="A2" s="439" t="s">
        <v>16</v>
      </c>
      <c r="B2" s="0" t="s">
        <v>2596</v>
      </c>
      <c r="C2" s="0" t="s">
        <v>2597</v>
      </c>
      <c r="D2" s="0" t="s">
        <v>2596</v>
      </c>
      <c r="E2" s="0" t="s">
        <v>2597</v>
      </c>
      <c r="F2" s="0" t="s">
        <v>2598</v>
      </c>
      <c r="G2" s="0" t="s">
        <v>114</v>
      </c>
    </row>
    <row customHeight="1" ht="11.25">
      <c r="A3" s="439" t="s">
        <v>16</v>
      </c>
      <c r="B3" s="0" t="s">
        <v>2599</v>
      </c>
      <c r="C3" s="0" t="s">
        <v>2600</v>
      </c>
      <c r="D3" s="0" t="s">
        <v>2599</v>
      </c>
      <c r="E3" s="0" t="s">
        <v>2600</v>
      </c>
      <c r="F3" s="0" t="s">
        <v>2598</v>
      </c>
      <c r="G3" s="0" t="s">
        <v>115</v>
      </c>
    </row>
    <row customHeight="1" ht="11.25">
      <c r="A4" s="439" t="s">
        <v>16</v>
      </c>
      <c r="B4" s="0" t="s">
        <v>2601</v>
      </c>
      <c r="C4" s="0" t="s">
        <v>2602</v>
      </c>
      <c r="D4" s="0" t="s">
        <v>2601</v>
      </c>
      <c r="E4" s="0" t="s">
        <v>2602</v>
      </c>
      <c r="F4" s="0" t="s">
        <v>2598</v>
      </c>
      <c r="G4" s="0" t="s">
        <v>95</v>
      </c>
    </row>
    <row customHeight="1" ht="11.25">
      <c r="A5" s="439" t="s">
        <v>16</v>
      </c>
      <c r="B5" s="0" t="s">
        <v>2603</v>
      </c>
      <c r="C5" s="0" t="s">
        <v>2604</v>
      </c>
      <c r="D5" s="0" t="s">
        <v>2603</v>
      </c>
      <c r="E5" s="0" t="s">
        <v>2604</v>
      </c>
      <c r="F5" s="0" t="s">
        <v>2598</v>
      </c>
      <c r="G5" s="0" t="s">
        <v>96</v>
      </c>
    </row>
    <row customHeight="1" ht="11.25">
      <c r="A6" s="439" t="s">
        <v>16</v>
      </c>
      <c r="B6" s="0" t="s">
        <v>2605</v>
      </c>
      <c r="C6" s="0" t="s">
        <v>2606</v>
      </c>
      <c r="D6" s="0" t="s">
        <v>2605</v>
      </c>
      <c r="E6" s="0" t="s">
        <v>2606</v>
      </c>
      <c r="F6" s="0" t="s">
        <v>2598</v>
      </c>
      <c r="G6" s="0" t="s">
        <v>116</v>
      </c>
    </row>
    <row customHeight="1" ht="11.25">
      <c r="A7" s="439" t="s">
        <v>16</v>
      </c>
      <c r="B7" s="0" t="s">
        <v>2607</v>
      </c>
      <c r="C7" s="0" t="s">
        <v>2608</v>
      </c>
      <c r="D7" s="0" t="s">
        <v>2607</v>
      </c>
      <c r="E7" s="0" t="s">
        <v>2608</v>
      </c>
      <c r="F7" s="0" t="s">
        <v>2598</v>
      </c>
      <c r="G7" s="0" t="s">
        <v>97</v>
      </c>
    </row>
    <row customHeight="1" ht="11.25">
      <c r="A8" s="439" t="s">
        <v>16</v>
      </c>
      <c r="B8" s="0" t="s">
        <v>2609</v>
      </c>
      <c r="C8" s="0" t="s">
        <v>2610</v>
      </c>
      <c r="D8" s="0" t="s">
        <v>2609</v>
      </c>
      <c r="E8" s="0" t="s">
        <v>2610</v>
      </c>
      <c r="F8" s="0" t="s">
        <v>2598</v>
      </c>
      <c r="G8" s="0" t="s">
        <v>98</v>
      </c>
    </row>
    <row customHeight="1" ht="11.25">
      <c r="A9" s="439" t="s">
        <v>16</v>
      </c>
      <c r="B9" s="0" t="s">
        <v>2611</v>
      </c>
      <c r="C9" s="0" t="s">
        <v>2612</v>
      </c>
      <c r="D9" s="0" t="s">
        <v>2611</v>
      </c>
      <c r="E9" s="0" t="s">
        <v>2612</v>
      </c>
      <c r="F9" s="0" t="s">
        <v>2613</v>
      </c>
      <c r="G9" s="0" t="s">
        <v>117</v>
      </c>
    </row>
    <row customHeight="1" ht="11.25">
      <c r="A10" s="439" t="s">
        <v>16</v>
      </c>
      <c r="B10" s="0" t="s">
        <v>2614</v>
      </c>
      <c r="C10" s="0" t="s">
        <v>2615</v>
      </c>
      <c r="D10" s="0" t="s">
        <v>2614</v>
      </c>
      <c r="E10" s="0" t="s">
        <v>2615</v>
      </c>
      <c r="F10" s="0" t="s">
        <v>2613</v>
      </c>
      <c r="G10" s="0" t="s">
        <v>153</v>
      </c>
    </row>
    <row customHeight="1" ht="11.25">
      <c r="A11" s="439" t="s">
        <v>16</v>
      </c>
      <c r="B11" s="0" t="s">
        <v>2616</v>
      </c>
      <c r="C11" s="0" t="s">
        <v>2617</v>
      </c>
      <c r="D11" s="0" t="s">
        <v>2616</v>
      </c>
      <c r="E11" s="0" t="s">
        <v>2617</v>
      </c>
      <c r="F11" s="0" t="s">
        <v>2613</v>
      </c>
      <c r="G11" s="0" t="s">
        <v>154</v>
      </c>
    </row>
    <row customHeight="1" ht="11.25">
      <c r="A12" s="439" t="s">
        <v>16</v>
      </c>
      <c r="B12" s="0" t="s">
        <v>105</v>
      </c>
      <c r="C12" s="0" t="s">
        <v>106</v>
      </c>
      <c r="D12" s="0" t="s">
        <v>105</v>
      </c>
      <c r="E12" s="0" t="s">
        <v>106</v>
      </c>
      <c r="F12" s="0" t="s">
        <v>2613</v>
      </c>
      <c r="G12" s="0" t="s">
        <v>104</v>
      </c>
    </row>
    <row customHeight="1" ht="11.25">
      <c r="A13" s="439" t="s">
        <v>16</v>
      </c>
      <c r="B13" s="0" t="s">
        <v>2618</v>
      </c>
      <c r="C13" s="0" t="s">
        <v>2619</v>
      </c>
      <c r="D13" s="0" t="s">
        <v>2618</v>
      </c>
      <c r="E13" s="0" t="s">
        <v>2619</v>
      </c>
      <c r="F13" s="0" t="s">
        <v>2613</v>
      </c>
      <c r="G13" s="0" t="s">
        <v>155</v>
      </c>
    </row>
    <row customHeight="1" ht="11.25">
      <c r="A14" s="439" t="s">
        <v>16</v>
      </c>
      <c r="B14" s="0" t="s">
        <v>2620</v>
      </c>
      <c r="C14" s="0" t="s">
        <v>2621</v>
      </c>
      <c r="D14" s="0" t="s">
        <v>2620</v>
      </c>
      <c r="E14" s="0" t="s">
        <v>2621</v>
      </c>
      <c r="F14" s="0" t="s">
        <v>2613</v>
      </c>
      <c r="G14" s="0" t="s">
        <v>156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9E9B7-500C-FF67-D97B-2E2DCC001909}"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770" width="13.8515625" customWidth="1"/>
    <col min="2" max="2" style="5770" width="10.421875" customWidth="1"/>
    <col min="3" max="3" style="5770" width="7.57421875" customWidth="1"/>
    <col min="4" max="4" style="5770" width="13.8515625" customWidth="1"/>
    <col min="5" max="5" style="5770" width="11.57421875" customWidth="1"/>
    <col min="6" max="6" style="5770" width="16.28125" customWidth="1"/>
    <col min="7" max="7" style="5770" width="16.00390625" customWidth="1"/>
    <col min="8" max="9" style="5770" width="16.140625" customWidth="1"/>
  </cols>
  <sheetData>
    <row customHeight="1" ht="11.25">
      <c r="A1" s="901" t="s">
        <v>2622</v>
      </c>
      <c r="B1" s="901" t="s">
        <v>2623</v>
      </c>
      <c r="C1" s="1225" t="s">
        <v>2624</v>
      </c>
      <c r="D1" s="901" t="s">
        <v>2625</v>
      </c>
      <c r="E1" s="901" t="s">
        <v>2626</v>
      </c>
      <c r="F1" s="1225" t="s">
        <v>2627</v>
      </c>
      <c r="G1" s="1225" t="s">
        <v>2628</v>
      </c>
      <c r="H1" s="1225" t="s">
        <v>2629</v>
      </c>
      <c r="I1" s="1225" t="s">
        <v>2630</v>
      </c>
    </row>
    <row customHeight="1" ht="11.25">
      <c r="A2" s="5761" t="s">
        <v>114</v>
      </c>
      <c r="B2" s="5761" t="s">
        <v>2631</v>
      </c>
      <c r="C2" s="5761" t="s">
        <v>28</v>
      </c>
      <c r="D2" s="5761" t="s">
        <v>2632</v>
      </c>
      <c r="E2" s="5761" t="s">
        <v>2633</v>
      </c>
      <c r="F2" s="5761" t="s">
        <v>28</v>
      </c>
      <c r="G2" s="5761" t="s">
        <v>28</v>
      </c>
      <c r="H2" s="5761" t="s">
        <v>28</v>
      </c>
      <c r="I2" s="5761" t="s">
        <v>28</v>
      </c>
    </row>
    <row customHeight="1" ht="11.25">
      <c r="A3" s="5761" t="s">
        <v>115</v>
      </c>
      <c r="B3" s="5761" t="s">
        <v>2634</v>
      </c>
      <c r="C3" s="5761" t="s">
        <v>28</v>
      </c>
      <c r="D3" s="5761" t="s">
        <v>2635</v>
      </c>
      <c r="E3" s="5761" t="s">
        <v>2636</v>
      </c>
      <c r="F3" s="5761" t="s">
        <v>28</v>
      </c>
      <c r="G3" s="5761" t="s">
        <v>28</v>
      </c>
      <c r="H3" s="5761" t="s">
        <v>28</v>
      </c>
      <c r="I3" s="5761" t="s">
        <v>28</v>
      </c>
    </row>
    <row customHeight="1" ht="11.25">
      <c r="A4" s="5761" t="s">
        <v>95</v>
      </c>
      <c r="B4" s="5761" t="s">
        <v>2637</v>
      </c>
      <c r="C4" s="5761" t="s">
        <v>28</v>
      </c>
      <c r="D4" s="5761" t="s">
        <v>2638</v>
      </c>
      <c r="E4" s="5761" t="s">
        <v>2639</v>
      </c>
      <c r="F4" s="5761" t="s">
        <v>28</v>
      </c>
      <c r="G4" s="5761" t="s">
        <v>28</v>
      </c>
      <c r="H4" s="5761" t="s">
        <v>28</v>
      </c>
      <c r="I4" s="5761" t="s">
        <v>28</v>
      </c>
    </row>
    <row customHeight="1" ht="11.25">
      <c r="A5" s="5761" t="s">
        <v>96</v>
      </c>
      <c r="B5" s="5761" t="s">
        <v>2640</v>
      </c>
      <c r="C5" s="5761" t="s">
        <v>28</v>
      </c>
      <c r="D5" s="5761" t="s">
        <v>2635</v>
      </c>
      <c r="E5" s="5761" t="s">
        <v>2633</v>
      </c>
      <c r="F5" s="5761" t="s">
        <v>28</v>
      </c>
      <c r="G5" s="5761" t="s">
        <v>28</v>
      </c>
      <c r="H5" s="5761" t="s">
        <v>28</v>
      </c>
      <c r="I5" s="5761" t="s">
        <v>28</v>
      </c>
    </row>
    <row customHeight="1" ht="11.25">
      <c r="A6" s="5761" t="s">
        <v>116</v>
      </c>
      <c r="B6" s="5761" t="s">
        <v>2641</v>
      </c>
      <c r="C6" s="5761" t="s">
        <v>28</v>
      </c>
      <c r="D6" s="5761" t="s">
        <v>2642</v>
      </c>
      <c r="E6" s="5761" t="s">
        <v>2643</v>
      </c>
      <c r="F6" s="5761" t="s">
        <v>28</v>
      </c>
      <c r="G6" s="5761" t="s">
        <v>28</v>
      </c>
      <c r="H6" s="5761" t="s">
        <v>28</v>
      </c>
      <c r="I6" s="5761" t="s">
        <v>28</v>
      </c>
    </row>
    <row customHeight="1" ht="11.25">
      <c r="A7" s="5761" t="s">
        <v>97</v>
      </c>
      <c r="B7" s="5761" t="s">
        <v>2644</v>
      </c>
      <c r="C7" s="5761" t="s">
        <v>28</v>
      </c>
      <c r="D7" s="5761" t="s">
        <v>2632</v>
      </c>
      <c r="E7" s="5761" t="s">
        <v>2633</v>
      </c>
      <c r="F7" s="5761" t="s">
        <v>28</v>
      </c>
      <c r="G7" s="5761" t="s">
        <v>28</v>
      </c>
      <c r="H7" s="5761" t="s">
        <v>28</v>
      </c>
      <c r="I7" s="5761" t="s">
        <v>28</v>
      </c>
    </row>
    <row customHeight="1" ht="11.25">
      <c r="A8" s="5761" t="s">
        <v>98</v>
      </c>
      <c r="B8" s="5761" t="s">
        <v>2645</v>
      </c>
      <c r="C8" s="5761" t="s">
        <v>28</v>
      </c>
      <c r="D8" s="5761" t="s">
        <v>2646</v>
      </c>
      <c r="E8" s="5761" t="s">
        <v>2636</v>
      </c>
      <c r="F8" s="5761" t="s">
        <v>28</v>
      </c>
      <c r="G8" s="5761" t="s">
        <v>28</v>
      </c>
      <c r="H8" s="5761" t="s">
        <v>28</v>
      </c>
      <c r="I8" s="5761" t="s">
        <v>28</v>
      </c>
    </row>
    <row customHeight="1" ht="11.25">
      <c r="A9" s="5761" t="s">
        <v>117</v>
      </c>
      <c r="B9" s="5761" t="s">
        <v>2647</v>
      </c>
      <c r="C9" s="5761" t="s">
        <v>28</v>
      </c>
      <c r="D9" s="5761" t="s">
        <v>2635</v>
      </c>
      <c r="E9" s="5761" t="s">
        <v>2636</v>
      </c>
      <c r="F9" s="5761" t="s">
        <v>28</v>
      </c>
      <c r="G9" s="5761" t="s">
        <v>28</v>
      </c>
      <c r="H9" s="5761" t="s">
        <v>28</v>
      </c>
      <c r="I9" s="5761" t="s">
        <v>28</v>
      </c>
    </row>
    <row customHeight="1" ht="11.25">
      <c r="A10" s="5761" t="s">
        <v>153</v>
      </c>
      <c r="B10" s="5761" t="s">
        <v>2648</v>
      </c>
      <c r="C10" s="5761" t="s">
        <v>28</v>
      </c>
      <c r="D10" s="5761" t="s">
        <v>2649</v>
      </c>
      <c r="E10" s="5761" t="s">
        <v>2650</v>
      </c>
      <c r="F10" s="5761" t="s">
        <v>28</v>
      </c>
      <c r="G10" s="5761" t="s">
        <v>28</v>
      </c>
      <c r="H10" s="5761" t="s">
        <v>28</v>
      </c>
      <c r="I10" s="5761" t="s">
        <v>28</v>
      </c>
    </row>
    <row customHeight="1" ht="11.25">
      <c r="A11" s="5761" t="s">
        <v>154</v>
      </c>
      <c r="B11" s="5761" t="s">
        <v>2651</v>
      </c>
      <c r="C11" s="5761" t="s">
        <v>28</v>
      </c>
      <c r="D11" s="5761" t="s">
        <v>2649</v>
      </c>
      <c r="E11" s="5761" t="s">
        <v>2650</v>
      </c>
      <c r="F11" s="5761" t="s">
        <v>28</v>
      </c>
      <c r="G11" s="5761" t="s">
        <v>28</v>
      </c>
      <c r="H11" s="5761" t="s">
        <v>28</v>
      </c>
      <c r="I11" s="5761" t="s">
        <v>28</v>
      </c>
    </row>
    <row customHeight="1" ht="11.25">
      <c r="A12" s="5761" t="s">
        <v>104</v>
      </c>
      <c r="B12" s="5761" t="s">
        <v>2652</v>
      </c>
      <c r="C12" s="5761" t="s">
        <v>28</v>
      </c>
      <c r="D12" s="5761" t="s">
        <v>2653</v>
      </c>
      <c r="E12" s="5761" t="s">
        <v>2654</v>
      </c>
      <c r="F12" s="5761" t="s">
        <v>28</v>
      </c>
      <c r="G12" s="5761" t="s">
        <v>28</v>
      </c>
      <c r="H12" s="5761" t="s">
        <v>28</v>
      </c>
      <c r="I12" s="5761" t="s">
        <v>28</v>
      </c>
    </row>
    <row customHeight="1" ht="11.25">
      <c r="A13" s="5761" t="s">
        <v>155</v>
      </c>
      <c r="B13" s="5761" t="s">
        <v>2655</v>
      </c>
      <c r="C13" s="5761" t="s">
        <v>28</v>
      </c>
      <c r="D13" s="5761" t="s">
        <v>2653</v>
      </c>
      <c r="E13" s="5761" t="s">
        <v>2654</v>
      </c>
      <c r="F13" s="5761" t="s">
        <v>28</v>
      </c>
      <c r="G13" s="5761" t="s">
        <v>28</v>
      </c>
      <c r="H13" s="5761" t="s">
        <v>28</v>
      </c>
      <c r="I13" s="5761" t="s">
        <v>28</v>
      </c>
    </row>
    <row customHeight="1" ht="11.25">
      <c r="A14" s="5761" t="s">
        <v>156</v>
      </c>
      <c r="B14" s="5761" t="s">
        <v>2656</v>
      </c>
      <c r="C14" s="5761" t="s">
        <v>28</v>
      </c>
      <c r="D14" s="5761" t="s">
        <v>2657</v>
      </c>
      <c r="E14" s="5761" t="s">
        <v>2636</v>
      </c>
      <c r="F14" s="5761" t="s">
        <v>28</v>
      </c>
      <c r="G14" s="5761" t="s">
        <v>28</v>
      </c>
      <c r="H14" s="5761" t="s">
        <v>28</v>
      </c>
      <c r="I14" s="5761" t="s">
        <v>28</v>
      </c>
    </row>
    <row customHeight="1" ht="11.25">
      <c r="A15" s="5761" t="s">
        <v>157</v>
      </c>
      <c r="B15" s="5761" t="s">
        <v>2658</v>
      </c>
      <c r="C15" s="5761" t="s">
        <v>28</v>
      </c>
      <c r="D15" s="5761" t="s">
        <v>2635</v>
      </c>
      <c r="E15" s="5761" t="s">
        <v>2659</v>
      </c>
      <c r="F15" s="5761" t="s">
        <v>28</v>
      </c>
      <c r="G15" s="5761" t="s">
        <v>28</v>
      </c>
      <c r="H15" s="5761" t="s">
        <v>28</v>
      </c>
      <c r="I15" s="5761" t="s">
        <v>28</v>
      </c>
    </row>
    <row customHeight="1" ht="11.25">
      <c r="A16" s="5761" t="s">
        <v>1467</v>
      </c>
      <c r="B16" s="5761" t="s">
        <v>2660</v>
      </c>
      <c r="C16" s="5761" t="s">
        <v>28</v>
      </c>
      <c r="D16" s="5761" t="s">
        <v>2635</v>
      </c>
      <c r="E16" s="5761" t="s">
        <v>2636</v>
      </c>
      <c r="F16" s="5761" t="s">
        <v>28</v>
      </c>
      <c r="G16" s="5761" t="s">
        <v>28</v>
      </c>
      <c r="H16" s="5761" t="s">
        <v>28</v>
      </c>
      <c r="I16" s="5761" t="s">
        <v>28</v>
      </c>
    </row>
    <row customHeight="1" ht="11.25">
      <c r="A17" s="5761" t="s">
        <v>1473</v>
      </c>
      <c r="B17" s="5761" t="s">
        <v>2661</v>
      </c>
      <c r="C17" s="5761" t="s">
        <v>28</v>
      </c>
      <c r="D17" s="5761" t="s">
        <v>2657</v>
      </c>
      <c r="E17" s="5761" t="s">
        <v>2636</v>
      </c>
      <c r="F17" s="5761" t="s">
        <v>28</v>
      </c>
      <c r="G17" s="5761" t="s">
        <v>28</v>
      </c>
      <c r="H17" s="5761" t="s">
        <v>28</v>
      </c>
      <c r="I17" s="5761" t="s">
        <v>28</v>
      </c>
    </row>
    <row customHeight="1" ht="11.25">
      <c r="A18" s="5761" t="s">
        <v>1485</v>
      </c>
      <c r="B18" s="5761" t="s">
        <v>2662</v>
      </c>
      <c r="C18" s="5761" t="s">
        <v>28</v>
      </c>
      <c r="D18" s="5761" t="s">
        <v>2663</v>
      </c>
      <c r="E18" s="5761" t="s">
        <v>2636</v>
      </c>
      <c r="F18" s="5761" t="s">
        <v>28</v>
      </c>
      <c r="G18" s="5761" t="s">
        <v>28</v>
      </c>
      <c r="H18" s="5761" t="s">
        <v>28</v>
      </c>
      <c r="I18" s="5761" t="s">
        <v>28</v>
      </c>
    </row>
    <row customHeight="1" ht="11.25">
      <c r="A19" s="5761" t="s">
        <v>1499</v>
      </c>
      <c r="B19" s="5761" t="s">
        <v>2664</v>
      </c>
      <c r="C19" s="5761" t="s">
        <v>28</v>
      </c>
      <c r="D19" s="5761" t="s">
        <v>2663</v>
      </c>
      <c r="E19" s="5761" t="s">
        <v>2665</v>
      </c>
      <c r="F19" s="5761" t="s">
        <v>28</v>
      </c>
      <c r="G19" s="5761" t="s">
        <v>28</v>
      </c>
      <c r="H19" s="5761" t="s">
        <v>28</v>
      </c>
      <c r="I19" s="5761" t="s">
        <v>28</v>
      </c>
    </row>
    <row customHeight="1" ht="11.25">
      <c r="A20" s="5761" t="s">
        <v>1511</v>
      </c>
      <c r="B20" s="5761" t="s">
        <v>2666</v>
      </c>
      <c r="C20" s="5761" t="s">
        <v>28</v>
      </c>
      <c r="D20" s="5761" t="s">
        <v>2663</v>
      </c>
      <c r="E20" s="5761" t="s">
        <v>2659</v>
      </c>
      <c r="F20" s="5761" t="s">
        <v>28</v>
      </c>
      <c r="G20" s="5761" t="s">
        <v>28</v>
      </c>
      <c r="H20" s="5761" t="s">
        <v>28</v>
      </c>
      <c r="I20" s="5761" t="s">
        <v>28</v>
      </c>
    </row>
    <row customHeight="1" ht="11.25">
      <c r="A21" s="5761" t="s">
        <v>1520</v>
      </c>
      <c r="B21" s="5761" t="s">
        <v>2667</v>
      </c>
      <c r="C21" s="5761" t="s">
        <v>28</v>
      </c>
      <c r="D21" s="5761" t="s">
        <v>2635</v>
      </c>
      <c r="E21" s="5761" t="s">
        <v>2636</v>
      </c>
      <c r="F21" s="5761" t="s">
        <v>28</v>
      </c>
      <c r="G21" s="5761" t="s">
        <v>28</v>
      </c>
      <c r="H21" s="5761" t="s">
        <v>28</v>
      </c>
      <c r="I21" s="5761" t="s">
        <v>28</v>
      </c>
    </row>
    <row customHeight="1" ht="11.25">
      <c r="A22" s="5761" t="s">
        <v>1536</v>
      </c>
      <c r="B22" s="5761" t="s">
        <v>2668</v>
      </c>
      <c r="C22" s="5761" t="s">
        <v>28</v>
      </c>
      <c r="D22" s="5761" t="s">
        <v>2663</v>
      </c>
      <c r="E22" s="5761" t="s">
        <v>2665</v>
      </c>
      <c r="F22" s="5761" t="s">
        <v>28</v>
      </c>
      <c r="G22" s="5761" t="s">
        <v>28</v>
      </c>
      <c r="H22" s="5761" t="s">
        <v>28</v>
      </c>
      <c r="I22" s="5761" t="s">
        <v>28</v>
      </c>
    </row>
    <row customHeight="1" ht="11.25">
      <c r="A23" s="5761" t="s">
        <v>1543</v>
      </c>
      <c r="B23" s="5761" t="s">
        <v>2669</v>
      </c>
      <c r="C23" s="5761" t="s">
        <v>28</v>
      </c>
      <c r="D23" s="5761" t="s">
        <v>2663</v>
      </c>
      <c r="E23" s="5761" t="s">
        <v>2670</v>
      </c>
      <c r="F23" s="5761" t="s">
        <v>28</v>
      </c>
      <c r="G23" s="5761" t="s">
        <v>28</v>
      </c>
      <c r="H23" s="5761" t="s">
        <v>28</v>
      </c>
      <c r="I23" s="576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8F824-F7FE-BE65-B04B-498EDEFA3FE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2258E-2214-43C5-7127-9AD0F91C0F7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5297" width="9.140625" hidden="1" customWidth="1"/>
    <col min="2" max="2" style="5053" width="9.140625" hidden="1" customWidth="1"/>
    <col min="3" max="3" style="5349" width="3.00390625" customWidth="1"/>
    <col min="4" max="4" style="5053" width="5.00390625" customWidth="1"/>
    <col min="5" max="5" style="5053" width="48.00390625" customWidth="1"/>
    <col min="6" max="6" style="5053" width="38.00390625" customWidth="1"/>
    <col min="7" max="7" style="5053" width="1.7109375" hidden="1" customWidth="1"/>
    <col min="8" max="11" style="5053" width="19.8515625" customWidth="1"/>
    <col min="12" max="12" style="5053" width="9.7109375" customWidth="1"/>
    <col min="13" max="18" style="5053" width="19.8515625" customWidth="1"/>
    <col min="19" max="19" style="5053" width="1.7109375" hidden="1" customWidth="1"/>
    <col min="20" max="22" style="5053" width="19.8515625" hidden="1" customWidth="1"/>
    <col min="23" max="23" style="5053" width="1.7109375" hidden="1" customWidth="1"/>
    <col min="24" max="26" style="5053" width="19.8515625" hidden="1" customWidth="1"/>
    <col min="27" max="27" style="5053" width="1.7109375" hidden="1" customWidth="1"/>
    <col min="28" max="29" style="5053" width="19.8515625" hidden="1" customWidth="1"/>
    <col min="30" max="30" style="5053" width="1.7109375" hidden="1" customWidth="1"/>
    <col min="31" max="31" style="5053" width="103.7109375" customWidth="1"/>
    <col min="32" max="34" style="5053" width="103.7109375" hidden="1" customWidth="1"/>
    <col min="35" max="35" style="3439" width="3.00390625" customWidth="1"/>
    <col min="36" max="38" style="4562" width="10.00390625" customWidth="1"/>
    <col min="39" max="39" style="4562" width="13.7109375" hidden="1" customWidth="1"/>
    <col min="40" max="40" style="4562" width="15.00390625" customWidth="1"/>
    <col min="41" max="41" style="4562" width="16.00390625" customWidth="1"/>
    <col min="42" max="45" style="4562" width="10.00390625" customWidth="1"/>
    <col min="46" max="46" style="5053" width="10.57421875" hidden="1"/>
  </cols>
  <sheetData>
    <row customHeight="1" ht="22.5" hidden="1">
      <c r="E1" s="478"/>
      <c r="F1" s="478"/>
      <c r="G1" s="478"/>
      <c r="H1" s="2283" t="s">
        <v>361</v>
      </c>
      <c r="I1" s="2283"/>
      <c r="J1" s="2283"/>
      <c r="K1" s="2283"/>
      <c r="L1" s="2283"/>
      <c r="M1" s="2283"/>
      <c r="N1" s="2283"/>
      <c r="O1" s="2283"/>
      <c r="P1" s="2283"/>
      <c r="Q1" s="2283"/>
      <c r="R1" s="2283"/>
      <c r="T1" s="2283" t="s">
        <v>362</v>
      </c>
      <c r="U1" s="2283"/>
      <c r="V1" s="2283"/>
      <c r="X1" s="2283" t="s">
        <v>363</v>
      </c>
      <c r="Y1" s="2283"/>
      <c r="Z1" s="2283"/>
      <c r="AB1" s="2283" t="s">
        <v>364</v>
      </c>
      <c r="AC1" s="2283"/>
      <c r="AT1" s="513" t="s">
        <v>14</v>
      </c>
    </row>
    <row customHeight="1" ht="14.25" hidden="1">
      <c r="AT2" s="513">
        <v>0</v>
      </c>
    </row>
    <row s="3377" customFormat="1" customHeight="1" ht="5.25">
      <c r="C3" s="767"/>
      <c r="D3" s="768"/>
      <c r="E3" s="768"/>
      <c r="F3" s="768"/>
      <c r="G3" s="768"/>
      <c r="H3" s="768" t="s">
        <v>365</v>
      </c>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J3" s="577"/>
      <c r="AK3" s="577"/>
      <c r="AL3" s="577"/>
      <c r="AM3" s="577"/>
      <c r="AN3" s="577"/>
      <c r="AO3" s="577"/>
      <c r="AP3" s="577"/>
      <c r="AQ3" s="577"/>
      <c r="AR3" s="577"/>
      <c r="AS3" s="577"/>
      <c r="AT3" s="766">
        <v>5</v>
      </c>
    </row>
    <row customHeight="1" ht="39.75">
      <c r="C4" s="516"/>
      <c r="D4" s="222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4"/>
      <c r="F4" s="2224"/>
      <c r="G4" s="2224"/>
      <c r="H4" s="2224"/>
      <c r="I4" s="2224"/>
      <c r="J4" s="2224"/>
      <c r="K4" s="2224"/>
      <c r="L4" s="2224"/>
      <c r="M4" s="2224"/>
      <c r="N4" s="2224"/>
      <c r="O4" s="2224"/>
      <c r="P4" s="2224"/>
      <c r="Q4" s="2224"/>
      <c r="R4" s="2225"/>
      <c r="S4" s="919"/>
      <c r="T4" s="765"/>
      <c r="U4" s="765"/>
      <c r="V4" s="765"/>
      <c r="W4" s="765"/>
      <c r="X4" s="765"/>
      <c r="Y4" s="765"/>
      <c r="Z4" s="765"/>
      <c r="AA4" s="765"/>
      <c r="AB4" s="765"/>
      <c r="AC4" s="765"/>
      <c r="AD4" s="765"/>
      <c r="AE4" s="557"/>
      <c r="AF4" s="557"/>
      <c r="AG4" s="557"/>
      <c r="AH4" s="557"/>
      <c r="AI4" s="554"/>
      <c r="AT4" s="513">
        <v>38</v>
      </c>
    </row>
    <row s="5053" customFormat="1" customHeight="1" ht="18">
      <c r="A5" s="825"/>
      <c r="C5" s="888"/>
      <c r="D5" s="2280" t="str">
        <f>IF(org=0,"Не определено",org)</f>
        <v>Филиал "Уренгойская ГРЭС" АО "Интер РАО - Электрогенерация"</v>
      </c>
      <c r="E5" s="2281"/>
      <c r="F5" s="2281"/>
      <c r="G5" s="2281"/>
      <c r="H5" s="2281"/>
      <c r="I5" s="2281"/>
      <c r="J5" s="2281"/>
      <c r="K5" s="2281"/>
      <c r="L5" s="2281"/>
      <c r="M5" s="2281"/>
      <c r="N5" s="2281"/>
      <c r="O5" s="2281"/>
      <c r="P5" s="2281"/>
      <c r="Q5" s="2281"/>
      <c r="R5" s="2282"/>
      <c r="S5" s="919"/>
      <c r="T5" s="765"/>
      <c r="U5" s="765"/>
      <c r="V5" s="765"/>
      <c r="W5" s="765"/>
      <c r="X5" s="765"/>
      <c r="Y5" s="765"/>
      <c r="Z5" s="765"/>
      <c r="AA5" s="765"/>
      <c r="AB5" s="765"/>
      <c r="AC5" s="765"/>
      <c r="AD5" s="765"/>
      <c r="AE5" s="557"/>
      <c r="AF5" s="557"/>
      <c r="AG5" s="557"/>
      <c r="AH5" s="557"/>
      <c r="AI5" s="554"/>
      <c r="AJ5" s="577"/>
      <c r="AK5" s="577"/>
      <c r="AL5" s="577"/>
      <c r="AM5" s="577"/>
      <c r="AN5" s="577"/>
      <c r="AO5" s="577"/>
      <c r="AP5" s="577"/>
      <c r="AQ5" s="577"/>
      <c r="AR5" s="577"/>
      <c r="AS5" s="577"/>
      <c r="AT5" s="824">
        <v>17</v>
      </c>
    </row>
    <row s="3392" customFormat="1" customHeight="1" ht="11.549999999999999">
      <c r="A6" s="545"/>
      <c r="C6" s="552"/>
      <c r="D6" s="551"/>
      <c r="E6" s="551"/>
      <c r="F6" s="551"/>
      <c r="G6" s="551"/>
      <c r="H6" s="551"/>
      <c r="I6" s="551"/>
      <c r="J6" s="551"/>
      <c r="K6" s="551"/>
      <c r="L6" s="551"/>
      <c r="M6" s="551"/>
      <c r="N6" s="551"/>
      <c r="O6" s="551"/>
      <c r="P6" s="551"/>
      <c r="Q6" s="551"/>
      <c r="R6" s="818"/>
      <c r="S6" s="818"/>
      <c r="T6" s="551"/>
      <c r="U6" s="551"/>
      <c r="V6" s="778"/>
      <c r="W6" s="778"/>
      <c r="X6" s="551"/>
      <c r="Y6" s="551"/>
      <c r="Z6" s="778"/>
      <c r="AA6" s="778"/>
      <c r="AB6" s="551"/>
      <c r="AC6" s="778"/>
      <c r="AD6" s="778"/>
      <c r="AE6" s="551"/>
      <c r="AF6" s="551"/>
      <c r="AG6" s="551"/>
      <c r="AH6" s="551"/>
      <c r="AJ6" s="555"/>
      <c r="AK6" s="555"/>
      <c r="AL6" s="555"/>
      <c r="AM6" s="555"/>
      <c r="AN6" s="555"/>
      <c r="AO6" s="555"/>
      <c r="AP6" s="555"/>
      <c r="AQ6" s="555"/>
      <c r="AR6" s="555"/>
      <c r="AS6" s="555"/>
      <c r="AT6" s="546">
        <v>11</v>
      </c>
    </row>
    <row customHeight="1" ht="14.699999999999998">
      <c r="C7" s="516"/>
      <c r="D7" s="2284" t="s">
        <v>309</v>
      </c>
      <c r="E7" s="2285"/>
      <c r="F7" s="2285"/>
      <c r="G7" s="2285"/>
      <c r="H7" s="2285"/>
      <c r="I7" s="2285"/>
      <c r="J7" s="2285"/>
      <c r="K7" s="2285"/>
      <c r="L7" s="2285"/>
      <c r="M7" s="2285"/>
      <c r="N7" s="2285"/>
      <c r="O7" s="2285"/>
      <c r="P7" s="2285"/>
      <c r="Q7" s="2285"/>
      <c r="R7" s="2285"/>
      <c r="S7" s="2285"/>
      <c r="T7" s="2285"/>
      <c r="U7" s="2285"/>
      <c r="V7" s="2285"/>
      <c r="W7" s="2285"/>
      <c r="X7" s="2285"/>
      <c r="Y7" s="2285"/>
      <c r="Z7" s="2285"/>
      <c r="AA7" s="2285"/>
      <c r="AB7" s="2285"/>
      <c r="AC7" s="2285"/>
      <c r="AD7" s="2286"/>
      <c r="AE7" s="2289" t="s">
        <v>310</v>
      </c>
      <c r="AF7" s="2289" t="s">
        <v>310</v>
      </c>
      <c r="AG7" s="2289" t="s">
        <v>310</v>
      </c>
      <c r="AH7" s="2289" t="s">
        <v>310</v>
      </c>
      <c r="AT7" s="513">
        <v>14</v>
      </c>
    </row>
    <row customHeight="1" ht="27.299999999999997">
      <c r="C8" s="516"/>
      <c r="D8" s="2193" t="s">
        <v>93</v>
      </c>
      <c r="E8" s="2289" t="str">
        <f>"Наименование "&amp;IF(TEMPLATE_SPHERE&lt;&gt;"HEAT","централизованной ","")&amp;"системы "&amp;TEMPLATE_SPHERE_RUS</f>
        <v>Наименование системы теплоснабжения</v>
      </c>
      <c r="F8" s="2289" t="str">
        <f>IF(TEMPLATE_SPHERE&lt;&gt;"HEAT","Регулируемый вид деятельности","Вид регулируемой деятельности")</f>
        <v>Вид регулируемой деятельности</v>
      </c>
      <c r="G8" s="894"/>
      <c r="H8" s="2290" t="s">
        <v>366</v>
      </c>
      <c r="I8" s="2292" t="s">
        <v>367</v>
      </c>
      <c r="J8" s="2289" t="s">
        <v>368</v>
      </c>
      <c r="K8" s="2289"/>
      <c r="L8" s="2289"/>
      <c r="M8" s="2284"/>
      <c r="N8" s="2289" t="s">
        <v>369</v>
      </c>
      <c r="O8" s="2289"/>
      <c r="P8" s="2289" t="s">
        <v>370</v>
      </c>
      <c r="Q8" s="2289"/>
      <c r="R8" s="2296" t="s">
        <v>371</v>
      </c>
      <c r="S8" s="890"/>
      <c r="T8" s="2294" t="s">
        <v>372</v>
      </c>
      <c r="U8" s="2294" t="s">
        <v>373</v>
      </c>
      <c r="V8" s="2294" t="s">
        <v>374</v>
      </c>
      <c r="W8" s="892"/>
      <c r="X8" s="2294" t="s">
        <v>375</v>
      </c>
      <c r="Y8" s="2294" t="s">
        <v>376</v>
      </c>
      <c r="Z8" s="2294" t="s">
        <v>377</v>
      </c>
      <c r="AA8" s="892"/>
      <c r="AB8" s="2294" t="s">
        <v>378</v>
      </c>
      <c r="AC8" s="2294" t="s">
        <v>371</v>
      </c>
      <c r="AD8" s="892"/>
      <c r="AE8" s="2289"/>
      <c r="AF8" s="2289"/>
      <c r="AG8" s="2289"/>
      <c r="AH8" s="2289"/>
      <c r="AT8" s="513">
        <v>26</v>
      </c>
    </row>
    <row customHeight="1" ht="46.199999999999996">
      <c r="C9" s="516"/>
      <c r="D9" s="2193"/>
      <c r="E9" s="2289"/>
      <c r="F9" s="2289"/>
      <c r="G9" s="895"/>
      <c r="H9" s="2291"/>
      <c r="I9" s="2293"/>
      <c r="J9" s="491" t="s">
        <v>379</v>
      </c>
      <c r="K9" s="491" t="s">
        <v>380</v>
      </c>
      <c r="L9" s="491" t="s">
        <v>381</v>
      </c>
      <c r="M9" s="497" t="s">
        <v>382</v>
      </c>
      <c r="N9" s="491" t="s">
        <v>383</v>
      </c>
      <c r="O9" s="491" t="s">
        <v>382</v>
      </c>
      <c r="P9" s="491" t="s">
        <v>384</v>
      </c>
      <c r="Q9" s="491" t="s">
        <v>382</v>
      </c>
      <c r="R9" s="2297"/>
      <c r="S9" s="891"/>
      <c r="T9" s="2295"/>
      <c r="U9" s="2295"/>
      <c r="V9" s="2295"/>
      <c r="W9" s="893"/>
      <c r="X9" s="2295"/>
      <c r="Y9" s="2295"/>
      <c r="Z9" s="2295"/>
      <c r="AA9" s="893"/>
      <c r="AB9" s="2295"/>
      <c r="AC9" s="2295"/>
      <c r="AD9" s="893"/>
      <c r="AE9" s="2289"/>
      <c r="AF9" s="2289"/>
      <c r="AG9" s="2289"/>
      <c r="AH9" s="2289"/>
      <c r="AT9" s="513">
        <v>44</v>
      </c>
    </row>
    <row customHeight="1" ht="12" hidden="1">
      <c r="C10" s="553"/>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3"/>
      <c r="AP10" s="566"/>
      <c r="AQ10" s="566"/>
      <c r="AT10" s="513">
        <v>0</v>
      </c>
    </row>
    <row s="4153" customFormat="1" customHeight="1" ht="11.25" hidden="1">
      <c r="C11" s="564"/>
      <c r="D11" s="565" t="s">
        <v>385</v>
      </c>
      <c r="E11" s="565"/>
      <c r="F11" s="565"/>
      <c r="G11" s="565"/>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01"/>
      <c r="AF11" s="501"/>
      <c r="AG11" s="501"/>
      <c r="AH11" s="501"/>
      <c r="AJ11" s="555"/>
      <c r="AK11" s="555"/>
      <c r="AL11" s="555"/>
      <c r="AM11" s="555"/>
      <c r="AN11" s="555"/>
      <c r="AO11" s="555"/>
      <c r="AP11" s="555"/>
      <c r="AQ11" s="555"/>
      <c r="AR11" s="555"/>
      <c r="AS11" s="555"/>
      <c r="AT11" s="562">
        <v>0</v>
      </c>
    </row>
    <row customHeight="1" ht="14.699999999999998">
      <c r="A12" s="513"/>
      <c r="C12" s="516"/>
      <c r="D12" s="500" t="s">
        <v>114</v>
      </c>
      <c r="E12" s="1843" t="s">
        <v>28</v>
      </c>
      <c r="F12" s="921"/>
      <c r="G12" s="922"/>
      <c r="H12" s="1844"/>
      <c r="I12" s="1844"/>
      <c r="J12" s="499"/>
      <c r="K12" s="1929"/>
      <c r="L12" s="498"/>
      <c r="M12" s="1929"/>
      <c r="N12" s="499"/>
      <c r="O12" s="1929"/>
      <c r="P12" s="499"/>
      <c r="Q12" s="1929"/>
      <c r="R12" s="499"/>
      <c r="S12" s="920"/>
      <c r="T12" s="1844"/>
      <c r="U12" s="499"/>
      <c r="V12" s="499"/>
      <c r="W12" s="893"/>
      <c r="X12" s="1844"/>
      <c r="Y12" s="499"/>
      <c r="Z12" s="499"/>
      <c r="AA12" s="893"/>
      <c r="AB12" s="1844"/>
      <c r="AC12" s="499"/>
      <c r="AD12" s="893"/>
      <c r="AE12" s="2287" t="s">
        <v>386</v>
      </c>
      <c r="AF12" s="2287" t="s">
        <v>387</v>
      </c>
      <c r="AG12" s="2287" t="s">
        <v>388</v>
      </c>
      <c r="AH12" s="2287" t="s">
        <v>389</v>
      </c>
      <c r="AI12" s="513"/>
      <c r="AM12" s="577"/>
      <c r="AP12" s="566" t="s">
        <v>390</v>
      </c>
      <c r="AQ12" s="566" t="s">
        <v>390</v>
      </c>
      <c r="AT12" s="513">
        <v>14</v>
      </c>
    </row>
    <row customHeight="1" ht="18">
      <c r="A13" s="513"/>
      <c r="C13" s="516"/>
      <c r="D13" s="471"/>
      <c r="E13" s="935" t="str">
        <f>IF(TITLE_DIFFERENTIATION_TYPE="нет","","Добавить систему")</f>
        <v/>
      </c>
      <c r="F13" s="935" t="str">
        <f>IF(TITLE_DIFFERENTIATION_TYPE="нет","Добавить вид деятельности","")</f>
        <v>Добавить вид деятельности</v>
      </c>
      <c r="G13" s="379"/>
      <c r="H13" s="472"/>
      <c r="I13" s="472"/>
      <c r="J13" s="472"/>
      <c r="K13" s="472"/>
      <c r="L13" s="472"/>
      <c r="M13" s="472"/>
      <c r="N13" s="472"/>
      <c r="O13" s="472"/>
      <c r="P13" s="472"/>
      <c r="Q13" s="472"/>
      <c r="R13" s="472"/>
      <c r="S13" s="472"/>
      <c r="T13" s="472"/>
      <c r="U13" s="472"/>
      <c r="V13" s="472"/>
      <c r="W13" s="472"/>
      <c r="X13" s="472"/>
      <c r="Y13" s="472"/>
      <c r="Z13" s="472"/>
      <c r="AA13" s="472"/>
      <c r="AB13" s="472"/>
      <c r="AC13" s="472"/>
      <c r="AD13" s="923"/>
      <c r="AE13" s="2288"/>
      <c r="AF13" s="2288"/>
      <c r="AG13" s="2288"/>
      <c r="AH13" s="2288"/>
      <c r="AI13" s="513"/>
      <c r="AT13" s="513">
        <v>17</v>
      </c>
    </row>
    <row customHeight="1" ht="14.699999999999998">
      <c r="AI14" s="513"/>
      <c r="AT14" s="513">
        <v>14</v>
      </c>
    </row>
    <row customHeight="1" ht="14.699999999999998">
      <c r="E15" s="824"/>
      <c r="L15" s="824"/>
      <c r="AT15" s="513">
        <v>14</v>
      </c>
    </row>
    <row customHeight="1" ht="14.699999999999998">
      <c r="L16" s="824"/>
      <c r="AT16" s="513">
        <v>14</v>
      </c>
    </row>
    <row customHeight="1" ht="14.699999999999998">
      <c r="L17" s="824"/>
      <c r="AT17" s="513">
        <v>14</v>
      </c>
    </row>
    <row customHeight="1" ht="22.5" hidden="1">
      <c r="A18" s="515" t="s">
        <v>87</v>
      </c>
      <c r="B18" s="513">
        <v>0</v>
      </c>
      <c r="C18" s="517">
        <v>3</v>
      </c>
      <c r="D18" s="513">
        <v>5</v>
      </c>
      <c r="E18" s="513">
        <v>48</v>
      </c>
      <c r="F18" s="513">
        <v>38</v>
      </c>
      <c r="G18" s="824">
        <v>0</v>
      </c>
      <c r="H18" s="513">
        <v>0</v>
      </c>
      <c r="I18" s="513">
        <v>0</v>
      </c>
      <c r="J18" s="513">
        <v>0</v>
      </c>
      <c r="K18" s="513">
        <v>0</v>
      </c>
      <c r="L18" s="513">
        <v>0</v>
      </c>
      <c r="M18" s="513">
        <v>0</v>
      </c>
      <c r="N18" s="513">
        <v>0</v>
      </c>
      <c r="O18" s="513">
        <v>0</v>
      </c>
      <c r="P18" s="513">
        <v>0</v>
      </c>
      <c r="Q18" s="513">
        <v>0</v>
      </c>
      <c r="R18" s="513">
        <v>0</v>
      </c>
      <c r="S18" s="824">
        <v>0</v>
      </c>
      <c r="T18" s="571">
        <v>0</v>
      </c>
      <c r="U18" s="571">
        <v>0</v>
      </c>
      <c r="V18" s="571">
        <v>0</v>
      </c>
      <c r="W18" s="824">
        <v>0</v>
      </c>
      <c r="X18" s="571">
        <v>0</v>
      </c>
      <c r="Y18" s="571">
        <v>0</v>
      </c>
      <c r="Z18" s="571">
        <v>0</v>
      </c>
      <c r="AA18" s="824">
        <v>0</v>
      </c>
      <c r="AB18" s="571">
        <v>0</v>
      </c>
      <c r="AC18" s="571">
        <v>0</v>
      </c>
      <c r="AD18" s="824">
        <v>0</v>
      </c>
      <c r="AE18" s="513">
        <v>0</v>
      </c>
      <c r="AF18" s="571">
        <v>0</v>
      </c>
      <c r="AG18" s="571">
        <v>0</v>
      </c>
      <c r="AH18" s="571">
        <v>0</v>
      </c>
      <c r="AI18" s="518">
        <v>3</v>
      </c>
      <c r="AJ18" s="555">
        <v>10</v>
      </c>
      <c r="AK18" s="555">
        <v>10</v>
      </c>
      <c r="AL18" s="555">
        <v>10</v>
      </c>
      <c r="AM18" s="555">
        <v>0</v>
      </c>
      <c r="AN18" s="555">
        <v>15</v>
      </c>
      <c r="AO18" s="555">
        <v>16</v>
      </c>
      <c r="AP18" s="555">
        <v>10</v>
      </c>
      <c r="AQ18" s="555">
        <v>10</v>
      </c>
      <c r="AR18" s="555">
        <v>10</v>
      </c>
      <c r="AS18" s="555">
        <v>10</v>
      </c>
      <c r="AT18" s="51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4FAFD-2ED3-665F-1F78-18BB737F293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762" width="9.140625"/>
  </cols>
  <sheetData>
    <row customHeight="1" ht="11.25">
      <c r="A1" s="249" t="s">
        <v>135</v>
      </c>
      <c r="B1" s="249" t="s">
        <v>2671</v>
      </c>
    </row>
    <row customHeight="1" ht="11.25">
      <c r="A2" s="128" t="s">
        <v>103</v>
      </c>
      <c r="B2" s="128" t="s">
        <v>2672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C71DD-F883-2D5D-08F6-B476FB0AC3E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770" width="9.140625"/>
    <col min="2" max="2" style="5770" width="65.28125" customWidth="1"/>
  </cols>
  <sheetData>
    <row customHeight="1" ht="11.25">
      <c r="A1" s="901" t="s">
        <v>2673</v>
      </c>
      <c r="B1" s="901" t="s">
        <v>2674</v>
      </c>
    </row>
    <row customHeight="1" ht="11.25">
      <c r="A2" s="901">
        <v>4213775</v>
      </c>
      <c r="B2" s="901" t="s">
        <v>1226</v>
      </c>
    </row>
    <row customHeight="1" ht="11.25">
      <c r="A3" s="901">
        <v>4213784</v>
      </c>
      <c r="B3" s="901" t="s">
        <v>1259</v>
      </c>
    </row>
    <row customHeight="1" ht="11.25">
      <c r="A4" s="901">
        <v>4213781</v>
      </c>
      <c r="B4" s="901" t="s">
        <v>1252</v>
      </c>
    </row>
    <row customHeight="1" ht="11.25">
      <c r="A5" s="901">
        <v>4213776</v>
      </c>
      <c r="B5" s="901" t="s">
        <v>177</v>
      </c>
    </row>
    <row customHeight="1" ht="11.25">
      <c r="A6" s="901">
        <v>4213777</v>
      </c>
      <c r="B6" s="901" t="s">
        <v>183</v>
      </c>
    </row>
    <row customHeight="1" ht="11.25">
      <c r="A7" s="901">
        <v>4213778</v>
      </c>
      <c r="B7" s="901" t="s">
        <v>189</v>
      </c>
    </row>
    <row customHeight="1" ht="11.25">
      <c r="A8" s="901">
        <v>4213780</v>
      </c>
      <c r="B8" s="901" t="s">
        <v>195</v>
      </c>
    </row>
    <row customHeight="1" ht="11.25">
      <c r="A9" s="901">
        <v>4213779</v>
      </c>
      <c r="B9" s="901" t="s">
        <v>1392</v>
      </c>
    </row>
    <row customHeight="1" ht="11.25">
      <c r="A10" s="901">
        <v>4213783</v>
      </c>
      <c r="B10" s="901" t="s">
        <v>1407</v>
      </c>
    </row>
    <row customHeight="1" ht="11.25">
      <c r="A11" s="901">
        <v>4213782</v>
      </c>
      <c r="B11" s="901"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BD422-7D96-75F2-40D8-DAF560C69C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770" width="9.140625"/>
    <col min="2" max="2" style="5770" width="65.28125" customWidth="1"/>
  </cols>
  <sheetData>
    <row customHeight="1" ht="11.25">
      <c r="A1" s="901" t="s">
        <v>2673</v>
      </c>
      <c r="B1" s="901" t="s">
        <v>2675</v>
      </c>
    </row>
    <row customHeight="1" ht="11.25">
      <c r="A2" s="901" t="s">
        <v>2676</v>
      </c>
      <c r="B2" s="901" t="s">
        <v>1505</v>
      </c>
    </row>
    <row customHeight="1" ht="11.25">
      <c r="A3" s="901" t="s">
        <v>2677</v>
      </c>
      <c r="B3" s="901" t="s">
        <v>1515</v>
      </c>
    </row>
    <row customHeight="1" ht="11.25">
      <c r="A4" s="901" t="s">
        <v>2678</v>
      </c>
      <c r="B4" s="901" t="s">
        <v>1524</v>
      </c>
    </row>
    <row customHeight="1" ht="11.25">
      <c r="A5" s="901" t="s">
        <v>2679</v>
      </c>
      <c r="B5" s="901" t="s">
        <v>1533</v>
      </c>
    </row>
    <row customHeight="1" ht="11.25">
      <c r="A6" s="901" t="s">
        <v>2680</v>
      </c>
      <c r="B6" s="901" t="s">
        <v>1539</v>
      </c>
    </row>
    <row customHeight="1" ht="11.25">
      <c r="A7" s="901" t="s">
        <v>2681</v>
      </c>
      <c r="B7" s="901" t="s">
        <v>1547</v>
      </c>
    </row>
    <row customHeight="1" ht="11.25">
      <c r="A8" s="901" t="s">
        <v>2682</v>
      </c>
      <c r="B8" s="901" t="s">
        <v>1554</v>
      </c>
    </row>
    <row customHeight="1" ht="11.25">
      <c r="A9" s="901" t="s">
        <v>2683</v>
      </c>
      <c r="B9" s="901" t="s">
        <v>1560</v>
      </c>
    </row>
    <row customHeight="1" ht="11.25">
      <c r="A10" s="901" t="s">
        <v>2684</v>
      </c>
      <c r="B10" s="901" t="s">
        <v>1564</v>
      </c>
    </row>
    <row customHeight="1" ht="11.25">
      <c r="A11" s="901" t="s">
        <v>2685</v>
      </c>
      <c r="B11" s="901"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D75FA-7CEB-9CB2-06DE-7D60ABAF5811}"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9" t="s">
        <v>2589</v>
      </c>
      <c r="B1" s="439" t="s">
        <v>2590</v>
      </c>
      <c r="C1" s="439" t="s">
        <v>2591</v>
      </c>
      <c r="D1" s="439" t="s">
        <v>2592</v>
      </c>
      <c r="E1" s="0" t="s">
        <v>2593</v>
      </c>
      <c r="F1" s="0" t="s">
        <v>2594</v>
      </c>
      <c r="G1" s="0" t="s">
        <v>2595</v>
      </c>
    </row>
    <row customHeight="1" ht="11.25">
      <c r="A2" s="0" t="s">
        <v>16</v>
      </c>
      <c r="B2" s="0" t="s">
        <v>2596</v>
      </c>
      <c r="C2" s="0" t="s">
        <v>2597</v>
      </c>
      <c r="D2" s="0" t="s">
        <v>2596</v>
      </c>
      <c r="E2" s="0" t="s">
        <v>2597</v>
      </c>
      <c r="F2" s="0" t="s">
        <v>2598</v>
      </c>
      <c r="G2" s="0" t="s">
        <v>114</v>
      </c>
    </row>
    <row customHeight="1" ht="11.25">
      <c r="A3" s="0" t="s">
        <v>16</v>
      </c>
      <c r="B3" s="0" t="s">
        <v>2599</v>
      </c>
      <c r="C3" s="0" t="s">
        <v>2600</v>
      </c>
      <c r="D3" s="0" t="s">
        <v>2599</v>
      </c>
      <c r="E3" s="0" t="s">
        <v>2600</v>
      </c>
      <c r="F3" s="0" t="s">
        <v>2598</v>
      </c>
      <c r="G3" s="0" t="s">
        <v>115</v>
      </c>
    </row>
    <row customHeight="1" ht="11.25">
      <c r="A4" s="0" t="s">
        <v>16</v>
      </c>
      <c r="B4" s="0" t="s">
        <v>2601</v>
      </c>
      <c r="C4" s="0" t="s">
        <v>2602</v>
      </c>
      <c r="D4" s="0" t="s">
        <v>2601</v>
      </c>
      <c r="E4" s="0" t="s">
        <v>2602</v>
      </c>
      <c r="F4" s="0" t="s">
        <v>2598</v>
      </c>
      <c r="G4" s="0" t="s">
        <v>95</v>
      </c>
    </row>
    <row customHeight="1" ht="11.25">
      <c r="A5" s="0" t="s">
        <v>16</v>
      </c>
      <c r="B5" s="0" t="s">
        <v>2603</v>
      </c>
      <c r="C5" s="0" t="s">
        <v>2604</v>
      </c>
      <c r="D5" s="0" t="s">
        <v>2603</v>
      </c>
      <c r="E5" s="0" t="s">
        <v>2604</v>
      </c>
      <c r="F5" s="0" t="s">
        <v>2598</v>
      </c>
      <c r="G5" s="0" t="s">
        <v>96</v>
      </c>
    </row>
    <row customHeight="1" ht="11.25">
      <c r="A6" s="0" t="s">
        <v>16</v>
      </c>
      <c r="B6" s="0" t="s">
        <v>2605</v>
      </c>
      <c r="C6" s="0" t="s">
        <v>2606</v>
      </c>
      <c r="D6" s="0" t="s">
        <v>2605</v>
      </c>
      <c r="E6" s="0" t="s">
        <v>2606</v>
      </c>
      <c r="F6" s="0" t="s">
        <v>2598</v>
      </c>
      <c r="G6" s="0" t="s">
        <v>116</v>
      </c>
    </row>
    <row customHeight="1" ht="11.25">
      <c r="A7" s="0" t="s">
        <v>16</v>
      </c>
      <c r="B7" s="0" t="s">
        <v>2607</v>
      </c>
      <c r="C7" s="0" t="s">
        <v>2608</v>
      </c>
      <c r="D7" s="0" t="s">
        <v>2607</v>
      </c>
      <c r="E7" s="0" t="s">
        <v>2608</v>
      </c>
      <c r="F7" s="0" t="s">
        <v>2598</v>
      </c>
      <c r="G7" s="0" t="s">
        <v>97</v>
      </c>
    </row>
    <row customHeight="1" ht="11.25">
      <c r="A8" s="0" t="s">
        <v>16</v>
      </c>
      <c r="B8" s="0" t="s">
        <v>2609</v>
      </c>
      <c r="C8" s="0" t="s">
        <v>2610</v>
      </c>
      <c r="D8" s="0" t="s">
        <v>2609</v>
      </c>
      <c r="E8" s="0" t="s">
        <v>2610</v>
      </c>
      <c r="F8" s="0" t="s">
        <v>2598</v>
      </c>
      <c r="G8" s="0" t="s">
        <v>98</v>
      </c>
    </row>
    <row customHeight="1" ht="11.25">
      <c r="A9" s="0" t="s">
        <v>16</v>
      </c>
      <c r="B9" s="0" t="s">
        <v>2611</v>
      </c>
      <c r="C9" s="0" t="s">
        <v>2612</v>
      </c>
      <c r="D9" s="0" t="s">
        <v>2611</v>
      </c>
      <c r="E9" s="0" t="s">
        <v>2612</v>
      </c>
      <c r="F9" s="0" t="s">
        <v>2613</v>
      </c>
      <c r="G9" s="0" t="s">
        <v>117</v>
      </c>
    </row>
    <row customHeight="1" ht="11.25">
      <c r="A10" s="0" t="s">
        <v>16</v>
      </c>
      <c r="B10" s="0" t="s">
        <v>2614</v>
      </c>
      <c r="C10" s="0" t="s">
        <v>2615</v>
      </c>
      <c r="D10" s="0" t="s">
        <v>2614</v>
      </c>
      <c r="E10" s="0" t="s">
        <v>2615</v>
      </c>
      <c r="F10" s="0" t="s">
        <v>2613</v>
      </c>
      <c r="G10" s="0" t="s">
        <v>153</v>
      </c>
    </row>
    <row customHeight="1" ht="11.25">
      <c r="A11" s="0" t="s">
        <v>16</v>
      </c>
      <c r="B11" s="0" t="s">
        <v>2616</v>
      </c>
      <c r="C11" s="0" t="s">
        <v>2617</v>
      </c>
      <c r="D11" s="0" t="s">
        <v>2616</v>
      </c>
      <c r="E11" s="0" t="s">
        <v>2617</v>
      </c>
      <c r="F11" s="0" t="s">
        <v>2613</v>
      </c>
      <c r="G11" s="0" t="s">
        <v>154</v>
      </c>
    </row>
    <row customHeight="1" ht="11.25">
      <c r="A12" s="0" t="s">
        <v>16</v>
      </c>
      <c r="B12" s="0" t="s">
        <v>105</v>
      </c>
      <c r="C12" s="0" t="s">
        <v>106</v>
      </c>
      <c r="D12" s="0" t="s">
        <v>105</v>
      </c>
      <c r="E12" s="0" t="s">
        <v>106</v>
      </c>
      <c r="F12" s="0" t="s">
        <v>2613</v>
      </c>
      <c r="G12" s="0" t="s">
        <v>104</v>
      </c>
    </row>
    <row customHeight="1" ht="11.25">
      <c r="A13" s="0" t="s">
        <v>16</v>
      </c>
      <c r="B13" s="0" t="s">
        <v>2618</v>
      </c>
      <c r="C13" s="0" t="s">
        <v>2619</v>
      </c>
      <c r="D13" s="0" t="s">
        <v>2618</v>
      </c>
      <c r="E13" s="0" t="s">
        <v>2619</v>
      </c>
      <c r="F13" s="0" t="s">
        <v>2613</v>
      </c>
      <c r="G13" s="0" t="s">
        <v>155</v>
      </c>
    </row>
    <row customHeight="1" ht="11.25">
      <c r="A14" s="0" t="s">
        <v>16</v>
      </c>
      <c r="B14" s="0" t="s">
        <v>2620</v>
      </c>
      <c r="C14" s="0" t="s">
        <v>2621</v>
      </c>
      <c r="D14" s="0" t="s">
        <v>2620</v>
      </c>
      <c r="E14" s="0" t="s">
        <v>2621</v>
      </c>
      <c r="F14" s="0" t="s">
        <v>2613</v>
      </c>
      <c r="G14" s="0" t="s">
        <v>156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31651-4CD2-A3A8-108B-0DB0080AB53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770" width="9.140625"/>
    <col min="2" max="2" style="5770" width="84.28125" customWidth="1"/>
    <col min="3" max="3" style="5770" width="9.140625"/>
  </cols>
  <sheetData>
    <row customHeight="1" ht="11.25">
      <c r="A1" s="901" t="s">
        <v>2686</v>
      </c>
      <c r="B1" s="901" t="s">
        <v>2687</v>
      </c>
      <c r="C1" s="901" t="s">
        <v>1172</v>
      </c>
    </row>
    <row customHeight="1" ht="11.25">
      <c r="A2" s="901">
        <v>4189678</v>
      </c>
      <c r="B2" s="901" t="s">
        <v>2688</v>
      </c>
      <c r="C2" s="901" t="s">
        <v>2689</v>
      </c>
    </row>
    <row customHeight="1" ht="11.25">
      <c r="A3" s="901">
        <v>4190415</v>
      </c>
      <c r="B3" s="901" t="s">
        <v>2690</v>
      </c>
      <c r="C3" s="901" t="s">
        <v>2689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82DB9-8F71-DB3F-5F7B-B07576662C3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764" width="38.421875" customWidth="1"/>
    <col min="2" max="5" style="5764" width="9.140625"/>
  </cols>
  <sheetData>
    <row customHeight="1" ht="15">
      <c r="A1" s="229" t="s">
        <v>2691</v>
      </c>
      <c r="B1" s="229" t="s">
        <v>2692</v>
      </c>
      <c r="C1" s="229"/>
      <c r="D1" s="229"/>
      <c r="E1" s="229"/>
    </row>
    <row customHeight="1" ht="15">
      <c r="A2" s="229"/>
      <c r="B2" s="229"/>
      <c r="C2" s="229"/>
      <c r="D2" s="229"/>
      <c r="E2" s="229"/>
    </row>
    <row customHeight="1" ht="15">
      <c r="A3" s="229"/>
      <c r="B3" s="229"/>
      <c r="C3" s="229"/>
      <c r="D3" s="229"/>
      <c r="E3" s="229"/>
    </row>
    <row customHeight="1" ht="15">
      <c r="A4" s="229"/>
      <c r="B4" s="229"/>
      <c r="C4" s="229"/>
      <c r="D4" s="229"/>
      <c r="E4" s="229"/>
    </row>
    <row customHeight="1" ht="15">
      <c r="A5" s="229"/>
      <c r="B5" s="229"/>
      <c r="C5" s="229"/>
      <c r="D5" s="229"/>
      <c r="E5" s="229"/>
    </row>
    <row customHeight="1" ht="15">
      <c r="A6" s="229"/>
      <c r="B6" s="229"/>
      <c r="C6" s="229"/>
      <c r="D6" s="229"/>
      <c r="E6" s="229"/>
    </row>
    <row customHeight="1" ht="15">
      <c r="A7" s="229"/>
      <c r="B7" s="229"/>
      <c r="C7" s="229"/>
      <c r="D7" s="229"/>
      <c r="E7" s="229"/>
    </row>
    <row customHeight="1" ht="15">
      <c r="A8" s="229"/>
      <c r="B8" s="229"/>
      <c r="C8" s="229"/>
      <c r="D8" s="229"/>
      <c r="E8" s="22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96D41-ED4C-F514-F27E-680BA188D7F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2693</v>
      </c>
      <c r="B1" s="0" t="b">
        <v>1</v>
      </c>
    </row>
    <row customHeight="1" ht="11.25">
      <c r="A2" s="0" t="s">
        <v>2694</v>
      </c>
      <c r="B2" s="0" t="b">
        <v>0</v>
      </c>
    </row>
    <row customHeight="1" ht="11.25">
      <c r="A3" s="0" t="s">
        <v>2695</v>
      </c>
      <c r="B3" s="0" t="b">
        <v>1</v>
      </c>
    </row>
    <row customHeight="1" ht="11.25">
      <c r="A4" s="0" t="s">
        <v>2696</v>
      </c>
      <c r="B4" s="0" t="b">
        <v>0</v>
      </c>
    </row>
    <row customHeight="1" ht="11.25">
      <c r="A5" s="0" t="s">
        <v>2697</v>
      </c>
      <c r="B5" s="0" t="b">
        <v>0</v>
      </c>
    </row>
    <row customHeight="1" ht="11.25">
      <c r="A6" s="0" t="s">
        <v>2698</v>
      </c>
      <c r="B6" s="0" t="b">
        <v>0</v>
      </c>
    </row>
    <row customHeight="1" ht="11.25">
      <c r="A7" s="0" t="s">
        <v>2699</v>
      </c>
      <c r="B7" s="0" t="b">
        <v>0</v>
      </c>
    </row>
    <row customHeight="1" ht="11.25">
      <c r="A8" s="0" t="s">
        <v>2700</v>
      </c>
      <c r="B8" s="0" t="b">
        <v>0</v>
      </c>
    </row>
    <row customHeight="1" ht="11.25">
      <c r="A9" s="0" t="s">
        <v>2701</v>
      </c>
      <c r="B9" s="0" t="b">
        <v>1</v>
      </c>
    </row>
    <row customHeight="1" ht="11.25">
      <c r="A10" s="0" t="s">
        <v>2702</v>
      </c>
      <c r="B10" s="0" t="b">
        <v>0</v>
      </c>
    </row>
    <row customHeight="1" ht="11.25">
      <c r="A11" s="0" t="s">
        <v>2703</v>
      </c>
      <c r="B11" s="0" t="b">
        <v>0</v>
      </c>
    </row>
    <row customHeight="1" ht="11.25">
      <c r="A12" s="0" t="s">
        <v>2704</v>
      </c>
      <c r="B12" s="0" t="b">
        <v>0</v>
      </c>
    </row>
    <row customHeight="1" ht="11.25">
      <c r="A13" s="0" t="s">
        <v>2705</v>
      </c>
      <c r="B13" s="0" t="b">
        <v>0</v>
      </c>
    </row>
    <row customHeight="1" ht="11.25">
      <c r="A14" s="0" t="s">
        <v>2706</v>
      </c>
      <c r="B14" s="0" t="b">
        <v>0</v>
      </c>
    </row>
    <row customHeight="1" ht="11.25">
      <c r="A15" s="0" t="s">
        <v>2707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D1876-2581-067A-8071-7A25CF4EC2B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765"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CA858-7F1B-C1AD-A8C1-8899BAC0F5F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774" width="36.28125" customWidth="1"/>
    <col min="2" max="2" style="5774" width="21.140625" customWidth="1"/>
  </cols>
  <sheetData>
    <row customHeight="1" ht="11.25">
      <c r="A1" s="133" t="s">
        <v>2708</v>
      </c>
      <c r="B1" s="133" t="s">
        <v>2709</v>
      </c>
    </row>
    <row customHeight="1" ht="11.25">
      <c r="A2" s="128" t="s">
        <v>2710</v>
      </c>
      <c r="B2" s="128" t="s">
        <v>2711</v>
      </c>
    </row>
    <row customHeight="1" ht="11.25">
      <c r="A3" s="128" t="s">
        <v>2712</v>
      </c>
      <c r="B3" s="128" t="s">
        <v>2713</v>
      </c>
    </row>
    <row customHeight="1" ht="11.25">
      <c r="A4" s="128" t="s">
        <v>2714</v>
      </c>
      <c r="B4" s="128" t="s">
        <v>2715</v>
      </c>
    </row>
    <row customHeight="1" ht="11.25">
      <c r="A5" s="128" t="s">
        <v>2716</v>
      </c>
      <c r="B5" s="128" t="s">
        <v>2717</v>
      </c>
    </row>
    <row customHeight="1" ht="11.25">
      <c r="A6" s="128" t="s">
        <v>2718</v>
      </c>
      <c r="B6" s="128" t="s">
        <v>2719</v>
      </c>
    </row>
    <row customHeight="1" ht="11.25">
      <c r="A7" s="128" t="s">
        <v>2720</v>
      </c>
      <c r="B7" s="128" t="s">
        <v>2721</v>
      </c>
    </row>
    <row customHeight="1" ht="11.25">
      <c r="A8" s="128" t="s">
        <v>2722</v>
      </c>
      <c r="B8" s="128" t="s">
        <v>2723</v>
      </c>
    </row>
    <row customHeight="1" ht="11.25">
      <c r="A9" s="128" t="s">
        <v>2724</v>
      </c>
      <c r="B9" s="128" t="s">
        <v>2725</v>
      </c>
    </row>
    <row customHeight="1" ht="11.25">
      <c r="A10" s="128" t="s">
        <v>2726</v>
      </c>
      <c r="B10" s="128" t="s">
        <v>2727</v>
      </c>
    </row>
    <row customHeight="1" ht="11.25">
      <c r="A11" s="128" t="s">
        <v>2728</v>
      </c>
      <c r="B11" s="128" t="s">
        <v>2729</v>
      </c>
    </row>
    <row customHeight="1" ht="11.25">
      <c r="A12" s="128" t="s">
        <v>2730</v>
      </c>
      <c r="B12" s="128" t="s">
        <v>2731</v>
      </c>
    </row>
    <row customHeight="1" ht="11.25">
      <c r="A13" s="128" t="s">
        <v>2732</v>
      </c>
      <c r="B13" s="128" t="s">
        <v>2733</v>
      </c>
    </row>
    <row customHeight="1" ht="11.25">
      <c r="A14" s="128" t="s">
        <v>2734</v>
      </c>
      <c r="B14" s="128" t="s">
        <v>2735</v>
      </c>
    </row>
    <row customHeight="1" ht="11.25">
      <c r="A15" s="128" t="s">
        <v>2736</v>
      </c>
      <c r="B15" s="128" t="s">
        <v>2737</v>
      </c>
    </row>
    <row customHeight="1" ht="11.25">
      <c r="A16" s="128" t="s">
        <v>2738</v>
      </c>
      <c r="B16" s="128" t="s">
        <v>2739</v>
      </c>
    </row>
    <row customHeight="1" ht="11.25">
      <c r="A17" s="128" t="s">
        <v>2740</v>
      </c>
      <c r="B17" s="128" t="s">
        <v>2741</v>
      </c>
    </row>
    <row customHeight="1" ht="11.25">
      <c r="A18" s="128" t="s">
        <v>2742</v>
      </c>
      <c r="B18" s="128" t="s">
        <v>2743</v>
      </c>
    </row>
    <row customHeight="1" ht="11.25">
      <c r="A19" s="128" t="s">
        <v>2744</v>
      </c>
      <c r="B19" s="128" t="s">
        <v>2745</v>
      </c>
    </row>
    <row customHeight="1" ht="11.25">
      <c r="A20" s="128" t="s">
        <v>2746</v>
      </c>
      <c r="B20" s="128" t="s">
        <v>2747</v>
      </c>
    </row>
    <row customHeight="1" ht="11.25">
      <c r="A21" s="128" t="s">
        <v>2748</v>
      </c>
      <c r="B21" s="128" t="s">
        <v>2749</v>
      </c>
    </row>
    <row customHeight="1" ht="11.25">
      <c r="A22" s="128" t="s">
        <v>2750</v>
      </c>
      <c r="B22" s="128" t="s">
        <v>2751</v>
      </c>
    </row>
    <row customHeight="1" ht="11.25">
      <c r="A23" s="128" t="s">
        <v>2752</v>
      </c>
      <c r="B23" s="128" t="s">
        <v>2753</v>
      </c>
    </row>
    <row customHeight="1" ht="11.25">
      <c r="A24" s="128" t="s">
        <v>2754</v>
      </c>
      <c r="B24" s="128" t="s">
        <v>2755</v>
      </c>
    </row>
    <row customHeight="1" ht="11.25">
      <c r="A25" s="128" t="s">
        <v>2756</v>
      </c>
      <c r="B25" s="128" t="s">
        <v>2757</v>
      </c>
    </row>
    <row customHeight="1" ht="11.25">
      <c r="A26" s="128" t="s">
        <v>2758</v>
      </c>
      <c r="B26" s="128" t="s">
        <v>2759</v>
      </c>
    </row>
    <row customHeight="1" ht="11.25">
      <c r="A27" s="128" t="s">
        <v>2760</v>
      </c>
      <c r="B27" s="128" t="s">
        <v>2761</v>
      </c>
    </row>
    <row customHeight="1" ht="11.25">
      <c r="A28" s="128" t="s">
        <v>2762</v>
      </c>
      <c r="B28" s="128" t="s">
        <v>2763</v>
      </c>
    </row>
    <row customHeight="1" ht="11.25">
      <c r="A29" s="128" t="s">
        <v>2764</v>
      </c>
      <c r="B29" s="128" t="s">
        <v>2765</v>
      </c>
    </row>
    <row customHeight="1" ht="11.25">
      <c r="A30" s="128" t="s">
        <v>2766</v>
      </c>
      <c r="B30" s="128" t="s">
        <v>2767</v>
      </c>
    </row>
    <row customHeight="1" ht="11.25">
      <c r="A31" s="128" t="s">
        <v>2768</v>
      </c>
      <c r="B31" s="128" t="s">
        <v>2769</v>
      </c>
    </row>
    <row customHeight="1" ht="11.25">
      <c r="A32" s="128" t="s">
        <v>2770</v>
      </c>
      <c r="B32" s="128" t="s">
        <v>2771</v>
      </c>
    </row>
    <row customHeight="1" ht="11.25">
      <c r="A33" s="128" t="s">
        <v>2772</v>
      </c>
      <c r="B33" s="128" t="s">
        <v>2773</v>
      </c>
    </row>
    <row customHeight="1" ht="11.25">
      <c r="A34" s="128" t="s">
        <v>2774</v>
      </c>
      <c r="B34" s="128" t="s">
        <v>2775</v>
      </c>
    </row>
    <row customHeight="1" ht="11.25">
      <c r="A35" s="128" t="s">
        <v>2776</v>
      </c>
      <c r="B35" s="128" t="s">
        <v>2777</v>
      </c>
    </row>
    <row customHeight="1" ht="11.25">
      <c r="A36" s="128" t="s">
        <v>2778</v>
      </c>
      <c r="B36" s="128" t="s">
        <v>2779</v>
      </c>
    </row>
    <row customHeight="1" ht="11.25">
      <c r="A37" s="128" t="s">
        <v>2780</v>
      </c>
      <c r="B37" s="128" t="s">
        <v>2781</v>
      </c>
    </row>
    <row customHeight="1" ht="11.25">
      <c r="A38" s="128" t="s">
        <v>2782</v>
      </c>
      <c r="B38" s="128" t="s">
        <v>2783</v>
      </c>
    </row>
    <row customHeight="1" ht="11.25">
      <c r="A39" s="128" t="s">
        <v>2784</v>
      </c>
      <c r="B39" s="128" t="s">
        <v>2785</v>
      </c>
    </row>
    <row customHeight="1" ht="11.25">
      <c r="A40" s="128" t="s">
        <v>2786</v>
      </c>
      <c r="B40" s="128" t="s">
        <v>2787</v>
      </c>
    </row>
    <row customHeight="1" ht="11.25">
      <c r="A41" s="128" t="s">
        <v>2788</v>
      </c>
      <c r="B41" s="128" t="s">
        <v>2789</v>
      </c>
    </row>
    <row customHeight="1" ht="11.25">
      <c r="A42" s="128" t="s">
        <v>2790</v>
      </c>
      <c r="B42" s="128" t="s">
        <v>2791</v>
      </c>
    </row>
    <row customHeight="1" ht="11.25">
      <c r="A43" s="128" t="s">
        <v>2792</v>
      </c>
      <c r="B43" s="128" t="s">
        <v>2793</v>
      </c>
    </row>
    <row customHeight="1" ht="11.25">
      <c r="A44" s="128" t="s">
        <v>2794</v>
      </c>
      <c r="B44" s="128" t="s">
        <v>2795</v>
      </c>
    </row>
    <row customHeight="1" ht="11.25">
      <c r="A45" s="128" t="s">
        <v>2796</v>
      </c>
      <c r="B45" s="128" t="s">
        <v>2797</v>
      </c>
    </row>
    <row customHeight="1" ht="11.25">
      <c r="A46" s="128" t="s">
        <v>2798</v>
      </c>
      <c r="B46" s="128" t="s">
        <v>2799</v>
      </c>
    </row>
    <row customHeight="1" ht="11.25">
      <c r="A47" s="128" t="s">
        <v>2800</v>
      </c>
      <c r="B47" s="128" t="s">
        <v>2801</v>
      </c>
    </row>
    <row customHeight="1" ht="11.25">
      <c r="A48" s="128" t="s">
        <v>2802</v>
      </c>
      <c r="B48" s="128" t="s">
        <v>2803</v>
      </c>
    </row>
    <row customHeight="1" ht="11.25">
      <c r="A49" s="128" t="s">
        <v>2804</v>
      </c>
      <c r="B49" s="128" t="s">
        <v>2805</v>
      </c>
    </row>
    <row customHeight="1" ht="11.25">
      <c r="A50" s="128" t="s">
        <v>2806</v>
      </c>
      <c r="B50" s="128" t="s">
        <v>2807</v>
      </c>
    </row>
    <row customHeight="1" ht="11.25">
      <c r="A51" s="128" t="s">
        <v>2808</v>
      </c>
      <c r="B51" s="128" t="s">
        <v>2809</v>
      </c>
    </row>
    <row customHeight="1" ht="11.25">
      <c r="A52" s="128" t="s">
        <v>2810</v>
      </c>
      <c r="B52" s="128" t="s">
        <v>2811</v>
      </c>
    </row>
    <row customHeight="1" ht="11.25">
      <c r="A53" s="128" t="s">
        <v>2812</v>
      </c>
      <c r="B53" s="128" t="s">
        <v>2813</v>
      </c>
    </row>
    <row customHeight="1" ht="11.25">
      <c r="A54" s="128" t="s">
        <v>2814</v>
      </c>
      <c r="B54" s="128" t="s">
        <v>2815</v>
      </c>
    </row>
    <row customHeight="1" ht="11.25">
      <c r="A55" s="128" t="s">
        <v>2816</v>
      </c>
      <c r="B55" s="128" t="s">
        <v>2817</v>
      </c>
    </row>
    <row customHeight="1" ht="11.25">
      <c r="A56" s="128" t="s">
        <v>2818</v>
      </c>
      <c r="B56" s="128" t="s">
        <v>2819</v>
      </c>
    </row>
    <row customHeight="1" ht="11.25">
      <c r="A57" s="128" t="s">
        <v>2820</v>
      </c>
      <c r="B57" s="128" t="s">
        <v>2821</v>
      </c>
    </row>
    <row customHeight="1" ht="11.25">
      <c r="A58" s="128" t="s">
        <v>2822</v>
      </c>
      <c r="B58" s="128" t="s">
        <v>2823</v>
      </c>
    </row>
    <row customHeight="1" ht="11.25">
      <c r="A59" s="128" t="s">
        <v>2824</v>
      </c>
      <c r="B59" s="128" t="s">
        <v>2825</v>
      </c>
    </row>
    <row customHeight="1" ht="11.25">
      <c r="A60" s="128" t="s">
        <v>2826</v>
      </c>
      <c r="B60" s="128" t="s">
        <v>2827</v>
      </c>
    </row>
    <row customHeight="1" ht="11.25">
      <c r="A61" s="128"/>
      <c r="B61" s="128" t="s">
        <v>2828</v>
      </c>
    </row>
    <row customHeight="1" ht="11.25">
      <c r="A62" s="128"/>
      <c r="B62" s="128" t="s">
        <v>2829</v>
      </c>
    </row>
    <row customHeight="1" ht="11.25">
      <c r="A63" s="128"/>
      <c r="B63" s="128" t="s">
        <v>2830</v>
      </c>
    </row>
    <row customHeight="1" ht="11.25">
      <c r="A64" s="128"/>
      <c r="B64" s="128" t="s">
        <v>2831</v>
      </c>
    </row>
    <row customHeight="1" ht="11.25">
      <c r="A65" s="128"/>
      <c r="B65" s="128" t="s">
        <v>2832</v>
      </c>
    </row>
    <row customHeight="1" ht="11.25">
      <c r="A66" s="128"/>
      <c r="B66" s="128" t="s">
        <v>2833</v>
      </c>
    </row>
    <row customHeight="1" ht="11.25">
      <c r="A67" s="128"/>
      <c r="B67" s="128" t="s">
        <v>2834</v>
      </c>
    </row>
    <row customHeight="1" ht="11.25">
      <c r="A68" s="128"/>
      <c r="B68" s="128" t="s">
        <v>2835</v>
      </c>
    </row>
    <row customHeight="1" ht="11.25">
      <c r="A69" s="128"/>
      <c r="B69" s="128" t="s">
        <v>2836</v>
      </c>
    </row>
    <row customHeight="1" ht="11.25">
      <c r="A70" s="128"/>
      <c r="B70" s="128" t="s">
        <v>2837</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70B3F-4E4E-0D1C-93B8-2911AC58C60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774" width="3.7109375" customWidth="1"/>
    <col min="2" max="2" style="5774" width="90.7109375" customWidth="1"/>
    <col min="3" max="4" style="5774" width="9.140625"/>
  </cols>
  <sheetData>
    <row customHeight="1" ht="11.25">
      <c r="B1" s="159" t="s">
        <v>2838</v>
      </c>
    </row>
    <row customHeight="1" ht="90">
      <c r="B2" s="160" t="s">
        <v>2839</v>
      </c>
    </row>
    <row customHeight="1" ht="67.5">
      <c r="B3" s="160" t="s">
        <v>2840</v>
      </c>
    </row>
    <row customHeight="1" ht="33.75">
      <c r="B4" s="160" t="s">
        <v>2841</v>
      </c>
    </row>
    <row customHeight="1" ht="11.25">
      <c r="B5" s="160" t="s">
        <v>2842</v>
      </c>
    </row>
    <row customHeight="1" ht="22.5">
      <c r="B6" s="160" t="s">
        <v>2843</v>
      </c>
    </row>
    <row customHeight="1" ht="22.5">
      <c r="B7" s="160" t="s">
        <v>2844</v>
      </c>
    </row>
    <row customHeight="1" ht="22.5">
      <c r="B8" s="160" t="s">
        <v>2845</v>
      </c>
    </row>
    <row customHeight="1" ht="22.5">
      <c r="B9" s="160" t="s">
        <v>2846</v>
      </c>
    </row>
    <row customHeight="1" ht="56.25">
      <c r="B10" s="160" t="s">
        <v>2847</v>
      </c>
    </row>
    <row customHeight="1" ht="12.75">
      <c r="B11" s="225" t="s">
        <v>2848</v>
      </c>
    </row>
    <row customHeight="1" ht="11.25">
      <c r="B12" s="159" t="s">
        <v>2849</v>
      </c>
    </row>
    <row customHeight="1" ht="22.5">
      <c r="B13" s="160" t="s">
        <v>2850</v>
      </c>
    </row>
    <row customHeight="1" ht="67.5">
      <c r="B14" s="160" t="s">
        <v>2851</v>
      </c>
    </row>
    <row customHeight="1" ht="22.5">
      <c r="B15" s="160" t="s">
        <v>2852</v>
      </c>
    </row>
    <row customHeight="1" ht="11.25">
      <c r="B16" s="159" t="s">
        <v>2853</v>
      </c>
      <c r="D16" s="166"/>
    </row>
    <row customHeight="1" ht="33.75">
      <c r="B17" s="160" t="s">
        <v>2854</v>
      </c>
    </row>
    <row customHeight="1" ht="33.75">
      <c r="B18" s="160" t="s">
        <v>2855</v>
      </c>
    </row>
    <row customHeight="1" ht="11.25">
      <c r="B19" s="160" t="s">
        <v>2856</v>
      </c>
    </row>
    <row customHeight="1" ht="33.75">
      <c r="B20" s="160" t="s">
        <v>2857</v>
      </c>
    </row>
    <row customHeight="1" ht="11.25">
      <c r="B21" s="159" t="s">
        <v>2858</v>
      </c>
    </row>
    <row customHeight="1" ht="11.25">
      <c r="B22" s="160" t="s">
        <v>2859</v>
      </c>
    </row>
    <row r="24" customHeight="1" ht="22.5">
      <c r="B24" s="227" t="s">
        <v>2860</v>
      </c>
    </row>
    <row r="26" customHeight="1" ht="11.25">
      <c r="B26" s="159" t="s">
        <v>2861</v>
      </c>
    </row>
    <row customHeight="1" ht="22.5">
      <c r="B27" s="226" t="s">
        <v>405</v>
      </c>
    </row>
    <row customHeight="1" ht="56.25">
      <c r="B28" s="226" t="s">
        <v>2862</v>
      </c>
    </row>
    <row customHeight="1" ht="11.25">
      <c r="B29" s="276" t="s">
        <v>2863</v>
      </c>
    </row>
    <row customHeight="1" ht="22.5">
      <c r="B30" s="226" t="s">
        <v>2864</v>
      </c>
    </row>
    <row r="32" customHeight="1" ht="11.25">
      <c r="A32" s="254"/>
      <c r="B32" s="255" t="s">
        <v>2865</v>
      </c>
    </row>
    <row customHeight="1" ht="14.25">
      <c r="A33" s="256">
        <v>1</v>
      </c>
      <c r="B33" s="257" t="s">
        <v>2866</v>
      </c>
    </row>
    <row customHeight="1" ht="14.25">
      <c r="A34" s="256">
        <v>2</v>
      </c>
      <c r="B34" s="257" t="s">
        <v>2867</v>
      </c>
    </row>
    <row customHeight="1" ht="11.25">
      <c r="B35" s="255" t="s">
        <v>2868</v>
      </c>
    </row>
    <row customHeight="1" ht="11.25">
      <c r="B36" s="257" t="s">
        <v>2869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42C31-F525-AA3E-B92B-2A67BA38E0B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5297" width="9.140625" hidden="1" customWidth="1"/>
    <col min="2" max="2" style="5053" width="9.140625" hidden="1" customWidth="1"/>
    <col min="3" max="3" style="5349" width="3.00390625" customWidth="1"/>
    <col min="4" max="4" style="5053" width="5.00390625" customWidth="1"/>
    <col min="5" max="5" style="5053" width="38.00390625" customWidth="1"/>
    <col min="6" max="7" style="5053" width="3.00390625" customWidth="1"/>
    <col min="8" max="8" style="5053" width="38.00390625" customWidth="1"/>
    <col min="9" max="9" style="5053" width="35.00390625" customWidth="1"/>
    <col min="10" max="10" style="5053" width="103.00390625" customWidth="1"/>
    <col min="11" max="11" style="3439" width="3.00390625" customWidth="1"/>
    <col min="12" max="14" style="4562" width="10.00390625" customWidth="1"/>
    <col min="15" max="15" style="4562" width="13.00390625" customWidth="1"/>
    <col min="16" max="16" style="4562" width="15.00390625" customWidth="1"/>
    <col min="17" max="17" style="4562" width="16.00390625" customWidth="1"/>
    <col min="18" max="21" style="4562" width="10.00390625" customWidth="1"/>
    <col min="22" max="22" style="5053" width="10.57421875" hidden="1"/>
  </cols>
  <sheetData>
    <row customHeight="1" ht="22.5" hidden="1">
      <c r="E1" s="478"/>
      <c r="F1" s="478"/>
      <c r="G1" s="478"/>
      <c r="H1" s="2283" t="s">
        <v>361</v>
      </c>
      <c r="I1" s="2283"/>
      <c r="V1" s="1673" t="s">
        <v>14</v>
      </c>
    </row>
    <row s="5053" customFormat="1" customHeight="1" ht="14.25" hidden="1">
      <c r="C2" s="1685"/>
      <c r="D2" s="2299" t="s">
        <v>114</v>
      </c>
      <c r="E2" s="2301"/>
      <c r="F2" s="1691"/>
      <c r="G2" s="1686" t="s">
        <v>114</v>
      </c>
      <c r="H2" s="1689"/>
      <c r="I2" s="1687"/>
      <c r="L2" s="1688"/>
      <c r="M2" s="1688"/>
      <c r="N2" s="1688"/>
      <c r="O2" s="1688" t="s">
        <v>391</v>
      </c>
      <c r="P2" s="1688"/>
      <c r="Q2" s="1688"/>
      <c r="R2" s="1690" t="s">
        <v>390</v>
      </c>
      <c r="S2" s="1690" t="s">
        <v>390</v>
      </c>
      <c r="T2" s="1688"/>
      <c r="U2" s="1688"/>
      <c r="V2" s="1684">
        <v>0</v>
      </c>
    </row>
    <row s="5053" customFormat="1" customHeight="1" ht="14.25" hidden="1">
      <c r="C3" s="1685"/>
      <c r="D3" s="2300"/>
      <c r="E3" s="2302"/>
      <c r="F3" s="471"/>
      <c r="G3" s="935"/>
      <c r="H3" s="935" t="s">
        <v>392</v>
      </c>
      <c r="I3" s="379"/>
      <c r="L3" s="1688"/>
      <c r="M3" s="1688"/>
      <c r="N3" s="1688"/>
      <c r="O3" s="1688"/>
      <c r="P3" s="1688"/>
      <c r="Q3" s="1688"/>
      <c r="R3" s="1690"/>
      <c r="S3" s="1690"/>
      <c r="T3" s="1688"/>
      <c r="U3" s="1688"/>
      <c r="V3" s="1684">
        <v>0</v>
      </c>
    </row>
    <row customHeight="1" ht="14.25" hidden="1">
      <c r="V4" s="1673">
        <v>0</v>
      </c>
    </row>
    <row s="3377" customFormat="1" customHeight="1" ht="5.25">
      <c r="C5" s="767"/>
      <c r="D5" s="768"/>
      <c r="E5" s="768"/>
      <c r="F5" s="768"/>
      <c r="G5" s="768"/>
      <c r="H5" s="768" t="s">
        <v>365</v>
      </c>
      <c r="I5" s="768"/>
      <c r="J5" s="768"/>
      <c r="L5" s="1680"/>
      <c r="M5" s="1680"/>
      <c r="N5" s="1680"/>
      <c r="O5" s="1680"/>
      <c r="P5" s="1680"/>
      <c r="Q5" s="1680"/>
      <c r="R5" s="1680"/>
      <c r="S5" s="1680"/>
      <c r="T5" s="1680"/>
      <c r="U5" s="1680"/>
      <c r="V5" s="1679">
        <v>5</v>
      </c>
    </row>
    <row customHeight="1" ht="29.25">
      <c r="C6" s="1582"/>
      <c r="D6" s="2303" t="s">
        <v>393</v>
      </c>
      <c r="E6" s="2303"/>
      <c r="F6" s="2303"/>
      <c r="G6" s="2303"/>
      <c r="H6" s="2303"/>
      <c r="I6" s="2303"/>
      <c r="J6" s="557"/>
      <c r="K6" s="1681"/>
      <c r="V6" s="1673">
        <v>28</v>
      </c>
    </row>
    <row customHeight="1" ht="18">
      <c r="C7" s="1582"/>
      <c r="D7" s="2242" t="str">
        <f>IF(org=0,"Не определено",org)</f>
        <v>Филиал "Уренгойская ГРЭС" АО "Интер РАО - Электрогенерация"</v>
      </c>
      <c r="E7" s="2242"/>
      <c r="F7" s="2242"/>
      <c r="G7" s="2242"/>
      <c r="H7" s="2242"/>
      <c r="I7" s="2242"/>
      <c r="J7" s="557"/>
      <c r="K7" s="1681"/>
      <c r="V7" s="1673">
        <v>17</v>
      </c>
    </row>
    <row s="3392" customFormat="1" customHeight="1" ht="5.25">
      <c r="A8" s="1677"/>
      <c r="C8" s="552"/>
      <c r="D8" s="551"/>
      <c r="E8" s="551"/>
      <c r="F8" s="551"/>
      <c r="G8" s="551"/>
      <c r="H8" s="551"/>
      <c r="I8" s="551"/>
      <c r="J8" s="551"/>
      <c r="L8" s="1680"/>
      <c r="M8" s="1680"/>
      <c r="N8" s="1680"/>
      <c r="O8" s="1680"/>
      <c r="P8" s="1680"/>
      <c r="Q8" s="1680"/>
      <c r="R8" s="1680"/>
      <c r="S8" s="1680"/>
      <c r="T8" s="1680"/>
      <c r="U8" s="1680"/>
      <c r="V8" s="1678">
        <v>5</v>
      </c>
    </row>
    <row s="3392" customFormat="1" customHeight="1" ht="5.25">
      <c r="A9" s="1677"/>
      <c r="C9" s="552"/>
      <c r="D9" s="551"/>
      <c r="E9" s="551"/>
      <c r="F9" s="551"/>
      <c r="G9" s="551"/>
      <c r="H9" s="551"/>
      <c r="I9" s="551"/>
      <c r="J9" s="551"/>
      <c r="L9" s="1688"/>
      <c r="M9" s="1688"/>
      <c r="N9" s="1688"/>
      <c r="O9" s="1688"/>
      <c r="P9" s="1688"/>
      <c r="Q9" s="1688"/>
      <c r="R9" s="1688"/>
      <c r="S9" s="1688"/>
      <c r="T9" s="1688"/>
      <c r="U9" s="1688"/>
      <c r="V9" s="1678">
        <v>5</v>
      </c>
    </row>
    <row customHeight="1" ht="14.699999999999998">
      <c r="C10" s="1582"/>
      <c r="D10" s="2284" t="s">
        <v>309</v>
      </c>
      <c r="E10" s="2285"/>
      <c r="F10" s="2285"/>
      <c r="G10" s="2285"/>
      <c r="H10" s="2285"/>
      <c r="I10" s="2285"/>
      <c r="J10" s="2289" t="s">
        <v>310</v>
      </c>
      <c r="V10" s="1673">
        <v>14</v>
      </c>
    </row>
    <row customHeight="1" ht="27.299999999999997">
      <c r="C11" s="1582"/>
      <c r="D11" s="2193" t="s">
        <v>93</v>
      </c>
      <c r="E11" s="2289" t="s">
        <v>110</v>
      </c>
      <c r="F11" s="2258" t="s">
        <v>93</v>
      </c>
      <c r="G11" s="2259"/>
      <c r="H11" s="2241" t="s">
        <v>394</v>
      </c>
      <c r="I11" s="2241" t="s">
        <v>395</v>
      </c>
      <c r="J11" s="2289"/>
      <c r="V11" s="1673">
        <v>26</v>
      </c>
    </row>
    <row customHeight="1" ht="14.699999999999998">
      <c r="C12" s="1582"/>
      <c r="D12" s="2193"/>
      <c r="E12" s="2289"/>
      <c r="F12" s="2266"/>
      <c r="G12" s="2267"/>
      <c r="H12" s="2298"/>
      <c r="I12" s="2298"/>
      <c r="J12" s="2289"/>
      <c r="V12" s="1673">
        <v>14</v>
      </c>
    </row>
    <row s="4153" customFormat="1" customHeight="1" ht="11.25" hidden="1">
      <c r="C13" s="564"/>
      <c r="D13" s="565" t="s">
        <v>385</v>
      </c>
      <c r="E13" s="565"/>
      <c r="F13" s="565"/>
      <c r="G13" s="565"/>
      <c r="H13" s="563"/>
      <c r="I13" s="563"/>
      <c r="J13" s="501"/>
      <c r="L13" s="1680"/>
      <c r="M13" s="1680"/>
      <c r="N13" s="1680"/>
      <c r="O13" s="1680"/>
      <c r="P13" s="1680"/>
      <c r="Q13" s="1680"/>
      <c r="R13" s="1680"/>
      <c r="S13" s="1680"/>
      <c r="T13" s="1680"/>
      <c r="U13" s="1680"/>
      <c r="V13" s="562">
        <v>0</v>
      </c>
    </row>
    <row customHeight="1" ht="14.699999999999998">
      <c r="A14" s="1673"/>
      <c r="C14" s="1582"/>
      <c r="D14" s="2299" t="s">
        <v>114</v>
      </c>
      <c r="E14" s="2301"/>
      <c r="F14" s="1683"/>
      <c r="G14" s="1682" t="s">
        <v>114</v>
      </c>
      <c r="H14" s="1689"/>
      <c r="I14" s="1687"/>
      <c r="J14" s="2235" t="s">
        <v>396</v>
      </c>
      <c r="K14" s="1673"/>
      <c r="R14" s="566" t="s">
        <v>390</v>
      </c>
      <c r="S14" s="566" t="s">
        <v>390</v>
      </c>
      <c r="V14" s="1673">
        <v>14</v>
      </c>
    </row>
    <row customHeight="1" ht="14.699999999999998">
      <c r="A15" s="1673"/>
      <c r="C15" s="1582"/>
      <c r="D15" s="2300"/>
      <c r="E15" s="2302"/>
      <c r="F15" s="471"/>
      <c r="G15" s="935"/>
      <c r="H15" s="935" t="s">
        <v>392</v>
      </c>
      <c r="I15" s="379"/>
      <c r="J15" s="2236"/>
      <c r="K15" s="1673"/>
      <c r="R15" s="566"/>
      <c r="S15" s="566"/>
      <c r="V15" s="1673">
        <v>14</v>
      </c>
    </row>
    <row customHeight="1" ht="14.699999999999998">
      <c r="A16" s="1673"/>
      <c r="C16" s="1582"/>
      <c r="D16" s="471"/>
      <c r="E16" s="935" t="s">
        <v>126</v>
      </c>
      <c r="F16" s="379"/>
      <c r="G16" s="379"/>
      <c r="H16" s="472"/>
      <c r="I16" s="472"/>
      <c r="J16" s="2237"/>
      <c r="K16" s="1673"/>
      <c r="V16" s="1673">
        <v>14</v>
      </c>
    </row>
    <row customHeight="1" ht="14.699999999999998">
      <c r="K17" s="1673"/>
      <c r="V17" s="1673">
        <v>14</v>
      </c>
    </row>
    <row customHeight="1" ht="22.5" hidden="1">
      <c r="A18" s="1674" t="s">
        <v>87</v>
      </c>
      <c r="B18" s="1673">
        <v>0</v>
      </c>
      <c r="C18" s="517">
        <v>3</v>
      </c>
      <c r="D18" s="1673">
        <v>5</v>
      </c>
      <c r="E18" s="1673">
        <v>38</v>
      </c>
      <c r="F18" s="1673">
        <v>3</v>
      </c>
      <c r="G18" s="1673">
        <v>3</v>
      </c>
      <c r="H18" s="1673">
        <v>38</v>
      </c>
      <c r="I18" s="1673">
        <v>35</v>
      </c>
      <c r="J18" s="1673">
        <v>103</v>
      </c>
      <c r="K18" s="1675">
        <v>3</v>
      </c>
      <c r="L18" s="1680">
        <v>10</v>
      </c>
      <c r="M18" s="1680">
        <v>10</v>
      </c>
      <c r="N18" s="1680">
        <v>10</v>
      </c>
      <c r="O18" s="1680">
        <v>13</v>
      </c>
      <c r="P18" s="1680">
        <v>15</v>
      </c>
      <c r="Q18" s="1680">
        <v>16</v>
      </c>
      <c r="R18" s="1680">
        <v>10</v>
      </c>
      <c r="S18" s="1680">
        <v>10</v>
      </c>
      <c r="T18" s="1680">
        <v>10</v>
      </c>
      <c r="U18" s="1680">
        <v>10</v>
      </c>
      <c r="V18" s="167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