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mc:AlternateContent xmlns:mc="http://schemas.openxmlformats.org/markup-compatibility/2006">
    <mc:Choice Requires="x15">
      <x15ac:absPath xmlns:x15ac="http://schemas.microsoft.com/office/spreadsheetml/2010/11/ac" url="\\interrao.ru\nvg1\Projects\ARM_Otchet\ТАРИФЫ_Общая\РСТ ХМАО_ТЭ 2024\11. Шаблон_PP110.OPEN.INFO.REQUEST.HEAT_Срок 30к.дн. с даты ТЗ 2025\до 03.11.2024\"/>
    </mc:Choice>
  </mc:AlternateContent>
  <xr:revisionPtr revIDLastSave="0" documentId="13_ncr:1_{10819D38-83A4-4590-9D8A-23E475D2B0DC}" xr6:coauthVersionLast="36" xr6:coauthVersionMax="36" xr10:uidLastSave="{00000000-0000-0000-0000-000000000000}"/>
  <bookViews>
    <workbookView xWindow="0" yWindow="0" windowWidth="28800" windowHeight="107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ТСО'!$72:$74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ТСО'!$75:$78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тарифов'!$83:$107</definedName>
    <definedName name="BLOCK_PT_HEAT">'Перечень тарифов'!$13:$81</definedName>
    <definedName name="BLOCK_PT_HEAT_NOT_R">'Перечень тарифов'!$67:$71</definedName>
    <definedName name="BLOCK_PT_HEAT_NOT_R_TMP">'Перечень тарифов'!$62:$66</definedName>
    <definedName name="BLOCK_PT_HEAT_PHEAT">'Перечень тарифов'!$27:$31</definedName>
    <definedName name="BLOCK_PT_HEAT_PHEAT_HIDDEN_FORMULAS">'Перечень тарифов'!$Z$27:$AQ$27</definedName>
    <definedName name="BLOCK_PT_HEAT_RHEAT">'Перечень тарифов'!$18:$26</definedName>
    <definedName name="BLOCK_PT_HEAT_RHEAT_HIDDEN_FORMULAS">'Перечень тарифов'!$Z$18:$AQ$18</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Предложение!$89:$95</definedName>
    <definedName name="OFFER_TARIFF_A_3">Предложение!$162:$168</definedName>
    <definedName name="OFFER_TARIFF_A_4">Предложение!$235:$241</definedName>
    <definedName name="OFFER_TARIFF_A_5">Предложение!$302:$308</definedName>
    <definedName name="OFFER_TARIFF_A_COLDVSNA_1">Предложение!$53:$55</definedName>
    <definedName name="OFFER_TARIFF_A_COLDVSNA_2">Предложение!$128:$130</definedName>
    <definedName name="OFFER_TARIFF_A_COLDVSNA_3">Предложение!$201:$203</definedName>
    <definedName name="OFFER_TARIFF_A_COLDVSNA_4">Предложение!$268:$270</definedName>
    <definedName name="OFFER_TARIFF_A_COLDVSNA_5">Предложение!$335:$337</definedName>
    <definedName name="OFFER_TARIFF_A_HOTVSNA_1">Предложение!$68:$70</definedName>
    <definedName name="OFFER_TARIFF_A_HOTVSNA_2">Предложение!$143:$145</definedName>
    <definedName name="OFFER_TARIFF_A_HOTVSNA_3">Предложение!$216:$218</definedName>
    <definedName name="OFFER_TARIFF_A_HOTVSNA_4">Предложение!$283:$285</definedName>
    <definedName name="OFFER_TARIFF_A_HOTVSNA_5">Предложение!$350:$352</definedName>
    <definedName name="OFFER_TARIFF_A_VOTV_1">Предложение!$77:$79</definedName>
    <definedName name="OFFER_TARIFF_A_VOTV_2">Предложение!$152:$154</definedName>
    <definedName name="OFFER_TARIFF_A_VOTV_3">Предложение!$225:$227</definedName>
    <definedName name="OFFER_TARIFF_A_VOTV_4">Предложение!$292:$294</definedName>
    <definedName name="OFFER_TARIFF_A_VOTV_5">Предложение!$359:$361</definedName>
    <definedName name="OFFER_TARIFF_B_1">Предложение!$27:$31</definedName>
    <definedName name="OFFER_TARIFF_B_2">Предложение!$96:$106</definedName>
    <definedName name="OFFER_TARIFF_B_3">Предложение!$169:$179</definedName>
    <definedName name="OFFER_TARIFF_B_4">Предложение!$242:$246</definedName>
    <definedName name="OFFER_TARIFF_B_5">Предложение!$309:$313</definedName>
    <definedName name="OFFER_TARIFF_B_COLDVSNA_1">Предложение!$56:$58</definedName>
    <definedName name="OFFER_TARIFF_B_COLDVSNA_2">Предложение!$131:$133</definedName>
    <definedName name="OFFER_TARIFF_B_COLDVSNA_3">Предложение!$204:$206</definedName>
    <definedName name="OFFER_TARIFF_B_COLDVSNA_4">Предложение!$271:$273</definedName>
    <definedName name="OFFER_TARIFF_B_COLDVSNA_5">Предложение!$338:$340</definedName>
    <definedName name="OFFER_TARIFF_B_HOTVSNA_1">Предложение!$71:$73</definedName>
    <definedName name="OFFER_TARIFF_B_HOTVSNA_2">Предложение!$146:$148</definedName>
    <definedName name="OFFER_TARIFF_B_HOTVSNA_3">Предложение!$219:$221</definedName>
    <definedName name="OFFER_TARIFF_B_HOTVSNA_4">Предложение!$286:$288</definedName>
    <definedName name="OFFER_TARIFF_B_HOTVSNA_5">Предложение!$353:$355</definedName>
    <definedName name="OFFER_TARIFF_B_VOTV_1">Предложение!$80:$82</definedName>
    <definedName name="OFFER_TARIFF_B_VOTV_2">Предложение!$155:$157</definedName>
    <definedName name="OFFER_TARIFF_B_VOTV_3">Предложение!$228:$230</definedName>
    <definedName name="OFFER_TARIFF_B_VOTV_4">Предложение!$295:$297</definedName>
    <definedName name="OFFER_TARIFF_B_VOTV_5">Предложение!$362:$364</definedName>
    <definedName name="OFFER_TARIFF_C_1">Предложение!$32:$34</definedName>
    <definedName name="OFFER_TARIFF_C_2">Предложение!$107:$109</definedName>
    <definedName name="OFFER_TARIFF_C_3">Предложение!$180:$182</definedName>
    <definedName name="OFFER_TARIFF_C_4">Предложение!$247:$249</definedName>
    <definedName name="OFFER_TARIFF_C_5">Предложение!$314:$316</definedName>
    <definedName name="OFFER_TARIFF_C_COLDVSNA_1">Предложение!$59:$61</definedName>
    <definedName name="OFFER_TARIFF_C_COLDVSNA_2">Предложение!$134:$136</definedName>
    <definedName name="OFFER_TARIFF_C_COLDVSNA_3">Предложение!$207:$209</definedName>
    <definedName name="OFFER_TARIFF_C_COLDVSNA_4">Предложение!$274:$276</definedName>
    <definedName name="OFFER_TARIFF_C_COLDVSNA_5">Предложение!$341:$343</definedName>
    <definedName name="OFFER_TARIFF_C_HOTVSNA_1">Предложение!$74:$76</definedName>
    <definedName name="OFFER_TARIFF_C_HOTVSNA_2">Предложение!$149:$151</definedName>
    <definedName name="OFFER_TARIFF_C_HOTVSNA_3">Предложение!$222:$224</definedName>
    <definedName name="OFFER_TARIFF_C_HOTVSNA_4">Предложение!$289:$291</definedName>
    <definedName name="OFFER_TARIFF_C_HOTVSNA_5">Предложение!$356:$358</definedName>
    <definedName name="OFFER_TARIFF_C_VOTV_1">Предложение!$83:$85</definedName>
    <definedName name="OFFER_TARIFF_C_VOTV_2">Предложение!$158:$160</definedName>
    <definedName name="OFFER_TARIFF_C_VOTV_3">Предложение!$231:$233</definedName>
    <definedName name="OFFER_TARIFF_C_VOTV_4">Предложение!$298:$300</definedName>
    <definedName name="OFFER_TARIFF_C_VOTV_5">Предложение!$365:$367</definedName>
    <definedName name="OFFER_TARIFF_D_1">Предложение!$35:$37</definedName>
    <definedName name="OFFER_TARIFF_D_2">Предложение!$110:$112</definedName>
    <definedName name="OFFER_TARIFF_D_3">Предложение!$183:$185</definedName>
    <definedName name="OFFER_TARIFF_D_4">Предложение!$250:$252</definedName>
    <definedName name="OFFER_TARIFF_D_5">Предложение!$317:$319</definedName>
    <definedName name="OFFER_TARIFF_D_COLDVSNA_1">Предложение!$62:$64</definedName>
    <definedName name="OFFER_TARIFF_D_COLDVSNA_2">Предложение!$137:$139</definedName>
    <definedName name="OFFER_TARIFF_D_COLDVSNA_3">Предложение!$210:$212</definedName>
    <definedName name="OFFER_TARIFF_D_COLDVSNA_4">Предложение!$277:$279</definedName>
    <definedName name="OFFER_TARIFF_D_COLDVSNA_5">Предложение!$344:$346</definedName>
    <definedName name="OFFER_TARIFF_E_COLDVSNA_1">Предложение!$65:$67</definedName>
    <definedName name="OFFER_TARIFF_E_COLDVSNA_2">Предложение!$140:$142</definedName>
    <definedName name="OFFER_TARIFF_E_COLDVSNA_3">Предложение!$213:$215</definedName>
    <definedName name="OFFER_TARIFF_E_COLDVSNA_4">Предложение!$280:$282</definedName>
    <definedName name="OFFER_TARIFF_E_COLDVSNA_5">Предложение!$347:$349</definedName>
    <definedName name="OFFER_TARIFF_E1_1">Предложение!$38:$40</definedName>
    <definedName name="OFFER_TARIFF_E1_2">Предложение!$113:$115</definedName>
    <definedName name="OFFER_TARIFF_E1_3">Предложение!$186:$188</definedName>
    <definedName name="OFFER_TARIFF_E1_4">Предложение!$253:$255</definedName>
    <definedName name="OFFER_TARIFF_E1_5">Предложение!$320:$322</definedName>
    <definedName name="OFFER_TARIFF_E2_1">Предложение!$41:$43</definedName>
    <definedName name="OFFER_TARIFF_E2_2">Предложение!$116:$118</definedName>
    <definedName name="OFFER_TARIFF_E2_3">Предложение!$189:$191</definedName>
    <definedName name="OFFER_TARIFF_E2_4">Предложение!$256:$258</definedName>
    <definedName name="OFFER_TARIFF_E2_5">Предложение!$323:$325</definedName>
    <definedName name="OFFER_TARIFF_F_1">Предложение!$44:$46</definedName>
    <definedName name="OFFER_TARIFF_F_2">Предложение!$119:$121</definedName>
    <definedName name="OFFER_TARIFF_F_3">Предложение!$192:$194</definedName>
    <definedName name="OFFER_TARIFF_F_4">Предложение!$259:$261</definedName>
    <definedName name="OFFER_TARIFF_F_5">Предложение!$326:$328</definedName>
    <definedName name="OFFER_TARIFF_G_1">Предложение!$47:$49</definedName>
    <definedName name="OFFER_TARIFF_G_2">Предложение!$122:$124</definedName>
    <definedName name="OFFER_TARIFF_G_3">Предложение!$195:$197</definedName>
    <definedName name="OFFER_TARIFF_G_4">Предложение!$262:$264</definedName>
    <definedName name="OFFER_TARIFF_G_5">Предложение!$329:$331</definedName>
    <definedName name="OFFER_TARIFF_H_1">Предложение!$50:$52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Предложение!$G$55</definedName>
    <definedName name="pIns_PT_VTAR_A_COLDVSNA_OFFER_2">Предложение!$G$130</definedName>
    <definedName name="pIns_PT_VTAR_A_COLDVSNA_OFFER_3">Предложение!$G$203</definedName>
    <definedName name="pIns_PT_VTAR_A_COLDVSNA_OFFER_4">Предложение!$G$270</definedName>
    <definedName name="pIns_PT_VTAR_A_COLDVSNA_OFFER_5">Предложение!$G$337</definedName>
    <definedName name="pIns_PT_VTAR_A_COLDVSNA_OFFER5">Предложение!$G$337</definedName>
    <definedName name="pIns_PT_VTAR_A_HOTVSNA">'ГВС. Т-гор.вода'!$T$54</definedName>
    <definedName name="pIns_PT_VTAR_A_HOTVSNA_OFFER_1">Предложение!$G$70</definedName>
    <definedName name="pIns_PT_VTAR_A_HOTVSNA_OFFER_2">Предложение!$G$145</definedName>
    <definedName name="pIns_PT_VTAR_A_HOTVSNA_OFFER_3">Предложение!$G$218</definedName>
    <definedName name="pIns_PT_VTAR_A_HOTVSNA_OFFER_4">Предложение!$G$285</definedName>
    <definedName name="pIns_PT_VTAR_A_HOTVSNA_OFFER_5">Предложение!$G$352</definedName>
    <definedName name="pIns_PT_VTAR_A_OFFER_1">Предложение!$G$26</definedName>
    <definedName name="pIns_PT_VTAR_A_OFFER_2">Предложение!$G$95</definedName>
    <definedName name="pIns_PT_VTAR_A_OFFER_3">Предложение!$G$168</definedName>
    <definedName name="pIns_PT_VTAR_A_OFFER_4">Предложение!$G$241</definedName>
    <definedName name="pIns_PT_VTAR_A_OFFER_5">Предложение!$G$308</definedName>
    <definedName name="pIns_PT_VTAR_A_VOTV">'ВО. Т-во'!$T$53</definedName>
    <definedName name="pIns_PT_VTAR_A_VOTV_OFFER_1">Предложение!$G$79</definedName>
    <definedName name="pIns_PT_VTAR_A_VOTV_OFFER_2">Предложение!$G$154</definedName>
    <definedName name="pIns_PT_VTAR_A_VOTV_OFFER_3">Предложение!$G$227</definedName>
    <definedName name="pIns_PT_VTAR_A_VOTV_OFFER_4">Предложение!$G$294</definedName>
    <definedName name="pIns_PT_VTAR_A_VOTV_OFFER_5">Предложение!$G$361</definedName>
    <definedName name="pIns_PT_VTAR_B">'ТС. Т-ТЭ | ТСО'!$T$71</definedName>
    <definedName name="pIns_PT_VTAR_B_COLDVSNA">'ХВС. Т-тех'!$T$53</definedName>
    <definedName name="pIns_PT_VTAR_B_COLDVSNA_OFFER_1">Предложение!$G$58</definedName>
    <definedName name="pIns_PT_VTAR_B_COLDVSNA_OFFER_2">Предложение!$G$133</definedName>
    <definedName name="pIns_PT_VTAR_B_COLDVSNA_OFFER_3">Предложение!$G$206</definedName>
    <definedName name="pIns_PT_VTAR_B_COLDVSNA_OFFER_4">Предложение!$G$273</definedName>
    <definedName name="pIns_PT_VTAR_B_COLDVSNA_OFFER_5">Предложение!$G$340</definedName>
    <definedName name="pIns_PT_VTAR_B_HOTVSNA">'ГВС. Т-транс'!$T$54</definedName>
    <definedName name="pIns_PT_VTAR_B_HOTVSNA_OFFER_1">Предложение!$G$73</definedName>
    <definedName name="pIns_PT_VTAR_B_HOTVSNA_OFFER_2">Предложение!$G$148</definedName>
    <definedName name="pIns_PT_VTAR_B_HOTVSNA_OFFER_3">Предложение!$G$221</definedName>
    <definedName name="pIns_PT_VTAR_B_HOTVSNA_OFFER_4">Предложение!$G$288</definedName>
    <definedName name="pIns_PT_VTAR_B_HOTVSNA_OFFER_5">Предложение!$G$355</definedName>
    <definedName name="pIns_PT_VTAR_B_OFFER_1">Предложение!$G$31</definedName>
    <definedName name="pIns_PT_VTAR_B_OFFER_2">Предложение!$G$106</definedName>
    <definedName name="pIns_PT_VTAR_B_OFFER_3">Предложение!$G$179</definedName>
    <definedName name="pIns_PT_VTAR_B_OFFER_4">Предложение!$G$246</definedName>
    <definedName name="pIns_PT_VTAR_B_OFFER_5">Предложение!$G$313</definedName>
    <definedName name="pIns_PT_VTAR_B_VOTV">'ВО. Т-транс'!$T$53</definedName>
    <definedName name="pIns_PT_VTAR_B_VOTV_OFFER_1">Предложение!$G$82</definedName>
    <definedName name="pIns_PT_VTAR_B_VOTV_OFFER_2">Предложение!$G$157</definedName>
    <definedName name="pIns_PT_VTAR_B_VOTV_OFFER_3">Предложение!$G$230</definedName>
    <definedName name="pIns_PT_VTAR_B_VOTV_OFFER_4">Предложение!$G$297</definedName>
    <definedName name="pIns_PT_VTAR_B_VOTV_OFFER_5">Предложение!$G$364</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Предложение!$G$136</definedName>
    <definedName name="pIns_PT_VTAR_C_COLDVSNA_OFFER_3">Предложение!$G$209</definedName>
    <definedName name="pIns_PT_VTAR_C_COLDVSNA_OFFER_4">Предложение!$G$276</definedName>
    <definedName name="pIns_PT_VTAR_C_COLDVSNA_OFFER_5">Предложение!$G$343</definedName>
    <definedName name="pIns_PT_VTAR_C_HOTVSNA">'ГВС. Т-подкл'!$T$63</definedName>
    <definedName name="pIns_PT_VTAR_C_HOTVSNA_OFFER_1">Предложение!$G$76</definedName>
    <definedName name="pIns_PT_VTAR_C_HOTVSNA_OFFER_2">Предложение!$G$151</definedName>
    <definedName name="pIns_PT_VTAR_C_HOTVSNA_OFFER_3">Предложение!$G$224</definedName>
    <definedName name="pIns_PT_VTAR_C_HOTVSNA_OFFER_4">Предложение!$G$291</definedName>
    <definedName name="pIns_PT_VTAR_C_HOTVSNA_OFFER_5">Предложение!$G$358</definedName>
    <definedName name="pIns_PT_VTAR_C_OFFER_1">Предложение!$G$34</definedName>
    <definedName name="pIns_PT_VTAR_C_OFFER_2">Предложение!$G$109</definedName>
    <definedName name="pIns_PT_VTAR_C_OFFER_3">Предложение!$G$182</definedName>
    <definedName name="pIns_PT_VTAR_C_OFFER_4">Предложение!$G$249</definedName>
    <definedName name="pIns_PT_VTAR_C_OFFER_5">Предложение!$G$316</definedName>
    <definedName name="pIns_PT_VTAR_C_VOTV">'ВО. Т-подкл'!$T$63</definedName>
    <definedName name="pIns_PT_VTAR_C_VOTV_OFFER_1">Предложение!$G$85</definedName>
    <definedName name="pIns_PT_VTAR_C_VOTV_OFFER_2">Предложение!$G$160</definedName>
    <definedName name="pIns_PT_VTAR_C_VOTV_OFFER_3">Предложение!$G$233</definedName>
    <definedName name="pIns_PT_VTAR_C_VOTV_OFFER_4">Предложение!$G$300</definedName>
    <definedName name="pIns_PT_VTAR_C_VOTV_OFFER_5">Предложение!$G$367</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Предложение!$G$139</definedName>
    <definedName name="pIns_PT_VTAR_D_COLDVSNA_OFFER_3">Предложение!$G$212</definedName>
    <definedName name="pIns_PT_VTAR_D_COLDVSNA_OFFER_4">Предложение!$G$279</definedName>
    <definedName name="pIns_PT_VTAR_D_COLDVSNA_OFFER_5">Предложение!$G$346</definedName>
    <definedName name="pIns_PT_VTAR_D_OFFER_1">Предложение!$G$37</definedName>
    <definedName name="pIns_PT_VTAR_D_OFFER_2">Предложение!$G$112</definedName>
    <definedName name="pIns_PT_VTAR_D_OFFER_3">Предложение!$G$185</definedName>
    <definedName name="pIns_PT_VTAR_D_OFFER_4">Предложение!$G$252</definedName>
    <definedName name="pIns_PT_VTAR_D_OFFER_5">Предложение!$G$319</definedName>
    <definedName name="pIns_PT_VTAR_E_COLDVSNA">'ХВС. Т-подкл'!$T$63</definedName>
    <definedName name="pIns_PT_VTAR_E_COLDVSNA_OFFER_1">Предложение!$G$67</definedName>
    <definedName name="pIns_PT_VTAR_E_COLDVSNA_OFFER_2">Предложение!$G$142</definedName>
    <definedName name="pIns_PT_VTAR_E_COLDVSNA_OFFER_3">Предложение!$G$215</definedName>
    <definedName name="pIns_PT_VTAR_E_COLDVSNA_OFFER_4">Предложение!$G$282</definedName>
    <definedName name="pIns_PT_VTAR_E_COLDVSNA_OFFER_5">Предложение!$G$349</definedName>
    <definedName name="pIns_PT_VTAR_E1">'ТС. Т-передача ТЭ'!$T$57</definedName>
    <definedName name="pIns_PT_VTAR_E1_OFFER_1">Предложение!$G$40</definedName>
    <definedName name="pIns_PT_VTAR_E1_OFFER_2">Предложение!$G$115</definedName>
    <definedName name="pIns_PT_VTAR_E1_OFFER_3">Предложение!$G$188</definedName>
    <definedName name="pIns_PT_VTAR_E1_OFFER_4">Предложение!$G$255</definedName>
    <definedName name="pIns_PT_VTAR_E1_OFFER_5">Предложение!$G$322</definedName>
    <definedName name="pIns_PT_VTAR_E2">'ТС. Т-передача ТН'!$T$57</definedName>
    <definedName name="pIns_PT_VTAR_E2_OFFER_1">Предложение!$G$43</definedName>
    <definedName name="pIns_PT_VTAR_E2_OFFER_2">Предложение!$G$118</definedName>
    <definedName name="pIns_PT_VTAR_E2_OFFER_3">Предложение!$G$191</definedName>
    <definedName name="pIns_PT_VTAR_E2_OFFER_4">Предложение!$G$258</definedName>
    <definedName name="pIns_PT_VTAR_E2_OFFER_5">Предложение!$G$325</definedName>
    <definedName name="pIns_PT_VTAR_F">'ТС. Резерв мощности'!$T$57</definedName>
    <definedName name="pIns_PT_VTAR_F_OFFER_1">Предложение!$G$46</definedName>
    <definedName name="pIns_PT_VTAR_F_OFFER_2">Предложение!$G$121</definedName>
    <definedName name="pIns_PT_VTAR_F_OFFER_3">Предложение!$G$194</definedName>
    <definedName name="pIns_PT_VTAR_F_OFFER_4">Предложение!$G$261</definedName>
    <definedName name="pIns_PT_VTAR_F_OFFER_5">Предложение!$G$328</definedName>
    <definedName name="pIns_PT_VTAR_G">'ТС. Т-подкл'!$T$62</definedName>
    <definedName name="pIns_PT_VTAR_G_OFFER_1">Предложение!$G$49</definedName>
    <definedName name="pIns_PT_VTAR_G_OFFER_2">Предложение!$G$124</definedName>
    <definedName name="pIns_PT_VTAR_G_OFFER_3">Предложение!$G$197</definedName>
    <definedName name="pIns_PT_VTAR_G_OFFER_4">Предложение!$G$264</definedName>
    <definedName name="pIns_PT_VTAR_G_OFFER_5">Предложение!$G$331</definedName>
    <definedName name="pIns_PT_VTAR_H">'ТС. Т-подкл(инд)'!$T$56</definedName>
    <definedName name="pIns_PT_VTAR_H_OFFER_1">Предложение!$G$52</definedName>
    <definedName name="pIns_PT_VTAR_H_OFFER_2">Предложение!$G$127</definedName>
    <definedName name="pIns_PT_VTAR_H_OFFER_3">Предложение!$G$200</definedName>
    <definedName name="pIns_PT_VTAR_H_OFFER_4">Предложение!$G$267</definedName>
    <definedName name="pIns_PT_VTAR_H_OFFER_5">Предложение!$G$334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&gt;=25МВт'!$BZ$39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ТСО'!$59:$68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ТСО'!$60:$67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Предложение!$L$368</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Предложение!$L$368</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&gt;=25МВт'!$BZ$58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ТСО'!$DF$72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M10" i="55"/>
  <c r="K8" i="55"/>
  <c r="L10" i="55" s="1"/>
  <c r="R10" i="55" s="1"/>
  <c r="R2" i="55"/>
  <c r="P2" i="55" a="1"/>
  <c r="P2" i="55" s="1"/>
  <c r="M2" i="55"/>
  <c r="P10" i="54" a="1"/>
  <c r="P10" i="54"/>
  <c r="M10" i="54"/>
  <c r="K8" i="54"/>
  <c r="L10" i="54" s="1"/>
  <c r="R10" i="54" s="1"/>
  <c r="J8" i="54"/>
  <c r="G8" i="54"/>
  <c r="F8" i="54"/>
  <c r="R2" i="54"/>
  <c r="P2" i="54" a="1"/>
  <c r="P2" i="54" s="1"/>
  <c r="M2" i="54"/>
  <c r="P9" i="53"/>
  <c r="N9" i="53" a="1"/>
  <c r="N9" i="53"/>
  <c r="J9" i="53"/>
  <c r="E5" i="53"/>
  <c r="P2" i="53"/>
  <c r="N2" i="53" a="1"/>
  <c r="N2" i="53" s="1"/>
  <c r="G24" i="52"/>
  <c r="G12" i="52"/>
  <c r="F12" i="52"/>
  <c r="F10" i="55" s="1"/>
  <c r="E12" i="52"/>
  <c r="D6"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U148" i="63" s="1"/>
  <c r="F32" i="51"/>
  <c r="E32" i="51"/>
  <c r="F29" i="51"/>
  <c r="E29" i="51"/>
  <c r="L5" i="51"/>
  <c r="L4" i="51"/>
  <c r="L3" i="51"/>
  <c r="L6" i="51" s="1"/>
  <c r="I14" i="50"/>
  <c r="G14" i="50"/>
  <c r="G11" i="50"/>
  <c r="G10" i="50"/>
  <c r="G9" i="50"/>
  <c r="D6" i="50"/>
  <c r="E13" i="49"/>
  <c r="H12" i="49"/>
  <c r="E12" i="49"/>
  <c r="E11" i="49"/>
  <c r="E10" i="49"/>
  <c r="D6" i="49"/>
  <c r="D5" i="49"/>
  <c r="M302" i="48"/>
  <c r="F301" i="48"/>
  <c r="M235" i="48"/>
  <c r="F234" i="48"/>
  <c r="M162" i="48"/>
  <c r="F161" i="48"/>
  <c r="M89" i="48"/>
  <c r="F86"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DJ71" i="12"/>
  <c r="DJ70" i="12"/>
  <c r="DJ69" i="12"/>
  <c r="DJ68" i="12"/>
  <c r="DJ67" i="12"/>
  <c r="DJ66" i="12"/>
  <c r="DJ65" i="12"/>
  <c r="DJ64" i="12"/>
  <c r="DA64" i="12"/>
  <c r="CS64" i="12"/>
  <c r="CK64" i="12"/>
  <c r="CC64" i="12"/>
  <c r="BU64" i="12"/>
  <c r="BM64" i="12"/>
  <c r="BE64" i="12"/>
  <c r="AW64" i="12"/>
  <c r="AO64" i="12"/>
  <c r="AG64" i="12"/>
  <c r="Y64" i="12"/>
  <c r="DJ63" i="12"/>
  <c r="DH63" i="12"/>
  <c r="DJ62" i="12"/>
  <c r="DJ61" i="12"/>
  <c r="DJ60" i="12"/>
  <c r="DJ59" i="12"/>
  <c r="DJ58" i="12"/>
  <c r="DJ57" i="12"/>
  <c r="DJ56" i="12"/>
  <c r="DJ55" i="12"/>
  <c r="DJ54" i="12"/>
  <c r="DJ53" i="12"/>
  <c r="DJ52" i="12"/>
  <c r="DJ51" i="12"/>
  <c r="DJ50" i="12"/>
  <c r="DA50" i="12"/>
  <c r="CS50" i="12"/>
  <c r="CK50" i="12"/>
  <c r="CC50" i="12"/>
  <c r="BU50" i="12"/>
  <c r="BM50" i="12"/>
  <c r="BE50" i="12"/>
  <c r="AW50" i="12"/>
  <c r="AO50" i="12"/>
  <c r="AG50" i="12"/>
  <c r="Y50" i="12"/>
  <c r="DJ49" i="12"/>
  <c r="DH49" i="12"/>
  <c r="DJ48" i="12"/>
  <c r="DJ47" i="12"/>
  <c r="DJ46" i="12"/>
  <c r="DJ45" i="12"/>
  <c r="DJ44" i="12"/>
  <c r="DJ43" i="12"/>
  <c r="DG43" i="12"/>
  <c r="CZ42" i="12"/>
  <c r="DA42" i="12" s="1"/>
  <c r="DB42" i="12" s="1"/>
  <c r="DC42" i="12" s="1"/>
  <c r="DE42" i="12" s="1"/>
  <c r="DF42" i="12" s="1"/>
  <c r="DG42" i="12" s="1"/>
  <c r="CR42" i="12"/>
  <c r="CS42" i="12" s="1"/>
  <c r="CT42" i="12" s="1"/>
  <c r="CU42" i="12" s="1"/>
  <c r="CW42" i="12" s="1"/>
  <c r="CX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H8" i="12"/>
  <c r="DJ7" i="12"/>
  <c r="DJ6" i="12"/>
  <c r="I6" i="12"/>
  <c r="J7" i="12" s="1"/>
  <c r="DJ5" i="12"/>
  <c r="AD5" i="12"/>
  <c r="S5" i="12"/>
  <c r="DJ4" i="12"/>
  <c r="AD4" i="12"/>
  <c r="S4" i="12"/>
  <c r="DJ3" i="12"/>
  <c r="AD3" i="12"/>
  <c r="S3" i="12"/>
  <c r="DJ2" i="12"/>
  <c r="AD2" i="12"/>
  <c r="S2" i="12"/>
  <c r="CD57" i="11"/>
  <c r="CD56" i="11"/>
  <c r="CD55" i="11"/>
  <c r="CD54" i="11"/>
  <c r="CD53" i="11"/>
  <c r="CD52" i="11"/>
  <c r="CD51" i="11"/>
  <c r="CD50" i="11"/>
  <c r="BU50" i="11"/>
  <c r="BM50" i="11"/>
  <c r="BE50" i="11"/>
  <c r="AW50" i="11"/>
  <c r="AO50" i="11"/>
  <c r="AG50" i="11"/>
  <c r="Y50" i="11"/>
  <c r="CD49" i="11"/>
  <c r="CB49" i="11"/>
  <c r="CD48" i="11"/>
  <c r="CD47" i="11"/>
  <c r="CD46" i="11"/>
  <c r="CD45" i="11"/>
  <c r="AD45" i="11"/>
  <c r="CD44" i="11"/>
  <c r="CD43" i="11"/>
  <c r="CA43" i="11"/>
  <c r="S43" i="11"/>
  <c r="BT42" i="11"/>
  <c r="BU42" i="11" s="1"/>
  <c r="BV42" i="11" s="1"/>
  <c r="BW42" i="11" s="1"/>
  <c r="BY42" i="11" s="1"/>
  <c r="BZ42" i="11" s="1"/>
  <c r="CA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BR35" i="11"/>
  <c r="BJ35" i="11"/>
  <c r="BB35" i="11"/>
  <c r="AT35" i="11"/>
  <c r="AL35" i="11"/>
  <c r="AD35" i="11"/>
  <c r="V35" i="11"/>
  <c r="BR34" i="11"/>
  <c r="BJ34" i="11"/>
  <c r="BB34" i="11"/>
  <c r="AT34" i="11"/>
  <c r="AL34" i="11"/>
  <c r="AD34" i="11"/>
  <c r="V34" i="11"/>
  <c r="BR32" i="11"/>
  <c r="BJ32" i="11"/>
  <c r="BB32" i="11"/>
  <c r="AT32" i="11"/>
  <c r="AL32" i="11"/>
  <c r="AD32" i="11"/>
  <c r="V32" i="11"/>
  <c r="BR31" i="11"/>
  <c r="BJ31" i="11"/>
  <c r="BB31" i="11"/>
  <c r="AT31" i="11"/>
  <c r="AL31" i="11"/>
  <c r="AD31" i="11"/>
  <c r="V31" i="11"/>
  <c r="BR30" i="11"/>
  <c r="BJ30" i="11"/>
  <c r="BB30" i="11"/>
  <c r="AT30" i="11"/>
  <c r="AL30" i="11"/>
  <c r="AD30" i="11"/>
  <c r="V30" i="11"/>
  <c r="BR29" i="11"/>
  <c r="BJ29" i="11"/>
  <c r="BB29" i="11"/>
  <c r="AT29" i="11"/>
  <c r="AL29" i="11"/>
  <c r="AD29" i="11"/>
  <c r="V29" i="11"/>
  <c r="S27" i="11"/>
  <c r="S26" i="11"/>
  <c r="AG18" i="11"/>
  <c r="CD15" i="11"/>
  <c r="CD14" i="11"/>
  <c r="CD13" i="11"/>
  <c r="CD12" i="11"/>
  <c r="CD11" i="11"/>
  <c r="CD10" i="11"/>
  <c r="CD9" i="11"/>
  <c r="BU9" i="11"/>
  <c r="BM9" i="11"/>
  <c r="BE9" i="11"/>
  <c r="AW9" i="11"/>
  <c r="AO9" i="11"/>
  <c r="AG9" i="11"/>
  <c r="Y9" i="11"/>
  <c r="CD8" i="11"/>
  <c r="CB8" i="11"/>
  <c r="CD7" i="11"/>
  <c r="CD6" i="11"/>
  <c r="I6" i="11"/>
  <c r="J7" i="11" s="1"/>
  <c r="CD5" i="11"/>
  <c r="AD5" i="11"/>
  <c r="S5" i="11"/>
  <c r="CD4" i="11"/>
  <c r="AD4" i="11"/>
  <c r="S4" i="11"/>
  <c r="CD3" i="11"/>
  <c r="AD3" i="11"/>
  <c r="S3" i="11"/>
  <c r="CD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AQ130" i="5"/>
  <c r="AP130" i="5"/>
  <c r="S43" i="28" s="1"/>
  <c r="I44" i="28" s="1"/>
  <c r="AO130" i="5"/>
  <c r="S42" i="28" s="1"/>
  <c r="AN130" i="5"/>
  <c r="S41" i="28" s="1"/>
  <c r="AM130" i="5"/>
  <c r="AL130" i="5"/>
  <c r="AC43" i="28" s="1"/>
  <c r="AK130" i="5"/>
  <c r="AC42" i="28" s="1"/>
  <c r="AJ130" i="5"/>
  <c r="AI130" i="5"/>
  <c r="AH130" i="5"/>
  <c r="AQ125" i="5"/>
  <c r="AP125" i="5"/>
  <c r="S43" i="27" s="1"/>
  <c r="I44" i="27" s="1"/>
  <c r="AO125" i="5"/>
  <c r="S42" i="27" s="1"/>
  <c r="AN125" i="5"/>
  <c r="S41" i="27" s="1"/>
  <c r="AM125" i="5"/>
  <c r="AL125" i="5"/>
  <c r="AC43" i="27" s="1"/>
  <c r="AK125" i="5"/>
  <c r="AC42" i="27" s="1"/>
  <c r="AJ125" i="5"/>
  <c r="AI125" i="5"/>
  <c r="AH125" i="5"/>
  <c r="AQ119" i="5"/>
  <c r="AP119" i="5"/>
  <c r="S48" i="32" s="1"/>
  <c r="K52" i="32" s="1"/>
  <c r="S52" i="32" s="1"/>
  <c r="AO119" i="5"/>
  <c r="S47" i="32" s="1"/>
  <c r="AN119" i="5"/>
  <c r="S46" i="32" s="1"/>
  <c r="AM119" i="5"/>
  <c r="AL119" i="5"/>
  <c r="AD48" i="32" s="1"/>
  <c r="AK119" i="5"/>
  <c r="AD47" i="32" s="1"/>
  <c r="AJ119" i="5"/>
  <c r="AI119" i="5"/>
  <c r="AH119" i="5"/>
  <c r="AQ114" i="5"/>
  <c r="AP114" i="5"/>
  <c r="S44" i="31" s="1"/>
  <c r="I45" i="31" s="1"/>
  <c r="AO114" i="5"/>
  <c r="S43" i="31" s="1"/>
  <c r="AN114" i="5"/>
  <c r="S42" i="31" s="1"/>
  <c r="AM114" i="5"/>
  <c r="AL114" i="5"/>
  <c r="AG44" i="31" s="1"/>
  <c r="AK114" i="5"/>
  <c r="AG43" i="31" s="1"/>
  <c r="AJ114" i="5"/>
  <c r="AI114" i="5"/>
  <c r="AH114" i="5"/>
  <c r="AQ109" i="5"/>
  <c r="AP109" i="5"/>
  <c r="S44" i="30" s="1"/>
  <c r="I45" i="30" s="1"/>
  <c r="AO109" i="5"/>
  <c r="S43" i="30" s="1"/>
  <c r="AN109" i="5"/>
  <c r="S42" i="30" s="1"/>
  <c r="AM109" i="5"/>
  <c r="AL109" i="5"/>
  <c r="AG44" i="30" s="1"/>
  <c r="AK109" i="5"/>
  <c r="AG43" i="30" s="1"/>
  <c r="AJ109" i="5"/>
  <c r="AI109" i="5"/>
  <c r="AH109" i="5"/>
  <c r="AQ103" i="5"/>
  <c r="AP103" i="5"/>
  <c r="S48" i="26" s="1"/>
  <c r="K52" i="26" s="1"/>
  <c r="S52" i="26" s="1"/>
  <c r="AO103" i="5"/>
  <c r="S47" i="26" s="1"/>
  <c r="AN103" i="5"/>
  <c r="S46" i="26" s="1"/>
  <c r="AM103" i="5"/>
  <c r="AL103" i="5"/>
  <c r="AD48" i="26" s="1"/>
  <c r="AK103" i="5"/>
  <c r="AD47" i="26" s="1"/>
  <c r="AJ103" i="5"/>
  <c r="AI103" i="5"/>
  <c r="AH103" i="5"/>
  <c r="AQ98" i="5"/>
  <c r="AP98" i="5"/>
  <c r="S43" i="24" s="1"/>
  <c r="I44" i="24" s="1"/>
  <c r="AO98" i="5"/>
  <c r="S42" i="24" s="1"/>
  <c r="AN98" i="5"/>
  <c r="S41" i="24" s="1"/>
  <c r="AM98" i="5"/>
  <c r="AL98" i="5"/>
  <c r="AC43" i="24" s="1"/>
  <c r="AK98" i="5"/>
  <c r="AC42" i="24" s="1"/>
  <c r="AJ98" i="5"/>
  <c r="AI98" i="5"/>
  <c r="AH98" i="5"/>
  <c r="AQ93" i="5"/>
  <c r="AP93" i="5"/>
  <c r="S43" i="23" s="1"/>
  <c r="I44" i="23" s="1"/>
  <c r="AO93" i="5"/>
  <c r="S42" i="23" s="1"/>
  <c r="AN93" i="5"/>
  <c r="S41" i="23" s="1"/>
  <c r="AM93" i="5"/>
  <c r="AL93" i="5"/>
  <c r="AC43" i="23" s="1"/>
  <c r="AK93" i="5"/>
  <c r="AC42" i="23" s="1"/>
  <c r="AJ93" i="5"/>
  <c r="AI93" i="5"/>
  <c r="AH93" i="5"/>
  <c r="AQ88" i="5"/>
  <c r="AP88" i="5"/>
  <c r="S43" i="22" s="1"/>
  <c r="I44" i="22" s="1"/>
  <c r="AO88" i="5"/>
  <c r="S42" i="22" s="1"/>
  <c r="AN88" i="5"/>
  <c r="S41" i="22" s="1"/>
  <c r="AM88" i="5"/>
  <c r="AL88" i="5"/>
  <c r="AC43" i="22" s="1"/>
  <c r="AK88" i="5"/>
  <c r="AC42" i="22" s="1"/>
  <c r="AJ88" i="5"/>
  <c r="AI88" i="5"/>
  <c r="AH88" i="5"/>
  <c r="AQ83" i="5"/>
  <c r="AP83" i="5"/>
  <c r="S43" i="21" s="1"/>
  <c r="I44" i="21" s="1"/>
  <c r="AO83" i="5"/>
  <c r="S42" i="21" s="1"/>
  <c r="AN83" i="5"/>
  <c r="S41" i="21" s="1"/>
  <c r="AM83" i="5"/>
  <c r="AL83" i="5"/>
  <c r="AC43" i="21" s="1"/>
  <c r="AK83" i="5"/>
  <c r="AC42" i="21" s="1"/>
  <c r="AJ83" i="5"/>
  <c r="AI83" i="5"/>
  <c r="AH83" i="5"/>
  <c r="AQ67" i="5"/>
  <c r="S46" i="14" s="1"/>
  <c r="I47" i="14" s="1"/>
  <c r="AP67" i="5"/>
  <c r="S45" i="14" s="1"/>
  <c r="AO67" i="5"/>
  <c r="S44" i="14" s="1"/>
  <c r="AN67" i="5"/>
  <c r="S43" i="14" s="1"/>
  <c r="AM67" i="5"/>
  <c r="AD46" i="14" s="1"/>
  <c r="AL67" i="5"/>
  <c r="AD45" i="14" s="1"/>
  <c r="AK67" i="5"/>
  <c r="AD44" i="14" s="1"/>
  <c r="AJ67" i="5"/>
  <c r="AD43" i="14" s="1"/>
  <c r="AI67" i="5"/>
  <c r="AH67" i="5"/>
  <c r="AQ62" i="5"/>
  <c r="S45" i="25" s="1"/>
  <c r="AP62" i="5"/>
  <c r="S44" i="25" s="1"/>
  <c r="AO62" i="5"/>
  <c r="S43" i="25" s="1"/>
  <c r="AN62" i="5"/>
  <c r="S42" i="25" s="1"/>
  <c r="AM62" i="5"/>
  <c r="AC45" i="25" s="1"/>
  <c r="AL62" i="5"/>
  <c r="AC44" i="25" s="1"/>
  <c r="AK62" i="5"/>
  <c r="AC43" i="25" s="1"/>
  <c r="AJ62" i="5"/>
  <c r="AI62" i="5"/>
  <c r="AH62" i="5"/>
  <c r="AQ57" i="5"/>
  <c r="S48" i="20" s="1"/>
  <c r="AP57" i="5"/>
  <c r="S47" i="20" s="1"/>
  <c r="AO57" i="5"/>
  <c r="S46" i="20" s="1"/>
  <c r="AN57" i="5"/>
  <c r="S45" i="20" s="1"/>
  <c r="AM57" i="5"/>
  <c r="AB48" i="20" s="1"/>
  <c r="AL57" i="5"/>
  <c r="AB47" i="20" s="1"/>
  <c r="AK57" i="5"/>
  <c r="AB46" i="20" s="1"/>
  <c r="AJ57" i="5"/>
  <c r="AI57" i="5"/>
  <c r="AH57" i="5"/>
  <c r="AQ52" i="5"/>
  <c r="S46" i="15" s="1"/>
  <c r="I47" i="15" s="1"/>
  <c r="AP52" i="5"/>
  <c r="S45" i="15" s="1"/>
  <c r="AO52" i="5"/>
  <c r="S44" i="15" s="1"/>
  <c r="AN52" i="5"/>
  <c r="S43" i="15" s="1"/>
  <c r="AM52" i="5"/>
  <c r="AD46" i="15" s="1"/>
  <c r="AL52" i="5"/>
  <c r="AD45" i="15" s="1"/>
  <c r="AK52" i="5"/>
  <c r="AD44" i="15" s="1"/>
  <c r="AJ52" i="5"/>
  <c r="AI52" i="5"/>
  <c r="AH52" i="5"/>
  <c r="AQ47" i="5"/>
  <c r="S46" i="18" s="1"/>
  <c r="AP47" i="5"/>
  <c r="S45" i="18" s="1"/>
  <c r="AO47" i="5"/>
  <c r="S44" i="18" s="1"/>
  <c r="AN47" i="5"/>
  <c r="S43" i="18" s="1"/>
  <c r="AM47" i="5"/>
  <c r="AD46" i="18" s="1"/>
  <c r="AL47" i="5"/>
  <c r="AD45" i="18" s="1"/>
  <c r="AK47" i="5"/>
  <c r="AD44" i="18" s="1"/>
  <c r="AJ47" i="5"/>
  <c r="AI47" i="5"/>
  <c r="AH47" i="5"/>
  <c r="AQ42" i="5"/>
  <c r="S46" i="17" s="1"/>
  <c r="AP42" i="5"/>
  <c r="S45" i="17" s="1"/>
  <c r="AO42" i="5"/>
  <c r="S44" i="17" s="1"/>
  <c r="AN42" i="5"/>
  <c r="S43" i="17" s="1"/>
  <c r="AM42" i="5"/>
  <c r="AD46" i="17" s="1"/>
  <c r="AL42" i="5"/>
  <c r="AD45" i="17" s="1"/>
  <c r="AK42" i="5"/>
  <c r="AD44" i="17" s="1"/>
  <c r="AJ42" i="5"/>
  <c r="AI42" i="5"/>
  <c r="AH42" i="5"/>
  <c r="AQ37" i="5"/>
  <c r="U52" i="19" s="1"/>
  <c r="I53" i="19" s="1"/>
  <c r="J54" i="19" s="1"/>
  <c r="AP37" i="5"/>
  <c r="U51" i="19" s="1"/>
  <c r="AO37" i="5"/>
  <c r="U50" i="19" s="1"/>
  <c r="AN37" i="5"/>
  <c r="U49" i="19" s="1"/>
  <c r="AM37" i="5"/>
  <c r="AG52" i="19" s="1"/>
  <c r="AL37" i="5"/>
  <c r="AG51" i="19" s="1"/>
  <c r="AK37" i="5"/>
  <c r="AG50" i="19" s="1"/>
  <c r="AJ37" i="5"/>
  <c r="AI37" i="5"/>
  <c r="AH37" i="5"/>
  <c r="AQ32" i="5"/>
  <c r="AP32" i="5"/>
  <c r="AO32" i="5"/>
  <c r="AN32" i="5"/>
  <c r="AM32" i="5"/>
  <c r="AL32" i="5"/>
  <c r="AK32" i="5"/>
  <c r="AJ32" i="5"/>
  <c r="AI32" i="5"/>
  <c r="AH32" i="5"/>
  <c r="AQ22" i="5"/>
  <c r="S60" i="12" s="1"/>
  <c r="I61" i="12" s="1"/>
  <c r="AP22" i="5"/>
  <c r="S59" i="12" s="1"/>
  <c r="AO22" i="5"/>
  <c r="S58" i="12" s="1"/>
  <c r="AN22" i="5"/>
  <c r="S57" i="12" s="1"/>
  <c r="AM22" i="5"/>
  <c r="AD60" i="12" s="1"/>
  <c r="AL22" i="5"/>
  <c r="AD59" i="12" s="1"/>
  <c r="AK22" i="5"/>
  <c r="AD58" i="12" s="1"/>
  <c r="AJ22" i="5"/>
  <c r="AH22" i="5"/>
  <c r="AQ18" i="5"/>
  <c r="S46" i="12" s="1"/>
  <c r="I47" i="12" s="1"/>
  <c r="AP18" i="5"/>
  <c r="S45" i="12" s="1"/>
  <c r="AO18" i="5"/>
  <c r="S44" i="12" s="1"/>
  <c r="AN18" i="5"/>
  <c r="S43" i="12" s="1"/>
  <c r="AM18" i="5"/>
  <c r="AD46" i="12" s="1"/>
  <c r="AL18" i="5"/>
  <c r="AD45" i="12" s="1"/>
  <c r="AK18" i="5"/>
  <c r="AD44" i="12" s="1"/>
  <c r="AJ18" i="5"/>
  <c r="AH18" i="5"/>
  <c r="G18" i="5"/>
  <c r="AI22" i="5" s="1"/>
  <c r="AQ13" i="5"/>
  <c r="S46" i="11" s="1"/>
  <c r="I47" i="11" s="1"/>
  <c r="AP13" i="5"/>
  <c r="S45" i="11" s="1"/>
  <c r="AO13" i="5"/>
  <c r="S44" i="11" s="1"/>
  <c r="AN13" i="5"/>
  <c r="AM13" i="5"/>
  <c r="AD46" i="11" s="1"/>
  <c r="AL13" i="5"/>
  <c r="AK13" i="5"/>
  <c r="AD44" i="11" s="1"/>
  <c r="AJ13" i="5"/>
  <c r="AI13" i="5"/>
  <c r="AH13" i="5"/>
  <c r="D6" i="5"/>
  <c r="D5" i="5"/>
  <c r="R13" i="4"/>
  <c r="P13" i="4"/>
  <c r="I13" i="4"/>
  <c r="Q13" i="4" s="1"/>
  <c r="E7" i="4"/>
  <c r="D5" i="4"/>
  <c r="O13" i="3"/>
  <c r="M13" i="3" a="1"/>
  <c r="M13" i="3" s="1"/>
  <c r="J13" i="3"/>
  <c r="E13" i="3"/>
  <c r="G12" i="3"/>
  <c r="E12" i="3"/>
  <c r="E4" i="3"/>
  <c r="E59" i="2"/>
  <c r="E49" i="2"/>
  <c r="E41" i="2"/>
  <c r="E31" i="2"/>
  <c r="E27" i="2"/>
  <c r="E26" i="2"/>
  <c r="F25" i="2"/>
  <c r="E22" i="2"/>
  <c r="E21" i="2"/>
  <c r="F20" i="2"/>
  <c r="E19" i="2"/>
  <c r="I9" i="2"/>
  <c r="E3" i="2"/>
  <c r="E2" i="2"/>
  <c r="J62" i="12" l="1"/>
  <c r="S61" i="12"/>
  <c r="K8" i="11"/>
  <c r="S8" i="11" s="1"/>
  <c r="S7" i="11"/>
  <c r="K8" i="12"/>
  <c r="S8" i="12" s="1"/>
  <c r="S7" i="12"/>
  <c r="I10" i="50"/>
  <c r="H10" i="45"/>
  <c r="I8" i="39"/>
  <c r="H15" i="34"/>
  <c r="I27" i="40"/>
  <c r="I11" i="38"/>
  <c r="I11" i="37"/>
  <c r="M11" i="35"/>
  <c r="I26" i="33"/>
  <c r="J48" i="11"/>
  <c r="S47" i="11"/>
  <c r="J48" i="12"/>
  <c r="S47" i="12"/>
  <c r="D36" i="7"/>
  <c r="D34" i="7"/>
  <c r="D37" i="7"/>
  <c r="D38" i="7" s="1"/>
  <c r="D39" i="7" s="1"/>
  <c r="D35" i="7"/>
  <c r="J7" i="13"/>
  <c r="S6" i="13"/>
  <c r="I9" i="50"/>
  <c r="H9" i="45"/>
  <c r="I7" i="39"/>
  <c r="I26" i="40"/>
  <c r="I10" i="38"/>
  <c r="I10" i="37"/>
  <c r="M10" i="35"/>
  <c r="H14" i="34"/>
  <c r="I25" i="33"/>
  <c r="I11" i="50"/>
  <c r="H11" i="45"/>
  <c r="I9" i="39"/>
  <c r="I28" i="40"/>
  <c r="I12" i="38"/>
  <c r="I12" i="37"/>
  <c r="M12" i="35"/>
  <c r="H16" i="34"/>
  <c r="I27" i="33"/>
  <c r="F242" i="48"/>
  <c r="F309" i="48"/>
  <c r="F96" i="48"/>
  <c r="F169" i="48"/>
  <c r="F27" i="48"/>
  <c r="G309" i="48"/>
  <c r="G242" i="48"/>
  <c r="G169" i="48"/>
  <c r="G27" i="48"/>
  <c r="G96" i="48"/>
  <c r="G244" i="48"/>
  <c r="G311" i="48"/>
  <c r="G101" i="48"/>
  <c r="G174" i="48"/>
  <c r="G29" i="48"/>
  <c r="F314" i="48"/>
  <c r="F247" i="48"/>
  <c r="F180" i="48"/>
  <c r="F32" i="48"/>
  <c r="F107" i="48"/>
  <c r="O19" i="64"/>
  <c r="G247" i="48"/>
  <c r="G314" i="48"/>
  <c r="G107" i="48"/>
  <c r="G180" i="48"/>
  <c r="G32" i="48"/>
  <c r="AD43" i="16"/>
  <c r="O21" i="64"/>
  <c r="AD45" i="16"/>
  <c r="L19" i="64"/>
  <c r="S43" i="16"/>
  <c r="L21" i="64"/>
  <c r="S45" i="16"/>
  <c r="F317" i="48"/>
  <c r="F250" i="48"/>
  <c r="F183" i="48"/>
  <c r="F35" i="48"/>
  <c r="F110" i="48"/>
  <c r="G250" i="48"/>
  <c r="G317" i="48"/>
  <c r="G110" i="48"/>
  <c r="G183" i="48"/>
  <c r="G35" i="48"/>
  <c r="AG49" i="19"/>
  <c r="F320" i="48"/>
  <c r="F253" i="48"/>
  <c r="F186" i="48"/>
  <c r="F38" i="48"/>
  <c r="F113" i="48"/>
  <c r="G253" i="48"/>
  <c r="G320" i="48"/>
  <c r="G113" i="48"/>
  <c r="G186" i="48"/>
  <c r="G38" i="48"/>
  <c r="AD43" i="17"/>
  <c r="F323" i="48"/>
  <c r="F256" i="48"/>
  <c r="F189" i="48"/>
  <c r="F41" i="48"/>
  <c r="F116" i="48"/>
  <c r="G256" i="48"/>
  <c r="G323" i="48"/>
  <c r="G116" i="48"/>
  <c r="G189" i="48"/>
  <c r="G41" i="48"/>
  <c r="AD43" i="18"/>
  <c r="F326" i="48"/>
  <c r="F192" i="48"/>
  <c r="F259" i="48"/>
  <c r="F44" i="48"/>
  <c r="F119" i="48"/>
  <c r="G259" i="48"/>
  <c r="G326" i="48"/>
  <c r="G192" i="48"/>
  <c r="G119" i="48"/>
  <c r="G44" i="48"/>
  <c r="AD43" i="15"/>
  <c r="F329" i="48"/>
  <c r="F195" i="48"/>
  <c r="F262" i="48"/>
  <c r="F47" i="48"/>
  <c r="F122" i="48"/>
  <c r="G262" i="48"/>
  <c r="G329" i="48"/>
  <c r="G122" i="48"/>
  <c r="G195" i="48"/>
  <c r="G47" i="48"/>
  <c r="AB45" i="20"/>
  <c r="F332" i="48"/>
  <c r="F198" i="48"/>
  <c r="F265" i="48"/>
  <c r="F50" i="48"/>
  <c r="F125" i="48"/>
  <c r="G265" i="48"/>
  <c r="G332" i="48"/>
  <c r="G198" i="48"/>
  <c r="G125" i="48"/>
  <c r="G50" i="48"/>
  <c r="AC42" i="25"/>
  <c r="F335" i="48"/>
  <c r="F201" i="48"/>
  <c r="F268" i="48"/>
  <c r="F53" i="48"/>
  <c r="F128" i="48"/>
  <c r="G268" i="48"/>
  <c r="G335" i="48"/>
  <c r="G128" i="48"/>
  <c r="G201" i="48"/>
  <c r="G53" i="48"/>
  <c r="AC41" i="21"/>
  <c r="J45" i="21"/>
  <c r="S44" i="21"/>
  <c r="F338" i="48"/>
  <c r="F204" i="48"/>
  <c r="F271" i="48"/>
  <c r="F56" i="48"/>
  <c r="F131" i="48"/>
  <c r="G271" i="48"/>
  <c r="G338" i="48"/>
  <c r="G204" i="48"/>
  <c r="G131" i="48"/>
  <c r="G56" i="48"/>
  <c r="AC41" i="22"/>
  <c r="J45" i="22"/>
  <c r="S44" i="22"/>
  <c r="F341" i="48"/>
  <c r="F207" i="48"/>
  <c r="F274" i="48"/>
  <c r="F59" i="48"/>
  <c r="F134" i="48"/>
  <c r="G274" i="48"/>
  <c r="G341" i="48"/>
  <c r="G207" i="48"/>
  <c r="G134" i="48"/>
  <c r="G59" i="48"/>
  <c r="AC41" i="23"/>
  <c r="J45" i="23"/>
  <c r="S44" i="23"/>
  <c r="F344" i="48"/>
  <c r="F210" i="48"/>
  <c r="F277" i="48"/>
  <c r="F62" i="48"/>
  <c r="F137" i="48"/>
  <c r="G277" i="48"/>
  <c r="G344" i="48"/>
  <c r="G210" i="48"/>
  <c r="G137" i="48"/>
  <c r="G62" i="48"/>
  <c r="AC41" i="24"/>
  <c r="J45" i="24"/>
  <c r="S44" i="24"/>
  <c r="F347" i="48"/>
  <c r="F213" i="48"/>
  <c r="F280" i="48"/>
  <c r="F65" i="48"/>
  <c r="F140" i="48"/>
  <c r="G280" i="48"/>
  <c r="G347" i="48"/>
  <c r="G213" i="48"/>
  <c r="G140" i="48"/>
  <c r="G65" i="48"/>
  <c r="AD46" i="26"/>
  <c r="F350" i="48"/>
  <c r="F216" i="48"/>
  <c r="F283" i="48"/>
  <c r="F68" i="48"/>
  <c r="F143" i="48"/>
  <c r="G283" i="48"/>
  <c r="G350" i="48"/>
  <c r="G216" i="48"/>
  <c r="G143" i="48"/>
  <c r="G68" i="48"/>
  <c r="AG42" i="30"/>
  <c r="J46" i="30"/>
  <c r="S45" i="30"/>
  <c r="F353" i="48"/>
  <c r="F219" i="48"/>
  <c r="F286" i="48"/>
  <c r="F71" i="48"/>
  <c r="F146" i="48"/>
  <c r="G286" i="48"/>
  <c r="G353" i="48"/>
  <c r="G219" i="48"/>
  <c r="G146" i="48"/>
  <c r="AG42" i="31"/>
  <c r="G71" i="48"/>
  <c r="J46" i="31"/>
  <c r="S45" i="31"/>
  <c r="F356" i="48"/>
  <c r="F222" i="48"/>
  <c r="F289" i="48"/>
  <c r="F74" i="48"/>
  <c r="F149" i="48"/>
  <c r="G289" i="48"/>
  <c r="G356" i="48"/>
  <c r="G222" i="48"/>
  <c r="G149" i="48"/>
  <c r="G74" i="48"/>
  <c r="AD46" i="32"/>
  <c r="F359" i="48"/>
  <c r="F225" i="48"/>
  <c r="F292" i="48"/>
  <c r="F77" i="48"/>
  <c r="F152" i="48"/>
  <c r="G292" i="48"/>
  <c r="G359" i="48"/>
  <c r="G225" i="48"/>
  <c r="G152" i="48"/>
  <c r="G77" i="48"/>
  <c r="AC41" i="27"/>
  <c r="J45" i="27"/>
  <c r="S44" i="27"/>
  <c r="F362" i="48"/>
  <c r="F228" i="48"/>
  <c r="F295" i="48"/>
  <c r="F80" i="48"/>
  <c r="F155" i="48"/>
  <c r="G295" i="48"/>
  <c r="G362" i="48"/>
  <c r="G228" i="48"/>
  <c r="G155" i="48"/>
  <c r="AC41" i="28"/>
  <c r="G80" i="48"/>
  <c r="J45" i="28"/>
  <c r="S44" i="28"/>
  <c r="F365" i="48"/>
  <c r="F231" i="48"/>
  <c r="F298" i="48"/>
  <c r="F83" i="48"/>
  <c r="F158" i="48"/>
  <c r="G298" i="48"/>
  <c r="G365" i="48"/>
  <c r="G231" i="48"/>
  <c r="G158" i="48"/>
  <c r="G83" i="48"/>
  <c r="AD46" i="29"/>
  <c r="D21" i="7"/>
  <c r="D23" i="7"/>
  <c r="F302" i="48"/>
  <c r="F235" i="48"/>
  <c r="F162" i="48"/>
  <c r="F24" i="48"/>
  <c r="F89" i="48"/>
  <c r="G235" i="48"/>
  <c r="G302" i="48"/>
  <c r="G89" i="48"/>
  <c r="G5" i="48"/>
  <c r="G2" i="48"/>
  <c r="G162" i="48"/>
  <c r="G24" i="48"/>
  <c r="AI18" i="5"/>
  <c r="O20" i="64"/>
  <c r="AD44" i="16"/>
  <c r="O22" i="64"/>
  <c r="AD46" i="16"/>
  <c r="L20" i="64"/>
  <c r="S44" i="16"/>
  <c r="L22" i="64"/>
  <c r="F23" i="64" s="1"/>
  <c r="S46" i="16"/>
  <c r="K55" i="19"/>
  <c r="U54" i="19"/>
  <c r="J48" i="17"/>
  <c r="I47" i="17"/>
  <c r="J48" i="18"/>
  <c r="I47" i="18"/>
  <c r="J48" i="15"/>
  <c r="S47" i="15"/>
  <c r="K51" i="20"/>
  <c r="S51" i="20" s="1"/>
  <c r="J50" i="20"/>
  <c r="I49" i="20"/>
  <c r="K48" i="25"/>
  <c r="S48" i="25" s="1"/>
  <c r="J47" i="25"/>
  <c r="I46" i="25"/>
  <c r="J48" i="14"/>
  <c r="S47" i="14"/>
  <c r="D20" i="7"/>
  <c r="S6" i="11"/>
  <c r="AD43" i="11"/>
  <c r="S6" i="12"/>
  <c r="AD43" i="12"/>
  <c r="S43" i="13"/>
  <c r="S44" i="13"/>
  <c r="AD45" i="13"/>
  <c r="S46" i="13"/>
  <c r="I47" i="13" s="1"/>
  <c r="K8" i="15"/>
  <c r="S8" i="15" s="1"/>
  <c r="S7" i="15"/>
  <c r="K8" i="18"/>
  <c r="S8" i="18" s="1"/>
  <c r="S7" i="18"/>
  <c r="K7" i="21"/>
  <c r="S7" i="21" s="1"/>
  <c r="S6" i="21"/>
  <c r="K7" i="23"/>
  <c r="S7" i="23" s="1"/>
  <c r="S6" i="23"/>
  <c r="AD57" i="12"/>
  <c r="AD43" i="13"/>
  <c r="AD44" i="13"/>
  <c r="S45" i="13"/>
  <c r="AD46" i="13"/>
  <c r="J7" i="14"/>
  <c r="S6" i="14"/>
  <c r="K8" i="16"/>
  <c r="S8" i="16" s="1"/>
  <c r="S7" i="16"/>
  <c r="K8" i="17"/>
  <c r="S8" i="17" s="1"/>
  <c r="S7" i="17"/>
  <c r="K8" i="19"/>
  <c r="U7" i="19"/>
  <c r="J6" i="22"/>
  <c r="S5" i="22"/>
  <c r="J6" i="24"/>
  <c r="S5" i="24"/>
  <c r="S5" i="21"/>
  <c r="S5" i="23"/>
  <c r="J6" i="28"/>
  <c r="S5" i="28"/>
  <c r="J6" i="31"/>
  <c r="S5" i="31"/>
  <c r="S6" i="15"/>
  <c r="K7" i="27"/>
  <c r="S7" i="27" s="1"/>
  <c r="S6" i="27"/>
  <c r="K7" i="30"/>
  <c r="S7" i="30" s="1"/>
  <c r="S6" i="30"/>
  <c r="H31" i="33"/>
  <c r="H136" i="33" s="1"/>
  <c r="S5" i="27"/>
  <c r="S5" i="30"/>
  <c r="H46" i="51"/>
  <c r="J46" i="51"/>
  <c r="H47" i="51"/>
  <c r="J47" i="51"/>
  <c r="H48" i="51"/>
  <c r="G49" i="51"/>
  <c r="G50" i="51"/>
  <c r="G53" i="51"/>
  <c r="E24" i="52"/>
  <c r="F2" i="54"/>
  <c r="F10" i="54"/>
  <c r="F2" i="55"/>
  <c r="E3" i="62"/>
  <c r="E4" i="62"/>
  <c r="E5" i="62"/>
  <c r="AA11" i="63"/>
  <c r="AA13" i="63"/>
  <c r="U15" i="63"/>
  <c r="G46" i="51"/>
  <c r="G47" i="51"/>
  <c r="G48" i="51"/>
  <c r="H49" i="51"/>
  <c r="J49" i="51"/>
  <c r="H50" i="51"/>
  <c r="J50" i="51"/>
  <c r="J51" i="51"/>
  <c r="J45" i="51" s="1"/>
  <c r="E5" i="2" s="1"/>
  <c r="J52" i="51"/>
  <c r="D5" i="52"/>
  <c r="E5" i="54"/>
  <c r="E5" i="55"/>
  <c r="D49" i="61"/>
  <c r="E6" i="62"/>
  <c r="E29" i="62"/>
  <c r="E30" i="62"/>
  <c r="E32" i="62"/>
  <c r="AA12" i="63"/>
  <c r="U14" i="63"/>
  <c r="AA15" i="63"/>
  <c r="AA16" i="63"/>
  <c r="J48" i="16" l="1"/>
  <c r="I47" i="16"/>
  <c r="K46" i="27"/>
  <c r="S46" i="27" s="1"/>
  <c r="S45" i="27"/>
  <c r="K47" i="31"/>
  <c r="S47" i="31" s="1"/>
  <c r="S46" i="31"/>
  <c r="K46" i="23"/>
  <c r="S46" i="23" s="1"/>
  <c r="S45" i="23"/>
  <c r="K46" i="21"/>
  <c r="S46" i="21" s="1"/>
  <c r="S45" i="21"/>
  <c r="K8" i="13"/>
  <c r="S8" i="13" s="1"/>
  <c r="S7" i="13"/>
  <c r="D43" i="7"/>
  <c r="D44" i="7" s="1"/>
  <c r="D45" i="7" s="1"/>
  <c r="D40" i="7"/>
  <c r="D41" i="7"/>
  <c r="K49" i="12"/>
  <c r="S49" i="12" s="1"/>
  <c r="S48" i="12"/>
  <c r="K49" i="11"/>
  <c r="S49" i="11" s="1"/>
  <c r="S48" i="11"/>
  <c r="D4" i="4"/>
  <c r="B5" i="1"/>
  <c r="K7" i="31"/>
  <c r="S7" i="31" s="1"/>
  <c r="S6" i="31"/>
  <c r="K7" i="28"/>
  <c r="S7" i="28" s="1"/>
  <c r="S6" i="28"/>
  <c r="K7" i="24"/>
  <c r="S7" i="24" s="1"/>
  <c r="S6" i="24"/>
  <c r="K7" i="22"/>
  <c r="S7" i="22" s="1"/>
  <c r="S6" i="22"/>
  <c r="L9" i="19"/>
  <c r="U9" i="19" s="1"/>
  <c r="U8" i="19"/>
  <c r="K8" i="14"/>
  <c r="S8" i="14" s="1"/>
  <c r="S7" i="14"/>
  <c r="J48" i="13"/>
  <c r="S47" i="13"/>
  <c r="K49" i="14"/>
  <c r="S49" i="14" s="1"/>
  <c r="S48" i="14"/>
  <c r="K49" i="15"/>
  <c r="S49" i="15" s="1"/>
  <c r="S48" i="15"/>
  <c r="K49" i="18"/>
  <c r="S49" i="18" s="1"/>
  <c r="S48" i="18"/>
  <c r="K49" i="17"/>
  <c r="S49" i="17" s="1"/>
  <c r="S48" i="17"/>
  <c r="U55" i="19"/>
  <c r="L56" i="19"/>
  <c r="U56" i="19" s="1"/>
  <c r="G24" i="64"/>
  <c r="L23" i="64"/>
  <c r="K46" i="28"/>
  <c r="S46" i="28" s="1"/>
  <c r="S45" i="28"/>
  <c r="K47" i="30"/>
  <c r="S47" i="30" s="1"/>
  <c r="S46" i="30"/>
  <c r="K46" i="24"/>
  <c r="S46" i="24" s="1"/>
  <c r="S45" i="24"/>
  <c r="K46" i="22"/>
  <c r="S46" i="22" s="1"/>
  <c r="S45" i="22"/>
  <c r="K63" i="12"/>
  <c r="S63" i="12" s="1"/>
  <c r="S62" i="12"/>
  <c r="H25" i="64" l="1"/>
  <c r="L25" i="64" s="1"/>
  <c r="L24" i="64"/>
  <c r="K49" i="13"/>
  <c r="S49" i="13" s="1"/>
  <c r="S48" i="13"/>
  <c r="D51" i="7"/>
  <c r="D48" i="7"/>
  <c r="D49" i="7"/>
  <c r="D47" i="7"/>
  <c r="D46" i="7"/>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<sst xmlns="http://schemas.openxmlformats.org/spreadsheetml/2006/main" count="15432" uniqueCount="3598">
  <si>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</si>
  <si>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</si>
  <si>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</si>
  <si>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</si>
  <si>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</si>
  <si>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</si>
  <si>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</si>
  <si>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</si>
  <si>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</si>
  <si>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</si>
  <si>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</si>
  <si>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</si>
  <si>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</si>
  <si>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26360358</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</si>
  <si>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</si>
  <si>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</si>
  <si>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</si>
  <si>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</si>
  <si>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</si>
  <si>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</si>
  <si>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</si>
  <si>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</si>
  <si>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</si>
  <si>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</si>
  <si>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</si>
  <si>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</si>
  <si>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</si>
  <si>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</si>
  <si>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</si>
  <si>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</si>
  <si>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</si>
  <si>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</si>
  <si>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</si>
  <si>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</si>
  <si>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</si>
  <si>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</si>
  <si>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</si>
  <si>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</si>
  <si>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</si>
  <si>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</si>
  <si>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</si>
  <si>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03/1571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</si>
  <si>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</si>
  <si>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</si>
  <si>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</si>
  <si>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03/3636</t>
  </si>
  <si>
    <t>Наименование органа регулирования, принявшего решение об изменении тарифов</t>
  </si>
  <si>
    <t>АО Нижневартовская ГРЭС</t>
  </si>
  <si>
    <t>Наименование (описание) обособленного подразделения</t>
  </si>
  <si>
    <t>ИНН</t>
  </si>
  <si>
    <t>8620018330</t>
  </si>
  <si>
    <t>КПП</t>
  </si>
  <si>
    <t>785150001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</si>
  <si>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</si>
  <si>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</si>
  <si>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</si>
  <si>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</si>
  <si>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</si>
  <si>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</si>
  <si>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</si>
  <si>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</si>
  <si>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</si>
  <si>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</si>
  <si>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</si>
  <si>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</si>
  <si>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</si>
  <si>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</si>
  <si>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</si>
  <si>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</si>
  <si>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</si>
  <si>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</si>
  <si>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628634, Российская Федерация, Ханты-Мансийский автономный округ – Югра, Нижневартовский район, поселок Излучинск, ул. В.Белого, строение 22</t>
  </si>
  <si>
    <t>Фамилия, имя, отчество руководителя</t>
  </si>
  <si>
    <t>Нелюбин Михаил Юрьевич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</si>
  <si>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</si>
  <si>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</si>
  <si>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</si>
  <si>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</si>
  <si>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</si>
  <si>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</si>
  <si>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</si>
  <si>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</si>
  <si>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</si>
  <si>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</si>
  <si>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</si>
  <si>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</si>
  <si>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</si>
  <si>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</si>
  <si>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</si>
  <si>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</si>
  <si>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</si>
  <si>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</si>
  <si>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</si>
  <si>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</si>
  <si>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</si>
  <si>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</si>
  <si>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t>
  </si>
  <si>
    <t>Нижневартовский муниципальный район</t>
  </si>
  <si>
    <t>Излучинск</t>
  </si>
  <si>
    <t>71819153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</si>
  <si>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</si>
  <si>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</si>
  <si>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</si>
  <si>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</si>
  <si>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</si>
  <si>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</si>
  <si>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</si>
  <si>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</si>
  <si>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</si>
  <si>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</si>
  <si>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</si>
  <si>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</si>
  <si>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</si>
  <si>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</si>
  <si>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</si>
  <si>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</si>
  <si>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</si>
  <si>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</si>
  <si>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</si>
  <si>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</si>
  <si>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</si>
  <si>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</si>
  <si>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</si>
  <si>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</si>
  <si>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</si>
  <si>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</si>
  <si>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</si>
  <si>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</si>
  <si>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</si>
  <si>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</si>
  <si>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</si>
  <si>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</si>
  <si>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</si>
  <si>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</si>
  <si>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</si>
  <si>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</si>
  <si>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</si>
  <si>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</si>
  <si>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</si>
  <si>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</si>
  <si>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</si>
  <si>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</si>
  <si>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</si>
  <si>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</si>
  <si>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</si>
  <si>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</si>
  <si>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</si>
  <si>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</si>
  <si>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</si>
  <si>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</si>
  <si>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</si>
  <si>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</si>
  <si>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</si>
  <si>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</si>
  <si>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</si>
  <si>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</si>
  <si>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</si>
  <si>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</si>
  <si>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</si>
  <si>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t>
  </si>
  <si>
    <t>"4190064"; "4190066";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</si>
  <si>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</si>
  <si>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</si>
  <si>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</si>
  <si>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</si>
  <si>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</si>
  <si>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</si>
  <si>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</si>
  <si>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</si>
  <si>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</si>
  <si>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t>
  </si>
  <si>
    <t>pt_ntar_30</t>
  </si>
  <si>
    <t>pt_ter_30</t>
  </si>
  <si>
    <t>pt_cs_30</t>
  </si>
  <si>
    <t>pt_ist_te_30</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</si>
  <si>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</si>
  <si>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</si>
  <si>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</si>
  <si>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</si>
  <si>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</si>
  <si>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</si>
  <si>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</si>
  <si>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</si>
  <si>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</si>
  <si>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</si>
  <si>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</si>
  <si>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</si>
  <si>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</si>
  <si>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</si>
  <si>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</si>
  <si>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</si>
  <si>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</si>
  <si>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</si>
  <si>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</si>
  <si>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</si>
  <si>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</si>
  <si>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</si>
  <si>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</si>
  <si>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</si>
  <si>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</si>
  <si>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</si>
  <si>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</si>
  <si>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</si>
  <si>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</si>
  <si>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</si>
  <si>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</si>
  <si>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</si>
  <si>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</si>
  <si>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</si>
  <si>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</si>
  <si>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</si>
  <si>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</si>
  <si>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</si>
  <si>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</si>
  <si>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</si>
  <si>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</si>
  <si>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</si>
  <si>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</si>
  <si>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</si>
  <si>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</si>
  <si>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</si>
  <si>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</si>
  <si>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</si>
  <si>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</si>
  <si>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</si>
  <si>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</si>
  <si>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</si>
  <si>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</si>
  <si>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</si>
  <si>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</si>
  <si>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</si>
  <si>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</si>
  <si>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</si>
  <si>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</si>
  <si>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</si>
  <si>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</si>
  <si>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</si>
  <si>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</si>
  <si>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</si>
  <si>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</si>
  <si>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</si>
  <si>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</si>
  <si>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</si>
  <si>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</si>
  <si>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</si>
  <si>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</si>
  <si>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</si>
  <si>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</si>
  <si>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</si>
  <si>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</si>
  <si>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</si>
  <si>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</si>
  <si>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</si>
  <si>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</si>
  <si>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</si>
  <si>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</si>
  <si>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</si>
  <si>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</si>
  <si>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</si>
  <si>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</si>
  <si>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</si>
  <si>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</si>
  <si>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</si>
  <si>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</si>
  <si>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</si>
  <si>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</si>
  <si>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</si>
  <si>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</si>
  <si>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</si>
  <si>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</si>
  <si>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</si>
  <si>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</si>
  <si>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</si>
  <si>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</si>
  <si>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</si>
  <si>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</si>
  <si>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</si>
  <si>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</si>
  <si>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</si>
  <si>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</si>
  <si>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</si>
  <si>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</si>
  <si>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</si>
  <si>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</si>
  <si>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</si>
  <si>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</si>
  <si>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</si>
  <si>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</si>
  <si>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</si>
  <si>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</si>
  <si>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</si>
  <si>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</si>
  <si>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</si>
  <si>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</si>
  <si>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</si>
  <si>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</si>
  <si>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</si>
  <si>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</si>
  <si>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</si>
  <si>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</si>
  <si>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</si>
  <si>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</si>
  <si>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</si>
  <si>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</si>
  <si>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</si>
  <si>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</si>
  <si>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</si>
  <si>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</si>
  <si>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</si>
  <si>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</si>
  <si>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</si>
  <si>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</si>
  <si>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</si>
  <si>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</si>
  <si>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</si>
  <si>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</si>
  <si>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</si>
  <si>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</si>
  <si>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</si>
  <si>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</si>
  <si>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</si>
  <si>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</si>
  <si>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</si>
  <si>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</si>
  <si>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</si>
  <si>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</si>
  <si>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</si>
  <si>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</si>
  <si>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</si>
  <si>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</si>
  <si>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</si>
  <si>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</si>
  <si>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</si>
  <si>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</si>
  <si>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</si>
  <si>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</si>
  <si>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</si>
  <si>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</si>
  <si>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</si>
  <si>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</si>
  <si>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</si>
  <si>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</si>
  <si>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</si>
  <si>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</si>
  <si>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</si>
  <si>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</si>
  <si>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</si>
  <si>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</si>
  <si>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</si>
  <si>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</si>
  <si>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</si>
  <si>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</si>
  <si>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</si>
  <si>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</si>
  <si>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</si>
  <si>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</si>
  <si>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</si>
  <si>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</si>
  <si>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</si>
  <si>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</si>
  <si>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</si>
  <si>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</si>
  <si>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</si>
  <si>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</si>
  <si>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</si>
  <si>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</si>
  <si>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</si>
  <si>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</si>
  <si>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</si>
  <si>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</si>
  <si>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</si>
  <si>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</si>
  <si>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</si>
  <si>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</si>
  <si>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</si>
  <si>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</si>
  <si>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</si>
  <si>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</si>
  <si>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</si>
  <si>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</si>
  <si>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</si>
  <si>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</si>
  <si>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</si>
  <si>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</si>
  <si>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</si>
  <si>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</si>
  <si>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</si>
  <si>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</si>
  <si>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</si>
  <si>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</si>
  <si>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</si>
  <si>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</si>
  <si>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</si>
  <si>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</si>
  <si>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</si>
  <si>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</si>
  <si>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</si>
  <si>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</si>
  <si>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</si>
  <si>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</si>
  <si>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</si>
  <si>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</si>
  <si>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</si>
  <si>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</si>
  <si>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</si>
  <si>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</si>
  <si>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</si>
  <si>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</si>
  <si>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</si>
  <si>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</si>
  <si>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</si>
  <si>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</si>
  <si>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</si>
  <si>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</si>
  <si>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</si>
  <si>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</si>
  <si>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</si>
  <si>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</si>
  <si>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</si>
  <si>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</si>
  <si>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</si>
  <si>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</si>
  <si>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</si>
  <si>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</si>
  <si>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</si>
  <si>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</si>
  <si>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</si>
  <si>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</si>
  <si>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</si>
  <si>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</si>
  <si>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</si>
  <si>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</si>
  <si>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</si>
  <si>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</si>
  <si>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</si>
  <si>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</si>
  <si>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</si>
  <si>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</si>
  <si>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</si>
  <si>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</si>
  <si>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</si>
  <si>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</si>
  <si>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</si>
  <si>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</si>
  <si>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</si>
  <si>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</si>
  <si>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</si>
  <si>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</si>
  <si>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</si>
  <si>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</si>
  <si>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</si>
  <si>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</si>
  <si>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</si>
  <si>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</si>
  <si>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прочие</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</si>
  <si>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</si>
  <si>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</si>
  <si>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</si>
  <si>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</si>
  <si>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</si>
  <si>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</si>
  <si>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</si>
  <si>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</si>
  <si>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</si>
  <si>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</si>
  <si>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</si>
  <si>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</si>
  <si>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</si>
  <si>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</si>
  <si>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</si>
  <si>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</si>
  <si>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</si>
  <si>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</si>
  <si>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</si>
  <si>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</si>
  <si>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</si>
  <si>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</si>
  <si>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</si>
  <si>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</si>
  <si>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</si>
  <si>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</si>
  <si>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</si>
  <si>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</si>
  <si>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</si>
  <si>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</si>
  <si>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</si>
  <si>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</si>
  <si>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</si>
  <si>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</si>
  <si>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</si>
  <si>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</si>
  <si>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</si>
  <si>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</si>
  <si>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</si>
  <si>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</si>
  <si>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</si>
  <si>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</si>
  <si>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</si>
  <si>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</si>
  <si>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</si>
  <si>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</si>
  <si>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</si>
  <si>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</si>
  <si>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</si>
  <si>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</si>
  <si>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</si>
  <si>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</si>
  <si>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</si>
  <si>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</si>
  <si>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</si>
  <si>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</si>
  <si>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</si>
  <si>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</si>
  <si>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</si>
  <si>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</si>
  <si>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</si>
  <si>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</si>
  <si>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</si>
  <si>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</si>
  <si>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</si>
  <si>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</si>
  <si>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</si>
  <si>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</si>
  <si>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</si>
  <si>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</si>
  <si>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</si>
  <si>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</si>
  <si>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</si>
  <si>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</si>
  <si>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</si>
  <si>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</si>
  <si>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</si>
  <si>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</si>
  <si>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</si>
  <si>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</si>
  <si>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</si>
  <si>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</si>
  <si>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</si>
  <si>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</si>
  <si>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</si>
  <si>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</si>
  <si>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</si>
  <si>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</si>
  <si>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</si>
  <si>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</si>
  <si>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</si>
  <si>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</si>
  <si>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</si>
  <si>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</si>
  <si>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</si>
  <si>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</si>
  <si>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</si>
  <si>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</si>
  <si>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</si>
  <si>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</si>
  <si>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</si>
  <si>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</si>
  <si>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</si>
  <si>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</si>
  <si>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</si>
  <si>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</si>
  <si>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</si>
  <si>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</si>
  <si>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</si>
  <si>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</si>
  <si>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</si>
  <si>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</si>
  <si>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</si>
  <si>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</si>
  <si>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</si>
  <si>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</si>
  <si>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</si>
  <si>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</si>
  <si>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</si>
  <si>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</si>
  <si>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</si>
  <si>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</si>
  <si>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</si>
  <si>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</si>
  <si>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</si>
  <si>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</si>
  <si>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</si>
  <si>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</si>
  <si>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</si>
  <si>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</si>
  <si>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</si>
  <si>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</si>
  <si>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</si>
  <si>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</si>
  <si>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</si>
  <si>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</si>
  <si>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</si>
  <si>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</si>
  <si>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</si>
  <si>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</si>
  <si>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</si>
  <si>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</si>
  <si>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</si>
  <si>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</si>
  <si>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</si>
  <si>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</si>
  <si>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</si>
  <si>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</si>
  <si>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</si>
  <si>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</si>
  <si>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</si>
  <si>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</si>
  <si>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</si>
  <si>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</si>
  <si>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</si>
  <si>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</si>
  <si>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</si>
  <si>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</si>
  <si>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</si>
  <si>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</si>
  <si>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</si>
  <si>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</si>
  <si>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</si>
  <si>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</si>
  <si>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</si>
  <si>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</si>
  <si>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</si>
  <si>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</si>
  <si>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</si>
  <si>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</si>
  <si>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</si>
  <si>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</si>
  <si>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</si>
  <si>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</si>
  <si>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</si>
  <si>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</si>
  <si>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</si>
  <si>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</si>
  <si>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</si>
  <si>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</si>
  <si>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</si>
  <si>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</si>
  <si>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</si>
  <si>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</si>
  <si>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</si>
  <si>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</si>
  <si>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</si>
  <si>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</si>
  <si>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</si>
  <si>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</si>
  <si>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</si>
  <si>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</si>
  <si>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</si>
  <si>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</si>
  <si>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</si>
  <si>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</si>
  <si>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</si>
  <si>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</si>
  <si>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</si>
  <si>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</si>
  <si>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</si>
  <si>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</si>
  <si>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</si>
  <si>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</si>
  <si>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</si>
  <si>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</si>
  <si>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</si>
  <si>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</si>
  <si>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</si>
  <si>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</si>
  <si>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</si>
  <si>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</si>
  <si>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</si>
  <si>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</si>
  <si>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</si>
  <si>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</si>
  <si>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</si>
  <si>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</si>
  <si>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</si>
  <si>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</si>
  <si>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</si>
  <si>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</si>
  <si>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</si>
  <si>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</si>
  <si>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</si>
  <si>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</si>
  <si>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</si>
  <si>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</si>
  <si>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</si>
  <si>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</si>
  <si>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</si>
  <si>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</si>
  <si>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</si>
  <si>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</si>
  <si>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</si>
  <si>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</si>
  <si>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</si>
  <si>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</si>
  <si>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</si>
  <si>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</si>
  <si>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</si>
  <si>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</si>
  <si>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</si>
  <si>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</si>
  <si>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</si>
  <si>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</si>
  <si>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</si>
  <si>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</si>
  <si>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</si>
  <si>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</si>
  <si>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</si>
  <si>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</si>
  <si>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</si>
  <si>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</si>
  <si>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</si>
  <si>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</si>
  <si>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</si>
  <si>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</si>
  <si>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</si>
  <si>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</si>
  <si>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</si>
  <si>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</si>
  <si>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</si>
  <si>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</si>
  <si>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</si>
  <si>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</si>
  <si>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</si>
  <si>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</si>
  <si>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</si>
  <si>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</si>
  <si>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</si>
  <si>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</si>
  <si>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</si>
  <si>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</si>
  <si>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</si>
  <si>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</si>
  <si>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</si>
  <si>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</si>
  <si>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</si>
  <si>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</si>
  <si>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</si>
  <si>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</si>
  <si>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</si>
  <si>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</si>
  <si>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</si>
  <si>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</si>
  <si>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</si>
  <si>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</si>
  <si>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</si>
  <si>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</si>
  <si>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</si>
  <si>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</si>
  <si>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</si>
  <si>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</si>
  <si>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</si>
  <si>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</si>
  <si>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</si>
  <si>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</si>
  <si>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</si>
  <si>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</si>
  <si>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</si>
  <si>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</si>
  <si>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</si>
  <si>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</si>
  <si>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</si>
  <si>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</si>
  <si>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</si>
  <si>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</si>
  <si>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</si>
  <si>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</si>
  <si>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</si>
  <si>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</si>
  <si>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</si>
  <si>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</si>
  <si>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</si>
  <si>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</si>
  <si>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</si>
  <si>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</si>
  <si>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</si>
  <si>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</si>
  <si>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</si>
  <si>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</si>
  <si>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</si>
  <si>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</si>
  <si>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</si>
  <si>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</si>
  <si>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</si>
  <si>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</si>
  <si>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</si>
  <si>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</si>
  <si>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</si>
  <si>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</si>
  <si>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</si>
  <si>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</si>
  <si>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</si>
  <si>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</si>
  <si>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</si>
  <si>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</si>
  <si>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</si>
  <si>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</si>
  <si>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</si>
  <si>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</si>
  <si>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</si>
  <si>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</si>
  <si>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</si>
  <si>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</si>
  <si>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</si>
  <si>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</si>
  <si>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</si>
  <si>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</si>
  <si>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</si>
  <si>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</si>
  <si>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</si>
  <si>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</si>
  <si>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</si>
  <si>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</si>
  <si>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</si>
  <si>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</si>
  <si>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</si>
  <si>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</si>
  <si>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</si>
  <si>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</si>
  <si>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</si>
  <si>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</si>
  <si>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</si>
  <si>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</si>
  <si>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</si>
  <si>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</si>
  <si>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</si>
  <si>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</si>
  <si>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</si>
  <si>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</si>
  <si>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</si>
  <si>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</si>
  <si>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</si>
  <si>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</si>
  <si>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</si>
  <si>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</si>
  <si>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</si>
  <si>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</si>
  <si>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</si>
  <si>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</si>
  <si>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</si>
  <si>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</si>
  <si>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</si>
  <si>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</si>
  <si>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</si>
  <si>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</si>
  <si>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</si>
  <si>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</si>
  <si>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</si>
  <si>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</si>
  <si>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</si>
  <si>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</si>
  <si>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</si>
  <si>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</si>
  <si>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</si>
  <si>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</si>
  <si>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</si>
  <si>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</si>
  <si>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</si>
  <si>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</si>
  <si>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</si>
  <si>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</si>
  <si>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</si>
  <si>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</si>
  <si>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</si>
  <si>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</si>
  <si>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</si>
  <si>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</si>
  <si>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</si>
  <si>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</si>
  <si>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</si>
  <si>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</si>
  <si>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</si>
  <si>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</si>
  <si>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</si>
  <si>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</si>
  <si>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</si>
  <si>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</si>
  <si>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</si>
  <si>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</si>
  <si>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</si>
  <si>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</si>
  <si>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</si>
  <si>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</si>
  <si>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</si>
  <si>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</si>
  <si>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</si>
  <si>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</si>
  <si>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</si>
  <si>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</si>
  <si>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</si>
  <si>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</si>
  <si>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</si>
  <si>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</si>
  <si>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</si>
  <si>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</si>
  <si>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</si>
  <si>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</si>
  <si>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</si>
  <si>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</si>
  <si>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</si>
  <si>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</si>
  <si>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</si>
  <si>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</si>
  <si>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</si>
  <si>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</si>
  <si>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</si>
  <si>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</si>
  <si>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</si>
  <si>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</si>
  <si>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</si>
  <si>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</si>
  <si>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</si>
  <si>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</si>
  <si>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</si>
  <si>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</si>
  <si>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</si>
  <si>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</si>
  <si>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</si>
  <si>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</si>
  <si>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</si>
  <si>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</si>
  <si>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</si>
  <si>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</si>
  <si>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</si>
  <si>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</si>
  <si>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</si>
  <si>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</si>
  <si>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</si>
  <si>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</si>
  <si>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</si>
  <si>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</si>
  <si>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</si>
  <si>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</si>
  <si>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</si>
  <si>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</si>
  <si>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</si>
  <si>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</si>
  <si>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</si>
  <si>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</si>
  <si>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</si>
  <si>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</si>
  <si>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</si>
  <si>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</si>
  <si>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</si>
  <si>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</si>
  <si>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</si>
  <si>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</si>
  <si>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</si>
  <si>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</si>
  <si>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</si>
  <si>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</si>
  <si>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</si>
  <si>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</si>
  <si>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</si>
  <si>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</si>
  <si>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</si>
  <si>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</si>
  <si>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</si>
  <si>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</si>
  <si>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</si>
  <si>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</si>
  <si>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</si>
  <si>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</si>
  <si>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</si>
  <si>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</si>
  <si>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</si>
  <si>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</si>
  <si>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</si>
  <si>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</si>
  <si>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</si>
  <si>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</si>
  <si>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</si>
  <si>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</si>
  <si>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</si>
  <si>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</si>
  <si>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</si>
  <si>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</si>
  <si>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</si>
  <si>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</si>
  <si>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</si>
  <si>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</si>
  <si>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</si>
  <si>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</si>
  <si>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</si>
  <si>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</si>
  <si>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</si>
  <si>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</si>
  <si>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</si>
  <si>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</si>
  <si>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</si>
  <si>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</si>
  <si>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</si>
  <si>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</si>
  <si>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</si>
  <si>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</si>
  <si>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</si>
  <si>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</si>
  <si>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</si>
  <si>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</si>
  <si>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</si>
  <si>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</si>
  <si>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</si>
  <si>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</si>
  <si>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</si>
  <si>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</si>
  <si>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</si>
  <si>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</si>
  <si>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</si>
  <si>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</si>
  <si>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</si>
  <si>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</si>
  <si>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</si>
  <si>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</si>
  <si>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</si>
  <si>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</si>
  <si>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</si>
  <si>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</si>
  <si>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</si>
  <si>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</si>
  <si>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</si>
  <si>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</si>
  <si>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</si>
  <si>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</si>
  <si>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</si>
  <si>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</si>
  <si>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</si>
  <si>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</si>
  <si>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</si>
  <si>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</si>
  <si>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</si>
  <si>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</si>
  <si>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</si>
  <si>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</si>
  <si>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</si>
  <si>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</si>
  <si>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</si>
  <si>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</si>
  <si>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</si>
  <si>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</si>
  <si>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</si>
  <si>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</si>
  <si>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</si>
  <si>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</si>
  <si>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</si>
  <si>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</si>
  <si>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</si>
  <si>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</si>
  <si>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</si>
  <si>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</si>
  <si>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</si>
  <si>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</si>
  <si>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</si>
  <si>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</si>
  <si>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</si>
  <si>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</si>
  <si>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</si>
  <si>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</si>
  <si>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</si>
  <si>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</si>
  <si>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</si>
  <si>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</si>
  <si>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</si>
  <si>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</si>
  <si>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</si>
  <si>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</si>
  <si>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</si>
  <si>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</si>
  <si>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</si>
  <si>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</si>
  <si>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</si>
  <si>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</si>
  <si>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</si>
  <si>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</si>
  <si>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</si>
  <si>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</si>
  <si>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</si>
  <si>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</si>
  <si>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</si>
  <si>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</si>
  <si>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</si>
  <si>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</si>
  <si>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</si>
  <si>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</si>
  <si>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</si>
  <si>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</si>
  <si>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</si>
  <si>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</si>
  <si>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</si>
  <si>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</si>
  <si>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</si>
  <si>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</si>
  <si>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</si>
  <si>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</si>
  <si>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</si>
  <si>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</si>
  <si>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</si>
  <si>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</si>
  <si>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</si>
  <si>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</si>
  <si>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</si>
  <si>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</si>
  <si>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</si>
  <si>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</si>
  <si>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</si>
  <si>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</si>
  <si>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</si>
  <si>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</si>
  <si>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</si>
  <si>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</si>
  <si>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</si>
  <si>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</si>
  <si>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</si>
  <si>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</si>
  <si>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</si>
  <si>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</si>
  <si>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</si>
  <si>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</si>
  <si>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</si>
  <si>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</si>
  <si>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</si>
  <si>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</si>
  <si>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</si>
  <si>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</si>
  <si>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</si>
  <si>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</si>
  <si>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</si>
  <si>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</si>
  <si>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</si>
  <si>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</si>
  <si>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</si>
  <si>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</si>
  <si>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</si>
  <si>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</si>
  <si>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</si>
  <si>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</si>
  <si>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</si>
  <si>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</si>
  <si>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</si>
  <si>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</si>
  <si>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</si>
  <si>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</si>
  <si>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</si>
  <si>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</si>
  <si>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</si>
  <si>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</si>
  <si>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</si>
  <si>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</si>
  <si>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</si>
  <si>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</si>
  <si>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</si>
  <si>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</si>
  <si>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</si>
  <si>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</si>
  <si>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</si>
  <si>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</si>
  <si>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</si>
  <si>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</si>
  <si>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</si>
  <si>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</si>
  <si>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</si>
  <si>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https://portal.eias.ru/Portal/DownloadPage.aspx?type=12&amp;guid=60393733-f222-46af-8e0d-7f06d34206d7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</si>
  <si>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</si>
  <si>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</si>
  <si>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</si>
  <si>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регламентированных закупок товаров, работ, услуг для нужд АО "Нижневартовская ГРЭС", утвержденное Советом Директоров Общества (протокол № 121 от 18.10.2023)</t>
  </si>
  <si>
    <t>https://zakupki.gov.ru/223/clause/public/order-clause/info/documents.html?clauseId=2941&amp;clauseInfoId=875480&amp;versioned=&amp;activeTab=1</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</si>
  <si>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</si>
  <si>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единой информационной системы в сфере закупок в информационно-телекоммуникационной сети Интернет (далее - ЕИС)</t>
  </si>
  <si>
    <t>https://zakupki.gov.ru/223/clause/public/order-clause/info/actual-common-info.html?clauseId=2941&amp;clauseInfoId=708318</t>
  </si>
  <si>
    <t>Планирование закупок Общества, включая определение способа проведения закупок, осуществляется путем формирования Годовой комплексной программой закупок (ГКПЗ), которая утверждается Единоличным Исполнительным Органом Общества после согласования с Центральным Закупочным Органом Общества (ЦЗО). План закупок размещается в ЕИС, а также на дополнительных Интернет-ресурсах: www.roseltorg.ru, www.irao.tektorg.ru, www.interrao-zakupki.ru, www.kim-irao.roseltorg.ru</t>
  </si>
  <si>
    <t>https://zakupki.gov.ru/epz/orderplan/search/results.html?searchString=8620018330&amp;morphology=on&amp;search-filter=Дате+размещения&amp;structuredCheckBox=on&amp;structured=true&amp;notStructured=false&amp;fz223=on&amp;orderPlanSearchPlace=PLANS_AND_DOCUMENTS&amp;sortBy=BY_MODIFY_DATE&amp;pageNumber=1&amp;sortDirection=false&amp;recordsPerPage=_10&amp;showLotsInfoHidden=false&amp;searchType=false</t>
  </si>
  <si>
    <t>Информация об объявлении закупок, их проведении и подведении итогов размещается на Интернет-ресурсах: ЕИС, www.roseltorg.ru, www.irao.tektorg.ru, www.interrao-zakupki.ru, www.kim-irao.roseltorg.ru. Отчетность о заключенных договорах размещается в ЕИС в сроки согласно ФЗ-223</t>
  </si>
  <si>
    <t>https://zakupki.gov.ru/epz/order/extendedsearch/results.html?searchString=8620018330&amp;morphology=on&amp;search-filter=%D0%94%D0%B0%D1%82%D0%B5+%D1%80%D0%B0%D0%B7%D0%BC%D0%B5%D1%89%D0%B5%D0%BD%D0%B8%D1%8F&amp;pageNumber=1&amp;sortDirection=false&amp;recordsPerPage=_10&amp;showLotsInfoHidden=false&amp;sortBy=UPDATE_DATE&amp;fz44=on&amp;fz223=on&amp;af=on&amp;ca=on&amp;pc=on&amp;pa=on&amp;currencyIdGeneral=-1</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</si>
  <si>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</si>
  <si>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</si>
  <si>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</si>
  <si>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</si>
  <si>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</si>
  <si>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</si>
  <si>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</si>
  <si>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</si>
  <si>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</si>
  <si>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</si>
  <si>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</si>
  <si>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</si>
  <si>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</si>
  <si>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</si>
  <si>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</si>
  <si>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</si>
  <si>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</si>
  <si>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</si>
  <si>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</si>
  <si>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</si>
  <si>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</si>
  <si>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</si>
  <si>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</si>
  <si>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</si>
  <si>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</si>
  <si>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</si>
  <si>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</si>
  <si>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</si>
  <si>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</si>
  <si>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</si>
  <si>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</si>
  <si>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</si>
  <si>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</si>
  <si>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</si>
  <si>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</si>
  <si>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</si>
  <si>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</si>
  <si>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</si>
  <si>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</si>
  <si>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</si>
  <si>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</si>
  <si>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</si>
  <si>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</si>
  <si>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</si>
  <si>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</si>
  <si>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</si>
  <si>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</si>
  <si>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</si>
  <si>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</si>
  <si>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</si>
  <si>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</si>
  <si>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</si>
  <si>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</si>
  <si>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</si>
  <si>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</si>
  <si>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</si>
  <si>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</si>
  <si>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</si>
  <si>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</si>
  <si>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</si>
  <si>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</si>
  <si>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</si>
  <si>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</si>
  <si>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</si>
  <si>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</si>
  <si>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</si>
  <si>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</si>
  <si>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</si>
  <si>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</si>
  <si>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</si>
  <si>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</si>
  <si>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</si>
  <si>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</si>
  <si>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</si>
  <si>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</si>
  <si>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</si>
  <si>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</si>
  <si>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</si>
  <si>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</si>
  <si>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</si>
  <si>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</si>
  <si>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</si>
  <si>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</si>
  <si>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</si>
  <si>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</si>
  <si>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</si>
  <si>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</si>
  <si>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</si>
  <si>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</si>
  <si>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</si>
  <si>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</si>
  <si>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</si>
  <si>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</si>
  <si>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</si>
  <si>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</si>
  <si>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</si>
  <si>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</si>
  <si>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</si>
  <si>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</si>
  <si>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</si>
  <si>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</si>
  <si>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</si>
  <si>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</si>
  <si>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</si>
  <si>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</si>
  <si>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</si>
  <si>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</si>
  <si>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</si>
  <si>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</si>
  <si>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</si>
  <si>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</si>
  <si>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</si>
  <si>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</si>
  <si>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</si>
  <si>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</si>
  <si>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</si>
  <si>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</si>
  <si>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</si>
  <si>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</si>
  <si>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</si>
  <si>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</si>
  <si>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</si>
  <si>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</si>
  <si>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</si>
  <si>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</si>
  <si>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</si>
  <si>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</si>
  <si>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</si>
  <si>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</si>
  <si>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</si>
  <si>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</si>
  <si>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</si>
  <si>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</si>
  <si>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</si>
  <si>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</si>
  <si>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</si>
  <si>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</si>
  <si>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</si>
  <si>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</si>
  <si>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</si>
  <si>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</si>
  <si>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</si>
  <si>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</si>
  <si>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</si>
  <si>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</si>
  <si>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</si>
  <si>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</si>
  <si>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</si>
  <si>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</si>
  <si>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</si>
  <si>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</si>
  <si>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</si>
  <si>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</si>
  <si>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</si>
  <si>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</si>
  <si>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</si>
  <si>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</si>
  <si>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</si>
  <si>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</si>
  <si>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</si>
  <si>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</si>
  <si>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</si>
  <si>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</si>
  <si>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</si>
  <si>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</si>
  <si>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</si>
  <si>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</si>
  <si>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</si>
  <si>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</si>
  <si>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</si>
  <si>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</si>
  <si>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</si>
  <si>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</si>
  <si>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</si>
  <si>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</si>
  <si>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</si>
  <si>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</si>
  <si>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</si>
  <si>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</si>
  <si>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</si>
  <si>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</si>
  <si>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</si>
  <si>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</si>
  <si>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</si>
  <si>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</si>
  <si>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</si>
  <si>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</si>
  <si>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</si>
  <si>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</si>
  <si>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</si>
  <si>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</si>
  <si>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</si>
  <si>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</si>
  <si>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</si>
  <si>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</si>
  <si>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</si>
  <si>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</si>
  <si>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</si>
  <si>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</si>
  <si>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</si>
  <si>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</si>
  <si>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</si>
  <si>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</si>
  <si>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</si>
  <si>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</si>
  <si>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</si>
  <si>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</si>
  <si>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</si>
  <si>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</si>
  <si>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</si>
  <si>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</si>
  <si>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</si>
  <si>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</si>
  <si>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</si>
  <si>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</si>
  <si>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</si>
  <si>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</si>
  <si>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</si>
  <si>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</si>
  <si>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</si>
  <si>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</si>
  <si>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</si>
  <si>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</si>
  <si>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</si>
  <si>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</si>
  <si>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</si>
  <si>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</si>
  <si>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</si>
  <si>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</si>
  <si>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</si>
  <si>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</si>
  <si>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</si>
  <si>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</si>
  <si>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</si>
  <si>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</si>
  <si>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</si>
  <si>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</si>
  <si>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</si>
  <si>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</si>
  <si>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</si>
  <si>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</si>
  <si>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</si>
  <si>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</si>
  <si>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</si>
  <si>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</si>
  <si>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</si>
  <si>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</si>
  <si>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</si>
  <si>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</si>
  <si>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</si>
  <si>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</si>
  <si>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</si>
  <si>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</si>
  <si>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</si>
  <si>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</si>
  <si>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</si>
  <si>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</si>
  <si>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</si>
  <si>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</si>
  <si>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</si>
  <si>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</si>
  <si>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</si>
  <si>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</si>
  <si>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</si>
  <si>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</si>
  <si>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</si>
  <si>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</si>
  <si>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</si>
  <si>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</si>
  <si>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</si>
  <si>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</si>
  <si>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</si>
  <si>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</si>
  <si>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</si>
  <si>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</si>
  <si>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</si>
  <si>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</si>
  <si>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</si>
  <si>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</si>
  <si>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</si>
  <si>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</si>
  <si>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</si>
  <si>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</si>
  <si>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</si>
  <si>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</si>
  <si>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</si>
  <si>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</si>
  <si>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</si>
  <si>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</si>
  <si>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</si>
  <si>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</si>
  <si>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</si>
  <si>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</si>
  <si>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</si>
  <si>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</si>
  <si>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</si>
  <si>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</si>
  <si>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</si>
  <si>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</si>
  <si>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</si>
  <si>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</si>
  <si>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</si>
  <si>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</si>
  <si>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</si>
  <si>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</si>
  <si>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</si>
  <si>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</si>
  <si>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</si>
  <si>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</si>
  <si>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</si>
  <si>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</si>
  <si>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</si>
  <si>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</si>
  <si>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</si>
  <si>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</si>
  <si>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</si>
  <si>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</si>
  <si>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</si>
  <si>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</si>
  <si>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</si>
  <si>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</si>
  <si>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</si>
  <si>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</si>
  <si>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</si>
  <si>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</si>
  <si>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</si>
  <si>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</si>
  <si>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</si>
  <si>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</si>
  <si>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</si>
  <si>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</si>
  <si>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</si>
  <si>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</si>
  <si>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</si>
  <si>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</si>
  <si>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</si>
  <si>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</si>
  <si>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</si>
  <si>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</si>
  <si>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</si>
  <si>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</si>
  <si>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</si>
  <si>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</si>
  <si>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</si>
  <si>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</si>
  <si>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</si>
  <si>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</si>
  <si>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</si>
  <si>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</si>
  <si>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</si>
  <si>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</si>
  <si>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</si>
  <si>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</si>
  <si>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</si>
  <si>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</si>
  <si>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</si>
  <si>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</si>
  <si>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</si>
  <si>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</si>
  <si>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</si>
  <si>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</si>
  <si>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</si>
  <si>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</si>
  <si>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</si>
  <si>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</si>
  <si>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</si>
  <si>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</si>
  <si>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</si>
  <si>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</si>
  <si>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</si>
  <si>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</si>
  <si>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</si>
  <si>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</si>
  <si>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</si>
  <si>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</si>
  <si>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</si>
  <si>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</si>
  <si>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</si>
  <si>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</si>
  <si>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</si>
  <si>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</si>
  <si>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</si>
  <si>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</si>
  <si>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</si>
  <si>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</si>
  <si>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</si>
  <si>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</si>
  <si>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</si>
  <si>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</si>
  <si>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</si>
  <si>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</si>
  <si>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</si>
  <si>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</si>
  <si>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</si>
  <si>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</si>
  <si>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</si>
  <si>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</si>
  <si>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</si>
  <si>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</si>
  <si>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</si>
  <si>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</si>
  <si>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</si>
  <si>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</si>
  <si>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</si>
  <si>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</si>
  <si>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</si>
  <si>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</si>
  <si>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</si>
  <si>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</si>
  <si>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</si>
  <si>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</si>
  <si>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</si>
  <si>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</si>
  <si>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</si>
  <si>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</si>
  <si>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</si>
  <si>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</si>
  <si>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</si>
  <si>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</si>
  <si>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</si>
  <si>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</si>
  <si>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</si>
  <si>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</si>
  <si>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</si>
  <si>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</si>
  <si>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</si>
  <si>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</si>
  <si>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</si>
  <si>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</si>
  <si>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</si>
  <si>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</si>
  <si>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</si>
  <si>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</si>
  <si>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</si>
  <si>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</si>
  <si>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</si>
  <si>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</si>
  <si>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</si>
  <si>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</si>
  <si>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</si>
  <si>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</si>
  <si>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</si>
  <si>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</si>
  <si>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</si>
  <si>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</si>
  <si>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</si>
  <si>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</si>
  <si>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</si>
  <si>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</si>
  <si>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</si>
  <si>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</si>
  <si>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</si>
  <si>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</si>
  <si>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</si>
  <si>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</si>
  <si>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</si>
  <si>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</si>
  <si>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</si>
  <si>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</si>
  <si>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</si>
  <si>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</si>
  <si>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</si>
  <si>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</si>
  <si>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</si>
  <si>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</si>
  <si>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</si>
  <si>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</si>
  <si>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</si>
  <si>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</si>
  <si>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</si>
  <si>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</si>
  <si>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</si>
  <si>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</si>
  <si>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</si>
  <si>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</si>
  <si>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</si>
  <si>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</si>
  <si>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</si>
  <si>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</si>
  <si>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</si>
  <si>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</si>
  <si>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</si>
  <si>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</si>
  <si>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</si>
  <si>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</si>
  <si>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</si>
  <si>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</si>
  <si>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</si>
  <si>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</si>
  <si>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</si>
  <si>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</si>
  <si>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</si>
  <si>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</si>
  <si>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</si>
  <si>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</si>
  <si>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</si>
  <si>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</si>
  <si>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</si>
  <si>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</si>
  <si>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</si>
  <si>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</si>
  <si>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</si>
  <si>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</si>
  <si>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</si>
  <si>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</si>
  <si>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</si>
  <si>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</si>
  <si>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</si>
  <si>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</si>
  <si>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</si>
  <si>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</si>
  <si>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</si>
  <si>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</si>
  <si>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</si>
  <si>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</si>
  <si>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</si>
  <si>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</si>
  <si>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</si>
  <si>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</si>
  <si>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</si>
  <si>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</si>
  <si>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</si>
  <si>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</si>
  <si>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</si>
  <si>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</si>
  <si>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</si>
  <si>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</si>
  <si>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</si>
  <si>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</si>
  <si>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</si>
  <si>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</si>
  <si>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</si>
  <si>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</si>
  <si>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</si>
  <si>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</si>
  <si>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</si>
  <si>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</si>
  <si>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</si>
  <si>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</si>
  <si>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</si>
  <si>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</si>
  <si>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</si>
  <si>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</si>
  <si>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</si>
  <si>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</si>
  <si>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</si>
  <si>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</si>
  <si>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</si>
  <si>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</si>
  <si>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</si>
  <si>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</si>
  <si>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</si>
  <si>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</si>
  <si>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</si>
  <si>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</si>
  <si>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</si>
  <si>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</si>
  <si>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</si>
  <si>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</si>
  <si>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</si>
  <si>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</si>
  <si>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</si>
  <si>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</si>
  <si>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</si>
  <si>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</si>
  <si>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</si>
  <si>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</si>
  <si>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</si>
  <si>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</si>
  <si>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</si>
  <si>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</si>
  <si>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</si>
  <si>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</si>
  <si>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</si>
  <si>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</si>
  <si>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</si>
  <si>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</si>
  <si>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</si>
  <si>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</si>
  <si>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</si>
  <si>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</si>
  <si>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</si>
  <si>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</si>
  <si>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</si>
  <si>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</si>
  <si>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</si>
  <si>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</si>
  <si>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</si>
  <si>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</si>
  <si>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</si>
  <si>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</si>
  <si>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</si>
  <si>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</si>
  <si>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</si>
  <si>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</si>
  <si>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</si>
  <si>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</si>
  <si>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</si>
  <si>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</si>
  <si>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</si>
  <si>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</si>
  <si>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</si>
  <si>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</si>
  <si>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</si>
  <si>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</si>
  <si>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</si>
  <si>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</si>
  <si>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</si>
  <si>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</si>
  <si>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</si>
  <si>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</si>
  <si>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</si>
  <si>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</si>
  <si>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</si>
  <si>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</si>
  <si>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</si>
  <si>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</si>
  <si>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</si>
  <si>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</si>
  <si>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</si>
  <si>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</si>
  <si>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</si>
  <si>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</si>
  <si>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</si>
  <si>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</si>
  <si>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</si>
  <si>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</si>
  <si>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</si>
  <si>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</si>
  <si>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</si>
  <si>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</si>
  <si>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</si>
  <si>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</si>
  <si>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</si>
  <si>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</si>
  <si>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</si>
  <si>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</si>
  <si>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</si>
  <si>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</si>
  <si>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</si>
  <si>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</si>
  <si>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</si>
  <si>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</si>
  <si>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</si>
  <si>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</si>
  <si>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</si>
  <si>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</si>
  <si>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</si>
  <si>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</si>
  <si>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</si>
  <si>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</si>
  <si>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</si>
  <si>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</si>
  <si>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</si>
  <si>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</si>
  <si>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</si>
  <si>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</si>
  <si>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</si>
  <si>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</si>
  <si>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</si>
  <si>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</si>
  <si>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</si>
  <si>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</si>
  <si>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</si>
  <si>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</si>
  <si>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</si>
  <si>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</si>
  <si>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</si>
  <si>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</si>
  <si>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</si>
  <si>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</si>
  <si>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</si>
  <si>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</si>
  <si>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</si>
  <si>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</si>
  <si>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</si>
  <si>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</si>
  <si>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</si>
  <si>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</si>
  <si>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</si>
  <si>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</si>
  <si>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</si>
  <si>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</si>
  <si>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</si>
  <si>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</si>
  <si>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</si>
  <si>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</si>
  <si>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</si>
  <si>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</si>
  <si>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</si>
  <si>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</si>
  <si>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</si>
  <si>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</si>
  <si>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</si>
  <si>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</si>
  <si>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</si>
  <si>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</si>
  <si>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</si>
  <si>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</si>
  <si>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</si>
  <si>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</si>
  <si>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</si>
  <si>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</si>
  <si>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</si>
  <si>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</si>
  <si>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</si>
  <si>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</si>
  <si>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</si>
  <si>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</si>
  <si>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</si>
  <si>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</si>
  <si>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</si>
  <si>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</si>
  <si>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</si>
  <si>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</si>
  <si>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</si>
  <si>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</si>
  <si>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</si>
  <si>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</si>
  <si>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</si>
  <si>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</si>
  <si>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</si>
  <si>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</si>
  <si>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</si>
  <si>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</si>
  <si>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</si>
  <si>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</si>
  <si>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</si>
  <si>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</si>
  <si>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</si>
  <si>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</si>
  <si>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</si>
  <si>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</si>
  <si>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</si>
  <si>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</si>
  <si>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</si>
  <si>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</si>
  <si>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Заявление АО "Нижневартовская ГРЭС" о корректировке долгосрочных, ранее установленных тарифов на тепловую энергию (мощность) на 2025-2028 гг. от 26.04.2024 № 03/1382</t>
  </si>
  <si>
    <t>Заявление АО "Нижневартовская ГРЭС" о корректировке долгосрочных, ранее установленных тарифов на тепловую энергию (мощность) на 2025-2028 гг. от 30.10.2024 № 03/3636</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</si>
  <si>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</si>
  <si>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</si>
  <si>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</si>
  <si>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</si>
  <si>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</si>
  <si>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</si>
  <si>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</si>
  <si>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</si>
  <si>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</si>
  <si>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</si>
  <si>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</si>
  <si>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</si>
  <si>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</si>
  <si>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</si>
  <si>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</si>
  <si>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</si>
  <si>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</si>
  <si>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</si>
  <si>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</si>
  <si>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</si>
  <si>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</si>
  <si>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</si>
  <si>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</si>
  <si>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</si>
  <si>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</si>
  <si>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</si>
  <si>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</si>
  <si>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</si>
  <si>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</si>
  <si>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</si>
  <si>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</si>
  <si>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</si>
  <si>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</si>
  <si>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</si>
  <si>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</si>
  <si>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</si>
  <si>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</si>
  <si>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</si>
  <si>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</si>
  <si>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</si>
  <si>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</si>
  <si>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</si>
  <si>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</si>
  <si>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</si>
  <si>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</si>
  <si>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</si>
  <si>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</si>
  <si>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</si>
  <si>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</si>
  <si>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</si>
  <si>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</si>
  <si>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</si>
  <si>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</si>
  <si>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</si>
  <si>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</si>
  <si>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</si>
  <si>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</si>
  <si>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</si>
  <si>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</si>
  <si>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</si>
  <si>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</si>
  <si>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</si>
  <si>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</si>
  <si>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</si>
  <si>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</si>
  <si>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</si>
  <si>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</si>
  <si>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</si>
  <si>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</si>
  <si>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</si>
  <si>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</si>
  <si>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</si>
  <si>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</si>
  <si>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</si>
  <si>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</si>
  <si>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</si>
  <si>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</si>
  <si>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</si>
  <si>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</si>
  <si>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</si>
  <si>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</si>
  <si>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</si>
  <si>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</si>
  <si>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</si>
  <si>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</si>
  <si>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</si>
  <si>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</si>
  <si>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</si>
  <si>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</si>
  <si>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</si>
  <si>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</si>
  <si>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</si>
  <si>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</si>
  <si>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</si>
  <si>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</si>
  <si>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</si>
  <si>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</si>
  <si>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</si>
  <si>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</si>
  <si>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</si>
  <si>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</si>
  <si>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</si>
  <si>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</si>
  <si>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</si>
  <si>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</si>
  <si>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</si>
  <si>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</si>
  <si>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</si>
  <si>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</si>
  <si>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</si>
  <si>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</si>
  <si>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</si>
  <si>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</si>
  <si>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</si>
  <si>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</si>
  <si>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</si>
  <si>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</si>
  <si>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</si>
  <si>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</si>
  <si>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</si>
  <si>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</si>
  <si>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</si>
  <si>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</si>
  <si>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</si>
  <si>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</si>
  <si>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</si>
  <si>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</si>
  <si>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</si>
  <si>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</si>
  <si>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</si>
  <si>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</si>
  <si>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</si>
  <si>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</si>
  <si>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</si>
  <si>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</si>
  <si>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</si>
  <si>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</si>
  <si>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</si>
  <si>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</si>
  <si>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</si>
  <si>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</si>
  <si>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</si>
  <si>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</si>
  <si>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</si>
  <si>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</si>
  <si>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</si>
  <si>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</si>
  <si>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</si>
  <si>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</si>
  <si>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</si>
  <si>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</si>
  <si>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</si>
  <si>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</si>
  <si>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</si>
  <si>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</si>
  <si>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</si>
  <si>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</si>
  <si>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</si>
  <si>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</si>
  <si>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</si>
  <si>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</si>
  <si>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</si>
  <si>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</si>
  <si>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</si>
  <si>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</si>
  <si>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</si>
  <si>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</si>
  <si>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</si>
  <si>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</si>
  <si>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</si>
  <si>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</si>
  <si>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</si>
  <si>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</si>
  <si>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</si>
  <si>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</si>
  <si>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</si>
  <si>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</si>
  <si>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</si>
  <si>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</si>
  <si>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</si>
  <si>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</si>
  <si>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</si>
  <si>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</si>
  <si>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</si>
  <si>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</si>
  <si>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</si>
  <si>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</si>
  <si>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</si>
  <si>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</si>
  <si>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</si>
  <si>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</si>
  <si>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</si>
  <si>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</si>
  <si>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</si>
  <si>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</si>
  <si>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</si>
  <si>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</si>
  <si>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</si>
  <si>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</si>
  <si>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</si>
  <si>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</si>
  <si>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</si>
  <si>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</si>
  <si>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</si>
  <si>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</si>
  <si>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</si>
  <si>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</si>
  <si>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</si>
  <si>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</si>
  <si>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</si>
  <si>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</si>
  <si>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</si>
  <si>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</si>
  <si>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</si>
  <si>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</si>
  <si>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</si>
  <si>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</si>
  <si>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</si>
  <si>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</si>
  <si>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</si>
  <si>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</si>
  <si>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</si>
  <si>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</si>
  <si>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</si>
  <si>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</si>
  <si>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</si>
  <si>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</si>
  <si>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</si>
  <si>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</si>
  <si>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</si>
  <si>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</si>
  <si>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</si>
  <si>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</si>
  <si>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</si>
  <si>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</si>
  <si>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</si>
  <si>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</si>
  <si>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</si>
  <si>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</si>
  <si>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</si>
  <si>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</si>
  <si>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</si>
  <si>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</si>
  <si>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</si>
  <si>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</si>
  <si>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</si>
  <si>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</si>
  <si>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</si>
  <si>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</si>
  <si>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</si>
  <si>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</si>
  <si>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</si>
  <si>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</si>
  <si>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</si>
  <si>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</si>
  <si>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</si>
  <si>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</si>
  <si>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</si>
  <si>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</si>
  <si>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</si>
  <si>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</si>
  <si>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</si>
  <si>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</si>
  <si>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</si>
  <si>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</si>
  <si>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</si>
  <si>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</si>
  <si>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</si>
  <si>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</si>
  <si>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</si>
  <si>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</si>
  <si>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</si>
  <si>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</si>
  <si>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</si>
  <si>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</si>
  <si>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</si>
  <si>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</si>
  <si>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</si>
  <si>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</si>
  <si>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</si>
  <si>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</si>
  <si>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</si>
  <si>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</si>
  <si>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</si>
  <si>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</si>
  <si>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</si>
  <si>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</si>
  <si>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</si>
  <si>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</si>
  <si>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</si>
  <si>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</si>
  <si>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</si>
  <si>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</si>
  <si>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</si>
  <si>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</si>
  <si>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</si>
  <si>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</si>
  <si>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</si>
  <si>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</si>
  <si>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</si>
  <si>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</si>
  <si>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</si>
  <si>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</si>
  <si>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</si>
  <si>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</si>
  <si>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</si>
  <si>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</si>
  <si>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</si>
  <si>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</si>
  <si>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</si>
  <si>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</si>
  <si>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</si>
  <si>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</si>
  <si>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</si>
  <si>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</si>
  <si>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</si>
  <si>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</si>
  <si>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</si>
  <si>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</si>
  <si>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</si>
  <si>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</si>
  <si>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</si>
  <si>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</si>
  <si>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</si>
  <si>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</si>
  <si>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</si>
  <si>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</si>
  <si>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</si>
  <si>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</si>
  <si>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</si>
  <si>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</si>
  <si>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</si>
  <si>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</si>
  <si>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</si>
  <si>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</si>
  <si>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</si>
  <si>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</si>
  <si>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</si>
  <si>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</si>
  <si>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</si>
  <si>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</si>
  <si>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</si>
  <si>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</si>
  <si>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</si>
  <si>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</si>
  <si>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</si>
  <si>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</si>
  <si>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</si>
  <si>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</si>
  <si>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</si>
  <si>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</si>
  <si>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</si>
  <si>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</si>
  <si>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</si>
  <si>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</si>
  <si>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</si>
  <si>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</si>
  <si>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</si>
  <si>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</si>
  <si>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</si>
  <si>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</si>
  <si>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</si>
  <si>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</si>
  <si>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</si>
  <si>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</si>
  <si>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</si>
  <si>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</si>
  <si>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</si>
  <si>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</si>
  <si>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</si>
  <si>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</si>
  <si>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</si>
  <si>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</si>
  <si>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</si>
  <si>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</si>
  <si>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</si>
  <si>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</si>
  <si>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</si>
  <si>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</si>
  <si>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26361211</t>
  </si>
  <si>
    <t>АО "Аэропорт Сургут"</t>
  </si>
  <si>
    <t>8602060523</t>
  </si>
  <si>
    <t>860201001</t>
  </si>
  <si>
    <t>04-09-1997 00:00:00</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</si>
  <si>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</si>
  <si>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</si>
  <si>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</si>
  <si>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</si>
  <si>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</si>
  <si>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</si>
  <si>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</si>
  <si>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</si>
  <si>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</si>
  <si>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</si>
  <si>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</si>
  <si>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</si>
  <si>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</si>
  <si>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</si>
  <si>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</si>
  <si>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</si>
  <si>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</si>
  <si>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</si>
  <si>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</si>
  <si>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</si>
  <si>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</si>
  <si>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</si>
  <si>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</si>
  <si>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</si>
  <si>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</si>
  <si>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</si>
  <si>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</si>
  <si>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</si>
  <si>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</si>
  <si>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</si>
  <si>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</si>
  <si>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</si>
  <si>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</si>
  <si>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</si>
  <si>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</si>
  <si>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</si>
  <si>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</si>
  <si>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</si>
  <si>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</si>
  <si>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</si>
  <si>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</si>
  <si>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</si>
  <si>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</si>
  <si>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</si>
  <si>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</si>
  <si>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</si>
  <si>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</si>
  <si>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</si>
  <si>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</si>
  <si>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</si>
  <si>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10-10-2007 00:00:00</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</si>
  <si>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</si>
  <si>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</si>
  <si>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</si>
  <si>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</si>
  <si>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</si>
  <si>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</si>
  <si>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</si>
  <si>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</si>
  <si>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</si>
  <si>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</si>
  <si>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</si>
  <si>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13-08-2008 00:00:00</t>
  </si>
  <si>
    <t>28856006</t>
  </si>
  <si>
    <t>АО "Юграавиа"</t>
  </si>
  <si>
    <t>8601053210</t>
  </si>
  <si>
    <t>26361265</t>
  </si>
  <si>
    <t>АО Кондаавиа</t>
  </si>
  <si>
    <t>8616004744</t>
  </si>
  <si>
    <t>861601001</t>
  </si>
  <si>
    <t>16-11-2002 00:00:00</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</si>
  <si>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</si>
  <si>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</si>
  <si>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</si>
  <si>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</si>
  <si>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</si>
  <si>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</si>
  <si>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</si>
  <si>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</si>
  <si>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</si>
  <si>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</si>
  <si>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</si>
  <si>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</si>
  <si>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31460976</t>
  </si>
  <si>
    <t>Акционерное общество «ГК ХМАО-Югры «Северавтодор» в зоне деятельности филиала № 5 АО «ГК «Северавтодор»</t>
  </si>
  <si>
    <t>8602257512</t>
  </si>
  <si>
    <t>861843001</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</si>
  <si>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</si>
  <si>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</si>
  <si>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</si>
  <si>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</si>
  <si>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</si>
  <si>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</si>
  <si>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</si>
  <si>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</si>
  <si>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</si>
  <si>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31002476</t>
  </si>
  <si>
    <t>Акционерное общество «Югорский лесопромышленный холдинг»</t>
  </si>
  <si>
    <t>8601022074</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</si>
  <si>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</si>
  <si>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</si>
  <si>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</si>
  <si>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</si>
  <si>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</si>
  <si>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</si>
  <si>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</si>
  <si>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</si>
  <si>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</si>
  <si>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</si>
  <si>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</si>
  <si>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</si>
  <si>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</si>
  <si>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</si>
  <si>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</si>
  <si>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</si>
  <si>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</si>
  <si>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</si>
  <si>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</si>
  <si>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</si>
  <si>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</si>
  <si>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</si>
  <si>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</si>
  <si>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</si>
  <si>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</si>
  <si>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</si>
  <si>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</si>
  <si>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</si>
  <si>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</si>
  <si>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</si>
  <si>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</si>
  <si>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</si>
  <si>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</si>
  <si>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</si>
  <si>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</si>
  <si>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</si>
  <si>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</si>
  <si>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</si>
  <si>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</si>
  <si>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</si>
  <si>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</si>
  <si>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</si>
  <si>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</si>
  <si>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</si>
  <si>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</si>
  <si>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</si>
  <si>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</si>
  <si>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</si>
  <si>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</si>
  <si>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</si>
  <si>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</si>
  <si>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</si>
  <si>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</si>
  <si>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</si>
  <si>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</si>
  <si>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</si>
  <si>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</si>
  <si>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</si>
  <si>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</si>
  <si>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</si>
  <si>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</si>
  <si>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</si>
  <si>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</si>
  <si>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</si>
  <si>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</si>
  <si>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</si>
  <si>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</si>
  <si>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</si>
  <si>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</si>
  <si>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</si>
  <si>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</si>
  <si>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</si>
  <si>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</si>
  <si>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</si>
  <si>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</si>
  <si>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</si>
  <si>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</si>
  <si>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</si>
  <si>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</si>
  <si>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</si>
  <si>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</si>
  <si>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</si>
  <si>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</si>
  <si>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</si>
  <si>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</si>
  <si>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</si>
  <si>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</si>
  <si>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</si>
  <si>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</si>
  <si>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</si>
  <si>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</si>
  <si>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</si>
  <si>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</si>
  <si>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</si>
  <si>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</si>
  <si>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</si>
  <si>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</si>
  <si>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</si>
  <si>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</si>
  <si>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</si>
  <si>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</si>
  <si>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</si>
  <si>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</si>
  <si>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</si>
  <si>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</si>
  <si>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</si>
  <si>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</si>
  <si>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сельское поселение Саранпауль</t>
  </si>
  <si>
    <t>8613003799</t>
  </si>
  <si>
    <t>31356763</t>
  </si>
  <si>
    <t>Муниципальное унитарное предприятие «Управление теплоснабжения муниципального образования Октябрьский район»</t>
  </si>
  <si>
    <t>8614001674</t>
  </si>
  <si>
    <t>31669454</t>
  </si>
  <si>
    <t>Муниципальное унитарное предприятие Белоярского района «Белоярские коммунальные системы»</t>
  </si>
  <si>
    <t>8611013174</t>
  </si>
  <si>
    <t>01-11-2022 00:00:00</t>
  </si>
  <si>
    <t>26361221</t>
  </si>
  <si>
    <t>Муниципальное унитарное предприятие города Нижневартовска "Теплоснабжение"</t>
  </si>
  <si>
    <t>8603008766</t>
  </si>
  <si>
    <t>10-04-2024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</si>
  <si>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</si>
  <si>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</si>
  <si>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</si>
  <si>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</si>
  <si>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</si>
  <si>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</si>
  <si>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</si>
  <si>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</si>
  <si>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</si>
  <si>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</si>
  <si>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26361214</t>
  </si>
  <si>
    <t>ОАО "Завод промстройдеталей"</t>
  </si>
  <si>
    <t>8602061069</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</si>
  <si>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</si>
  <si>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</si>
  <si>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</si>
  <si>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</si>
  <si>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</si>
  <si>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</si>
  <si>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</si>
  <si>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</si>
  <si>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</si>
  <si>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</si>
  <si>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</si>
  <si>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</si>
  <si>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</si>
  <si>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</si>
  <si>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</si>
  <si>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</si>
  <si>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</si>
  <si>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</si>
  <si>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</si>
  <si>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</si>
  <si>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</si>
  <si>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</si>
  <si>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</si>
  <si>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</si>
  <si>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</si>
  <si>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</si>
  <si>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</si>
  <si>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</si>
  <si>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</si>
  <si>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</si>
  <si>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</si>
  <si>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</si>
  <si>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</si>
  <si>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</si>
  <si>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</si>
  <si>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</si>
  <si>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</si>
  <si>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</si>
  <si>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</si>
  <si>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</si>
  <si>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</si>
  <si>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</si>
  <si>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</si>
  <si>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</si>
  <si>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</si>
  <si>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</si>
  <si>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</si>
  <si>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</si>
  <si>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</si>
  <si>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</si>
  <si>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</si>
  <si>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</si>
  <si>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</si>
  <si>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</si>
  <si>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</si>
  <si>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</si>
  <si>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</si>
  <si>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</si>
  <si>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</si>
  <si>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</si>
  <si>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</si>
  <si>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</si>
  <si>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</si>
  <si>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</si>
  <si>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</si>
  <si>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</si>
  <si>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</si>
  <si>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</si>
  <si>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</si>
  <si>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</si>
  <si>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</si>
  <si>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</si>
  <si>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</si>
  <si>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</si>
  <si>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</si>
  <si>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</si>
  <si>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</si>
  <si>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</si>
  <si>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</si>
  <si>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</si>
  <si>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</si>
  <si>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</si>
  <si>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</si>
  <si>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</si>
  <si>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</si>
  <si>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</si>
  <si>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</si>
  <si>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</si>
  <si>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</si>
  <si>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</si>
  <si>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</si>
  <si>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</si>
  <si>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</si>
  <si>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</si>
  <si>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</si>
  <si>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</si>
  <si>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</si>
  <si>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</si>
  <si>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</si>
  <si>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</si>
  <si>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</si>
  <si>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</si>
  <si>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</si>
  <si>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</si>
  <si>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</si>
  <si>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</si>
  <si>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</si>
  <si>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</si>
  <si>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</si>
  <si>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</si>
  <si>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</si>
  <si>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</si>
  <si>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</si>
  <si>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</si>
  <si>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26534242</t>
  </si>
  <si>
    <t>ООО "Няганские газораспределительные сети"</t>
  </si>
  <si>
    <t>8610023966</t>
  </si>
  <si>
    <t>15-12-2009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</si>
  <si>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</si>
  <si>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</si>
  <si>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</si>
  <si>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</si>
  <si>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</si>
  <si>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</si>
  <si>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</si>
  <si>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</si>
  <si>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</si>
  <si>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</si>
  <si>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</si>
  <si>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</si>
  <si>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</si>
  <si>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</si>
  <si>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</si>
  <si>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</si>
  <si>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</si>
  <si>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</si>
  <si>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</si>
  <si>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</si>
  <si>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</si>
  <si>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</si>
  <si>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</si>
  <si>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</si>
  <si>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</si>
  <si>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</si>
  <si>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</si>
  <si>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</si>
  <si>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</si>
  <si>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</si>
  <si>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</si>
  <si>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</si>
  <si>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</si>
  <si>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</si>
  <si>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</si>
  <si>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</si>
  <si>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</si>
  <si>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</si>
  <si>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</si>
  <si>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</si>
  <si>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</si>
  <si>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</si>
  <si>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</si>
  <si>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</si>
  <si>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</si>
  <si>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</si>
  <si>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</si>
  <si>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</si>
  <si>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</si>
  <si>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</si>
  <si>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</si>
  <si>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</si>
  <si>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</si>
  <si>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</si>
  <si>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</si>
  <si>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</si>
  <si>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</si>
  <si>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</si>
  <si>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</si>
  <si>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</si>
  <si>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</si>
  <si>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</si>
  <si>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</si>
  <si>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</si>
  <si>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</si>
  <si>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</si>
  <si>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</si>
  <si>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31655643</t>
  </si>
  <si>
    <t>ООО «Газпром Трансгаз Югорск» Белоярское управление технологического транспорта и специальной техники</t>
  </si>
  <si>
    <t>861102007</t>
  </si>
  <si>
    <t>30-09-2002 00:00:00</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</si>
  <si>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</si>
  <si>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</si>
  <si>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</si>
  <si>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</si>
  <si>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</si>
  <si>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30479693</t>
  </si>
  <si>
    <t>ООО «Специализированная компания автотехники – база»</t>
  </si>
  <si>
    <t>8602228656</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</si>
  <si>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</si>
  <si>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</si>
  <si>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</si>
  <si>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</si>
  <si>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</si>
  <si>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</si>
  <si>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</si>
  <si>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</si>
  <si>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</si>
  <si>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</si>
  <si>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</si>
  <si>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</si>
  <si>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</si>
  <si>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</si>
  <si>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</si>
  <si>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</si>
  <si>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</si>
  <si>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</si>
  <si>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</si>
  <si>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</si>
  <si>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</si>
  <si>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</si>
  <si>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</si>
  <si>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</si>
  <si>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</si>
  <si>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</si>
  <si>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</si>
  <si>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</si>
  <si>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</si>
  <si>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</si>
  <si>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01-01-2020 00:00:00</t>
  </si>
  <si>
    <t>26550525</t>
  </si>
  <si>
    <t>Общество с ограниченной ответственностью «ГАЗПРОМ ТРАНСГАЗ ЮГОРСК»</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</si>
  <si>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</si>
  <si>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</si>
  <si>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</si>
  <si>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</si>
  <si>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</si>
  <si>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</si>
  <si>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</si>
  <si>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</si>
  <si>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</si>
  <si>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</si>
  <si>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</si>
  <si>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</si>
  <si>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</si>
  <si>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</si>
  <si>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</si>
  <si>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</si>
  <si>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</si>
  <si>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</si>
  <si>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</si>
  <si>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</si>
  <si>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</si>
  <si>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</si>
  <si>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</si>
  <si>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</si>
  <si>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</si>
  <si>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</si>
  <si>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</si>
  <si>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</si>
  <si>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</si>
  <si>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</si>
  <si>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</si>
  <si>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</si>
  <si>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</si>
  <si>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</si>
  <si>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</si>
  <si>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</si>
  <si>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</si>
  <si>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</si>
  <si>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</si>
  <si>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</si>
  <si>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</si>
  <si>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</si>
  <si>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28812460</t>
  </si>
  <si>
    <t>Общество с ограниченной ответственностью «Унъюганская ресурсоснабжающая компания»</t>
  </si>
  <si>
    <t>8614009345</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</si>
  <si>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</si>
  <si>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</si>
  <si>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</si>
  <si>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</si>
  <si>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</si>
  <si>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</si>
  <si>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</si>
  <si>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</si>
  <si>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</si>
  <si>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</si>
  <si>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</si>
  <si>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</si>
  <si>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</si>
  <si>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</si>
  <si>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</si>
  <si>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</si>
  <si>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</si>
  <si>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</si>
  <si>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</si>
  <si>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</si>
  <si>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</si>
  <si>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</si>
  <si>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</si>
  <si>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</si>
  <si>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</si>
  <si>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</si>
  <si>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</si>
  <si>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</si>
  <si>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</si>
  <si>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</si>
  <si>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</si>
  <si>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</si>
  <si>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</si>
  <si>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</si>
  <si>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</si>
  <si>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</si>
  <si>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</si>
  <si>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</si>
  <si>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</si>
  <si>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</si>
  <si>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</si>
  <si>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</si>
  <si>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</si>
  <si>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</si>
  <si>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</si>
  <si>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</si>
  <si>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</si>
  <si>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26361300</t>
  </si>
  <si>
    <t>Управление по эксплуатации зданий и сооружений ООО "Газпром Трансгаз Югорск"</t>
  </si>
  <si>
    <t>862202004</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</si>
  <si>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</si>
  <si>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</si>
  <si>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</si>
  <si>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</si>
  <si>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</si>
  <si>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</si>
  <si>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</si>
  <si>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</si>
  <si>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</si>
  <si>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</si>
  <si>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</si>
  <si>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</si>
  <si>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</si>
  <si>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</si>
  <si>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</si>
  <si>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</si>
  <si>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</si>
  <si>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</si>
  <si>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</si>
  <si>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</si>
  <si>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</si>
  <si>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</si>
  <si>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</si>
  <si>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</si>
  <si>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</si>
  <si>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</si>
  <si>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</si>
  <si>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</si>
  <si>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</si>
  <si>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</si>
  <si>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</si>
  <si>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</si>
  <si>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</si>
  <si>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</si>
  <si>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</si>
  <si>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</si>
  <si>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</si>
  <si>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</si>
  <si>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</si>
  <si>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</si>
  <si>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</si>
  <si>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</si>
  <si>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</si>
  <si>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</si>
  <si>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</si>
  <si>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</si>
  <si>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</si>
  <si>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</si>
  <si>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</si>
  <si>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</si>
  <si>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</si>
  <si>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</si>
  <si>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</si>
  <si>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</si>
  <si>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</si>
  <si>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</si>
  <si>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</si>
  <si>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</si>
  <si>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</si>
  <si>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</si>
  <si>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</si>
  <si>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</si>
  <si>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26423509</t>
  </si>
  <si>
    <t>Муниципальное унитарное предприятие города Нижневартовска "Горводоканал"</t>
  </si>
  <si>
    <t>8603010370</t>
  </si>
  <si>
    <t>28486450</t>
  </si>
  <si>
    <t>Муниципальное унитарное предприятие города Нижневартовска «Производственный ремонтно-эксплуатационный трест №3»</t>
  </si>
  <si>
    <t>8603007924</t>
  </si>
  <si>
    <t>26423715</t>
  </si>
  <si>
    <t>ОАО "Тюменьэнерго" филиал Сургутские электрические сети</t>
  </si>
  <si>
    <t>860203001</t>
  </si>
  <si>
    <t>26454885</t>
  </si>
  <si>
    <t>ООО "Аквалидер"</t>
  </si>
  <si>
    <t>8621000390</t>
  </si>
  <si>
    <t>21-09-2009 00:00:00</t>
  </si>
  <si>
    <t>31037879</t>
  </si>
  <si>
    <t>ООО "Газпром переработка"</t>
  </si>
  <si>
    <t>780201001</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</si>
  <si>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</si>
  <si>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</si>
  <si>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</si>
  <si>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</si>
  <si>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</si>
  <si>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</si>
  <si>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</si>
  <si>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</si>
  <si>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</si>
  <si>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</si>
  <si>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</si>
  <si>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</si>
  <si>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</si>
  <si>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</si>
  <si>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</si>
  <si>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</si>
  <si>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</si>
  <si>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31014895</t>
  </si>
  <si>
    <t>Общество с ограниченной овтетсвенностью "АКВАТЕХ"</t>
  </si>
  <si>
    <t>8614001240</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</si>
  <si>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</si>
  <si>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</si>
  <si>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</si>
  <si>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</si>
  <si>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</si>
  <si>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</si>
  <si>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</si>
  <si>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</si>
  <si>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</si>
  <si>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</si>
  <si>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</si>
  <si>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</si>
  <si>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</si>
  <si>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</si>
  <si>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</si>
  <si>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</si>
  <si>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</si>
  <si>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</si>
  <si>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</si>
  <si>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</si>
  <si>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</si>
  <si>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</si>
  <si>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</si>
  <si>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</si>
  <si>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</si>
  <si>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</si>
  <si>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</si>
  <si>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</si>
  <si>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</si>
  <si>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</si>
  <si>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</si>
  <si>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</si>
  <si>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</si>
  <si>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</si>
  <si>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</si>
  <si>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</si>
  <si>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</si>
  <si>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</si>
  <si>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26423549</t>
  </si>
  <si>
    <t>Сургутское городское муниципальное унитарное предприятие "Горводоканал"</t>
  </si>
  <si>
    <t>8602016725</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</si>
  <si>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</si>
  <si>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</si>
  <si>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</si>
  <si>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</si>
  <si>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</si>
  <si>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</si>
  <si>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</si>
  <si>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</si>
  <si>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</si>
  <si>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</si>
  <si>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</si>
  <si>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</si>
  <si>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26423729</t>
  </si>
  <si>
    <t>Акционерное общество "Полигон-ЛТД"</t>
  </si>
  <si>
    <t>8617018429</t>
  </si>
  <si>
    <t>28-03-2003 00:00:00</t>
  </si>
  <si>
    <t>31161115</t>
  </si>
  <si>
    <t>Акционерное общество "Югра-Экология"</t>
  </si>
  <si>
    <t>8601065381</t>
  </si>
  <si>
    <t>31697781</t>
  </si>
  <si>
    <t>Акционерное общество «Региональные электрические сети – Сервис»</t>
  </si>
  <si>
    <t>8612012208</t>
  </si>
  <si>
    <t>25-07-2005 00:00:00</t>
  </si>
  <si>
    <t>31647778</t>
  </si>
  <si>
    <t>Индивидуальный предприниматель Реймер Алексей Николаевич</t>
  </si>
  <si>
    <t>861300007400</t>
  </si>
  <si>
    <t>02-04-2015 00:00:00</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</si>
  <si>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</si>
  <si>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</si>
  <si>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</si>
  <si>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</si>
  <si>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</si>
  <si>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</si>
  <si>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26423757</t>
  </si>
  <si>
    <t>Муниципальное унитарное предприятие "Сургутрайторф" муниципального образования Сургутский район</t>
  </si>
  <si>
    <t>8617020072</t>
  </si>
  <si>
    <t>27969225</t>
  </si>
  <si>
    <t>Муниципальное унитарное предприятие специализированное автотранспортное по обслуживанию объектов городского хозяйства городского округа Радужный Ханты-Мансийского автономного округа - Югры</t>
  </si>
  <si>
    <t>8609011300</t>
  </si>
  <si>
    <t>18-11-2002 00:00:00</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</si>
  <si>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</si>
  <si>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</si>
  <si>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</si>
  <si>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</si>
  <si>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</si>
  <si>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</si>
  <si>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</si>
  <si>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</si>
  <si>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</si>
  <si>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</si>
  <si>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26812499</t>
  </si>
  <si>
    <t>ООО "ЭкоТех"</t>
  </si>
  <si>
    <t>8606014221</t>
  </si>
  <si>
    <t>26455436</t>
  </si>
  <si>
    <t>ООО "Югратрансавто"</t>
  </si>
  <si>
    <t>8610017916</t>
  </si>
  <si>
    <t>20-12-2005 00:00:00</t>
  </si>
  <si>
    <t>31506929</t>
  </si>
  <si>
    <t>Общество с Ограниченной Ответственностью «МонтажСтройСервис»</t>
  </si>
  <si>
    <t>8601049319</t>
  </si>
  <si>
    <t>26423759</t>
  </si>
  <si>
    <t>Общество с ограниченной ответственностью "Спецкоммунсервис"</t>
  </si>
  <si>
    <t>8604028437</t>
  </si>
  <si>
    <t>21-09-2002 00:00:00</t>
  </si>
  <si>
    <t>31695535</t>
  </si>
  <si>
    <t>Общество с ограниченной ответственностью «АвтоСпецТехника»</t>
  </si>
  <si>
    <t>8610017930</t>
  </si>
  <si>
    <t>31461564</t>
  </si>
  <si>
    <t>Общество с ограниченной ответственностью «Баркас +»</t>
  </si>
  <si>
    <t>6674099685</t>
  </si>
  <si>
    <t>860345001</t>
  </si>
  <si>
    <t>01-01-2021 00:00:00</t>
  </si>
  <si>
    <t>31728768</t>
  </si>
  <si>
    <t>Общество с ограниченной ответственностью «ВЕРТИКАЛЬ»</t>
  </si>
  <si>
    <t>9721132218</t>
  </si>
  <si>
    <t>772101001</t>
  </si>
  <si>
    <t>04-06-2021 00:00:00</t>
  </si>
  <si>
    <t>31454882</t>
  </si>
  <si>
    <t>Общество с ограниченной ответственностью «Гранит»</t>
  </si>
  <si>
    <t>8603162140</t>
  </si>
  <si>
    <t>25-02-2009 00:00:00</t>
  </si>
  <si>
    <t>31695810</t>
  </si>
  <si>
    <t>Общество с ограниченной ответственностью «КомТрансАвто»</t>
  </si>
  <si>
    <t>8602181662</t>
  </si>
  <si>
    <t>19-05-2011 00:00:00</t>
  </si>
  <si>
    <t>31526490</t>
  </si>
  <si>
    <t>Общество с ограниченной ответственностью «Комплекс переработки отходов «Югра Центр»</t>
  </si>
  <si>
    <t>9717091664</t>
  </si>
  <si>
    <t>31526498</t>
  </si>
  <si>
    <t>Общество с ограниченной ответственностью «Комплекс переработки отходов «Югра»</t>
  </si>
  <si>
    <t>9717089619</t>
  </si>
  <si>
    <t>31526470</t>
  </si>
  <si>
    <t>Общество с ограниченной ответственностью «Нижневартовское экологическое объединение»</t>
  </si>
  <si>
    <t>8603232951</t>
  </si>
  <si>
    <t>31697786</t>
  </si>
  <si>
    <t>Общество с ограниченной ответственностью «ПТК»</t>
  </si>
  <si>
    <t>8602208138</t>
  </si>
  <si>
    <t>31-10-2013 00:00:00</t>
  </si>
  <si>
    <t>27967154</t>
  </si>
  <si>
    <t>Общество с ограниченной ответственностью «Пыть-ЯхАвтоСервисЦентр»</t>
  </si>
  <si>
    <t>8612010360</t>
  </si>
  <si>
    <t>14-10-2002 00:00:00</t>
  </si>
  <si>
    <t>31728762</t>
  </si>
  <si>
    <t>Общество с ограниченной ответственностью «РУБИКОН»</t>
  </si>
  <si>
    <t>7720850565</t>
  </si>
  <si>
    <t>772001001</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</si>
  <si>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</si>
  <si>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</si>
  <si>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</si>
  <si>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</si>
  <si>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</si>
  <si>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</si>
  <si>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</si>
  <si>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31311350</t>
  </si>
  <si>
    <t>Общество с ограниченной ответственностью «Спектр»</t>
  </si>
  <si>
    <t>0275905660</t>
  </si>
  <si>
    <t>31526456</t>
  </si>
  <si>
    <t>Общество с ограниченной ответственностью «Сургутское экологическое объединение»</t>
  </si>
  <si>
    <t>8602292323</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</si>
  <si>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</si>
  <si>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</si>
  <si>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</si>
  <si>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</si>
  <si>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</si>
  <si>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</si>
  <si>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</si>
  <si>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</si>
  <si>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</si>
  <si>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</si>
  <si>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27824067</t>
  </si>
  <si>
    <t>Сургутское городское муниципальное унитарное предприятие "Сургутский кадастровый центр Природа"</t>
  </si>
  <si>
    <t>8602001359</t>
  </si>
  <si>
    <t>24-08-2012 00:00:00</t>
  </si>
  <si>
    <t>NSRF</t>
  </si>
  <si>
    <t>MR_NAME</t>
  </si>
  <si>
    <t>OKTMO_MR_NAME</t>
  </si>
  <si>
    <t>MO_NAME</t>
  </si>
  <si>
    <t>OKTMO_NAME</t>
  </si>
  <si>
    <t>TYPE</t>
  </si>
  <si>
    <t>MR_ID</t>
  </si>
  <si>
    <t>Белоярский муниципальный район</t>
  </si>
  <si>
    <t>71811000</t>
  </si>
  <si>
    <t>Белоярский</t>
  </si>
  <si>
    <t>71811151</t>
  </si>
  <si>
    <t>городское поселение, в состав которого входит поселок</t>
  </si>
  <si>
    <t>муниципальный район</t>
  </si>
  <si>
    <t>Верхнеказымский</t>
  </si>
  <si>
    <t>71811406</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</si>
  <si>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</si>
  <si>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</si>
  <si>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</si>
  <si>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</si>
  <si>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</si>
  <si>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</si>
  <si>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</si>
  <si>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</si>
  <si>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</si>
  <si>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</si>
  <si>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</si>
  <si>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</si>
  <si>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</si>
  <si>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</si>
  <si>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</si>
  <si>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</si>
  <si>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</si>
  <si>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</si>
  <si>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</si>
  <si>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</si>
  <si>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</si>
  <si>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</si>
  <si>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</si>
  <si>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</si>
  <si>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</si>
  <si>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</si>
  <si>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</si>
  <si>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</si>
  <si>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</si>
  <si>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</si>
  <si>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</si>
  <si>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</si>
  <si>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</si>
  <si>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</si>
  <si>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</si>
  <si>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</si>
  <si>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</si>
  <si>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</si>
  <si>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</si>
  <si>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</si>
  <si>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</si>
  <si>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</si>
  <si>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</si>
  <si>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</si>
  <si>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</si>
  <si>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</si>
  <si>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</si>
  <si>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</si>
  <si>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</si>
  <si>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</si>
  <si>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</si>
  <si>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</si>
  <si>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</si>
  <si>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</si>
  <si>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</si>
  <si>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</si>
  <si>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</si>
  <si>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</si>
  <si>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</si>
  <si>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</si>
  <si>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</si>
  <si>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</si>
  <si>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</si>
  <si>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</si>
  <si>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</si>
  <si>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</si>
  <si>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</si>
  <si>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</si>
  <si>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</si>
  <si>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</si>
  <si>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</si>
  <si>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</si>
  <si>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</si>
  <si>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</si>
  <si>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</si>
  <si>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</si>
  <si>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71819000</t>
  </si>
  <si>
    <t>Аган</t>
  </si>
  <si>
    <t>71819402</t>
  </si>
  <si>
    <t>Вата</t>
  </si>
  <si>
    <t>71819403</t>
  </si>
  <si>
    <t>Ваховск</t>
  </si>
  <si>
    <t>71819405</t>
  </si>
  <si>
    <t>Зайцева речка</t>
  </si>
  <si>
    <t>71819412</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</si>
  <si>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</si>
  <si>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</si>
  <si>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</si>
  <si>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</si>
  <si>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</si>
  <si>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</si>
  <si>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</si>
  <si>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</si>
  <si>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</si>
  <si>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</si>
  <si>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</si>
  <si>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</si>
  <si>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</si>
  <si>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</si>
  <si>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</si>
  <si>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</si>
  <si>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</si>
  <si>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</si>
  <si>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</si>
  <si>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</si>
  <si>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</si>
  <si>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</si>
  <si>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</si>
  <si>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</si>
  <si>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</si>
  <si>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</si>
  <si>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</si>
  <si>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</si>
  <si>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</si>
  <si>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</si>
  <si>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</si>
  <si>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</si>
  <si>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</si>
  <si>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</si>
  <si>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</si>
  <si>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</si>
  <si>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</si>
  <si>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</si>
  <si>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</si>
  <si>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</si>
  <si>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</si>
  <si>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</si>
  <si>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</si>
  <si>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</si>
  <si>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</si>
  <si>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</si>
  <si>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</si>
  <si>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</si>
  <si>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</si>
  <si>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</si>
  <si>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</si>
  <si>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</si>
  <si>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</si>
  <si>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</si>
  <si>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</si>
  <si>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</si>
  <si>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</si>
  <si>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</si>
  <si>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</si>
  <si>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</si>
  <si>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</si>
  <si>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</si>
  <si>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</si>
  <si>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</si>
  <si>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</si>
  <si>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</si>
  <si>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</si>
  <si>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</si>
  <si>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</si>
  <si>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</si>
  <si>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Сургут</t>
  </si>
  <si>
    <t>71876000</t>
  </si>
  <si>
    <t>75</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</si>
  <si>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</si>
  <si>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</si>
  <si>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</si>
  <si>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</si>
  <si>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</si>
  <si>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</si>
  <si>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</si>
  <si>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</si>
  <si>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</si>
  <si>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</si>
  <si>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</si>
  <si>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</si>
  <si>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</si>
  <si>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</si>
  <si>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</si>
  <si>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</si>
  <si>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</si>
  <si>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</si>
  <si>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</si>
  <si>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</si>
  <si>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</si>
  <si>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</si>
  <si>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</si>
  <si>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</si>
  <si>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</si>
  <si>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</si>
  <si>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</si>
  <si>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</si>
  <si>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</si>
  <si>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</si>
  <si>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</si>
  <si>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</si>
  <si>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</si>
  <si>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</si>
  <si>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</si>
  <si>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</si>
  <si>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</si>
  <si>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</si>
  <si>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</si>
  <si>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</si>
  <si>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</si>
  <si>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</si>
  <si>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</si>
  <si>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</si>
  <si>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</si>
  <si>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</si>
  <si>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</si>
  <si>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</si>
  <si>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</si>
  <si>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</si>
  <si>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</si>
  <si>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</si>
  <si>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</si>
  <si>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</si>
  <si>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</si>
  <si>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</si>
  <si>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</si>
  <si>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</si>
  <si>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</si>
  <si>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</si>
  <si>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</si>
  <si>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</si>
  <si>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</si>
  <si>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</si>
  <si>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</si>
  <si>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</si>
  <si>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</si>
  <si>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</si>
  <si>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</si>
  <si>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</si>
  <si>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</si>
  <si>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</si>
  <si>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</si>
  <si>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</si>
  <si>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</si>
  <si>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</si>
  <si>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</si>
  <si>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</si>
  <si>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</si>
  <si>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</si>
  <si>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</si>
  <si>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</si>
  <si>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</si>
  <si>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</si>
  <si>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</si>
  <si>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</si>
  <si>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</si>
  <si>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</si>
  <si>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</si>
  <si>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</si>
  <si>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</si>
  <si>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</si>
  <si>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</si>
  <si>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</si>
  <si>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</si>
  <si>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</si>
  <si>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</si>
  <si>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</si>
  <si>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</si>
  <si>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</si>
  <si>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</si>
  <si>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</si>
  <si>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</si>
  <si>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</si>
  <si>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</si>
  <si>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</si>
  <si>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</si>
  <si>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</si>
  <si>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</si>
  <si>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</si>
  <si>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</si>
  <si>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</si>
  <si>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</si>
  <si>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</si>
  <si>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</si>
  <si>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</si>
  <si>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</si>
  <si>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</si>
  <si>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</si>
  <si>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</si>
  <si>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</si>
  <si>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</si>
  <si>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</si>
  <si>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</si>
  <si>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</si>
  <si>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</si>
  <si>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</si>
  <si>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</si>
  <si>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</si>
  <si>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</si>
  <si>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</si>
  <si>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</si>
  <si>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</si>
  <si>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</si>
  <si>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</si>
  <si>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</si>
  <si>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</si>
  <si>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</si>
  <si>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</si>
  <si>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</si>
  <si>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</si>
  <si>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</si>
  <si>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</si>
  <si>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</si>
  <si>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</si>
  <si>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</si>
  <si>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</si>
  <si>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</si>
  <si>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</si>
  <si>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</si>
  <si>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</si>
  <si>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</si>
  <si>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</si>
  <si>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</si>
  <si>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</si>
  <si>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</si>
  <si>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</si>
  <si>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</si>
  <si>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</si>
  <si>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</si>
  <si>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</si>
  <si>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</si>
  <si>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</si>
  <si>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</si>
  <si>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</si>
  <si>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</si>
  <si>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</si>
  <si>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</si>
  <si>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</si>
  <si>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</si>
  <si>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</si>
  <si>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</si>
  <si>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</si>
  <si>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</si>
  <si>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</si>
  <si>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</si>
  <si>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</si>
  <si>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</si>
  <si>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</si>
  <si>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</si>
  <si>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</si>
  <si>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</si>
  <si>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</si>
  <si>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</si>
  <si>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</si>
  <si>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</si>
  <si>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</si>
  <si>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</si>
  <si>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</si>
  <si>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</si>
  <si>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</si>
  <si>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</si>
  <si>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</si>
  <si>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</si>
  <si>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</si>
  <si>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</si>
  <si>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</si>
  <si>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</si>
  <si>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</si>
  <si>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</si>
  <si>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</si>
  <si>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</si>
  <si>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</si>
  <si>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</si>
  <si>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</si>
  <si>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</si>
  <si>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</si>
  <si>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</si>
  <si>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</si>
  <si>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</si>
  <si>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</si>
  <si>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</si>
  <si>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</si>
  <si>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</si>
  <si>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</si>
  <si>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</si>
  <si>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</si>
  <si>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</si>
  <si>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</si>
  <si>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</si>
  <si>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</si>
  <si>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</si>
  <si>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</si>
  <si>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</si>
  <si>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</si>
  <si>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</si>
  <si>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</si>
  <si>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</si>
  <si>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</si>
  <si>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</si>
  <si>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</si>
  <si>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</si>
  <si>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</si>
  <si>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</si>
  <si>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</si>
  <si>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</si>
  <si>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</si>
  <si>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</si>
  <si>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</si>
  <si>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</si>
  <si>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</si>
  <si>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</si>
  <si>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</si>
  <si>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</si>
  <si>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</si>
  <si>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</si>
  <si>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</si>
  <si>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</si>
  <si>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</si>
  <si>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</si>
  <si>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</si>
  <si>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</si>
  <si>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</si>
  <si>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</si>
  <si>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</si>
  <si>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</si>
  <si>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</si>
  <si>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</si>
  <si>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</si>
  <si>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</si>
  <si>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</si>
  <si>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</si>
  <si>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</si>
  <si>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</si>
  <si>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</si>
  <si>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</si>
  <si>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</si>
  <si>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</si>
  <si>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</si>
  <si>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</si>
  <si>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</si>
  <si>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</si>
  <si>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</si>
  <si>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</si>
  <si>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</si>
  <si>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</si>
  <si>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</si>
  <si>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</si>
  <si>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</si>
  <si>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</si>
  <si>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</si>
  <si>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</si>
  <si>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</si>
  <si>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</si>
  <si>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</si>
  <si>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</si>
  <si>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</si>
  <si>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</si>
  <si>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</si>
  <si>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</si>
  <si>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</si>
  <si>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</si>
  <si>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</si>
  <si>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</si>
  <si>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</si>
  <si>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</si>
  <si>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</si>
  <si>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</si>
  <si>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Пьянкова Ульяна Константиновна</t>
  </si>
  <si>
    <t xml:space="preserve"> экономист 2 категории ПЭО</t>
  </si>
  <si>
    <t>8 (3466) 28-53-56</t>
  </si>
  <si>
    <t>pyankova_uk@interrao.ru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</si>
</sst>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56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5" applyFont="1"/>
    <xf numFmtId="49" fontId="0" fillId="0" borderId="0" xfId="14" applyNumberFormat="1" applyFont="1">
      <alignment vertical="top"/>
    </xf>
    <xf numFmtId="49" fontId="0" fillId="0" borderId="0" xfId="14"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4" applyNumberFormat="1" applyFont="1" applyAlignment="1">
      <alignment horizontal="center" vertical="center" wrapText="1"/>
    </xf>
    <xf numFmtId="0" fontId="17"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0" xfId="14" applyNumberFormat="1" applyFont="1" applyAlignment="1">
      <alignment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29" fillId="0" borderId="10" xfId="14" applyNumberFormat="1" applyFont="1" applyBorder="1" applyAlignment="1">
      <alignment horizontal="center" vertical="center" wrapText="1"/>
    </xf>
    <xf numFmtId="49" fontId="29" fillId="0" borderId="0" xfId="14" applyNumberFormat="1" applyFont="1" applyAlignment="1">
      <alignment horizontal="center" vertical="center" wrapText="1"/>
    </xf>
    <xf numFmtId="0" fontId="28" fillId="0" borderId="0" xfId="14" applyNumberFormat="1" applyFont="1" applyAlignment="1">
      <alignment vertical="center" wrapText="1"/>
    </xf>
    <xf numFmtId="0" fontId="28" fillId="0" borderId="0" xfId="14" applyNumberFormat="1" applyFont="1" applyAlignment="1">
      <alignment vertical="center"/>
    </xf>
    <xf numFmtId="0" fontId="5" fillId="0" borderId="10" xfId="14" applyNumberFormat="1" applyFont="1" applyBorder="1" applyAlignment="1">
      <alignment horizontal="left" vertical="top" wrapText="1" indent="1"/>
    </xf>
    <xf numFmtId="0" fontId="5" fillId="0" borderId="18" xfId="14" applyNumberFormat="1" applyFont="1" applyBorder="1" applyAlignment="1">
      <alignment horizontal="left" vertical="center" wrapText="1" indent="1"/>
    </xf>
    <xf numFmtId="0" fontId="31" fillId="8" borderId="0" xfId="14" applyNumberFormat="1" applyFont="1" applyFill="1" applyAlignment="1">
      <alignment horizontal="center" vertical="center" wrapText="1"/>
    </xf>
    <xf numFmtId="0" fontId="29" fillId="0" borderId="0" xfId="14" applyNumberFormat="1" applyFont="1" applyAlignment="1">
      <alignment vertical="center" wrapText="1"/>
    </xf>
    <xf numFmtId="0" fontId="62" fillId="8" borderId="10"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9" fillId="12" borderId="3" xfId="0" applyNumberFormat="1" applyFont="1" applyFill="1" applyBorder="1" applyAlignment="1" applyProtection="1">
      <alignment horizontal="left" vertical="center" wrapText="1"/>
      <protection locked="0"/>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 fontId="5" fillId="9" borderId="3" xfId="14" applyNumberFormat="1" applyFont="1" applyFill="1" applyBorder="1" applyAlignment="1" applyProtection="1">
      <alignment horizontal="right" vertical="center" wrapText="1"/>
      <protection locked="0"/>
    </xf>
    <xf numFmtId="4" fontId="5" fillId="0" borderId="3" xfId="14" applyNumberFormat="1" applyFont="1" applyBorder="1" applyAlignment="1">
      <alignment horizontal="right" vertical="center" wrapText="1"/>
    </xf>
    <xf numFmtId="166" fontId="5" fillId="9" borderId="3" xfId="14" applyNumberFormat="1" applyFont="1" applyFill="1" applyBorder="1" applyAlignment="1" applyProtection="1">
      <alignment horizontal="right" vertical="center" wrapText="1"/>
      <protection locked="0"/>
    </xf>
    <xf numFmtId="4" fontId="29" fillId="0" borderId="3" xfId="14" applyNumberFormat="1" applyFont="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28" fillId="0" borderId="3" xfId="14" applyNumberFormat="1" applyFont="1" applyBorder="1" applyAlignment="1">
      <alignment vertical="center" wrapText="1"/>
    </xf>
    <xf numFmtId="0" fontId="0" fillId="0" borderId="3" xfId="14" applyNumberFormat="1" applyFont="1" applyBorder="1" applyAlignment="1">
      <alignment horizontal="center" vertical="center" wrapText="1"/>
    </xf>
    <xf numFmtId="4" fontId="28" fillId="0" borderId="3" xfId="14" applyNumberFormat="1" applyFont="1" applyBorder="1" applyAlignment="1">
      <alignment horizontal="right" vertical="center" wrapText="1"/>
    </xf>
    <xf numFmtId="166" fontId="28" fillId="0" borderId="3" xfId="14" applyNumberFormat="1" applyFont="1" applyBorder="1" applyAlignment="1">
      <alignment horizontal="right"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0"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49" fontId="5" fillId="10" borderId="6" xfId="14" applyNumberFormat="1" applyFont="1" applyFill="1" applyBorder="1" applyAlignment="1">
      <alignment horizontal="center" vertical="center" wrapText="1"/>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5" fillId="13" borderId="4" xfId="14"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7" borderId="4" xfId="14"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0" xfId="14"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0" borderId="3" xfId="14"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49" fontId="5" fillId="13" borderId="3" xfId="14" applyNumberFormat="1" applyFont="1" applyFill="1" applyBorder="1" applyAlignment="1">
      <alignment horizontal="center" vertical="center" wrapText="1"/>
    </xf>
    <xf numFmtId="0" fontId="18" fillId="0" borderId="18" xfId="14" applyNumberFormat="1" applyFont="1" applyBorder="1" applyAlignment="1">
      <alignment horizontal="center" vertical="center" wrapText="1"/>
    </xf>
    <xf numFmtId="0" fontId="5" fillId="8" borderId="8" xfId="14" applyNumberFormat="1" applyFont="1" applyFill="1" applyBorder="1" applyAlignment="1">
      <alignment horizontal="center" vertical="center" wrapText="1"/>
    </xf>
    <xf numFmtId="0" fontId="5" fillId="8" borderId="27" xfId="14" applyNumberFormat="1" applyFont="1" applyFill="1" applyBorder="1" applyAlignment="1">
      <alignment horizontal="center" vertical="center" wrapText="1"/>
    </xf>
    <xf numFmtId="0" fontId="5" fillId="8" borderId="14" xfId="14" applyNumberFormat="1" applyFont="1" applyFill="1" applyBorder="1" applyAlignment="1">
      <alignment horizontal="center" vertical="center" wrapText="1"/>
    </xf>
    <xf numFmtId="0" fontId="5" fillId="13" borderId="5" xfId="14" applyNumberFormat="1" applyFont="1" applyFill="1" applyBorder="1" applyAlignment="1">
      <alignment horizontal="left" vertical="center" wrapText="1"/>
    </xf>
    <xf numFmtId="0" fontId="5" fillId="13" borderId="6" xfId="14" applyNumberFormat="1" applyFont="1" applyFill="1" applyBorder="1" applyAlignment="1">
      <alignment horizontal="left" vertical="center" wrapText="1"/>
    </xf>
    <xf numFmtId="0" fontId="5" fillId="7" borderId="5" xfId="14" applyNumberFormat="1" applyFont="1" applyFill="1" applyBorder="1" applyAlignment="1">
      <alignment horizontal="left" vertical="center" wrapText="1"/>
    </xf>
    <xf numFmtId="0" fontId="5" fillId="7" borderId="6" xfId="14" applyNumberFormat="1" applyFont="1" applyFill="1" applyBorder="1" applyAlignment="1">
      <alignment horizontal="left" vertical="center" wrapText="1"/>
    </xf>
    <xf numFmtId="168" fontId="0" fillId="12" borderId="3" xfId="14" applyNumberFormat="1" applyFont="1" applyFill="1" applyBorder="1" applyAlignment="1" applyProtection="1">
      <alignment horizontal="center" vertical="center" wrapText="1"/>
      <protection locked="0"/>
    </xf>
    <xf numFmtId="49" fontId="0" fillId="12" borderId="3" xfId="14" applyNumberFormat="1" applyFont="1" applyFill="1" applyBorder="1" applyAlignment="1" applyProtection="1">
      <alignment horizontal="center" vertical="center" wrapText="1"/>
      <protection locked="0"/>
    </xf>
    <xf numFmtId="0" fontId="5" fillId="7" borderId="3" xfId="14" applyNumberFormat="1" applyFont="1" applyFill="1" applyBorder="1" applyAlignment="1">
      <alignment horizontal="left" vertical="center" wrapText="1" indent="1"/>
    </xf>
    <xf numFmtId="168" fontId="5" fillId="7" borderId="3" xfId="14" applyNumberFormat="1" applyFont="1" applyFill="1" applyBorder="1" applyAlignment="1">
      <alignment horizontal="left" vertical="center" wrapText="1" indent="1"/>
    </xf>
    <xf numFmtId="0" fontId="0" fillId="8" borderId="5" xfId="14" applyNumberFormat="1" applyFont="1" applyFill="1" applyBorder="1" applyAlignment="1">
      <alignment horizontal="center" vertical="center" wrapText="1"/>
    </xf>
    <xf numFmtId="0" fontId="0" fillId="8" borderId="6" xfId="14" applyNumberFormat="1" applyFont="1" applyFill="1" applyBorder="1" applyAlignment="1">
      <alignment horizontal="center" vertical="center" wrapText="1"/>
    </xf>
    <xf numFmtId="0" fontId="0" fillId="8" borderId="4" xfId="14" applyNumberFormat="1" applyFont="1" applyFill="1" applyBorder="1" applyAlignment="1">
      <alignment horizontal="center" vertical="center" wrapText="1"/>
    </xf>
    <xf numFmtId="0" fontId="5" fillId="0" borderId="8" xfId="14" applyNumberFormat="1" applyFont="1" applyBorder="1" applyAlignment="1">
      <alignment horizontal="center" vertical="center" wrapText="1"/>
    </xf>
    <xf numFmtId="0" fontId="5" fillId="0" borderId="14" xfId="14" applyNumberFormat="1" applyFont="1" applyBorder="1" applyAlignment="1">
      <alignment horizontal="center" vertical="center" wrapText="1"/>
    </xf>
    <xf numFmtId="0" fontId="28" fillId="0" borderId="8" xfId="14" applyNumberFormat="1" applyFont="1" applyBorder="1" applyAlignment="1">
      <alignment horizontal="center" vertical="center" wrapText="1"/>
    </xf>
    <xf numFmtId="0" fontId="28" fillId="0" borderId="14" xfId="14" applyNumberFormat="1" applyFont="1" applyBorder="1" applyAlignment="1">
      <alignment horizontal="center" vertical="center" wrapText="1"/>
    </xf>
    <xf numFmtId="0" fontId="5" fillId="0" borderId="5" xfId="14" applyNumberFormat="1" applyFont="1" applyBorder="1" applyAlignment="1">
      <alignment horizontal="center" vertical="center" wrapText="1"/>
    </xf>
    <xf numFmtId="0" fontId="5" fillId="0" borderId="4" xfId="14" applyNumberFormat="1" applyFont="1" applyBorder="1" applyAlignment="1">
      <alignment horizontal="center" vertical="center" wrapText="1"/>
    </xf>
    <xf numFmtId="0" fontId="5" fillId="0" borderId="6" xfId="14" applyNumberFormat="1" applyFont="1" applyBorder="1" applyAlignment="1">
      <alignment horizontal="center" vertical="center" wrapText="1"/>
    </xf>
    <xf numFmtId="0" fontId="0" fillId="0" borderId="5" xfId="14" applyNumberFormat="1" applyFont="1" applyBorder="1" applyAlignment="1">
      <alignment horizontal="center" vertical="center" wrapText="1"/>
    </xf>
    <xf numFmtId="0" fontId="0" fillId="0" borderId="4" xfId="14" applyNumberFormat="1" applyFont="1" applyBorder="1" applyAlignment="1">
      <alignment horizontal="center" vertical="center" wrapText="1"/>
    </xf>
    <xf numFmtId="0" fontId="62" fillId="8" borderId="10" xfId="14" applyNumberFormat="1" applyFont="1" applyFill="1" applyBorder="1" applyAlignment="1">
      <alignment horizontal="center" vertical="center" wrapText="1"/>
    </xf>
    <xf numFmtId="49" fontId="28" fillId="0" borderId="3" xfId="14" applyNumberFormat="1" applyFont="1" applyBorder="1" applyAlignment="1">
      <alignment horizontal="center" vertical="center" wrapText="1"/>
    </xf>
    <xf numFmtId="168" fontId="28" fillId="0" borderId="3" xfId="14" applyNumberFormat="1" applyFont="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xf numFmtId="0" fontId="9" fillId="12" borderId="3" xfId="11" applyFill="1" applyBorder="1">
      <alignment vertical="top"/>
    </xf>
  </cellXfs>
  <cellStyles count="32">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Гиперссылка" xfId="11" builtinId="8"/>
    <cellStyle name="Обычный" xfId="0" builtinId="0"/>
    <cellStyle name="Обычный 10" xfId="12" xr:uid="{00000000-0005-0000-0000-000048000000}"/>
    <cellStyle name="Обычный 16" xfId="13" xr:uid="{00000000-0005-0000-0000-000049000000}"/>
    <cellStyle name="Обычный 2" xfId="14" xr:uid="{00000000-0005-0000-0000-00004A000000}"/>
    <cellStyle name="Обычный_BALANCE.WARM.2007YEAR(FACT)" xfId="15" xr:uid="{00000000-0005-0000-0000-00004B000000}"/>
    <cellStyle name="Обычный_PRIL1.ELECTR" xfId="15" xr:uid="{00000000-0005-0000-0000-00004C000000}"/>
    <cellStyle name="Открывавшаяся гиперссылка" xfId="16"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yankova_uk@interra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0393733-f222-46af-8e0d-7f06d34206d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8620018330&amp;morphology=on&amp;search-filter=&#1044;&#1072;&#1090;&#1077;+&#1088;&#1072;&#1079;&#1084;&#1077;&#1097;&#1077;&#1085;&#1080;&#1103;&amp;structuredCheckBox=on&amp;structured=true&amp;notStructured=false&amp;fz223=on&amp;orderPlanSearchPlace=PLANS_AND_DOCUMENTS&amp;sortBy=BY_MODIFY_DATE&amp;pageNumber=1&amp;sortDirection=false&amp;recordsPerPage=_10&amp;showLotsInfoHidden=false&amp;searchType=false" TargetMode="External"/><Relationship Id="rId2" Type="http://schemas.openxmlformats.org/officeDocument/2006/relationships/hyperlink" Target="https://zakupki.gov.ru/223/clause/public/order-clause/info/actual-common-info.html?clauseId=2941&amp;clauseInfoId=708318" TargetMode="External"/><Relationship Id="rId1" Type="http://schemas.openxmlformats.org/officeDocument/2006/relationships/hyperlink" Target="https://zakupki.gov.ru/223/clause/public/order-clause/info/documents.html?clauseId=2941&amp;clauseInfoId=875480&amp;versioned=&amp;activeTab=1"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searchString=8620018330&amp;morphology=on&amp;search-filter=%D0%94%D0%B0%D1%82%D0%B5+%D1%80%D0%B0%D0%B7%D0%BC%D0%B5%D1%89%D0%B5%D0%BD%D0%B8%D1%8F&amp;pageNumber=1&amp;sortDirection=false&amp;recordsPerPage=_10&amp;showLotsInfoHidden=false&amp;sortBy=UPDATE_DATE&amp;fz44=on&amp;fz223=on&amp;af=on&amp;ca=on&amp;pc=on&amp;pa=on&amp;currencyIdGeneral=-1"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C2A3F-E81B-BD8C-8EEC-6DC5D9E0D8CB}">
  <dimension ref="A1:AB21"/>
  <sheetViews>
    <sheetView showGridLines="0" showRowColHeaders="0" workbookViewId="0"/>
  </sheetViews>
  <sheetFormatPr defaultColWidth="11" defaultRowHeight="12.75" customHeight="1"/>
  <cols>
    <col min="1" max="1" width="5.42578125" style="3074" customWidth="1"/>
    <col min="2" max="2" width="9.140625" style="3074" customWidth="1"/>
    <col min="3" max="3" width="16.42578125" style="3074" customWidth="1"/>
    <col min="4" max="25" width="6.28515625" style="3074" customWidth="1"/>
    <col min="26" max="28" width="11" style="307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3084" t="s">
        <v>1</v>
      </c>
      <c r="C2" s="3084"/>
      <c r="D2" s="3084"/>
      <c r="E2" s="3084"/>
      <c r="F2" s="3084"/>
      <c r="G2" s="3084"/>
      <c r="H2" s="3084"/>
      <c r="I2" s="3084"/>
      <c r="J2" s="3084"/>
      <c r="K2" s="3084"/>
      <c r="L2" s="3084"/>
      <c r="M2" s="3084"/>
      <c r="N2" s="3084"/>
      <c r="O2" s="3084"/>
      <c r="P2" s="3084"/>
      <c r="Q2" s="1631"/>
      <c r="R2" s="1631"/>
      <c r="S2" s="1631"/>
      <c r="T2" s="1631"/>
      <c r="U2" s="1631"/>
      <c r="V2" s="1632"/>
      <c r="W2" s="1631"/>
      <c r="X2" s="1631"/>
      <c r="Y2" s="1629"/>
      <c r="Z2" s="1628"/>
      <c r="AA2" s="1630"/>
      <c r="AB2" s="1628"/>
    </row>
    <row r="3" spans="1:28" ht="15.75" customHeight="1">
      <c r="A3" s="1628"/>
      <c r="B3" s="3085" t="s">
        <v>2</v>
      </c>
      <c r="C3" s="3085"/>
      <c r="D3" s="3085"/>
      <c r="E3" s="3085"/>
      <c r="F3" s="3085"/>
      <c r="G3" s="3085"/>
      <c r="H3" s="3085"/>
      <c r="I3" s="3085"/>
      <c r="J3" s="3085"/>
      <c r="K3" s="3085"/>
      <c r="L3" s="3085"/>
      <c r="M3" s="3085"/>
      <c r="N3" s="3085"/>
      <c r="O3" s="3085"/>
      <c r="P3" s="308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308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3087"/>
      <c r="D5" s="3087"/>
      <c r="E5" s="3087"/>
      <c r="F5" s="3087"/>
      <c r="G5" s="3087"/>
      <c r="H5" s="3087"/>
      <c r="I5" s="3087"/>
      <c r="J5" s="3087"/>
      <c r="K5" s="3087"/>
      <c r="L5" s="3087"/>
      <c r="M5" s="3087"/>
      <c r="N5" s="3087"/>
      <c r="O5" s="3087"/>
      <c r="P5" s="3087"/>
      <c r="Q5" s="3087"/>
      <c r="R5" s="3087"/>
      <c r="S5" s="3087"/>
      <c r="T5" s="3087"/>
      <c r="U5" s="3087"/>
      <c r="V5" s="3087"/>
      <c r="W5" s="3087"/>
      <c r="X5" s="3087"/>
      <c r="Y5" s="3088"/>
      <c r="Z5" s="1634"/>
      <c r="AA5" s="1630"/>
      <c r="AB5" s="1634"/>
    </row>
    <row r="6" spans="1:28" ht="15" customHeight="1">
      <c r="A6" s="1635"/>
      <c r="B6" s="3076" t="s">
        <v>3</v>
      </c>
      <c r="C6" s="307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3076"/>
      <c r="C7" s="307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3076"/>
      <c r="C8" s="3079"/>
      <c r="D8" s="1641"/>
      <c r="E8" s="1642" t="s">
        <v>4</v>
      </c>
      <c r="F8" s="3089" t="s">
        <v>5</v>
      </c>
      <c r="G8" s="3078"/>
      <c r="H8" s="3078"/>
      <c r="I8" s="3078"/>
      <c r="J8" s="3078"/>
      <c r="K8" s="3078"/>
      <c r="L8" s="3078"/>
      <c r="M8" s="3078"/>
      <c r="N8" s="1641"/>
      <c r="O8" s="1643" t="s">
        <v>4</v>
      </c>
      <c r="P8" s="3090" t="s">
        <v>6</v>
      </c>
      <c r="Q8" s="3091"/>
      <c r="R8" s="3091"/>
      <c r="S8" s="3091"/>
      <c r="T8" s="3091"/>
      <c r="U8" s="3091"/>
      <c r="V8" s="3091"/>
      <c r="W8" s="3091"/>
      <c r="X8" s="3091"/>
      <c r="Y8" s="1637"/>
      <c r="Z8" s="1638"/>
      <c r="AA8" s="1639"/>
      <c r="AB8" s="1639"/>
    </row>
    <row r="9" spans="1:28" ht="15" customHeight="1">
      <c r="A9" s="1635"/>
      <c r="B9" s="3076"/>
      <c r="C9" s="3079"/>
      <c r="D9" s="1641"/>
      <c r="E9" s="1644" t="s">
        <v>4</v>
      </c>
      <c r="F9" s="3089" t="s">
        <v>7</v>
      </c>
      <c r="G9" s="3078"/>
      <c r="H9" s="3078"/>
      <c r="I9" s="3078"/>
      <c r="J9" s="3078"/>
      <c r="K9" s="3078"/>
      <c r="L9" s="3078"/>
      <c r="M9" s="3078"/>
      <c r="N9" s="1641"/>
      <c r="O9" s="1645" t="s">
        <v>4</v>
      </c>
      <c r="P9" s="3090" t="s">
        <v>8</v>
      </c>
      <c r="Q9" s="3091"/>
      <c r="R9" s="3091"/>
      <c r="S9" s="3091"/>
      <c r="T9" s="3091"/>
      <c r="U9" s="3091"/>
      <c r="V9" s="3091"/>
      <c r="W9" s="3091"/>
      <c r="X9" s="3091"/>
      <c r="Y9" s="1637"/>
      <c r="Z9" s="1638"/>
      <c r="AA9" s="1639"/>
      <c r="AB9" s="1639"/>
    </row>
    <row r="10" spans="1:28" ht="30" customHeight="1">
      <c r="A10" s="1635"/>
      <c r="B10" s="3076"/>
      <c r="C10" s="307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307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3076"/>
      <c r="C12" s="3077"/>
      <c r="D12" s="1649"/>
      <c r="E12" s="3078" t="s">
        <v>10</v>
      </c>
      <c r="F12" s="3078"/>
      <c r="G12" s="3078"/>
      <c r="H12" s="3078"/>
      <c r="I12" s="3078"/>
      <c r="J12" s="3078"/>
      <c r="K12" s="3078"/>
      <c r="L12" s="3078"/>
      <c r="M12" s="3078"/>
      <c r="N12" s="3078"/>
      <c r="O12" s="3078"/>
      <c r="P12" s="3078"/>
      <c r="Q12" s="3078"/>
      <c r="R12" s="3078"/>
      <c r="S12" s="3078"/>
      <c r="T12" s="3078"/>
      <c r="U12" s="3078"/>
      <c r="V12" s="3078"/>
      <c r="W12" s="3078"/>
      <c r="X12" s="3078"/>
      <c r="Y12" s="1637"/>
      <c r="Z12" s="1638"/>
      <c r="AA12" s="1639"/>
      <c r="AB12" s="1639"/>
    </row>
    <row r="13" spans="1:28" ht="15" customHeight="1">
      <c r="A13" s="1635"/>
      <c r="B13" s="1" t="s">
        <v>11</v>
      </c>
      <c r="C13" s="307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3076"/>
      <c r="C14" s="3079"/>
      <c r="D14" s="1641"/>
      <c r="E14" s="3082" t="s">
        <v>12</v>
      </c>
      <c r="F14" s="3082"/>
      <c r="G14" s="3082"/>
      <c r="H14" s="3082"/>
      <c r="I14" s="3082"/>
      <c r="J14" s="3082"/>
      <c r="K14" s="3082"/>
      <c r="L14" s="3082"/>
      <c r="M14" s="3082"/>
      <c r="N14" s="3082"/>
      <c r="O14" s="3082"/>
      <c r="P14" s="3082"/>
      <c r="Q14" s="3082"/>
      <c r="R14" s="3082"/>
      <c r="S14" s="3082"/>
      <c r="T14" s="3082"/>
      <c r="U14" s="3082"/>
      <c r="V14" s="3082"/>
      <c r="W14" s="3082"/>
      <c r="X14" s="3082"/>
      <c r="Y14" s="1637"/>
      <c r="Z14" s="1638"/>
      <c r="AA14" s="1639"/>
      <c r="AB14" s="1639"/>
    </row>
    <row r="15" spans="1:28" ht="16.5" customHeight="1">
      <c r="A15" s="1635"/>
      <c r="B15" s="3080"/>
      <c r="C15" s="308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3082"/>
      <c r="C16" s="3083"/>
      <c r="D16" s="3083"/>
      <c r="E16" s="3083"/>
      <c r="F16" s="3083"/>
      <c r="G16" s="3083"/>
      <c r="H16" s="3083"/>
      <c r="I16" s="3083"/>
      <c r="J16" s="3083"/>
      <c r="K16" s="3083"/>
      <c r="L16" s="3083"/>
      <c r="M16" s="3083"/>
      <c r="N16" s="3083"/>
      <c r="O16" s="3083"/>
      <c r="P16" s="3083"/>
      <c r="Q16" s="3083"/>
      <c r="R16" s="3083"/>
      <c r="S16" s="3083"/>
      <c r="T16" s="3083"/>
      <c r="U16" s="3083"/>
      <c r="V16" s="3083"/>
      <c r="W16" s="3083"/>
      <c r="X16" s="3083"/>
      <c r="Y16" s="308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AF45-1FA5-17C6-380F-FCBB85445A0D}">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80</v>
      </c>
      <c r="H1" s="426" t="s">
        <v>81</v>
      </c>
      <c r="I1" s="426" t="s">
        <v>82</v>
      </c>
      <c r="P1" s="426" t="s">
        <v>80</v>
      </c>
      <c r="Q1" s="426" t="s">
        <v>81</v>
      </c>
      <c r="R1" s="426" t="s">
        <v>82</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3104" t="s">
        <v>396</v>
      </c>
      <c r="F4" s="3104"/>
      <c r="G4" s="3105"/>
      <c r="H4" s="3105"/>
      <c r="I4" s="3106"/>
      <c r="J4" s="428"/>
      <c r="K4" s="390"/>
      <c r="L4" s="390"/>
      <c r="W4" s="384">
        <v>22</v>
      </c>
    </row>
    <row r="5" spans="1:23" s="1562" customFormat="1" ht="18" customHeight="1">
      <c r="A5" s="694"/>
      <c r="D5" s="753"/>
      <c r="E5" s="3226" t="str">
        <f>IF(org=0,"Не определено",org)</f>
        <v>АО Нижневартовская ГРЭС</v>
      </c>
      <c r="F5" s="3226"/>
      <c r="G5" s="3227"/>
      <c r="H5" s="3227"/>
      <c r="I5" s="322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3211" t="s">
        <v>308</v>
      </c>
      <c r="F7" s="3211"/>
      <c r="G7" s="3212"/>
      <c r="H7" s="3212"/>
      <c r="I7" s="3212"/>
      <c r="J7" s="3212"/>
      <c r="K7" s="3212"/>
      <c r="L7" s="3172" t="s">
        <v>309</v>
      </c>
      <c r="W7" s="384">
        <v>14</v>
      </c>
    </row>
    <row r="8" spans="1:23" ht="48.2" customHeight="1">
      <c r="D8" s="387"/>
      <c r="E8" s="410" t="s">
        <v>85</v>
      </c>
      <c r="F8" s="754"/>
      <c r="G8" s="402" t="s">
        <v>83</v>
      </c>
      <c r="H8" s="402" t="s">
        <v>84</v>
      </c>
      <c r="I8" s="351" t="s">
        <v>82</v>
      </c>
      <c r="J8" s="351" t="s">
        <v>397</v>
      </c>
      <c r="K8" s="351" t="s">
        <v>398</v>
      </c>
      <c r="L8" s="317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3224" t="s">
        <v>399</v>
      </c>
      <c r="M10" s="444"/>
      <c r="N10" s="442"/>
      <c r="O10" s="442"/>
      <c r="P10" s="442"/>
      <c r="Q10" s="442"/>
      <c r="R10" s="442"/>
      <c r="S10" s="442"/>
      <c r="T10" s="442"/>
      <c r="U10" s="442"/>
      <c r="V10" s="442"/>
      <c r="W10" s="384">
        <v>0</v>
      </c>
    </row>
    <row r="11" spans="1:23" ht="15" hidden="1" customHeight="1">
      <c r="A11" s="3096"/>
      <c r="B11" s="441"/>
      <c r="C11" s="441"/>
      <c r="D11" s="796"/>
      <c r="E11" s="450"/>
      <c r="F11" s="450"/>
      <c r="G11" s="450"/>
      <c r="H11" s="450"/>
      <c r="I11" s="451"/>
      <c r="J11" s="452"/>
      <c r="K11" s="650"/>
      <c r="L11" s="3238"/>
      <c r="M11" s="448"/>
      <c r="N11" s="448"/>
      <c r="O11" s="448"/>
      <c r="P11" s="453"/>
      <c r="Q11" s="453"/>
      <c r="R11" s="454"/>
      <c r="S11" s="448"/>
      <c r="T11" s="448"/>
      <c r="U11" s="448"/>
      <c r="V11" s="448"/>
      <c r="W11" s="384">
        <v>0</v>
      </c>
    </row>
    <row r="12" spans="1:23" s="1539" customFormat="1" ht="15" customHeight="1">
      <c r="A12" s="3096"/>
      <c r="B12" s="441"/>
      <c r="C12" s="441"/>
      <c r="D12" s="797"/>
      <c r="E12" s="754">
        <v>1</v>
      </c>
      <c r="F12" s="795">
        <v>23</v>
      </c>
      <c r="G12" s="794"/>
      <c r="H12" s="724"/>
      <c r="I12" s="722"/>
      <c r="J12" s="457" t="s">
        <v>67</v>
      </c>
      <c r="K12" s="1091" t="s">
        <v>28</v>
      </c>
      <c r="L12" s="3238"/>
      <c r="M12" s="448"/>
      <c r="N12" s="448"/>
      <c r="O12" s="448"/>
      <c r="P12" s="453" t="s">
        <v>400</v>
      </c>
      <c r="Q12" s="453" t="s">
        <v>401</v>
      </c>
      <c r="R12" s="454" t="s">
        <v>402</v>
      </c>
      <c r="S12" s="448" t="s">
        <v>403</v>
      </c>
      <c r="T12" s="448"/>
      <c r="U12" s="448"/>
      <c r="V12" s="448"/>
      <c r="W12" s="417">
        <v>14</v>
      </c>
    </row>
    <row r="13" spans="1:23" ht="15.75" customHeight="1">
      <c r="A13" s="3096"/>
      <c r="B13" s="442"/>
      <c r="D13" s="443"/>
      <c r="E13" s="342"/>
      <c r="F13" s="466"/>
      <c r="G13" s="353" t="s">
        <v>100</v>
      </c>
      <c r="H13" s="341"/>
      <c r="I13" s="341"/>
      <c r="J13" s="341"/>
      <c r="K13" s="340"/>
      <c r="L13" s="322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79</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614A-E047-E375-2E55-40A5666ACA6E}">
  <sheetPr>
    <tabColor theme="6" tint="0.39997558519241921"/>
  </sheetPr>
  <dimension ref="A1:CG65"/>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CA6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77" max="77" width="10.5703125" style="4" hidden="1"/>
    <col min="78" max="78" width="4" style="1562" customWidth="1"/>
    <col min="79" max="79" width="115" style="1562" customWidth="1"/>
    <col min="80" max="84" width="10" style="1569" customWidth="1"/>
    <col min="85" max="85" width="10.5703125" style="1562" hidden="1"/>
  </cols>
  <sheetData>
    <row r="1" spans="1:85" ht="22.5" hidden="1" customHeight="1">
      <c r="Y1" s="265"/>
      <c r="Z1" s="265"/>
      <c r="AG1" s="265"/>
      <c r="AH1" s="265"/>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S1" s="1562"/>
      <c r="BT1" s="1562"/>
      <c r="BU1" s="1562"/>
      <c r="BV1" s="1562"/>
      <c r="BW1" s="1562"/>
      <c r="BX1" s="1562"/>
      <c r="BY1" s="2355"/>
      <c r="CG1" s="1082" t="s">
        <v>14</v>
      </c>
    </row>
    <row r="2" spans="1:85" ht="21" hidden="1" customHeight="1">
      <c r="A2" s="1290"/>
      <c r="B2" s="1290"/>
      <c r="C2" s="1290"/>
      <c r="D2" s="1290"/>
      <c r="E2" s="3254">
        <v>1</v>
      </c>
      <c r="F2" s="1290"/>
      <c r="G2" s="1290"/>
      <c r="H2" s="1290"/>
      <c r="I2" s="1290"/>
      <c r="J2" s="1290"/>
      <c r="K2" s="1290"/>
      <c r="L2" s="1291"/>
      <c r="M2" s="1292"/>
      <c r="N2" s="1292"/>
      <c r="O2" s="1292"/>
      <c r="P2" s="298"/>
      <c r="Q2" s="297"/>
      <c r="R2" s="292"/>
      <c r="S2" s="1236" t="e">
        <f>INDEX(PT_DIFFERENTIATION_NUM_NTAR,MATCH(A2,PT_DIFFERENTIATION_NTAR_ID,0))</f>
        <v>#N/A</v>
      </c>
      <c r="T2" s="236"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6"/>
      <c r="AM2" s="3247"/>
      <c r="AN2" s="3247"/>
      <c r="AO2" s="3247"/>
      <c r="AP2" s="3247"/>
      <c r="AQ2" s="3247"/>
      <c r="AR2" s="3247"/>
      <c r="AS2" s="3248"/>
      <c r="AT2" s="3246"/>
      <c r="AU2" s="3247"/>
      <c r="AV2" s="3247"/>
      <c r="AW2" s="3247"/>
      <c r="AX2" s="3247"/>
      <c r="AY2" s="3247"/>
      <c r="AZ2" s="3247"/>
      <c r="BA2" s="3248"/>
      <c r="BB2" s="3246"/>
      <c r="BC2" s="3247"/>
      <c r="BD2" s="3247"/>
      <c r="BE2" s="3247"/>
      <c r="BF2" s="3247"/>
      <c r="BG2" s="3247"/>
      <c r="BH2" s="3247"/>
      <c r="BI2" s="3248"/>
      <c r="BJ2" s="3246"/>
      <c r="BK2" s="3247"/>
      <c r="BL2" s="3247"/>
      <c r="BM2" s="3247"/>
      <c r="BN2" s="3247"/>
      <c r="BO2" s="3247"/>
      <c r="BP2" s="3247"/>
      <c r="BQ2" s="3248"/>
      <c r="BR2" s="3246"/>
      <c r="BS2" s="3247"/>
      <c r="BT2" s="3247"/>
      <c r="BU2" s="3247"/>
      <c r="BV2" s="3247"/>
      <c r="BW2" s="3247"/>
      <c r="BX2" s="3247"/>
      <c r="BY2" s="3249"/>
      <c r="BZ2" s="3248"/>
      <c r="CA2" s="1185" t="s">
        <v>404</v>
      </c>
      <c r="CC2" s="437"/>
      <c r="CD2" s="437" t="str">
        <f t="shared" ref="CD2:CD15" si="0">IF(T2="","",T2)</f>
        <v>Наименование тарифа</v>
      </c>
      <c r="CE2" s="437"/>
      <c r="CF2" s="437"/>
      <c r="CG2" s="1082">
        <v>0</v>
      </c>
    </row>
    <row r="3" spans="1:85" ht="21" hidden="1" customHeight="1">
      <c r="A3" s="1290"/>
      <c r="B3" s="1290"/>
      <c r="C3" s="1290"/>
      <c r="D3" s="1290"/>
      <c r="E3" s="3255"/>
      <c r="F3" s="3254">
        <v>1</v>
      </c>
      <c r="G3" s="1290"/>
      <c r="H3" s="1290"/>
      <c r="I3" s="1290"/>
      <c r="J3" s="1290"/>
      <c r="K3" s="1290"/>
      <c r="L3" s="1291"/>
      <c r="M3" s="1292"/>
      <c r="N3" s="1292"/>
      <c r="O3" s="1292"/>
      <c r="P3" s="1231"/>
      <c r="Q3" s="289"/>
      <c r="R3" s="290"/>
      <c r="S3" s="1236" t="e">
        <f>INDEX(PT_DIFFERENTIATION_NUM_TER,MATCH(B3,PT_DIFFERENTIATION_TER_ID,0))</f>
        <v>#N/A</v>
      </c>
      <c r="T3" s="246"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6"/>
      <c r="AM3" s="3247"/>
      <c r="AN3" s="3247"/>
      <c r="AO3" s="3247"/>
      <c r="AP3" s="3247"/>
      <c r="AQ3" s="3247"/>
      <c r="AR3" s="3247"/>
      <c r="AS3" s="3248"/>
      <c r="AT3" s="3246"/>
      <c r="AU3" s="3247"/>
      <c r="AV3" s="3247"/>
      <c r="AW3" s="3247"/>
      <c r="AX3" s="3247"/>
      <c r="AY3" s="3247"/>
      <c r="AZ3" s="3247"/>
      <c r="BA3" s="3248"/>
      <c r="BB3" s="3246"/>
      <c r="BC3" s="3247"/>
      <c r="BD3" s="3247"/>
      <c r="BE3" s="3247"/>
      <c r="BF3" s="3247"/>
      <c r="BG3" s="3247"/>
      <c r="BH3" s="3247"/>
      <c r="BI3" s="3248"/>
      <c r="BJ3" s="3246"/>
      <c r="BK3" s="3247"/>
      <c r="BL3" s="3247"/>
      <c r="BM3" s="3247"/>
      <c r="BN3" s="3247"/>
      <c r="BO3" s="3247"/>
      <c r="BP3" s="3247"/>
      <c r="BQ3" s="3248"/>
      <c r="BR3" s="3246"/>
      <c r="BS3" s="3247"/>
      <c r="BT3" s="3247"/>
      <c r="BU3" s="3247"/>
      <c r="BV3" s="3247"/>
      <c r="BW3" s="3247"/>
      <c r="BX3" s="3247"/>
      <c r="BY3" s="3249"/>
      <c r="BZ3" s="3248"/>
      <c r="CA3" s="1185" t="s">
        <v>406</v>
      </c>
      <c r="CC3" s="437"/>
      <c r="CD3" s="437" t="str">
        <f t="shared" si="0"/>
        <v>Территория действия тарифа</v>
      </c>
      <c r="CE3" s="437"/>
      <c r="CF3" s="437"/>
      <c r="CG3" s="1082">
        <v>0</v>
      </c>
    </row>
    <row r="4" spans="1:85" ht="23.25" hidden="1" customHeight="1">
      <c r="A4" s="1290"/>
      <c r="B4" s="1290"/>
      <c r="C4" s="1290"/>
      <c r="D4" s="1290"/>
      <c r="E4" s="3255"/>
      <c r="F4" s="3255"/>
      <c r="G4" s="3254">
        <v>1</v>
      </c>
      <c r="H4" s="1290"/>
      <c r="I4" s="1290"/>
      <c r="J4" s="1290"/>
      <c r="K4" s="1290"/>
      <c r="L4" s="1291"/>
      <c r="M4" s="1292"/>
      <c r="N4" s="1292"/>
      <c r="O4" s="1292"/>
      <c r="P4" s="291"/>
      <c r="Q4" s="289"/>
      <c r="R4" s="290"/>
      <c r="S4" s="1236" t="e">
        <f>INDEX(PT_DIFFERENTIATION_NUM_CS,MATCH(C4,PT_DIFFERENTIATION_CS_ID,0))</f>
        <v>#N/A</v>
      </c>
      <c r="T4" s="247" t="s">
        <v>407</v>
      </c>
      <c r="U4" s="238"/>
      <c r="V4" s="3246"/>
      <c r="W4" s="3247"/>
      <c r="X4" s="3247"/>
      <c r="Y4" s="3247"/>
      <c r="Z4" s="3247"/>
      <c r="AA4" s="3247"/>
      <c r="AB4" s="3247"/>
      <c r="AC4" s="3248"/>
      <c r="AD4" s="3246" t="e">
        <f>INDEX(PT_DIFFERENTIATION_CS,MATCH(C4,PT_DIFFERENTIATION_CS_ID,0))</f>
        <v>#N/A</v>
      </c>
      <c r="AE4" s="3247"/>
      <c r="AF4" s="3247"/>
      <c r="AG4" s="3247"/>
      <c r="AH4" s="3247"/>
      <c r="AI4" s="3247"/>
      <c r="AJ4" s="3247"/>
      <c r="AK4" s="3247"/>
      <c r="AL4" s="3246"/>
      <c r="AM4" s="3247"/>
      <c r="AN4" s="3247"/>
      <c r="AO4" s="3247"/>
      <c r="AP4" s="3247"/>
      <c r="AQ4" s="3247"/>
      <c r="AR4" s="3247"/>
      <c r="AS4" s="3248"/>
      <c r="AT4" s="3246"/>
      <c r="AU4" s="3247"/>
      <c r="AV4" s="3247"/>
      <c r="AW4" s="3247"/>
      <c r="AX4" s="3247"/>
      <c r="AY4" s="3247"/>
      <c r="AZ4" s="3247"/>
      <c r="BA4" s="3248"/>
      <c r="BB4" s="3246"/>
      <c r="BC4" s="3247"/>
      <c r="BD4" s="3247"/>
      <c r="BE4" s="3247"/>
      <c r="BF4" s="3247"/>
      <c r="BG4" s="3247"/>
      <c r="BH4" s="3247"/>
      <c r="BI4" s="3248"/>
      <c r="BJ4" s="3246"/>
      <c r="BK4" s="3247"/>
      <c r="BL4" s="3247"/>
      <c r="BM4" s="3247"/>
      <c r="BN4" s="3247"/>
      <c r="BO4" s="3247"/>
      <c r="BP4" s="3247"/>
      <c r="BQ4" s="3248"/>
      <c r="BR4" s="3246"/>
      <c r="BS4" s="3247"/>
      <c r="BT4" s="3247"/>
      <c r="BU4" s="3247"/>
      <c r="BV4" s="3247"/>
      <c r="BW4" s="3247"/>
      <c r="BX4" s="3247"/>
      <c r="BY4" s="3249"/>
      <c r="BZ4" s="3248"/>
      <c r="CA4" s="1185" t="s">
        <v>408</v>
      </c>
      <c r="CC4" s="437"/>
      <c r="CD4" s="437" t="str">
        <f t="shared" si="0"/>
        <v xml:space="preserve">Наименование системы теплоснабжения </v>
      </c>
      <c r="CE4" s="437"/>
      <c r="CF4" s="437"/>
      <c r="CG4" s="1082">
        <v>0</v>
      </c>
    </row>
    <row r="5" spans="1:85" ht="21" hidden="1" customHeight="1">
      <c r="A5" s="1290"/>
      <c r="B5" s="1290"/>
      <c r="C5" s="1290"/>
      <c r="D5" s="1290"/>
      <c r="E5" s="3255"/>
      <c r="F5" s="3255"/>
      <c r="G5" s="3255"/>
      <c r="H5" s="3254">
        <v>1</v>
      </c>
      <c r="I5" s="1290"/>
      <c r="J5" s="1290"/>
      <c r="K5" s="1290"/>
      <c r="L5" s="1291"/>
      <c r="M5" s="1292"/>
      <c r="N5" s="1292"/>
      <c r="O5" s="1292"/>
      <c r="P5" s="291"/>
      <c r="Q5" s="289"/>
      <c r="R5" s="290"/>
      <c r="S5" s="1236" t="e">
        <f>INDEX(PT_DIFFERENTIATION_NUM_IST_TE,MATCH(D5,PT_DIFFERENTIATION_IST_TE_ID,0))</f>
        <v>#N/A</v>
      </c>
      <c r="T5" s="248" t="s">
        <v>409</v>
      </c>
      <c r="U5" s="238"/>
      <c r="V5" s="3246"/>
      <c r="W5" s="3247"/>
      <c r="X5" s="3247"/>
      <c r="Y5" s="3247"/>
      <c r="Z5" s="3247"/>
      <c r="AA5" s="3247"/>
      <c r="AB5" s="3247"/>
      <c r="AC5" s="3248"/>
      <c r="AD5" s="3246" t="e">
        <f>INDEX(PT_DIFFERENTIATION_IST_TE,MATCH(D5,PT_DIFFERENTIATION_IST_TE_ID,0))</f>
        <v>#N/A</v>
      </c>
      <c r="AE5" s="3247"/>
      <c r="AF5" s="3247"/>
      <c r="AG5" s="3247"/>
      <c r="AH5" s="3247"/>
      <c r="AI5" s="3247"/>
      <c r="AJ5" s="3247"/>
      <c r="AK5" s="3247"/>
      <c r="AL5" s="3246"/>
      <c r="AM5" s="3247"/>
      <c r="AN5" s="3247"/>
      <c r="AO5" s="3247"/>
      <c r="AP5" s="3247"/>
      <c r="AQ5" s="3247"/>
      <c r="AR5" s="3247"/>
      <c r="AS5" s="3248"/>
      <c r="AT5" s="3246"/>
      <c r="AU5" s="3247"/>
      <c r="AV5" s="3247"/>
      <c r="AW5" s="3247"/>
      <c r="AX5" s="3247"/>
      <c r="AY5" s="3247"/>
      <c r="AZ5" s="3247"/>
      <c r="BA5" s="3248"/>
      <c r="BB5" s="3246"/>
      <c r="BC5" s="3247"/>
      <c r="BD5" s="3247"/>
      <c r="BE5" s="3247"/>
      <c r="BF5" s="3247"/>
      <c r="BG5" s="3247"/>
      <c r="BH5" s="3247"/>
      <c r="BI5" s="3248"/>
      <c r="BJ5" s="3246"/>
      <c r="BK5" s="3247"/>
      <c r="BL5" s="3247"/>
      <c r="BM5" s="3247"/>
      <c r="BN5" s="3247"/>
      <c r="BO5" s="3247"/>
      <c r="BP5" s="3247"/>
      <c r="BQ5" s="3248"/>
      <c r="BR5" s="3246"/>
      <c r="BS5" s="3247"/>
      <c r="BT5" s="3247"/>
      <c r="BU5" s="3247"/>
      <c r="BV5" s="3247"/>
      <c r="BW5" s="3247"/>
      <c r="BX5" s="3247"/>
      <c r="BY5" s="3249"/>
      <c r="BZ5" s="3248"/>
      <c r="CA5" s="1185" t="s">
        <v>410</v>
      </c>
      <c r="CC5" s="437"/>
      <c r="CD5" s="437" t="str">
        <f t="shared" si="0"/>
        <v xml:space="preserve">Источник тепловой энергии  </v>
      </c>
      <c r="CE5" s="437"/>
      <c r="CF5" s="437"/>
      <c r="CG5" s="1082">
        <v>0</v>
      </c>
    </row>
    <row r="6" spans="1:85" ht="47.25" hidden="1" customHeight="1">
      <c r="A6" s="1290"/>
      <c r="B6" s="1290"/>
      <c r="C6" s="1290"/>
      <c r="D6" s="1290"/>
      <c r="E6" s="3255"/>
      <c r="F6" s="3255"/>
      <c r="G6" s="3255"/>
      <c r="H6" s="3255"/>
      <c r="I6" s="3256" t="e">
        <f>S5&amp;".1"</f>
        <v>#N/A</v>
      </c>
      <c r="J6" s="1290"/>
      <c r="K6" s="1290"/>
      <c r="L6" s="1291" t="s">
        <v>411</v>
      </c>
      <c r="M6" s="474"/>
      <c r="P6" s="3258">
        <v>1</v>
      </c>
      <c r="Q6" s="1232"/>
      <c r="R6" s="293"/>
      <c r="S6" s="1236" t="e">
        <f>$I6</f>
        <v>#N/A</v>
      </c>
      <c r="T6" s="223" t="s">
        <v>412</v>
      </c>
      <c r="U6" s="238"/>
      <c r="V6" s="3239"/>
      <c r="W6" s="3240"/>
      <c r="X6" s="3240"/>
      <c r="Y6" s="3240"/>
      <c r="Z6" s="3240"/>
      <c r="AA6" s="3240"/>
      <c r="AB6" s="3240"/>
      <c r="AC6" s="3241"/>
      <c r="AD6" s="3239"/>
      <c r="AE6" s="3240"/>
      <c r="AF6" s="3240"/>
      <c r="AG6" s="3240"/>
      <c r="AH6" s="3240"/>
      <c r="AI6" s="3240"/>
      <c r="AJ6" s="3240"/>
      <c r="AK6" s="3240"/>
      <c r="AL6" s="3239"/>
      <c r="AM6" s="3240"/>
      <c r="AN6" s="3240"/>
      <c r="AO6" s="3240"/>
      <c r="AP6" s="3240"/>
      <c r="AQ6" s="3240"/>
      <c r="AR6" s="3240"/>
      <c r="AS6" s="3241"/>
      <c r="AT6" s="3239"/>
      <c r="AU6" s="3240"/>
      <c r="AV6" s="3240"/>
      <c r="AW6" s="3240"/>
      <c r="AX6" s="3240"/>
      <c r="AY6" s="3240"/>
      <c r="AZ6" s="3240"/>
      <c r="BA6" s="3241"/>
      <c r="BB6" s="3239"/>
      <c r="BC6" s="3240"/>
      <c r="BD6" s="3240"/>
      <c r="BE6" s="3240"/>
      <c r="BF6" s="3240"/>
      <c r="BG6" s="3240"/>
      <c r="BH6" s="3240"/>
      <c r="BI6" s="3241"/>
      <c r="BJ6" s="3239"/>
      <c r="BK6" s="3240"/>
      <c r="BL6" s="3240"/>
      <c r="BM6" s="3240"/>
      <c r="BN6" s="3240"/>
      <c r="BO6" s="3240"/>
      <c r="BP6" s="3240"/>
      <c r="BQ6" s="3241"/>
      <c r="BR6" s="3239"/>
      <c r="BS6" s="3240"/>
      <c r="BT6" s="3240"/>
      <c r="BU6" s="3240"/>
      <c r="BV6" s="3240"/>
      <c r="BW6" s="3240"/>
      <c r="BX6" s="3240"/>
      <c r="BY6" s="3242"/>
      <c r="BZ6" s="3241"/>
      <c r="CA6" s="1185" t="s">
        <v>413</v>
      </c>
      <c r="CC6" s="437"/>
      <c r="CD6" s="437" t="str">
        <f t="shared" si="0"/>
        <v>Схема подключения теплопотребляющей установки к коллектору источника тепловой энергии</v>
      </c>
      <c r="CE6" s="437"/>
      <c r="CF6" s="437"/>
      <c r="CG6" s="1082">
        <v>0</v>
      </c>
    </row>
    <row r="7" spans="1:85" ht="21" hidden="1" customHeight="1">
      <c r="A7" s="1290"/>
      <c r="B7" s="1290"/>
      <c r="C7" s="1290"/>
      <c r="D7" s="1290"/>
      <c r="E7" s="3255"/>
      <c r="F7" s="3255"/>
      <c r="G7" s="3255"/>
      <c r="H7" s="3255"/>
      <c r="I7" s="3257"/>
      <c r="J7" s="3256" t="e">
        <f>I6&amp;".1"</f>
        <v>#N/A</v>
      </c>
      <c r="K7" s="1290"/>
      <c r="L7" s="1291" t="s">
        <v>414</v>
      </c>
      <c r="M7" s="474"/>
      <c r="N7" s="1293"/>
      <c r="P7" s="3258"/>
      <c r="Q7" s="3258">
        <v>1</v>
      </c>
      <c r="R7" s="294"/>
      <c r="S7" s="1236" t="e">
        <f>$J7</f>
        <v>#N/A</v>
      </c>
      <c r="T7" s="224" t="s">
        <v>415</v>
      </c>
      <c r="U7" s="238"/>
      <c r="V7" s="3239"/>
      <c r="W7" s="3240"/>
      <c r="X7" s="3240"/>
      <c r="Y7" s="3240"/>
      <c r="Z7" s="3240"/>
      <c r="AA7" s="3240"/>
      <c r="AB7" s="3240"/>
      <c r="AC7" s="3241"/>
      <c r="AD7" s="3239"/>
      <c r="AE7" s="3240"/>
      <c r="AF7" s="3240"/>
      <c r="AG7" s="3240"/>
      <c r="AH7" s="3240"/>
      <c r="AI7" s="3240"/>
      <c r="AJ7" s="3240"/>
      <c r="AK7" s="3240"/>
      <c r="AL7" s="3239"/>
      <c r="AM7" s="3240"/>
      <c r="AN7" s="3240"/>
      <c r="AO7" s="3240"/>
      <c r="AP7" s="3240"/>
      <c r="AQ7" s="3240"/>
      <c r="AR7" s="3240"/>
      <c r="AS7" s="3241"/>
      <c r="AT7" s="3239"/>
      <c r="AU7" s="3240"/>
      <c r="AV7" s="3240"/>
      <c r="AW7" s="3240"/>
      <c r="AX7" s="3240"/>
      <c r="AY7" s="3240"/>
      <c r="AZ7" s="3240"/>
      <c r="BA7" s="3241"/>
      <c r="BB7" s="3239"/>
      <c r="BC7" s="3240"/>
      <c r="BD7" s="3240"/>
      <c r="BE7" s="3240"/>
      <c r="BF7" s="3240"/>
      <c r="BG7" s="3240"/>
      <c r="BH7" s="3240"/>
      <c r="BI7" s="3241"/>
      <c r="BJ7" s="3239"/>
      <c r="BK7" s="3240"/>
      <c r="BL7" s="3240"/>
      <c r="BM7" s="3240"/>
      <c r="BN7" s="3240"/>
      <c r="BO7" s="3240"/>
      <c r="BP7" s="3240"/>
      <c r="BQ7" s="3241"/>
      <c r="BR7" s="3239"/>
      <c r="BS7" s="3240"/>
      <c r="BT7" s="3240"/>
      <c r="BU7" s="3240"/>
      <c r="BV7" s="3240"/>
      <c r="BW7" s="3240"/>
      <c r="BX7" s="3240"/>
      <c r="BY7" s="3242"/>
      <c r="BZ7" s="3241"/>
      <c r="CA7" s="1185" t="s">
        <v>416</v>
      </c>
      <c r="CC7" s="437"/>
      <c r="CD7" s="437" t="str">
        <f t="shared" si="0"/>
        <v>Группа потребителей</v>
      </c>
      <c r="CE7" s="437"/>
      <c r="CF7" s="437"/>
      <c r="CG7" s="1082">
        <v>0</v>
      </c>
    </row>
    <row r="8" spans="1:85" ht="21" hidden="1" customHeight="1">
      <c r="A8" s="1290"/>
      <c r="B8" s="1290"/>
      <c r="C8" s="1290"/>
      <c r="D8" s="1290"/>
      <c r="E8" s="3255"/>
      <c r="F8" s="3255"/>
      <c r="G8" s="3255"/>
      <c r="H8" s="3255"/>
      <c r="I8" s="3257"/>
      <c r="J8" s="3257"/>
      <c r="K8" s="3256" t="e">
        <f>J7&amp;".1"</f>
        <v>#N/A</v>
      </c>
      <c r="L8" s="1291" t="s">
        <v>417</v>
      </c>
      <c r="M8" s="474"/>
      <c r="N8" s="1293"/>
      <c r="O8" s="1293"/>
      <c r="P8" s="3258"/>
      <c r="Q8" s="3258"/>
      <c r="R8" s="294">
        <v>1</v>
      </c>
      <c r="S8" s="1236" t="e">
        <f>$K8</f>
        <v>#N/A</v>
      </c>
      <c r="T8" s="1274"/>
      <c r="U8" s="238"/>
      <c r="V8" s="688"/>
      <c r="W8" s="263"/>
      <c r="X8" s="688"/>
      <c r="Y8" s="1184"/>
      <c r="Z8" s="3259"/>
      <c r="AA8" s="3121" t="s">
        <v>67</v>
      </c>
      <c r="AB8" s="3259"/>
      <c r="AC8" s="3121" t="s">
        <v>67</v>
      </c>
      <c r="AD8" s="688"/>
      <c r="AE8" s="263"/>
      <c r="AF8" s="688"/>
      <c r="AG8" s="1184"/>
      <c r="AH8" s="3259"/>
      <c r="AI8" s="3121" t="s">
        <v>67</v>
      </c>
      <c r="AJ8" s="3259"/>
      <c r="AK8" s="3121" t="s">
        <v>67</v>
      </c>
      <c r="AL8" s="688"/>
      <c r="AM8" s="263"/>
      <c r="AN8" s="688"/>
      <c r="AO8" s="1184"/>
      <c r="AP8" s="3259"/>
      <c r="AQ8" s="3121" t="s">
        <v>67</v>
      </c>
      <c r="AR8" s="3259"/>
      <c r="AS8" s="3121" t="s">
        <v>67</v>
      </c>
      <c r="AT8" s="688"/>
      <c r="AU8" s="263"/>
      <c r="AV8" s="688"/>
      <c r="AW8" s="1184"/>
      <c r="AX8" s="3259"/>
      <c r="AY8" s="3121" t="s">
        <v>67</v>
      </c>
      <c r="AZ8" s="3259"/>
      <c r="BA8" s="3121" t="s">
        <v>67</v>
      </c>
      <c r="BB8" s="688"/>
      <c r="BC8" s="263"/>
      <c r="BD8" s="688"/>
      <c r="BE8" s="1184"/>
      <c r="BF8" s="3259"/>
      <c r="BG8" s="3121" t="s">
        <v>67</v>
      </c>
      <c r="BH8" s="3259"/>
      <c r="BI8" s="3121" t="s">
        <v>67</v>
      </c>
      <c r="BJ8" s="688"/>
      <c r="BK8" s="263"/>
      <c r="BL8" s="688"/>
      <c r="BM8" s="1184"/>
      <c r="BN8" s="3259"/>
      <c r="BO8" s="3121" t="s">
        <v>67</v>
      </c>
      <c r="BP8" s="3259"/>
      <c r="BQ8" s="3121" t="s">
        <v>67</v>
      </c>
      <c r="BR8" s="688"/>
      <c r="BS8" s="263"/>
      <c r="BT8" s="688"/>
      <c r="BU8" s="1184"/>
      <c r="BV8" s="3259"/>
      <c r="BW8" s="3121" t="s">
        <v>67</v>
      </c>
      <c r="BX8" s="3259"/>
      <c r="BY8" s="3281" t="s">
        <v>67</v>
      </c>
      <c r="BZ8" s="263"/>
      <c r="CA8" s="3278" t="s">
        <v>418</v>
      </c>
      <c r="CB8" s="448" t="e">
        <f ca="1">STRCHECKDATE(V9:BZ9)</f>
        <v>#NAME?</v>
      </c>
      <c r="CC8" s="437"/>
      <c r="CD8" s="437" t="str">
        <f t="shared" si="0"/>
        <v/>
      </c>
      <c r="CE8" s="437"/>
      <c r="CF8" s="437"/>
      <c r="CG8" s="1082">
        <v>0</v>
      </c>
    </row>
    <row r="9" spans="1:85" ht="0.75" hidden="1" customHeight="1">
      <c r="A9" s="1290"/>
      <c r="B9" s="1290"/>
      <c r="C9" s="1290"/>
      <c r="D9" s="1290"/>
      <c r="E9" s="3255"/>
      <c r="F9" s="3255"/>
      <c r="G9" s="3255"/>
      <c r="H9" s="3255"/>
      <c r="I9" s="3257"/>
      <c r="J9" s="3257"/>
      <c r="K9" s="3256"/>
      <c r="L9" s="1291"/>
      <c r="M9" s="474"/>
      <c r="N9" s="1293"/>
      <c r="O9" s="1293"/>
      <c r="P9" s="3258"/>
      <c r="Q9" s="3258"/>
      <c r="R9" s="294"/>
      <c r="S9" s="1233"/>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263"/>
      <c r="AN9" s="263"/>
      <c r="AO9" s="266" t="str">
        <f>AP8&amp;"-"&amp;AR8</f>
        <v>-</v>
      </c>
      <c r="AP9" s="3260"/>
      <c r="AQ9" s="3121"/>
      <c r="AR9" s="3260"/>
      <c r="AS9" s="3121"/>
      <c r="AT9" s="263"/>
      <c r="AU9" s="263"/>
      <c r="AV9" s="263"/>
      <c r="AW9" s="266" t="str">
        <f>AX8&amp;"-"&amp;AZ8</f>
        <v>-</v>
      </c>
      <c r="AX9" s="3260"/>
      <c r="AY9" s="3121"/>
      <c r="AZ9" s="3260"/>
      <c r="BA9" s="3121"/>
      <c r="BB9" s="263"/>
      <c r="BC9" s="263"/>
      <c r="BD9" s="263"/>
      <c r="BE9" s="266" t="str">
        <f>BF8&amp;"-"&amp;BH8</f>
        <v>-</v>
      </c>
      <c r="BF9" s="3260"/>
      <c r="BG9" s="3121"/>
      <c r="BH9" s="3260"/>
      <c r="BI9" s="3121"/>
      <c r="BJ9" s="263"/>
      <c r="BK9" s="263"/>
      <c r="BL9" s="263"/>
      <c r="BM9" s="266" t="str">
        <f>BN8&amp;"-"&amp;BP8</f>
        <v>-</v>
      </c>
      <c r="BN9" s="3260"/>
      <c r="BO9" s="3121"/>
      <c r="BP9" s="3260"/>
      <c r="BQ9" s="3121"/>
      <c r="BR9" s="263"/>
      <c r="BS9" s="263"/>
      <c r="BT9" s="263"/>
      <c r="BU9" s="266" t="str">
        <f>BV8&amp;"-"&amp;BX8</f>
        <v>-</v>
      </c>
      <c r="BV9" s="3260"/>
      <c r="BW9" s="3121"/>
      <c r="BX9" s="3260"/>
      <c r="BY9" s="3121"/>
      <c r="BZ9" s="263"/>
      <c r="CA9" s="3279"/>
      <c r="CC9" s="437"/>
      <c r="CD9" s="437" t="str">
        <f t="shared" si="0"/>
        <v/>
      </c>
      <c r="CE9" s="437"/>
      <c r="CF9" s="437"/>
      <c r="CG9" s="1082">
        <v>0</v>
      </c>
    </row>
    <row r="10" spans="1:85" ht="15" hidden="1" customHeight="1">
      <c r="A10" s="1290"/>
      <c r="B10" s="1290"/>
      <c r="C10" s="1290"/>
      <c r="D10" s="1290"/>
      <c r="E10" s="3255"/>
      <c r="F10" s="3255"/>
      <c r="G10" s="3255"/>
      <c r="H10" s="3255"/>
      <c r="I10" s="3257"/>
      <c r="J10" s="3256"/>
      <c r="K10" s="1290"/>
      <c r="L10" s="1291"/>
      <c r="M10" s="474"/>
      <c r="N10" s="1293"/>
      <c r="P10" s="3258"/>
      <c r="Q10" s="3258"/>
      <c r="R10" s="293"/>
      <c r="S10" s="1205"/>
      <c r="T10" s="226" t="s">
        <v>419</v>
      </c>
      <c r="U10" s="304"/>
      <c r="V10" s="304"/>
      <c r="W10" s="304"/>
      <c r="X10" s="304"/>
      <c r="Y10" s="304"/>
      <c r="Z10" s="304"/>
      <c r="AA10" s="304"/>
      <c r="AB10" s="304"/>
      <c r="AC10" s="304"/>
      <c r="AD10" s="304"/>
      <c r="AE10" s="304"/>
      <c r="AF10" s="304"/>
      <c r="AG10" s="304"/>
      <c r="AH10" s="304"/>
      <c r="AI10" s="304"/>
      <c r="AJ10" s="304"/>
      <c r="AK10" s="304"/>
      <c r="AL10" s="2078"/>
      <c r="AM10" s="2079"/>
      <c r="AN10" s="2080"/>
      <c r="AO10" s="2081"/>
      <c r="AP10" s="2082"/>
      <c r="AQ10" s="2083"/>
      <c r="AR10" s="2084"/>
      <c r="AS10" s="2085"/>
      <c r="AT10" s="2086"/>
      <c r="AU10" s="2087"/>
      <c r="AV10" s="2088"/>
      <c r="AW10" s="2089"/>
      <c r="AX10" s="2090"/>
      <c r="AY10" s="2091"/>
      <c r="AZ10" s="2092"/>
      <c r="BA10" s="2093"/>
      <c r="BB10" s="2094"/>
      <c r="BC10" s="2095"/>
      <c r="BD10" s="2096"/>
      <c r="BE10" s="2097"/>
      <c r="BF10" s="2098"/>
      <c r="BG10" s="2099"/>
      <c r="BH10" s="2100"/>
      <c r="BI10" s="2101"/>
      <c r="BJ10" s="2102"/>
      <c r="BK10" s="2103"/>
      <c r="BL10" s="2104"/>
      <c r="BM10" s="2105"/>
      <c r="BN10" s="2106"/>
      <c r="BO10" s="2107"/>
      <c r="BP10" s="2108"/>
      <c r="BQ10" s="2109"/>
      <c r="BR10" s="2110"/>
      <c r="BS10" s="2111"/>
      <c r="BT10" s="2112"/>
      <c r="BU10" s="2113"/>
      <c r="BV10" s="2114"/>
      <c r="BW10" s="2115"/>
      <c r="BX10" s="2116"/>
      <c r="BY10" s="2356"/>
      <c r="BZ10" s="262"/>
      <c r="CA10" s="3280"/>
      <c r="CC10" s="437"/>
      <c r="CD10" s="437" t="str">
        <f t="shared" si="0"/>
        <v>Добавить вид теплоносителя (параметры теплоносителя)</v>
      </c>
      <c r="CE10" s="437"/>
      <c r="CF10" s="437"/>
      <c r="CG10" s="1082">
        <v>0</v>
      </c>
    </row>
    <row r="11" spans="1:85" ht="15" hidden="1" customHeight="1">
      <c r="A11" s="1290"/>
      <c r="B11" s="1290"/>
      <c r="C11" s="1290"/>
      <c r="D11" s="1290"/>
      <c r="E11" s="3255"/>
      <c r="F11" s="3255"/>
      <c r="G11" s="3255"/>
      <c r="H11" s="3255"/>
      <c r="I11" s="3256"/>
      <c r="J11" s="1290"/>
      <c r="K11" s="1290"/>
      <c r="L11" s="1291"/>
      <c r="M11" s="474"/>
      <c r="P11" s="3258"/>
      <c r="Q11" s="1232"/>
      <c r="R11" s="293"/>
      <c r="S11" s="1205"/>
      <c r="T11" s="225" t="s">
        <v>420</v>
      </c>
      <c r="U11" s="304"/>
      <c r="V11" s="304"/>
      <c r="W11" s="304"/>
      <c r="X11" s="304"/>
      <c r="Y11" s="304"/>
      <c r="Z11" s="304"/>
      <c r="AA11" s="304"/>
      <c r="AB11" s="304"/>
      <c r="AC11" s="303"/>
      <c r="AD11" s="304"/>
      <c r="AE11" s="304"/>
      <c r="AF11" s="304"/>
      <c r="AG11" s="304"/>
      <c r="AH11" s="304"/>
      <c r="AI11" s="304"/>
      <c r="AJ11" s="304"/>
      <c r="AK11" s="303"/>
      <c r="AL11" s="2117"/>
      <c r="AM11" s="2118"/>
      <c r="AN11" s="2119"/>
      <c r="AO11" s="2120"/>
      <c r="AP11" s="2121"/>
      <c r="AQ11" s="2122"/>
      <c r="AR11" s="2123"/>
      <c r="AS11" s="2124"/>
      <c r="AT11" s="2125"/>
      <c r="AU11" s="2126"/>
      <c r="AV11" s="2127"/>
      <c r="AW11" s="2128"/>
      <c r="AX11" s="2129"/>
      <c r="AY11" s="2130"/>
      <c r="AZ11" s="2131"/>
      <c r="BA11" s="2132"/>
      <c r="BB11" s="2133"/>
      <c r="BC11" s="2134"/>
      <c r="BD11" s="2135"/>
      <c r="BE11" s="2136"/>
      <c r="BF11" s="2137"/>
      <c r="BG11" s="2138"/>
      <c r="BH11" s="2139"/>
      <c r="BI11" s="2140"/>
      <c r="BJ11" s="2141"/>
      <c r="BK11" s="2142"/>
      <c r="BL11" s="2143"/>
      <c r="BM11" s="2144"/>
      <c r="BN11" s="2145"/>
      <c r="BO11" s="2146"/>
      <c r="BP11" s="2147"/>
      <c r="BQ11" s="2148"/>
      <c r="BR11" s="2149"/>
      <c r="BS11" s="2150"/>
      <c r="BT11" s="2151"/>
      <c r="BU11" s="2152"/>
      <c r="BV11" s="2153"/>
      <c r="BW11" s="2154"/>
      <c r="BX11" s="2155"/>
      <c r="BY11" s="2357"/>
      <c r="BZ11" s="304"/>
      <c r="CA11" s="241"/>
      <c r="CC11" s="437"/>
      <c r="CD11" s="437" t="str">
        <f t="shared" si="0"/>
        <v>Добавить группу потребителей</v>
      </c>
      <c r="CE11" s="437"/>
      <c r="CF11" s="437"/>
      <c r="CG11" s="1082">
        <v>0</v>
      </c>
    </row>
    <row r="12" spans="1:85" ht="14.25" hidden="1" customHeight="1">
      <c r="A12" s="1290"/>
      <c r="B12" s="1290"/>
      <c r="C12" s="1290"/>
      <c r="D12" s="1290"/>
      <c r="E12" s="3255"/>
      <c r="F12" s="3255"/>
      <c r="G12" s="3255"/>
      <c r="H12" s="3254"/>
      <c r="I12" s="1290"/>
      <c r="J12" s="1290"/>
      <c r="K12" s="1290"/>
      <c r="L12" s="1291"/>
      <c r="M12" s="1292"/>
      <c r="N12" s="1292"/>
      <c r="O12" s="474"/>
      <c r="P12" s="297"/>
      <c r="Q12" s="312"/>
      <c r="R12" s="292"/>
      <c r="S12" s="1205"/>
      <c r="T12" s="302" t="s">
        <v>421</v>
      </c>
      <c r="U12" s="304"/>
      <c r="V12" s="304"/>
      <c r="W12" s="304"/>
      <c r="X12" s="304"/>
      <c r="Y12" s="304"/>
      <c r="Z12" s="304"/>
      <c r="AA12" s="304"/>
      <c r="AB12" s="304"/>
      <c r="AC12" s="303"/>
      <c r="AD12" s="304"/>
      <c r="AE12" s="304"/>
      <c r="AF12" s="304"/>
      <c r="AG12" s="304"/>
      <c r="AH12" s="304"/>
      <c r="AI12" s="304"/>
      <c r="AJ12" s="304"/>
      <c r="AK12" s="303"/>
      <c r="AL12" s="2156"/>
      <c r="AM12" s="2157"/>
      <c r="AN12" s="2158"/>
      <c r="AO12" s="2159"/>
      <c r="AP12" s="2160"/>
      <c r="AQ12" s="2161"/>
      <c r="AR12" s="2162"/>
      <c r="AS12" s="2163"/>
      <c r="AT12" s="2164"/>
      <c r="AU12" s="2165"/>
      <c r="AV12" s="2166"/>
      <c r="AW12" s="2167"/>
      <c r="AX12" s="2168"/>
      <c r="AY12" s="2169"/>
      <c r="AZ12" s="2170"/>
      <c r="BA12" s="2171"/>
      <c r="BB12" s="2172"/>
      <c r="BC12" s="2173"/>
      <c r="BD12" s="2174"/>
      <c r="BE12" s="2175"/>
      <c r="BF12" s="2176"/>
      <c r="BG12" s="2177"/>
      <c r="BH12" s="2178"/>
      <c r="BI12" s="2179"/>
      <c r="BJ12" s="2180"/>
      <c r="BK12" s="2181"/>
      <c r="BL12" s="2182"/>
      <c r="BM12" s="2183"/>
      <c r="BN12" s="2184"/>
      <c r="BO12" s="2185"/>
      <c r="BP12" s="2186"/>
      <c r="BQ12" s="2187"/>
      <c r="BR12" s="2188"/>
      <c r="BS12" s="2189"/>
      <c r="BT12" s="2190"/>
      <c r="BU12" s="2191"/>
      <c r="BV12" s="2192"/>
      <c r="BW12" s="2193"/>
      <c r="BX12" s="2194"/>
      <c r="BY12" s="2358"/>
      <c r="BZ12" s="304"/>
      <c r="CA12" s="241"/>
      <c r="CC12" s="437"/>
      <c r="CD12" s="437" t="str">
        <f t="shared" si="0"/>
        <v>Добавить схему подключения</v>
      </c>
      <c r="CE12" s="437"/>
      <c r="CF12" s="437"/>
      <c r="CG12" s="1082">
        <v>0</v>
      </c>
    </row>
    <row r="13" spans="1:85" s="1569" customFormat="1" ht="0.75" hidden="1" customHeight="1">
      <c r="A13" s="1241"/>
      <c r="B13" s="1241"/>
      <c r="C13" s="1241"/>
      <c r="D13" s="1241"/>
      <c r="E13" s="3255"/>
      <c r="F13" s="3255"/>
      <c r="G13" s="3254"/>
      <c r="H13" s="1241"/>
      <c r="I13" s="1241"/>
      <c r="J13" s="1241"/>
      <c r="K13" s="1241"/>
      <c r="L13" s="1266"/>
      <c r="M13" s="1242"/>
      <c r="N13" s="1242"/>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2359"/>
      <c r="BZ13" s="1247"/>
      <c r="CA13" s="1247"/>
      <c r="CC13" s="720"/>
      <c r="CD13" s="720" t="str">
        <f t="shared" si="0"/>
        <v>Добавить источник для дифференциации</v>
      </c>
      <c r="CE13" s="720"/>
      <c r="CF13" s="720"/>
      <c r="CG13" s="455">
        <v>0</v>
      </c>
    </row>
    <row r="14" spans="1:85" s="1569" customFormat="1" ht="0.75" hidden="1" customHeight="1">
      <c r="A14" s="1241"/>
      <c r="B14" s="1241"/>
      <c r="C14" s="1241"/>
      <c r="D14" s="1241"/>
      <c r="E14" s="3255"/>
      <c r="F14" s="3254"/>
      <c r="G14" s="1241"/>
      <c r="H14" s="1241"/>
      <c r="I14" s="1241"/>
      <c r="J14" s="1241"/>
      <c r="K14" s="1241"/>
      <c r="L14" s="1266"/>
      <c r="M14" s="1248"/>
      <c r="N14" s="1248"/>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2360"/>
      <c r="BZ14" s="1251"/>
      <c r="CA14" s="1251"/>
      <c r="CC14" s="720"/>
      <c r="CD14" s="720" t="str">
        <f t="shared" si="0"/>
        <v>Добавить централизованную систему для дифференциации</v>
      </c>
      <c r="CE14" s="720"/>
      <c r="CF14" s="720"/>
      <c r="CG14" s="455">
        <v>0</v>
      </c>
    </row>
    <row r="15" spans="1:85" s="1569" customFormat="1" ht="0.75" hidden="1" customHeight="1">
      <c r="A15" s="1241"/>
      <c r="B15" s="1241"/>
      <c r="C15" s="1241"/>
      <c r="D15" s="1241"/>
      <c r="E15" s="3254"/>
      <c r="F15" s="1241"/>
      <c r="G15" s="1241"/>
      <c r="H15" s="1241"/>
      <c r="I15" s="1241"/>
      <c r="J15" s="1241"/>
      <c r="K15" s="1241"/>
      <c r="L15" s="1266"/>
      <c r="M15" s="1248"/>
      <c r="N15" s="1248"/>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2360"/>
      <c r="BZ15" s="1251"/>
      <c r="CA15" s="1251"/>
      <c r="CC15" s="720"/>
      <c r="CD15" s="720" t="str">
        <f t="shared" si="0"/>
        <v>Добавить территорию для дифференциации</v>
      </c>
      <c r="CE15" s="720"/>
      <c r="CF15" s="720"/>
      <c r="CG15" s="455">
        <v>0</v>
      </c>
    </row>
    <row r="16" spans="1:85" ht="14.25" hidden="1" customHeight="1">
      <c r="AC16" s="265"/>
      <c r="AK16" s="265"/>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1562"/>
      <c r="BY16" s="2355"/>
      <c r="CG16" s="1082">
        <v>0</v>
      </c>
    </row>
    <row r="17" spans="1:85" ht="14.25" hidden="1" customHeight="1">
      <c r="P17" s="1238"/>
      <c r="AD17" s="1287"/>
      <c r="AE17" s="1287"/>
      <c r="AF17" s="1287"/>
      <c r="AG17" s="1288"/>
      <c r="AH17" s="3251"/>
      <c r="AI17" s="3250" t="s">
        <v>67</v>
      </c>
      <c r="AJ17" s="3251"/>
      <c r="AK17" s="3250" t="s">
        <v>67</v>
      </c>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1562"/>
      <c r="BY17" s="2355"/>
      <c r="CG17" s="1082">
        <v>0</v>
      </c>
    </row>
    <row r="18" spans="1:85" ht="14.25" hidden="1" customHeight="1">
      <c r="P18" s="1238"/>
      <c r="AD18" s="1287"/>
      <c r="AE18" s="1287"/>
      <c r="AF18" s="1287"/>
      <c r="AG18" s="266" t="str">
        <f>AH17&amp;"-"&amp;AJ17</f>
        <v>-</v>
      </c>
      <c r="AH18" s="3250"/>
      <c r="AI18" s="3250"/>
      <c r="AJ18" s="3250"/>
      <c r="AK18" s="3250"/>
      <c r="AL18" s="1562"/>
      <c r="AM18" s="1562"/>
      <c r="AN18" s="1562"/>
      <c r="AO18" s="1562"/>
      <c r="AP18" s="1562"/>
      <c r="AQ18" s="1562"/>
      <c r="AR18" s="1562"/>
      <c r="AS18" s="1562"/>
      <c r="AT18" s="1562"/>
      <c r="AU18" s="1562"/>
      <c r="AV18" s="1562"/>
      <c r="AW18" s="1562"/>
      <c r="AX18" s="1562"/>
      <c r="AY18" s="1562"/>
      <c r="AZ18" s="1562"/>
      <c r="BA18" s="1562"/>
      <c r="BB18" s="1562"/>
      <c r="BC18" s="1562"/>
      <c r="BD18" s="1562"/>
      <c r="BE18" s="1562"/>
      <c r="BF18" s="1562"/>
      <c r="BG18" s="1562"/>
      <c r="BH18" s="1562"/>
      <c r="BI18" s="1562"/>
      <c r="BJ18" s="1562"/>
      <c r="BK18" s="1562"/>
      <c r="BL18" s="1562"/>
      <c r="BM18" s="1562"/>
      <c r="BN18" s="1562"/>
      <c r="BO18" s="1562"/>
      <c r="BP18" s="1562"/>
      <c r="BQ18" s="1562"/>
      <c r="BR18" s="1562"/>
      <c r="BS18" s="1562"/>
      <c r="BT18" s="1562"/>
      <c r="BU18" s="1562"/>
      <c r="BV18" s="1562"/>
      <c r="BW18" s="1562"/>
      <c r="BX18" s="1562"/>
      <c r="BY18" s="2355"/>
      <c r="CG18" s="1082">
        <v>0</v>
      </c>
    </row>
    <row r="19" spans="1:85" ht="14.25" hidden="1" customHeight="1">
      <c r="P19" s="1238"/>
      <c r="AK19" s="265"/>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c r="BF19" s="1562"/>
      <c r="BG19" s="1562"/>
      <c r="BH19" s="1562"/>
      <c r="BI19" s="1562"/>
      <c r="BJ19" s="1562"/>
      <c r="BK19" s="1562"/>
      <c r="BL19" s="1562"/>
      <c r="BM19" s="1562"/>
      <c r="BN19" s="1562"/>
      <c r="BO19" s="1562"/>
      <c r="BP19" s="1562"/>
      <c r="BQ19" s="1562"/>
      <c r="BR19" s="1562"/>
      <c r="BS19" s="1562"/>
      <c r="BT19" s="1562"/>
      <c r="BU19" s="1562"/>
      <c r="BV19" s="1562"/>
      <c r="BW19" s="1562"/>
      <c r="BX19" s="1562"/>
      <c r="BY19" s="2355"/>
      <c r="CG19" s="1082">
        <v>0</v>
      </c>
    </row>
    <row r="20" spans="1:85" s="1293" customFormat="1" ht="22.5" hidden="1" customHeight="1">
      <c r="L20" s="1256"/>
      <c r="M20" s="1289"/>
      <c r="N20" s="1289"/>
      <c r="O20" s="1294" t="s">
        <v>422</v>
      </c>
      <c r="P20" s="1289"/>
      <c r="Q20" s="1298"/>
      <c r="R20" s="1298"/>
      <c r="S20" s="666"/>
      <c r="Z20" s="1294"/>
      <c r="AB20" s="1294"/>
      <c r="AH20" s="1294"/>
      <c r="AJ20" s="1294"/>
      <c r="AP20" s="1294"/>
      <c r="AR20" s="1294"/>
      <c r="AX20" s="1294"/>
      <c r="AZ20" s="1294"/>
      <c r="BF20" s="1294"/>
      <c r="BH20" s="1294"/>
      <c r="BN20" s="1294"/>
      <c r="BP20" s="1294"/>
      <c r="BV20" s="1294"/>
      <c r="BX20" s="1294"/>
      <c r="BY20" s="2361"/>
      <c r="CB20" s="448"/>
      <c r="CC20" s="448"/>
      <c r="CD20" s="448"/>
      <c r="CE20" s="448"/>
      <c r="CF20" s="448"/>
      <c r="CG20" s="1087">
        <v>0</v>
      </c>
    </row>
    <row r="21" spans="1:85" s="1293" customFormat="1" ht="14.25" hidden="1" customHeight="1">
      <c r="L21" s="1256"/>
      <c r="M21" s="1289"/>
      <c r="N21" s="1289"/>
      <c r="O21" s="1289"/>
      <c r="P21" s="1289"/>
      <c r="Q21" s="1298"/>
      <c r="R21" s="1298"/>
      <c r="S21" s="666"/>
      <c r="BY21" s="2361"/>
      <c r="CB21" s="448"/>
      <c r="CC21" s="448"/>
      <c r="CD21" s="448"/>
      <c r="CE21" s="448"/>
      <c r="CF21" s="448"/>
      <c r="CG21" s="1087">
        <v>0</v>
      </c>
    </row>
    <row r="22" spans="1:8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Q22" s="1297" t="s">
        <v>425</v>
      </c>
      <c r="AS22" s="1297" t="s">
        <v>426</v>
      </c>
      <c r="AY22" s="1297" t="s">
        <v>425</v>
      </c>
      <c r="BA22" s="1297" t="s">
        <v>426</v>
      </c>
      <c r="BG22" s="1297" t="s">
        <v>425</v>
      </c>
      <c r="BI22" s="1297" t="s">
        <v>426</v>
      </c>
      <c r="BO22" s="1297" t="s">
        <v>425</v>
      </c>
      <c r="BQ22" s="1297" t="s">
        <v>426</v>
      </c>
      <c r="BW22" s="1297" t="s">
        <v>425</v>
      </c>
      <c r="BY22" s="2362" t="s">
        <v>426</v>
      </c>
      <c r="CB22" s="448"/>
      <c r="CC22" s="448"/>
      <c r="CD22" s="448"/>
      <c r="CE22" s="448"/>
      <c r="CF22" s="448"/>
      <c r="CG22" s="1087">
        <v>0</v>
      </c>
    </row>
    <row r="23" spans="1:85" ht="14.25" hidden="1" customHeight="1">
      <c r="O23" s="1291"/>
      <c r="P23" s="1238"/>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1562"/>
      <c r="BY23" s="2355"/>
      <c r="CG23" s="1082">
        <v>0</v>
      </c>
    </row>
    <row r="24" spans="1:85" ht="14.25" hidden="1" customHeight="1">
      <c r="O24" s="1291"/>
      <c r="P24" s="1238"/>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2"/>
      <c r="BQ24" s="1562"/>
      <c r="BR24" s="1562"/>
      <c r="BS24" s="1562"/>
      <c r="BT24" s="1562"/>
      <c r="BU24" s="1562"/>
      <c r="BV24" s="1562"/>
      <c r="BW24" s="1562"/>
      <c r="BX24" s="1562"/>
      <c r="BY24" s="2355"/>
      <c r="CG24" s="1082">
        <v>0</v>
      </c>
    </row>
    <row r="25" spans="1:8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J25" s="1562"/>
      <c r="BK25" s="1562"/>
      <c r="BL25" s="1562"/>
      <c r="BM25" s="1562"/>
      <c r="BN25" s="1562"/>
      <c r="BO25" s="1562"/>
      <c r="BP25" s="1562"/>
      <c r="BQ25" s="1562"/>
      <c r="BR25" s="1562"/>
      <c r="BS25" s="1562"/>
      <c r="BT25" s="1562"/>
      <c r="BU25" s="1562"/>
      <c r="BV25" s="1562"/>
      <c r="BW25" s="1562"/>
      <c r="BX25" s="1562"/>
      <c r="BY25" s="2355"/>
      <c r="CG25" s="1082">
        <v>14</v>
      </c>
    </row>
    <row r="26" spans="1:85" ht="14.65" customHeight="1">
      <c r="Q26" s="313"/>
      <c r="R26" s="313"/>
      <c r="S26" s="3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2"/>
      <c r="U26" s="3232"/>
      <c r="V26" s="3232"/>
      <c r="W26" s="3232"/>
      <c r="X26" s="3232"/>
      <c r="Y26" s="3232"/>
      <c r="Z26" s="3232"/>
      <c r="AA26" s="3232"/>
      <c r="AB26" s="3232"/>
      <c r="AC26" s="3232"/>
      <c r="AD26" s="3232"/>
      <c r="AE26" s="3232"/>
      <c r="AF26" s="3232"/>
      <c r="AG26" s="3232"/>
      <c r="AH26" s="3232"/>
      <c r="AI26" s="3232"/>
      <c r="AJ26" s="3232"/>
      <c r="AK26" s="1170"/>
      <c r="AL26" s="2007"/>
      <c r="AM26" s="2007"/>
      <c r="AN26" s="2007"/>
      <c r="AO26" s="2007"/>
      <c r="AP26" s="2007"/>
      <c r="AQ26" s="2007"/>
      <c r="AR26" s="2007"/>
      <c r="AS26" s="2007"/>
      <c r="AT26" s="2007"/>
      <c r="AU26" s="2007"/>
      <c r="AV26" s="2007"/>
      <c r="AW26" s="2007"/>
      <c r="AX26" s="2007"/>
      <c r="AY26" s="2007"/>
      <c r="AZ26" s="2007"/>
      <c r="BA26" s="2007"/>
      <c r="BB26" s="2007"/>
      <c r="BC26" s="2007"/>
      <c r="BD26" s="2007"/>
      <c r="BE26" s="2007"/>
      <c r="BF26" s="2007"/>
      <c r="BG26" s="2007"/>
      <c r="BH26" s="2007"/>
      <c r="BI26" s="2007"/>
      <c r="BJ26" s="2007"/>
      <c r="BK26" s="2007"/>
      <c r="BL26" s="2007"/>
      <c r="BM26" s="2007"/>
      <c r="BN26" s="2007"/>
      <c r="BO26" s="2007"/>
      <c r="BP26" s="2007"/>
      <c r="BQ26" s="2007"/>
      <c r="BR26" s="2007"/>
      <c r="BS26" s="2007"/>
      <c r="BT26" s="2007"/>
      <c r="BU26" s="2007"/>
      <c r="BV26" s="2007"/>
      <c r="BW26" s="2007"/>
      <c r="BX26" s="2007"/>
      <c r="BY26" s="2363"/>
      <c r="CG26" s="1082">
        <v>14</v>
      </c>
    </row>
    <row r="27" spans="1:85"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L27" s="2008"/>
      <c r="AM27" s="2008"/>
      <c r="AN27" s="2008"/>
      <c r="AO27" s="2008"/>
      <c r="AP27" s="2008"/>
      <c r="AQ27" s="2008"/>
      <c r="AR27" s="2008"/>
      <c r="AS27" s="2008"/>
      <c r="AT27" s="2008"/>
      <c r="AU27" s="2008"/>
      <c r="AV27" s="2008"/>
      <c r="AW27" s="2008"/>
      <c r="AX27" s="2008"/>
      <c r="AY27" s="2008"/>
      <c r="AZ27" s="2008"/>
      <c r="BA27" s="2008"/>
      <c r="BB27" s="2008"/>
      <c r="BC27" s="2008"/>
      <c r="BD27" s="2008"/>
      <c r="BE27" s="2008"/>
      <c r="BF27" s="2008"/>
      <c r="BG27" s="2008"/>
      <c r="BH27" s="2008"/>
      <c r="BI27" s="2008"/>
      <c r="BJ27" s="2008"/>
      <c r="BK27" s="2008"/>
      <c r="BL27" s="2008"/>
      <c r="BM27" s="2008"/>
      <c r="BN27" s="2008"/>
      <c r="BO27" s="2008"/>
      <c r="BP27" s="2008"/>
      <c r="BQ27" s="2008"/>
      <c r="BR27" s="2008"/>
      <c r="BS27" s="2008"/>
      <c r="BT27" s="2008"/>
      <c r="BU27" s="2008"/>
      <c r="BV27" s="2008"/>
      <c r="BW27" s="2008"/>
      <c r="BX27" s="2008"/>
      <c r="BY27" s="2364"/>
      <c r="CG27" s="1082">
        <v>14</v>
      </c>
    </row>
    <row r="28" spans="1:8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365"/>
      <c r="BZ28" s="446"/>
      <c r="CG28" s="1082">
        <v>0</v>
      </c>
    </row>
    <row r="29" spans="1:85" s="1778" customFormat="1" ht="25.5" hidden="1" customHeight="1">
      <c r="A29" s="1295"/>
      <c r="B29" s="1295"/>
      <c r="C29" s="1295"/>
      <c r="D29" s="1295"/>
      <c r="E29" s="1295"/>
      <c r="F29" s="1295"/>
      <c r="G29" s="1295"/>
      <c r="H29" s="1295"/>
      <c r="I29" s="1295"/>
      <c r="J29" s="1295"/>
      <c r="K29" s="1295"/>
      <c r="L29" s="1296"/>
      <c r="M29" s="1295"/>
      <c r="N29" s="1295"/>
      <c r="O29" s="1295"/>
      <c r="S29" s="3243" t="s">
        <v>42</v>
      </c>
      <c r="T29" s="3243"/>
      <c r="U29" s="1299"/>
      <c r="V29" s="3245" t="str">
        <f>IF(TITLE_NAME_OR_PR_CHANGE="",IF(TITLE_NAME_OR_PR="","",TITLE_NAME_OR_PR),TITLE_NAME_OR_PR_CHANGE)</f>
        <v/>
      </c>
      <c r="W29" s="3245"/>
      <c r="X29" s="3245"/>
      <c r="Y29" s="3245"/>
      <c r="Z29" s="3245"/>
      <c r="AA29" s="3245"/>
      <c r="AB29" s="3245"/>
      <c r="AC29" s="264"/>
      <c r="AD29" s="3245" t="str">
        <f>IF(TITLE_NAME_OR_PR_CHANGE="",IF(TITLE_NAME_OR_PR="","",TITLE_NAME_OR_PR),TITLE_NAME_OR_PR_CHANGE)</f>
        <v/>
      </c>
      <c r="AE29" s="3245"/>
      <c r="AF29" s="3245"/>
      <c r="AG29" s="3245"/>
      <c r="AH29" s="3245"/>
      <c r="AI29" s="3245"/>
      <c r="AJ29" s="3245"/>
      <c r="AK29" s="264"/>
      <c r="AL29" s="3245" t="str">
        <f>IF(TITLE_NAME_OR_PR_CHANGE="",IF(TITLE_NAME_OR_PR="","",TITLE_NAME_OR_PR),TITLE_NAME_OR_PR_CHANGE)</f>
        <v/>
      </c>
      <c r="AM29" s="3245"/>
      <c r="AN29" s="3245"/>
      <c r="AO29" s="3245"/>
      <c r="AP29" s="3245"/>
      <c r="AQ29" s="3245"/>
      <c r="AR29" s="3245"/>
      <c r="AS29" s="1562"/>
      <c r="AT29" s="3245" t="str">
        <f>IF(TITLE_NAME_OR_PR_CHANGE="",IF(TITLE_NAME_OR_PR="","",TITLE_NAME_OR_PR),TITLE_NAME_OR_PR_CHANGE)</f>
        <v/>
      </c>
      <c r="AU29" s="3245"/>
      <c r="AV29" s="3245"/>
      <c r="AW29" s="3245"/>
      <c r="AX29" s="3245"/>
      <c r="AY29" s="3245"/>
      <c r="AZ29" s="3245"/>
      <c r="BA29" s="1562"/>
      <c r="BB29" s="3245" t="str">
        <f>IF(TITLE_NAME_OR_PR_CHANGE="",IF(TITLE_NAME_OR_PR="","",TITLE_NAME_OR_PR),TITLE_NAME_OR_PR_CHANGE)</f>
        <v/>
      </c>
      <c r="BC29" s="3245"/>
      <c r="BD29" s="3245"/>
      <c r="BE29" s="3245"/>
      <c r="BF29" s="3245"/>
      <c r="BG29" s="3245"/>
      <c r="BH29" s="3245"/>
      <c r="BI29" s="1562"/>
      <c r="BJ29" s="3245" t="str">
        <f>IF(TITLE_NAME_OR_PR_CHANGE="",IF(TITLE_NAME_OR_PR="","",TITLE_NAME_OR_PR),TITLE_NAME_OR_PR_CHANGE)</f>
        <v/>
      </c>
      <c r="BK29" s="3245"/>
      <c r="BL29" s="3245"/>
      <c r="BM29" s="3245"/>
      <c r="BN29" s="3245"/>
      <c r="BO29" s="3245"/>
      <c r="BP29" s="3245"/>
      <c r="BQ29" s="1562"/>
      <c r="BR29" s="3245" t="str">
        <f>IF(TITLE_NAME_OR_PR_CHANGE="",IF(TITLE_NAME_OR_PR="","",TITLE_NAME_OR_PR),TITLE_NAME_OR_PR_CHANGE)</f>
        <v/>
      </c>
      <c r="BS29" s="3245"/>
      <c r="BT29" s="3245"/>
      <c r="BU29" s="3245"/>
      <c r="BV29" s="3245"/>
      <c r="BW29" s="3245"/>
      <c r="BX29" s="3245"/>
      <c r="BY29" s="2355"/>
      <c r="BZ29" s="264"/>
      <c r="CA29" s="218"/>
      <c r="CB29" s="305"/>
      <c r="CC29" s="305"/>
      <c r="CD29" s="305"/>
      <c r="CE29" s="305"/>
      <c r="CF29" s="305"/>
      <c r="CG29" s="355">
        <v>0</v>
      </c>
    </row>
    <row r="30" spans="1:85" s="1778" customFormat="1" ht="18.75" hidden="1" customHeight="1">
      <c r="A30" s="1295"/>
      <c r="B30" s="1295"/>
      <c r="C30" s="1295"/>
      <c r="D30" s="1295"/>
      <c r="E30" s="1295"/>
      <c r="F30" s="1295"/>
      <c r="G30" s="1295"/>
      <c r="H30" s="1295"/>
      <c r="I30" s="1295"/>
      <c r="J30" s="1295"/>
      <c r="K30" s="1295"/>
      <c r="L30" s="1296"/>
      <c r="M30" s="1295"/>
      <c r="N30" s="1295"/>
      <c r="O30" s="1295"/>
      <c r="S30" s="3243" t="s">
        <v>428</v>
      </c>
      <c r="T30" s="3243"/>
      <c r="U30" s="1299"/>
      <c r="V30" s="3244">
        <f>IF(TITLE_DATE_PR_CHANGE="",IF(TITLE_DATE_PR="","",TITLE_DATE_PR),TITLE_DATE_PR_CHANGE)</f>
        <v>45595.546053240738</v>
      </c>
      <c r="W30" s="3244"/>
      <c r="X30" s="3244"/>
      <c r="Y30" s="3244"/>
      <c r="Z30" s="3244"/>
      <c r="AA30" s="3244"/>
      <c r="AB30" s="3244"/>
      <c r="AC30" s="264"/>
      <c r="AD30" s="3244">
        <f>IF(TITLE_DATE_PR_CHANGE="",IF(TITLE_DATE_PR="","",TITLE_DATE_PR),TITLE_DATE_PR_CHANGE)</f>
        <v>45595.546053240738</v>
      </c>
      <c r="AE30" s="3244"/>
      <c r="AF30" s="3244"/>
      <c r="AG30" s="3244"/>
      <c r="AH30" s="3244"/>
      <c r="AI30" s="3244"/>
      <c r="AJ30" s="3244"/>
      <c r="AK30" s="264"/>
      <c r="AL30" s="3244">
        <f>IF(TITLE_DATE_PR_CHANGE="",IF(TITLE_DATE_PR="","",TITLE_DATE_PR),TITLE_DATE_PR_CHANGE)</f>
        <v>45595.546053240738</v>
      </c>
      <c r="AM30" s="3244"/>
      <c r="AN30" s="3244"/>
      <c r="AO30" s="3244"/>
      <c r="AP30" s="3244"/>
      <c r="AQ30" s="3244"/>
      <c r="AR30" s="3244"/>
      <c r="AS30" s="1562"/>
      <c r="AT30" s="3244">
        <f>IF(TITLE_DATE_PR_CHANGE="",IF(TITLE_DATE_PR="","",TITLE_DATE_PR),TITLE_DATE_PR_CHANGE)</f>
        <v>45595.546053240738</v>
      </c>
      <c r="AU30" s="3244"/>
      <c r="AV30" s="3244"/>
      <c r="AW30" s="3244"/>
      <c r="AX30" s="3244"/>
      <c r="AY30" s="3244"/>
      <c r="AZ30" s="3244"/>
      <c r="BA30" s="1562"/>
      <c r="BB30" s="3244">
        <f>IF(TITLE_DATE_PR_CHANGE="",IF(TITLE_DATE_PR="","",TITLE_DATE_PR),TITLE_DATE_PR_CHANGE)</f>
        <v>45595.546053240738</v>
      </c>
      <c r="BC30" s="3244"/>
      <c r="BD30" s="3244"/>
      <c r="BE30" s="3244"/>
      <c r="BF30" s="3244"/>
      <c r="BG30" s="3244"/>
      <c r="BH30" s="3244"/>
      <c r="BI30" s="1562"/>
      <c r="BJ30" s="3244">
        <f>IF(TITLE_DATE_PR_CHANGE="",IF(TITLE_DATE_PR="","",TITLE_DATE_PR),TITLE_DATE_PR_CHANGE)</f>
        <v>45595.546053240738</v>
      </c>
      <c r="BK30" s="3244"/>
      <c r="BL30" s="3244"/>
      <c r="BM30" s="3244"/>
      <c r="BN30" s="3244"/>
      <c r="BO30" s="3244"/>
      <c r="BP30" s="3244"/>
      <c r="BQ30" s="1562"/>
      <c r="BR30" s="3244">
        <f>IF(TITLE_DATE_PR_CHANGE="",IF(TITLE_DATE_PR="","",TITLE_DATE_PR),TITLE_DATE_PR_CHANGE)</f>
        <v>45595.546053240738</v>
      </c>
      <c r="BS30" s="3244"/>
      <c r="BT30" s="3244"/>
      <c r="BU30" s="3244"/>
      <c r="BV30" s="3244"/>
      <c r="BW30" s="3244"/>
      <c r="BX30" s="3244"/>
      <c r="BY30" s="2355"/>
      <c r="BZ30" s="264"/>
      <c r="CA30" s="218"/>
      <c r="CB30" s="305"/>
      <c r="CC30" s="305"/>
      <c r="CD30" s="305"/>
      <c r="CE30" s="305"/>
      <c r="CF30" s="305"/>
      <c r="CG30" s="355">
        <v>0</v>
      </c>
    </row>
    <row r="31" spans="1:85" s="1778" customFormat="1" ht="18.75" hidden="1" customHeight="1">
      <c r="A31" s="1295"/>
      <c r="B31" s="1295"/>
      <c r="C31" s="1295"/>
      <c r="D31" s="1295"/>
      <c r="E31" s="1295"/>
      <c r="F31" s="1295"/>
      <c r="G31" s="1295"/>
      <c r="H31" s="1295"/>
      <c r="I31" s="1295"/>
      <c r="J31" s="1295"/>
      <c r="K31" s="1295"/>
      <c r="L31" s="1296"/>
      <c r="M31" s="1295"/>
      <c r="N31" s="1295"/>
      <c r="O31" s="1295"/>
      <c r="S31" s="3243" t="s">
        <v>429</v>
      </c>
      <c r="T31" s="3243"/>
      <c r="U31" s="1299"/>
      <c r="V31" s="3245" t="str">
        <f>IF(TITLE_NUMBER_PR_CHANGE="",IF(TITLE_NUMBER_PR="","",TITLE_NUMBER_PR),TITLE_NUMBER_PR_CHANGE)</f>
        <v>03/3636</v>
      </c>
      <c r="W31" s="3245"/>
      <c r="X31" s="3245"/>
      <c r="Y31" s="3245"/>
      <c r="Z31" s="3245"/>
      <c r="AA31" s="3245"/>
      <c r="AB31" s="3245"/>
      <c r="AC31" s="264"/>
      <c r="AD31" s="3245" t="str">
        <f>IF(TITLE_NUMBER_PR_CHANGE="",IF(TITLE_NUMBER_PR="","",TITLE_NUMBER_PR),TITLE_NUMBER_PR_CHANGE)</f>
        <v>03/3636</v>
      </c>
      <c r="AE31" s="3245"/>
      <c r="AF31" s="3245"/>
      <c r="AG31" s="3245"/>
      <c r="AH31" s="3245"/>
      <c r="AI31" s="3245"/>
      <c r="AJ31" s="3245"/>
      <c r="AK31" s="264"/>
      <c r="AL31" s="3245" t="str">
        <f>IF(TITLE_NUMBER_PR_CHANGE="",IF(TITLE_NUMBER_PR="","",TITLE_NUMBER_PR),TITLE_NUMBER_PR_CHANGE)</f>
        <v>03/3636</v>
      </c>
      <c r="AM31" s="3245"/>
      <c r="AN31" s="3245"/>
      <c r="AO31" s="3245"/>
      <c r="AP31" s="3245"/>
      <c r="AQ31" s="3245"/>
      <c r="AR31" s="3245"/>
      <c r="AS31" s="1562"/>
      <c r="AT31" s="3245" t="str">
        <f>IF(TITLE_NUMBER_PR_CHANGE="",IF(TITLE_NUMBER_PR="","",TITLE_NUMBER_PR),TITLE_NUMBER_PR_CHANGE)</f>
        <v>03/3636</v>
      </c>
      <c r="AU31" s="3245"/>
      <c r="AV31" s="3245"/>
      <c r="AW31" s="3245"/>
      <c r="AX31" s="3245"/>
      <c r="AY31" s="3245"/>
      <c r="AZ31" s="3245"/>
      <c r="BA31" s="1562"/>
      <c r="BB31" s="3245" t="str">
        <f>IF(TITLE_NUMBER_PR_CHANGE="",IF(TITLE_NUMBER_PR="","",TITLE_NUMBER_PR),TITLE_NUMBER_PR_CHANGE)</f>
        <v>03/3636</v>
      </c>
      <c r="BC31" s="3245"/>
      <c r="BD31" s="3245"/>
      <c r="BE31" s="3245"/>
      <c r="BF31" s="3245"/>
      <c r="BG31" s="3245"/>
      <c r="BH31" s="3245"/>
      <c r="BI31" s="1562"/>
      <c r="BJ31" s="3245" t="str">
        <f>IF(TITLE_NUMBER_PR_CHANGE="",IF(TITLE_NUMBER_PR="","",TITLE_NUMBER_PR),TITLE_NUMBER_PR_CHANGE)</f>
        <v>03/3636</v>
      </c>
      <c r="BK31" s="3245"/>
      <c r="BL31" s="3245"/>
      <c r="BM31" s="3245"/>
      <c r="BN31" s="3245"/>
      <c r="BO31" s="3245"/>
      <c r="BP31" s="3245"/>
      <c r="BQ31" s="1562"/>
      <c r="BR31" s="3245" t="str">
        <f>IF(TITLE_NUMBER_PR_CHANGE="",IF(TITLE_NUMBER_PR="","",TITLE_NUMBER_PR),TITLE_NUMBER_PR_CHANGE)</f>
        <v>03/3636</v>
      </c>
      <c r="BS31" s="3245"/>
      <c r="BT31" s="3245"/>
      <c r="BU31" s="3245"/>
      <c r="BV31" s="3245"/>
      <c r="BW31" s="3245"/>
      <c r="BX31" s="3245"/>
      <c r="BY31" s="2355"/>
      <c r="BZ31" s="264"/>
      <c r="CA31" s="218"/>
      <c r="CB31" s="305"/>
      <c r="CC31" s="305"/>
      <c r="CD31" s="305"/>
      <c r="CE31" s="305"/>
      <c r="CF31" s="305"/>
      <c r="CG31" s="355">
        <v>0</v>
      </c>
    </row>
    <row r="32" spans="1:85" s="1778" customFormat="1" ht="18.75" hidden="1" customHeight="1">
      <c r="A32" s="1295"/>
      <c r="B32" s="1295"/>
      <c r="C32" s="1295"/>
      <c r="D32" s="1295"/>
      <c r="E32" s="1295"/>
      <c r="F32" s="1295"/>
      <c r="G32" s="1295"/>
      <c r="H32" s="1295"/>
      <c r="I32" s="1295"/>
      <c r="J32" s="1295"/>
      <c r="K32" s="1295"/>
      <c r="L32" s="1296"/>
      <c r="M32" s="1295"/>
      <c r="N32" s="1295"/>
      <c r="O32" s="1295"/>
      <c r="S32" s="3243" t="s">
        <v>43</v>
      </c>
      <c r="T32" s="3243"/>
      <c r="U32" s="1299"/>
      <c r="V32" s="3245" t="str">
        <f>IF(TITLE_IST_PUB_CHANGE="",IF(TITLE_IST_PUB="","",TITLE_IST_PUB),TITLE_IST_PUB_CHANGE)</f>
        <v/>
      </c>
      <c r="W32" s="3245"/>
      <c r="X32" s="3245"/>
      <c r="Y32" s="3245"/>
      <c r="Z32" s="3245"/>
      <c r="AA32" s="3245"/>
      <c r="AB32" s="3245"/>
      <c r="AC32" s="264"/>
      <c r="AD32" s="3245" t="str">
        <f>IF(TITLE_IST_PUB_CHANGE="",IF(TITLE_IST_PUB="","",TITLE_IST_PUB),TITLE_IST_PUB_CHANGE)</f>
        <v/>
      </c>
      <c r="AE32" s="3245"/>
      <c r="AF32" s="3245"/>
      <c r="AG32" s="3245"/>
      <c r="AH32" s="3245"/>
      <c r="AI32" s="3245"/>
      <c r="AJ32" s="3245"/>
      <c r="AK32" s="264"/>
      <c r="AL32" s="3245" t="str">
        <f>IF(TITLE_IST_PUB_CHANGE="",IF(TITLE_IST_PUB="","",TITLE_IST_PUB),TITLE_IST_PUB_CHANGE)</f>
        <v/>
      </c>
      <c r="AM32" s="3245"/>
      <c r="AN32" s="3245"/>
      <c r="AO32" s="3245"/>
      <c r="AP32" s="3245"/>
      <c r="AQ32" s="3245"/>
      <c r="AR32" s="3245"/>
      <c r="AS32" s="1562"/>
      <c r="AT32" s="3245" t="str">
        <f>IF(TITLE_IST_PUB_CHANGE="",IF(TITLE_IST_PUB="","",TITLE_IST_PUB),TITLE_IST_PUB_CHANGE)</f>
        <v/>
      </c>
      <c r="AU32" s="3245"/>
      <c r="AV32" s="3245"/>
      <c r="AW32" s="3245"/>
      <c r="AX32" s="3245"/>
      <c r="AY32" s="3245"/>
      <c r="AZ32" s="3245"/>
      <c r="BA32" s="1562"/>
      <c r="BB32" s="3245" t="str">
        <f>IF(TITLE_IST_PUB_CHANGE="",IF(TITLE_IST_PUB="","",TITLE_IST_PUB),TITLE_IST_PUB_CHANGE)</f>
        <v/>
      </c>
      <c r="BC32" s="3245"/>
      <c r="BD32" s="3245"/>
      <c r="BE32" s="3245"/>
      <c r="BF32" s="3245"/>
      <c r="BG32" s="3245"/>
      <c r="BH32" s="3245"/>
      <c r="BI32" s="1562"/>
      <c r="BJ32" s="3245" t="str">
        <f>IF(TITLE_IST_PUB_CHANGE="",IF(TITLE_IST_PUB="","",TITLE_IST_PUB),TITLE_IST_PUB_CHANGE)</f>
        <v/>
      </c>
      <c r="BK32" s="3245"/>
      <c r="BL32" s="3245"/>
      <c r="BM32" s="3245"/>
      <c r="BN32" s="3245"/>
      <c r="BO32" s="3245"/>
      <c r="BP32" s="3245"/>
      <c r="BQ32" s="1562"/>
      <c r="BR32" s="3245" t="str">
        <f>IF(TITLE_IST_PUB_CHANGE="",IF(TITLE_IST_PUB="","",TITLE_IST_PUB),TITLE_IST_PUB_CHANGE)</f>
        <v/>
      </c>
      <c r="BS32" s="3245"/>
      <c r="BT32" s="3245"/>
      <c r="BU32" s="3245"/>
      <c r="BV32" s="3245"/>
      <c r="BW32" s="3245"/>
      <c r="BX32" s="3245"/>
      <c r="BY32" s="2355"/>
      <c r="BZ32" s="264"/>
      <c r="CA32" s="218"/>
      <c r="CB32" s="305"/>
      <c r="CC32" s="305"/>
      <c r="CD32" s="305"/>
      <c r="CE32" s="305"/>
      <c r="CF32" s="305"/>
      <c r="CG32" s="355">
        <v>0</v>
      </c>
    </row>
    <row r="33" spans="1:8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365"/>
      <c r="BZ33" s="446"/>
      <c r="CG33" s="1082">
        <v>0</v>
      </c>
    </row>
    <row r="34" spans="1:85" s="1778" customFormat="1" ht="18.75" customHeight="1">
      <c r="A34" s="1295"/>
      <c r="B34" s="1295"/>
      <c r="C34" s="1295"/>
      <c r="D34" s="1295"/>
      <c r="E34" s="1295"/>
      <c r="F34" s="1295"/>
      <c r="G34" s="1295"/>
      <c r="H34" s="1295"/>
      <c r="I34" s="1295"/>
      <c r="J34" s="1295"/>
      <c r="K34" s="1295"/>
      <c r="L34" s="1296"/>
      <c r="M34" s="1295"/>
      <c r="N34" s="1295"/>
      <c r="O34" s="1295"/>
      <c r="S34" s="3243" t="s">
        <v>430</v>
      </c>
      <c r="T34" s="3243"/>
      <c r="U34" s="1299"/>
      <c r="V34" s="3244">
        <f>IF(TITLE_DATE_PR_CHANGE="",IF(TITLE_DATE_PR="","",TITLE_DATE_PR),TITLE_DATE_PR_CHANGE)</f>
        <v>45595.546053240738</v>
      </c>
      <c r="W34" s="3244"/>
      <c r="X34" s="3244"/>
      <c r="Y34" s="3244"/>
      <c r="Z34" s="3244"/>
      <c r="AA34" s="3244"/>
      <c r="AB34" s="3244"/>
      <c r="AC34" s="264"/>
      <c r="AD34" s="3244">
        <f>IF(TITLE_DATE_PR_CHANGE="",IF(TITLE_DATE_PR="","",TITLE_DATE_PR),TITLE_DATE_PR_CHANGE)</f>
        <v>45595.546053240738</v>
      </c>
      <c r="AE34" s="3244"/>
      <c r="AF34" s="3244"/>
      <c r="AG34" s="3244"/>
      <c r="AH34" s="3244"/>
      <c r="AI34" s="3244"/>
      <c r="AJ34" s="3244"/>
      <c r="AK34" s="264"/>
      <c r="AL34" s="3244">
        <f>IF(TITLE_DATE_PR_CHANGE="",IF(TITLE_DATE_PR="","",TITLE_DATE_PR),TITLE_DATE_PR_CHANGE)</f>
        <v>45595.546053240738</v>
      </c>
      <c r="AM34" s="3244"/>
      <c r="AN34" s="3244"/>
      <c r="AO34" s="3244"/>
      <c r="AP34" s="3244"/>
      <c r="AQ34" s="3244"/>
      <c r="AR34" s="3244"/>
      <c r="AS34" s="1562"/>
      <c r="AT34" s="3244">
        <f>IF(TITLE_DATE_PR_CHANGE="",IF(TITLE_DATE_PR="","",TITLE_DATE_PR),TITLE_DATE_PR_CHANGE)</f>
        <v>45595.546053240738</v>
      </c>
      <c r="AU34" s="3244"/>
      <c r="AV34" s="3244"/>
      <c r="AW34" s="3244"/>
      <c r="AX34" s="3244"/>
      <c r="AY34" s="3244"/>
      <c r="AZ34" s="3244"/>
      <c r="BA34" s="1562"/>
      <c r="BB34" s="3244">
        <f>IF(TITLE_DATE_PR_CHANGE="",IF(TITLE_DATE_PR="","",TITLE_DATE_PR),TITLE_DATE_PR_CHANGE)</f>
        <v>45595.546053240738</v>
      </c>
      <c r="BC34" s="3244"/>
      <c r="BD34" s="3244"/>
      <c r="BE34" s="3244"/>
      <c r="BF34" s="3244"/>
      <c r="BG34" s="3244"/>
      <c r="BH34" s="3244"/>
      <c r="BI34" s="1562"/>
      <c r="BJ34" s="3244">
        <f>IF(TITLE_DATE_PR_CHANGE="",IF(TITLE_DATE_PR="","",TITLE_DATE_PR),TITLE_DATE_PR_CHANGE)</f>
        <v>45595.546053240738</v>
      </c>
      <c r="BK34" s="3244"/>
      <c r="BL34" s="3244"/>
      <c r="BM34" s="3244"/>
      <c r="BN34" s="3244"/>
      <c r="BO34" s="3244"/>
      <c r="BP34" s="3244"/>
      <c r="BQ34" s="1562"/>
      <c r="BR34" s="3244">
        <f>IF(TITLE_DATE_PR_CHANGE="",IF(TITLE_DATE_PR="","",TITLE_DATE_PR),TITLE_DATE_PR_CHANGE)</f>
        <v>45595.546053240738</v>
      </c>
      <c r="BS34" s="3244"/>
      <c r="BT34" s="3244"/>
      <c r="BU34" s="3244"/>
      <c r="BV34" s="3244"/>
      <c r="BW34" s="3244"/>
      <c r="BX34" s="3244"/>
      <c r="BY34" s="2355"/>
      <c r="BZ34" s="264"/>
      <c r="CA34" s="218"/>
      <c r="CB34" s="305"/>
      <c r="CC34" s="305"/>
      <c r="CD34" s="305"/>
      <c r="CE34" s="305"/>
      <c r="CF34" s="305"/>
      <c r="CG34" s="355">
        <v>0</v>
      </c>
    </row>
    <row r="35" spans="1:85" s="1778" customFormat="1" ht="18.75" customHeight="1">
      <c r="A35" s="1295"/>
      <c r="B35" s="1295"/>
      <c r="C35" s="1295"/>
      <c r="D35" s="1295"/>
      <c r="E35" s="1295"/>
      <c r="F35" s="1295"/>
      <c r="G35" s="1295"/>
      <c r="H35" s="1295"/>
      <c r="I35" s="1295"/>
      <c r="J35" s="1295"/>
      <c r="K35" s="1295"/>
      <c r="L35" s="1296"/>
      <c r="M35" s="1295"/>
      <c r="N35" s="1295"/>
      <c r="O35" s="1295"/>
      <c r="S35" s="3243" t="s">
        <v>431</v>
      </c>
      <c r="T35" s="3243"/>
      <c r="U35" s="1299"/>
      <c r="V35" s="3245" t="str">
        <f>IF(TITLE_NUMBER_PR_CHANGE="",IF(TITLE_NUMBER_PR="","",TITLE_NUMBER_PR),TITLE_NUMBER_PR_CHANGE)</f>
        <v>03/3636</v>
      </c>
      <c r="W35" s="3245"/>
      <c r="X35" s="3245"/>
      <c r="Y35" s="3245"/>
      <c r="Z35" s="3245"/>
      <c r="AA35" s="3245"/>
      <c r="AB35" s="3245"/>
      <c r="AC35" s="264"/>
      <c r="AD35" s="3245" t="str">
        <f>IF(TITLE_NUMBER_PR_CHANGE="",IF(TITLE_NUMBER_PR="","",TITLE_NUMBER_PR),TITLE_NUMBER_PR_CHANGE)</f>
        <v>03/3636</v>
      </c>
      <c r="AE35" s="3245"/>
      <c r="AF35" s="3245"/>
      <c r="AG35" s="3245"/>
      <c r="AH35" s="3245"/>
      <c r="AI35" s="3245"/>
      <c r="AJ35" s="3245"/>
      <c r="AK35" s="264"/>
      <c r="AL35" s="3245" t="str">
        <f>IF(TITLE_NUMBER_PR_CHANGE="",IF(TITLE_NUMBER_PR="","",TITLE_NUMBER_PR),TITLE_NUMBER_PR_CHANGE)</f>
        <v>03/3636</v>
      </c>
      <c r="AM35" s="3245"/>
      <c r="AN35" s="3245"/>
      <c r="AO35" s="3245"/>
      <c r="AP35" s="3245"/>
      <c r="AQ35" s="3245"/>
      <c r="AR35" s="3245"/>
      <c r="AS35" s="1562"/>
      <c r="AT35" s="3245" t="str">
        <f>IF(TITLE_NUMBER_PR_CHANGE="",IF(TITLE_NUMBER_PR="","",TITLE_NUMBER_PR),TITLE_NUMBER_PR_CHANGE)</f>
        <v>03/3636</v>
      </c>
      <c r="AU35" s="3245"/>
      <c r="AV35" s="3245"/>
      <c r="AW35" s="3245"/>
      <c r="AX35" s="3245"/>
      <c r="AY35" s="3245"/>
      <c r="AZ35" s="3245"/>
      <c r="BA35" s="1562"/>
      <c r="BB35" s="3245" t="str">
        <f>IF(TITLE_NUMBER_PR_CHANGE="",IF(TITLE_NUMBER_PR="","",TITLE_NUMBER_PR),TITLE_NUMBER_PR_CHANGE)</f>
        <v>03/3636</v>
      </c>
      <c r="BC35" s="3245"/>
      <c r="BD35" s="3245"/>
      <c r="BE35" s="3245"/>
      <c r="BF35" s="3245"/>
      <c r="BG35" s="3245"/>
      <c r="BH35" s="3245"/>
      <c r="BI35" s="1562"/>
      <c r="BJ35" s="3245" t="str">
        <f>IF(TITLE_NUMBER_PR_CHANGE="",IF(TITLE_NUMBER_PR="","",TITLE_NUMBER_PR),TITLE_NUMBER_PR_CHANGE)</f>
        <v>03/3636</v>
      </c>
      <c r="BK35" s="3245"/>
      <c r="BL35" s="3245"/>
      <c r="BM35" s="3245"/>
      <c r="BN35" s="3245"/>
      <c r="BO35" s="3245"/>
      <c r="BP35" s="3245"/>
      <c r="BQ35" s="1562"/>
      <c r="BR35" s="3245" t="str">
        <f>IF(TITLE_NUMBER_PR_CHANGE="",IF(TITLE_NUMBER_PR="","",TITLE_NUMBER_PR),TITLE_NUMBER_PR_CHANGE)</f>
        <v>03/3636</v>
      </c>
      <c r="BS35" s="3245"/>
      <c r="BT35" s="3245"/>
      <c r="BU35" s="3245"/>
      <c r="BV35" s="3245"/>
      <c r="BW35" s="3245"/>
      <c r="BX35" s="3245"/>
      <c r="BY35" s="2355"/>
      <c r="BZ35" s="264"/>
      <c r="CA35" s="218"/>
      <c r="CB35" s="305"/>
      <c r="CC35" s="305"/>
      <c r="CD35" s="305"/>
      <c r="CE35" s="305"/>
      <c r="CF35" s="305"/>
      <c r="CG35" s="355">
        <v>0</v>
      </c>
    </row>
    <row r="36" spans="1:8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432</v>
      </c>
      <c r="AD36" s="264"/>
      <c r="AE36" s="264"/>
      <c r="AF36" s="264"/>
      <c r="AG36" s="264"/>
      <c r="AH36" s="264"/>
      <c r="AI36" s="264"/>
      <c r="AJ36" s="264"/>
      <c r="AK36" s="216" t="s">
        <v>432</v>
      </c>
      <c r="AL36" s="1562"/>
      <c r="AM36" s="1562"/>
      <c r="AN36" s="1562"/>
      <c r="AO36" s="1562"/>
      <c r="AP36" s="1562"/>
      <c r="AQ36" s="1562"/>
      <c r="AR36" s="1562"/>
      <c r="AS36" s="1569" t="s">
        <v>432</v>
      </c>
      <c r="AT36" s="1562"/>
      <c r="AU36" s="1562"/>
      <c r="AV36" s="1562"/>
      <c r="AW36" s="1562"/>
      <c r="AX36" s="1562"/>
      <c r="AY36" s="1562"/>
      <c r="AZ36" s="1562"/>
      <c r="BA36" s="1569" t="s">
        <v>432</v>
      </c>
      <c r="BB36" s="1562"/>
      <c r="BC36" s="1562"/>
      <c r="BD36" s="1562"/>
      <c r="BE36" s="1562"/>
      <c r="BF36" s="1562"/>
      <c r="BG36" s="1562"/>
      <c r="BH36" s="1562"/>
      <c r="BI36" s="1569" t="s">
        <v>432</v>
      </c>
      <c r="BJ36" s="1562"/>
      <c r="BK36" s="1562"/>
      <c r="BL36" s="1562"/>
      <c r="BM36" s="1562"/>
      <c r="BN36" s="1562"/>
      <c r="BO36" s="1562"/>
      <c r="BP36" s="1562"/>
      <c r="BQ36" s="1569" t="s">
        <v>432</v>
      </c>
      <c r="BR36" s="1562"/>
      <c r="BS36" s="1562"/>
      <c r="BT36" s="1562"/>
      <c r="BU36" s="1562"/>
      <c r="BV36" s="1562"/>
      <c r="BW36" s="1562"/>
      <c r="BX36" s="1562"/>
      <c r="BY36" s="2366" t="s">
        <v>432</v>
      </c>
      <c r="CB36" s="305"/>
      <c r="CC36" s="305"/>
      <c r="CD36" s="305"/>
      <c r="CE36" s="305"/>
      <c r="CF36" s="305"/>
      <c r="CG36" s="355">
        <v>0</v>
      </c>
    </row>
    <row r="37" spans="1:85" ht="14.65" customHeight="1">
      <c r="Q37" s="313"/>
      <c r="R37" s="313"/>
      <c r="S37" s="1202"/>
      <c r="T37" s="300"/>
      <c r="U37" s="1171"/>
      <c r="V37" s="3266"/>
      <c r="W37" s="3266"/>
      <c r="X37" s="3266"/>
      <c r="Y37" s="3266"/>
      <c r="Z37" s="3266"/>
      <c r="AA37" s="3266"/>
      <c r="AB37" s="3266"/>
      <c r="AC37" s="3266"/>
      <c r="AD37" s="3266"/>
      <c r="AE37" s="3266"/>
      <c r="AF37" s="3266"/>
      <c r="AG37" s="3266"/>
      <c r="AH37" s="3266"/>
      <c r="AI37" s="3266"/>
      <c r="AJ37" s="3266"/>
      <c r="AK37" s="3266"/>
      <c r="AL37" s="3266" t="s">
        <v>169</v>
      </c>
      <c r="AM37" s="3266"/>
      <c r="AN37" s="3266"/>
      <c r="AO37" s="3266"/>
      <c r="AP37" s="3266"/>
      <c r="AQ37" s="3266"/>
      <c r="AR37" s="3266"/>
      <c r="AS37" s="3266"/>
      <c r="AT37" s="3266" t="s">
        <v>169</v>
      </c>
      <c r="AU37" s="3266"/>
      <c r="AV37" s="3266"/>
      <c r="AW37" s="3266"/>
      <c r="AX37" s="3266"/>
      <c r="AY37" s="3266"/>
      <c r="AZ37" s="3266"/>
      <c r="BA37" s="3266"/>
      <c r="BB37" s="3266" t="s">
        <v>169</v>
      </c>
      <c r="BC37" s="3266"/>
      <c r="BD37" s="3266"/>
      <c r="BE37" s="3266"/>
      <c r="BF37" s="3266"/>
      <c r="BG37" s="3266"/>
      <c r="BH37" s="3266"/>
      <c r="BI37" s="3266"/>
      <c r="BJ37" s="3266" t="s">
        <v>169</v>
      </c>
      <c r="BK37" s="3266"/>
      <c r="BL37" s="3266"/>
      <c r="BM37" s="3266"/>
      <c r="BN37" s="3266"/>
      <c r="BO37" s="3266"/>
      <c r="BP37" s="3266"/>
      <c r="BQ37" s="3266"/>
      <c r="BR37" s="3266" t="s">
        <v>169</v>
      </c>
      <c r="BS37" s="3266"/>
      <c r="BT37" s="3266"/>
      <c r="BU37" s="3266"/>
      <c r="BV37" s="3266"/>
      <c r="BW37" s="3266"/>
      <c r="BX37" s="3266"/>
      <c r="BY37" s="3282"/>
      <c r="CG37" s="1082">
        <v>14</v>
      </c>
    </row>
    <row r="38" spans="1:85" ht="1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t="s">
        <v>308</v>
      </c>
      <c r="AM38" s="3111"/>
      <c r="AN38" s="3111"/>
      <c r="AO38" s="3111"/>
      <c r="AP38" s="3111"/>
      <c r="AQ38" s="3111"/>
      <c r="AR38" s="3111"/>
      <c r="AS38" s="3111"/>
      <c r="AT38" s="3111" t="s">
        <v>308</v>
      </c>
      <c r="AU38" s="3111"/>
      <c r="AV38" s="3111"/>
      <c r="AW38" s="3111"/>
      <c r="AX38" s="3111"/>
      <c r="AY38" s="3111"/>
      <c r="AZ38" s="3111"/>
      <c r="BA38" s="3111"/>
      <c r="BB38" s="3111" t="s">
        <v>308</v>
      </c>
      <c r="BC38" s="3111"/>
      <c r="BD38" s="3111"/>
      <c r="BE38" s="3111"/>
      <c r="BF38" s="3111"/>
      <c r="BG38" s="3111"/>
      <c r="BH38" s="3111"/>
      <c r="BI38" s="3111"/>
      <c r="BJ38" s="3111" t="s">
        <v>308</v>
      </c>
      <c r="BK38" s="3111"/>
      <c r="BL38" s="3111"/>
      <c r="BM38" s="3111"/>
      <c r="BN38" s="3111"/>
      <c r="BO38" s="3111"/>
      <c r="BP38" s="3111"/>
      <c r="BQ38" s="3111"/>
      <c r="BR38" s="3111" t="s">
        <v>308</v>
      </c>
      <c r="BS38" s="3111"/>
      <c r="BT38" s="3111"/>
      <c r="BU38" s="3111"/>
      <c r="BV38" s="3111"/>
      <c r="BW38" s="3111"/>
      <c r="BX38" s="3111"/>
      <c r="BY38" s="3267"/>
      <c r="BZ38" s="3111"/>
      <c r="CA38" s="3111"/>
      <c r="CG38" s="1082"/>
    </row>
    <row r="39" spans="1:85" ht="14.65" customHeight="1">
      <c r="Q39" s="313"/>
      <c r="R39" s="313"/>
      <c r="S39" s="3268" t="s">
        <v>85</v>
      </c>
      <c r="T39" s="3212" t="s">
        <v>433</v>
      </c>
      <c r="U39" s="239"/>
      <c r="V39" s="3269" t="s">
        <v>434</v>
      </c>
      <c r="W39" s="3270"/>
      <c r="X39" s="3270"/>
      <c r="Y39" s="3270"/>
      <c r="Z39" s="3270"/>
      <c r="AA39" s="3270"/>
      <c r="AB39" s="3271"/>
      <c r="AC39" s="3272" t="s">
        <v>435</v>
      </c>
      <c r="AD39" s="3269" t="s">
        <v>434</v>
      </c>
      <c r="AE39" s="3270"/>
      <c r="AF39" s="3270"/>
      <c r="AG39" s="3270"/>
      <c r="AH39" s="3270"/>
      <c r="AI39" s="3270"/>
      <c r="AJ39" s="3271"/>
      <c r="AK39" s="3272" t="s">
        <v>436</v>
      </c>
      <c r="AL39" s="3269" t="s">
        <v>434</v>
      </c>
      <c r="AM39" s="3270"/>
      <c r="AN39" s="3270"/>
      <c r="AO39" s="3270"/>
      <c r="AP39" s="3270"/>
      <c r="AQ39" s="3270"/>
      <c r="AR39" s="3271"/>
      <c r="AS39" s="3272" t="s">
        <v>435</v>
      </c>
      <c r="AT39" s="3269" t="s">
        <v>434</v>
      </c>
      <c r="AU39" s="3270"/>
      <c r="AV39" s="3270"/>
      <c r="AW39" s="3270"/>
      <c r="AX39" s="3270"/>
      <c r="AY39" s="3270"/>
      <c r="AZ39" s="3271"/>
      <c r="BA39" s="3272" t="s">
        <v>435</v>
      </c>
      <c r="BB39" s="3269" t="s">
        <v>434</v>
      </c>
      <c r="BC39" s="3270"/>
      <c r="BD39" s="3270"/>
      <c r="BE39" s="3270"/>
      <c r="BF39" s="3270"/>
      <c r="BG39" s="3270"/>
      <c r="BH39" s="3271"/>
      <c r="BI39" s="3272" t="s">
        <v>435</v>
      </c>
      <c r="BJ39" s="3269" t="s">
        <v>434</v>
      </c>
      <c r="BK39" s="3270"/>
      <c r="BL39" s="3270"/>
      <c r="BM39" s="3270"/>
      <c r="BN39" s="3270"/>
      <c r="BO39" s="3270"/>
      <c r="BP39" s="3271"/>
      <c r="BQ39" s="3272" t="s">
        <v>435</v>
      </c>
      <c r="BR39" s="3269" t="s">
        <v>434</v>
      </c>
      <c r="BS39" s="3270"/>
      <c r="BT39" s="3270"/>
      <c r="BU39" s="3270"/>
      <c r="BV39" s="3270"/>
      <c r="BW39" s="3270"/>
      <c r="BX39" s="3271"/>
      <c r="BY39" s="3283" t="s">
        <v>435</v>
      </c>
      <c r="BZ39" s="3275" t="s">
        <v>437</v>
      </c>
      <c r="CA39" s="3111"/>
      <c r="CG39" s="1082">
        <v>14</v>
      </c>
    </row>
    <row r="40" spans="1:85" ht="35.65" customHeight="1">
      <c r="Q40" s="313"/>
      <c r="R40" s="313"/>
      <c r="S40" s="3268"/>
      <c r="T40" s="3212"/>
      <c r="U40" s="961"/>
      <c r="V40" s="3184" t="s">
        <v>438</v>
      </c>
      <c r="W40" s="3263" t="s">
        <v>439</v>
      </c>
      <c r="X40" s="3093" t="s">
        <v>440</v>
      </c>
      <c r="Y40" s="3092"/>
      <c r="Z40" s="3093" t="s">
        <v>441</v>
      </c>
      <c r="AA40" s="3098"/>
      <c r="AB40" s="3092"/>
      <c r="AC40" s="3273"/>
      <c r="AD40" s="3184" t="s">
        <v>438</v>
      </c>
      <c r="AE40" s="3263" t="s">
        <v>439</v>
      </c>
      <c r="AF40" s="3093" t="s">
        <v>440</v>
      </c>
      <c r="AG40" s="3092"/>
      <c r="AH40" s="3093" t="s">
        <v>441</v>
      </c>
      <c r="AI40" s="3098"/>
      <c r="AJ40" s="3092"/>
      <c r="AK40" s="3273"/>
      <c r="AL40" s="3184" t="s">
        <v>438</v>
      </c>
      <c r="AM40" s="3263" t="s">
        <v>439</v>
      </c>
      <c r="AN40" s="3093" t="s">
        <v>440</v>
      </c>
      <c r="AO40" s="3092"/>
      <c r="AP40" s="3093" t="s">
        <v>441</v>
      </c>
      <c r="AQ40" s="3098"/>
      <c r="AR40" s="3092"/>
      <c r="AS40" s="3273"/>
      <c r="AT40" s="3184" t="s">
        <v>438</v>
      </c>
      <c r="AU40" s="3263" t="s">
        <v>439</v>
      </c>
      <c r="AV40" s="3093" t="s">
        <v>440</v>
      </c>
      <c r="AW40" s="3092"/>
      <c r="AX40" s="3093" t="s">
        <v>441</v>
      </c>
      <c r="AY40" s="3098"/>
      <c r="AZ40" s="3092"/>
      <c r="BA40" s="3273"/>
      <c r="BB40" s="3184" t="s">
        <v>438</v>
      </c>
      <c r="BC40" s="3263" t="s">
        <v>439</v>
      </c>
      <c r="BD40" s="3093" t="s">
        <v>440</v>
      </c>
      <c r="BE40" s="3092"/>
      <c r="BF40" s="3093" t="s">
        <v>441</v>
      </c>
      <c r="BG40" s="3098"/>
      <c r="BH40" s="3092"/>
      <c r="BI40" s="3273"/>
      <c r="BJ40" s="3184" t="s">
        <v>438</v>
      </c>
      <c r="BK40" s="3263" t="s">
        <v>439</v>
      </c>
      <c r="BL40" s="3093" t="s">
        <v>440</v>
      </c>
      <c r="BM40" s="3092"/>
      <c r="BN40" s="3093" t="s">
        <v>441</v>
      </c>
      <c r="BO40" s="3098"/>
      <c r="BP40" s="3092"/>
      <c r="BQ40" s="3273"/>
      <c r="BR40" s="3184" t="s">
        <v>438</v>
      </c>
      <c r="BS40" s="3263" t="s">
        <v>439</v>
      </c>
      <c r="BT40" s="3093" t="s">
        <v>440</v>
      </c>
      <c r="BU40" s="3092"/>
      <c r="BV40" s="3093" t="s">
        <v>441</v>
      </c>
      <c r="BW40" s="3098"/>
      <c r="BX40" s="3092"/>
      <c r="BY40" s="3284"/>
      <c r="BZ40" s="3276"/>
      <c r="CA40" s="3111"/>
      <c r="CG40" s="1082">
        <v>34</v>
      </c>
    </row>
    <row r="41" spans="1:85" ht="35.65" customHeight="1">
      <c r="A41" s="1297"/>
      <c r="B41" s="1297" t="s">
        <v>133</v>
      </c>
      <c r="C41" s="1297" t="s">
        <v>134</v>
      </c>
      <c r="D41" s="1297" t="s">
        <v>135</v>
      </c>
      <c r="E41" s="1291" t="s">
        <v>442</v>
      </c>
      <c r="F41" s="1291" t="s">
        <v>443</v>
      </c>
      <c r="G41" s="1291" t="s">
        <v>444</v>
      </c>
      <c r="H41" s="1291" t="s">
        <v>445</v>
      </c>
      <c r="I41" s="1291" t="s">
        <v>446</v>
      </c>
      <c r="J41" s="1291" t="s">
        <v>447</v>
      </c>
      <c r="K41" s="1291" t="s">
        <v>448</v>
      </c>
      <c r="L41" s="1291" t="s">
        <v>423</v>
      </c>
      <c r="Q41" s="313"/>
      <c r="R41" s="313"/>
      <c r="S41" s="3268"/>
      <c r="T41" s="3212"/>
      <c r="U41" s="240"/>
      <c r="V41" s="3237"/>
      <c r="W41" s="3264"/>
      <c r="X41" s="1149" t="s">
        <v>449</v>
      </c>
      <c r="Y41" s="1149" t="s">
        <v>450</v>
      </c>
      <c r="Z41" s="1148" t="s">
        <v>451</v>
      </c>
      <c r="AA41" s="3217" t="s">
        <v>452</v>
      </c>
      <c r="AB41" s="3231"/>
      <c r="AC41" s="3274"/>
      <c r="AD41" s="3237"/>
      <c r="AE41" s="3264"/>
      <c r="AF41" s="1149" t="s">
        <v>449</v>
      </c>
      <c r="AG41" s="1149" t="s">
        <v>450</v>
      </c>
      <c r="AH41" s="1240" t="s">
        <v>451</v>
      </c>
      <c r="AI41" s="3217" t="s">
        <v>452</v>
      </c>
      <c r="AJ41" s="3231"/>
      <c r="AK41" s="3274"/>
      <c r="AL41" s="3237"/>
      <c r="AM41" s="3264"/>
      <c r="AN41" s="2021" t="s">
        <v>449</v>
      </c>
      <c r="AO41" s="2021" t="s">
        <v>450</v>
      </c>
      <c r="AP41" s="2021" t="s">
        <v>451</v>
      </c>
      <c r="AQ41" s="3217" t="s">
        <v>452</v>
      </c>
      <c r="AR41" s="3231"/>
      <c r="AS41" s="3274"/>
      <c r="AT41" s="3237"/>
      <c r="AU41" s="3264"/>
      <c r="AV41" s="2021" t="s">
        <v>449</v>
      </c>
      <c r="AW41" s="2021" t="s">
        <v>450</v>
      </c>
      <c r="AX41" s="2021" t="s">
        <v>451</v>
      </c>
      <c r="AY41" s="3217" t="s">
        <v>452</v>
      </c>
      <c r="AZ41" s="3231"/>
      <c r="BA41" s="3274"/>
      <c r="BB41" s="3237"/>
      <c r="BC41" s="3264"/>
      <c r="BD41" s="2021" t="s">
        <v>449</v>
      </c>
      <c r="BE41" s="2021" t="s">
        <v>450</v>
      </c>
      <c r="BF41" s="2021" t="s">
        <v>451</v>
      </c>
      <c r="BG41" s="3217" t="s">
        <v>452</v>
      </c>
      <c r="BH41" s="3231"/>
      <c r="BI41" s="3274"/>
      <c r="BJ41" s="3237"/>
      <c r="BK41" s="3264"/>
      <c r="BL41" s="2021" t="s">
        <v>449</v>
      </c>
      <c r="BM41" s="2021" t="s">
        <v>450</v>
      </c>
      <c r="BN41" s="2021" t="s">
        <v>451</v>
      </c>
      <c r="BO41" s="3217" t="s">
        <v>452</v>
      </c>
      <c r="BP41" s="3231"/>
      <c r="BQ41" s="3274"/>
      <c r="BR41" s="3237"/>
      <c r="BS41" s="3264"/>
      <c r="BT41" s="2021" t="s">
        <v>449</v>
      </c>
      <c r="BU41" s="2021" t="s">
        <v>450</v>
      </c>
      <c r="BV41" s="2021" t="s">
        <v>451</v>
      </c>
      <c r="BW41" s="3217" t="s">
        <v>452</v>
      </c>
      <c r="BX41" s="3231"/>
      <c r="BY41" s="3285"/>
      <c r="BZ41" s="3277"/>
      <c r="CA41" s="3111"/>
      <c r="CG41" s="1082">
        <v>34</v>
      </c>
    </row>
    <row r="42" spans="1:8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183">
        <f ca="1">OFFSET(V42,0,-1)+1</f>
        <v>3</v>
      </c>
      <c r="W42" s="1183"/>
      <c r="X42" s="1183">
        <f ca="1">OFFSET(X42,0,-1)+1</f>
        <v>1</v>
      </c>
      <c r="Y42" s="1183">
        <f ca="1">OFFSET(Y42,0,-1)+1</f>
        <v>2</v>
      </c>
      <c r="Z42" s="1183">
        <f ca="1">OFFSET(Z42,0,-1)+1</f>
        <v>3</v>
      </c>
      <c r="AA42" s="3265">
        <f ca="1">OFFSET(AA42,0,-1)+1</f>
        <v>4</v>
      </c>
      <c r="AB42" s="3265"/>
      <c r="AC42" s="1183">
        <f ca="1">OFFSET(AC42,0,-2)+1</f>
        <v>5</v>
      </c>
      <c r="AD42" s="1239">
        <f ca="1">OFFSET(AD42,0,-1)+1</f>
        <v>6</v>
      </c>
      <c r="AE42" s="1239"/>
      <c r="AF42" s="1239">
        <f ca="1">OFFSET(AF42,0,-1)+1</f>
        <v>1</v>
      </c>
      <c r="AG42" s="1239">
        <f ca="1">OFFSET(AG42,0,-1)+1</f>
        <v>2</v>
      </c>
      <c r="AH42" s="1239">
        <f ca="1">OFFSET(AH42,0,-1)+1</f>
        <v>3</v>
      </c>
      <c r="AI42" s="3265">
        <f ca="1">OFFSET(AI42,0,-1)+1</f>
        <v>4</v>
      </c>
      <c r="AJ42" s="3265"/>
      <c r="AK42" s="1239">
        <f ca="1">OFFSET(AK42,0,-2)+1</f>
        <v>5</v>
      </c>
      <c r="AL42" s="2010">
        <f ca="1">OFFSET(AL42,0,-1)+1</f>
        <v>6</v>
      </c>
      <c r="AM42" s="2010"/>
      <c r="AN42" s="2010">
        <f ca="1">OFFSET(AN42,0,-1)+1</f>
        <v>1</v>
      </c>
      <c r="AO42" s="2010">
        <f ca="1">OFFSET(AO42,0,-1)+1</f>
        <v>2</v>
      </c>
      <c r="AP42" s="2010">
        <f ca="1">OFFSET(AP42,0,-1)+1</f>
        <v>3</v>
      </c>
      <c r="AQ42" s="3265">
        <f ca="1">OFFSET(AQ42,0,-1)+1</f>
        <v>4</v>
      </c>
      <c r="AR42" s="3265"/>
      <c r="AS42" s="2010">
        <f ca="1">OFFSET(AS42,0,-2)+1</f>
        <v>5</v>
      </c>
      <c r="AT42" s="2010">
        <f ca="1">OFFSET(AT42,0,-1)+1</f>
        <v>6</v>
      </c>
      <c r="AU42" s="2010"/>
      <c r="AV42" s="2010">
        <f ca="1">OFFSET(AV42,0,-1)+1</f>
        <v>1</v>
      </c>
      <c r="AW42" s="2010">
        <f ca="1">OFFSET(AW42,0,-1)+1</f>
        <v>2</v>
      </c>
      <c r="AX42" s="2010">
        <f ca="1">OFFSET(AX42,0,-1)+1</f>
        <v>3</v>
      </c>
      <c r="AY42" s="3265">
        <f ca="1">OFFSET(AY42,0,-1)+1</f>
        <v>4</v>
      </c>
      <c r="AZ42" s="3265"/>
      <c r="BA42" s="2010">
        <f ca="1">OFFSET(BA42,0,-2)+1</f>
        <v>5</v>
      </c>
      <c r="BB42" s="2010">
        <f ca="1">OFFSET(BB42,0,-1)+1</f>
        <v>6</v>
      </c>
      <c r="BC42" s="2010"/>
      <c r="BD42" s="2010">
        <f ca="1">OFFSET(BD42,0,-1)+1</f>
        <v>1</v>
      </c>
      <c r="BE42" s="2010">
        <f ca="1">OFFSET(BE42,0,-1)+1</f>
        <v>2</v>
      </c>
      <c r="BF42" s="2010">
        <f ca="1">OFFSET(BF42,0,-1)+1</f>
        <v>3</v>
      </c>
      <c r="BG42" s="3265">
        <f ca="1">OFFSET(BG42,0,-1)+1</f>
        <v>4</v>
      </c>
      <c r="BH42" s="3265"/>
      <c r="BI42" s="2010">
        <f ca="1">OFFSET(BI42,0,-2)+1</f>
        <v>5</v>
      </c>
      <c r="BJ42" s="2010">
        <f ca="1">OFFSET(BJ42,0,-1)+1</f>
        <v>6</v>
      </c>
      <c r="BK42" s="2010"/>
      <c r="BL42" s="2010">
        <f ca="1">OFFSET(BL42,0,-1)+1</f>
        <v>1</v>
      </c>
      <c r="BM42" s="2010">
        <f ca="1">OFFSET(BM42,0,-1)+1</f>
        <v>2</v>
      </c>
      <c r="BN42" s="2010">
        <f ca="1">OFFSET(BN42,0,-1)+1</f>
        <v>3</v>
      </c>
      <c r="BO42" s="3265">
        <f ca="1">OFFSET(BO42,0,-1)+1</f>
        <v>4</v>
      </c>
      <c r="BP42" s="3265"/>
      <c r="BQ42" s="2010">
        <f ca="1">OFFSET(BQ42,0,-2)+1</f>
        <v>5</v>
      </c>
      <c r="BR42" s="2010">
        <f ca="1">OFFSET(BR42,0,-1)+1</f>
        <v>6</v>
      </c>
      <c r="BS42" s="2010"/>
      <c r="BT42" s="2010">
        <f ca="1">OFFSET(BT42,0,-1)+1</f>
        <v>1</v>
      </c>
      <c r="BU42" s="2010">
        <f ca="1">OFFSET(BU42,0,-1)+1</f>
        <v>2</v>
      </c>
      <c r="BV42" s="2010">
        <f ca="1">OFFSET(BV42,0,-1)+1</f>
        <v>3</v>
      </c>
      <c r="BW42" s="3265">
        <f ca="1">OFFSET(BW42,0,-1)+1</f>
        <v>4</v>
      </c>
      <c r="BX42" s="3265"/>
      <c r="BY42" s="2367">
        <f ca="1">OFFSET(BY42,0,-2)+1</f>
        <v>5</v>
      </c>
      <c r="BZ42" s="1172">
        <f ca="1">OFFSET(BZ42,0,-1)</f>
        <v>5</v>
      </c>
      <c r="CA42" s="1183">
        <f ca="1">OFFSET(CA42,0,-1)+1</f>
        <v>6</v>
      </c>
      <c r="CB42" s="448"/>
      <c r="CC42" s="448"/>
      <c r="CD42" s="448"/>
      <c r="CE42" s="448"/>
      <c r="CF42" s="448"/>
      <c r="CG42" s="433">
        <v>0</v>
      </c>
    </row>
    <row r="43" spans="1:85" ht="24" customHeight="1">
      <c r="A43" s="1290" t="s">
        <v>154</v>
      </c>
      <c r="B43" s="1290"/>
      <c r="C43" s="1290"/>
      <c r="D43" s="1290"/>
      <c r="E43" s="3254">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121</v>
      </c>
      <c r="U43" s="238"/>
      <c r="V43" s="3246"/>
      <c r="W43" s="3247"/>
      <c r="X43" s="3247"/>
      <c r="Y43" s="3247"/>
      <c r="Z43" s="3247"/>
      <c r="AA43" s="3247"/>
      <c r="AB43" s="3247"/>
      <c r="AC43" s="3248"/>
      <c r="AD43" s="3246" t="str">
        <f>INDEX(PT_DIFFERENTIATION_NTAR,MATCH(A43,PT_DIFFERENTIATION_NTAR_ID,0))</f>
        <v/>
      </c>
      <c r="AE43" s="3247"/>
      <c r="AF43" s="3247"/>
      <c r="AG43" s="3247"/>
      <c r="AH43" s="3247"/>
      <c r="AI43" s="3247"/>
      <c r="AJ43" s="3247"/>
      <c r="AK43" s="3247"/>
      <c r="AL43" s="3246"/>
      <c r="AM43" s="3247"/>
      <c r="AN43" s="3247"/>
      <c r="AO43" s="3247"/>
      <c r="AP43" s="3247"/>
      <c r="AQ43" s="3247"/>
      <c r="AR43" s="3247"/>
      <c r="AS43" s="3248"/>
      <c r="AT43" s="3246"/>
      <c r="AU43" s="3247"/>
      <c r="AV43" s="3247"/>
      <c r="AW43" s="3247"/>
      <c r="AX43" s="3247"/>
      <c r="AY43" s="3247"/>
      <c r="AZ43" s="3247"/>
      <c r="BA43" s="3248"/>
      <c r="BB43" s="3246"/>
      <c r="BC43" s="3247"/>
      <c r="BD43" s="3247"/>
      <c r="BE43" s="3247"/>
      <c r="BF43" s="3247"/>
      <c r="BG43" s="3247"/>
      <c r="BH43" s="3247"/>
      <c r="BI43" s="3248"/>
      <c r="BJ43" s="3246"/>
      <c r="BK43" s="3247"/>
      <c r="BL43" s="3247"/>
      <c r="BM43" s="3247"/>
      <c r="BN43" s="3247"/>
      <c r="BO43" s="3247"/>
      <c r="BP43" s="3247"/>
      <c r="BQ43" s="3248"/>
      <c r="BR43" s="3246"/>
      <c r="BS43" s="3247"/>
      <c r="BT43" s="3247"/>
      <c r="BU43" s="3247"/>
      <c r="BV43" s="3247"/>
      <c r="BW43" s="3247"/>
      <c r="BX43" s="3247"/>
      <c r="BY43" s="3249"/>
      <c r="BZ43" s="3248"/>
      <c r="CA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C43" s="437"/>
      <c r="CD43" s="437" t="str">
        <f t="shared" ref="CD43:CD57" si="1">IF(T43="","",T43)</f>
        <v>Наименование тарифа</v>
      </c>
      <c r="CE43" s="437"/>
      <c r="CF43" s="437"/>
      <c r="CG43" s="1082">
        <v>23</v>
      </c>
    </row>
    <row r="44" spans="1:85" ht="24" customHeight="1">
      <c r="A44" s="1290" t="s">
        <v>154</v>
      </c>
      <c r="B44" s="1290" t="s">
        <v>155</v>
      </c>
      <c r="C44" s="1290"/>
      <c r="D44" s="1290"/>
      <c r="E44" s="3255"/>
      <c r="F44" s="3254">
        <v>1</v>
      </c>
      <c r="G44" s="1290"/>
      <c r="H44" s="1290"/>
      <c r="I44" s="1290"/>
      <c r="J44" s="1290"/>
      <c r="K44" s="1290"/>
      <c r="L44" s="1291"/>
      <c r="M44" s="1292"/>
      <c r="N44" s="1292"/>
      <c r="O44" s="1292"/>
      <c r="P44" s="459"/>
      <c r="Q44" s="289"/>
      <c r="R44" s="290"/>
      <c r="S44" s="1151" t="str">
        <f>INDEX(PT_DIFFERENTIATION_NUM_TER,MATCH(B44,PT_DIFFERENTIATION_TER_ID,0))</f>
        <v>.</v>
      </c>
      <c r="T44" s="246" t="s">
        <v>405</v>
      </c>
      <c r="U44" s="238"/>
      <c r="V44" s="3246"/>
      <c r="W44" s="3247"/>
      <c r="X44" s="3247"/>
      <c r="Y44" s="3247"/>
      <c r="Z44" s="3247"/>
      <c r="AA44" s="3247"/>
      <c r="AB44" s="3247"/>
      <c r="AC44" s="3248"/>
      <c r="AD44" s="3246" t="str">
        <f>INDEX(PT_DIFFERENTIATION_TER,MATCH(B44,PT_DIFFERENTIATION_TER_ID,0))</f>
        <v/>
      </c>
      <c r="AE44" s="3247"/>
      <c r="AF44" s="3247"/>
      <c r="AG44" s="3247"/>
      <c r="AH44" s="3247"/>
      <c r="AI44" s="3247"/>
      <c r="AJ44" s="3247"/>
      <c r="AK44" s="3247"/>
      <c r="AL44" s="3246"/>
      <c r="AM44" s="3247"/>
      <c r="AN44" s="3247"/>
      <c r="AO44" s="3247"/>
      <c r="AP44" s="3247"/>
      <c r="AQ44" s="3247"/>
      <c r="AR44" s="3247"/>
      <c r="AS44" s="3248"/>
      <c r="AT44" s="3246"/>
      <c r="AU44" s="3247"/>
      <c r="AV44" s="3247"/>
      <c r="AW44" s="3247"/>
      <c r="AX44" s="3247"/>
      <c r="AY44" s="3247"/>
      <c r="AZ44" s="3247"/>
      <c r="BA44" s="3248"/>
      <c r="BB44" s="3246"/>
      <c r="BC44" s="3247"/>
      <c r="BD44" s="3247"/>
      <c r="BE44" s="3247"/>
      <c r="BF44" s="3247"/>
      <c r="BG44" s="3247"/>
      <c r="BH44" s="3247"/>
      <c r="BI44" s="3248"/>
      <c r="BJ44" s="3246"/>
      <c r="BK44" s="3247"/>
      <c r="BL44" s="3247"/>
      <c r="BM44" s="3247"/>
      <c r="BN44" s="3247"/>
      <c r="BO44" s="3247"/>
      <c r="BP44" s="3247"/>
      <c r="BQ44" s="3248"/>
      <c r="BR44" s="3246"/>
      <c r="BS44" s="3247"/>
      <c r="BT44" s="3247"/>
      <c r="BU44" s="3247"/>
      <c r="BV44" s="3247"/>
      <c r="BW44" s="3247"/>
      <c r="BX44" s="3247"/>
      <c r="BY44" s="3249"/>
      <c r="BZ44" s="3248"/>
      <c r="CA44" s="1185" t="s">
        <v>406</v>
      </c>
      <c r="CC44" s="437"/>
      <c r="CD44" s="437" t="str">
        <f t="shared" si="1"/>
        <v>Территория действия тарифа</v>
      </c>
      <c r="CE44" s="437"/>
      <c r="CF44" s="437"/>
      <c r="CG44" s="1082">
        <v>23</v>
      </c>
    </row>
    <row r="45" spans="1:85" ht="24" customHeight="1">
      <c r="A45" s="1290" t="s">
        <v>154</v>
      </c>
      <c r="B45" s="1290" t="s">
        <v>155</v>
      </c>
      <c r="C45" s="1290" t="s">
        <v>156</v>
      </c>
      <c r="D45" s="1290"/>
      <c r="E45" s="3255"/>
      <c r="F45" s="3255"/>
      <c r="G45" s="3254">
        <v>1</v>
      </c>
      <c r="H45" s="1290"/>
      <c r="I45" s="1290"/>
      <c r="J45" s="1290"/>
      <c r="K45" s="1290"/>
      <c r="L45" s="1291"/>
      <c r="M45" s="1292"/>
      <c r="N45" s="1292"/>
      <c r="O45" s="1292"/>
      <c r="P45" s="291"/>
      <c r="Q45" s="289"/>
      <c r="R45" s="290"/>
      <c r="S45" s="1151" t="str">
        <f>INDEX(PT_DIFFERENTIATION_NUM_CS,MATCH(C45,PT_DIFFERENTIATION_CS_ID,0))</f>
        <v>..</v>
      </c>
      <c r="T45" s="247" t="s">
        <v>407</v>
      </c>
      <c r="U45" s="238"/>
      <c r="V45" s="3246"/>
      <c r="W45" s="3247"/>
      <c r="X45" s="3247"/>
      <c r="Y45" s="3247"/>
      <c r="Z45" s="3247"/>
      <c r="AA45" s="3247"/>
      <c r="AB45" s="3247"/>
      <c r="AC45" s="3248"/>
      <c r="AD45" s="3246" t="str">
        <f>INDEX(PT_DIFFERENTIATION_CS,MATCH(C45,PT_DIFFERENTIATION_CS_ID,0))</f>
        <v/>
      </c>
      <c r="AE45" s="3247"/>
      <c r="AF45" s="3247"/>
      <c r="AG45" s="3247"/>
      <c r="AH45" s="3247"/>
      <c r="AI45" s="3247"/>
      <c r="AJ45" s="3247"/>
      <c r="AK45" s="3247"/>
      <c r="AL45" s="3246"/>
      <c r="AM45" s="3247"/>
      <c r="AN45" s="3247"/>
      <c r="AO45" s="3247"/>
      <c r="AP45" s="3247"/>
      <c r="AQ45" s="3247"/>
      <c r="AR45" s="3247"/>
      <c r="AS45" s="3248"/>
      <c r="AT45" s="3246"/>
      <c r="AU45" s="3247"/>
      <c r="AV45" s="3247"/>
      <c r="AW45" s="3247"/>
      <c r="AX45" s="3247"/>
      <c r="AY45" s="3247"/>
      <c r="AZ45" s="3247"/>
      <c r="BA45" s="3248"/>
      <c r="BB45" s="3246"/>
      <c r="BC45" s="3247"/>
      <c r="BD45" s="3247"/>
      <c r="BE45" s="3247"/>
      <c r="BF45" s="3247"/>
      <c r="BG45" s="3247"/>
      <c r="BH45" s="3247"/>
      <c r="BI45" s="3248"/>
      <c r="BJ45" s="3246"/>
      <c r="BK45" s="3247"/>
      <c r="BL45" s="3247"/>
      <c r="BM45" s="3247"/>
      <c r="BN45" s="3247"/>
      <c r="BO45" s="3247"/>
      <c r="BP45" s="3247"/>
      <c r="BQ45" s="3248"/>
      <c r="BR45" s="3246"/>
      <c r="BS45" s="3247"/>
      <c r="BT45" s="3247"/>
      <c r="BU45" s="3247"/>
      <c r="BV45" s="3247"/>
      <c r="BW45" s="3247"/>
      <c r="BX45" s="3247"/>
      <c r="BY45" s="3249"/>
      <c r="BZ45" s="3248"/>
      <c r="CA45" s="1185" t="s">
        <v>408</v>
      </c>
      <c r="CC45" s="437"/>
      <c r="CD45" s="437" t="str">
        <f t="shared" si="1"/>
        <v xml:space="preserve">Наименование системы теплоснабжения </v>
      </c>
      <c r="CE45" s="437"/>
      <c r="CF45" s="437"/>
      <c r="CG45" s="1082">
        <v>23</v>
      </c>
    </row>
    <row r="46" spans="1:85" ht="24" customHeight="1">
      <c r="A46" s="1290" t="s">
        <v>154</v>
      </c>
      <c r="B46" s="1290" t="s">
        <v>155</v>
      </c>
      <c r="C46" s="1290" t="s">
        <v>156</v>
      </c>
      <c r="D46" s="1290" t="s">
        <v>157</v>
      </c>
      <c r="E46" s="3255"/>
      <c r="F46" s="3255"/>
      <c r="G46" s="3255"/>
      <c r="H46" s="3254">
        <v>1</v>
      </c>
      <c r="I46" s="1290"/>
      <c r="J46" s="1290"/>
      <c r="K46" s="1290"/>
      <c r="L46" s="1291"/>
      <c r="M46" s="1292"/>
      <c r="N46" s="1292"/>
      <c r="O46" s="1292"/>
      <c r="P46" s="291"/>
      <c r="Q46" s="289"/>
      <c r="R46" s="290"/>
      <c r="S46" s="1151" t="str">
        <f>INDEX(PT_DIFFERENTIATION_NUM_IST_TE,MATCH(D46,PT_DIFFERENTIATION_IST_TE_ID,0))</f>
        <v>...</v>
      </c>
      <c r="T46" s="248" t="s">
        <v>409</v>
      </c>
      <c r="U46" s="238"/>
      <c r="V46" s="3246"/>
      <c r="W46" s="3247"/>
      <c r="X46" s="3247"/>
      <c r="Y46" s="3247"/>
      <c r="Z46" s="3247"/>
      <c r="AA46" s="3247"/>
      <c r="AB46" s="3247"/>
      <c r="AC46" s="3248"/>
      <c r="AD46" s="3246" t="str">
        <f>INDEX(PT_DIFFERENTIATION_IST_TE,MATCH(D46,PT_DIFFERENTIATION_IST_TE_ID,0))</f>
        <v/>
      </c>
      <c r="AE46" s="3247"/>
      <c r="AF46" s="3247"/>
      <c r="AG46" s="3247"/>
      <c r="AH46" s="3247"/>
      <c r="AI46" s="3247"/>
      <c r="AJ46" s="3247"/>
      <c r="AK46" s="3247"/>
      <c r="AL46" s="3246"/>
      <c r="AM46" s="3247"/>
      <c r="AN46" s="3247"/>
      <c r="AO46" s="3247"/>
      <c r="AP46" s="3247"/>
      <c r="AQ46" s="3247"/>
      <c r="AR46" s="3247"/>
      <c r="AS46" s="3248"/>
      <c r="AT46" s="3246"/>
      <c r="AU46" s="3247"/>
      <c r="AV46" s="3247"/>
      <c r="AW46" s="3247"/>
      <c r="AX46" s="3247"/>
      <c r="AY46" s="3247"/>
      <c r="AZ46" s="3247"/>
      <c r="BA46" s="3248"/>
      <c r="BB46" s="3246"/>
      <c r="BC46" s="3247"/>
      <c r="BD46" s="3247"/>
      <c r="BE46" s="3247"/>
      <c r="BF46" s="3247"/>
      <c r="BG46" s="3247"/>
      <c r="BH46" s="3247"/>
      <c r="BI46" s="3248"/>
      <c r="BJ46" s="3246"/>
      <c r="BK46" s="3247"/>
      <c r="BL46" s="3247"/>
      <c r="BM46" s="3247"/>
      <c r="BN46" s="3247"/>
      <c r="BO46" s="3247"/>
      <c r="BP46" s="3247"/>
      <c r="BQ46" s="3248"/>
      <c r="BR46" s="3246"/>
      <c r="BS46" s="3247"/>
      <c r="BT46" s="3247"/>
      <c r="BU46" s="3247"/>
      <c r="BV46" s="3247"/>
      <c r="BW46" s="3247"/>
      <c r="BX46" s="3247"/>
      <c r="BY46" s="3249"/>
      <c r="BZ46" s="3248"/>
      <c r="CA46" s="1185" t="s">
        <v>410</v>
      </c>
      <c r="CC46" s="437"/>
      <c r="CD46" s="437" t="str">
        <f t="shared" si="1"/>
        <v xml:space="preserve">Источник тепловой энергии  </v>
      </c>
      <c r="CE46" s="437"/>
      <c r="CF46" s="437"/>
      <c r="CG46" s="1082">
        <v>23</v>
      </c>
    </row>
    <row r="47" spans="1:85" ht="49.5" customHeight="1">
      <c r="A47" s="1290" t="s">
        <v>154</v>
      </c>
      <c r="B47" s="1290" t="s">
        <v>155</v>
      </c>
      <c r="C47" s="1290" t="s">
        <v>156</v>
      </c>
      <c r="D47" s="1290" t="s">
        <v>157</v>
      </c>
      <c r="E47" s="3255"/>
      <c r="F47" s="3255"/>
      <c r="G47" s="3255"/>
      <c r="H47" s="3255"/>
      <c r="I47" s="3256" t="str">
        <f>S46&amp;".1"</f>
        <v>....1</v>
      </c>
      <c r="J47" s="1290"/>
      <c r="K47" s="1290"/>
      <c r="L47" s="1291" t="s">
        <v>411</v>
      </c>
      <c r="P47" s="3258">
        <v>1</v>
      </c>
      <c r="Q47" s="1147"/>
      <c r="R47" s="293"/>
      <c r="S47" s="1151" t="str">
        <f>$I47</f>
        <v>....1</v>
      </c>
      <c r="T47" s="223" t="s">
        <v>412</v>
      </c>
      <c r="U47" s="238"/>
      <c r="V47" s="3239"/>
      <c r="W47" s="3240"/>
      <c r="X47" s="3240"/>
      <c r="Y47" s="3240"/>
      <c r="Z47" s="3240"/>
      <c r="AA47" s="3240"/>
      <c r="AB47" s="3240"/>
      <c r="AC47" s="3241"/>
      <c r="AD47" s="3239" t="s">
        <v>453</v>
      </c>
      <c r="AE47" s="3240"/>
      <c r="AF47" s="3240"/>
      <c r="AG47" s="3240"/>
      <c r="AH47" s="3240"/>
      <c r="AI47" s="3240"/>
      <c r="AJ47" s="3240"/>
      <c r="AK47" s="3240"/>
      <c r="AL47" s="3239"/>
      <c r="AM47" s="3240"/>
      <c r="AN47" s="3240"/>
      <c r="AO47" s="3240"/>
      <c r="AP47" s="3240"/>
      <c r="AQ47" s="3240"/>
      <c r="AR47" s="3240"/>
      <c r="AS47" s="3241"/>
      <c r="AT47" s="3239"/>
      <c r="AU47" s="3240"/>
      <c r="AV47" s="3240"/>
      <c r="AW47" s="3240"/>
      <c r="AX47" s="3240"/>
      <c r="AY47" s="3240"/>
      <c r="AZ47" s="3240"/>
      <c r="BA47" s="3241"/>
      <c r="BB47" s="3239"/>
      <c r="BC47" s="3240"/>
      <c r="BD47" s="3240"/>
      <c r="BE47" s="3240"/>
      <c r="BF47" s="3240"/>
      <c r="BG47" s="3240"/>
      <c r="BH47" s="3240"/>
      <c r="BI47" s="3241"/>
      <c r="BJ47" s="3239"/>
      <c r="BK47" s="3240"/>
      <c r="BL47" s="3240"/>
      <c r="BM47" s="3240"/>
      <c r="BN47" s="3240"/>
      <c r="BO47" s="3240"/>
      <c r="BP47" s="3240"/>
      <c r="BQ47" s="3241"/>
      <c r="BR47" s="3239"/>
      <c r="BS47" s="3240"/>
      <c r="BT47" s="3240"/>
      <c r="BU47" s="3240"/>
      <c r="BV47" s="3240"/>
      <c r="BW47" s="3240"/>
      <c r="BX47" s="3240"/>
      <c r="BY47" s="3242"/>
      <c r="BZ47" s="3241"/>
      <c r="CA47" s="1185" t="s">
        <v>413</v>
      </c>
      <c r="CC47" s="437"/>
      <c r="CD47" s="437" t="str">
        <f t="shared" si="1"/>
        <v>Схема подключения теплопотребляющей установки к коллектору источника тепловой энергии</v>
      </c>
      <c r="CE47" s="437"/>
      <c r="CF47" s="437"/>
      <c r="CG47" s="1082">
        <v>47</v>
      </c>
    </row>
    <row r="48" spans="1:85" ht="24" customHeight="1">
      <c r="A48" s="1290" t="s">
        <v>154</v>
      </c>
      <c r="B48" s="1290" t="s">
        <v>155</v>
      </c>
      <c r="C48" s="1290" t="s">
        <v>156</v>
      </c>
      <c r="D48" s="1290" t="s">
        <v>157</v>
      </c>
      <c r="E48" s="3255"/>
      <c r="F48" s="3255"/>
      <c r="G48" s="3255"/>
      <c r="H48" s="3255"/>
      <c r="I48" s="3257"/>
      <c r="J48" s="3256" t="str">
        <f>I47&amp;".1"</f>
        <v>....1.1</v>
      </c>
      <c r="K48" s="1290"/>
      <c r="L48" s="1291" t="s">
        <v>414</v>
      </c>
      <c r="P48" s="3258"/>
      <c r="Q48" s="3258">
        <v>1</v>
      </c>
      <c r="R48" s="294"/>
      <c r="S48" s="1151" t="str">
        <f>$J48</f>
        <v>....1.1</v>
      </c>
      <c r="T48" s="224" t="s">
        <v>415</v>
      </c>
      <c r="U48" s="238"/>
      <c r="V48" s="3239"/>
      <c r="W48" s="3240"/>
      <c r="X48" s="3240"/>
      <c r="Y48" s="3240"/>
      <c r="Z48" s="3240"/>
      <c r="AA48" s="3240"/>
      <c r="AB48" s="3240"/>
      <c r="AC48" s="3241"/>
      <c r="AD48" s="3239" t="s">
        <v>454</v>
      </c>
      <c r="AE48" s="3240"/>
      <c r="AF48" s="3240"/>
      <c r="AG48" s="3240"/>
      <c r="AH48" s="3240"/>
      <c r="AI48" s="3240"/>
      <c r="AJ48" s="3240"/>
      <c r="AK48" s="3240"/>
      <c r="AL48" s="3239"/>
      <c r="AM48" s="3240"/>
      <c r="AN48" s="3240"/>
      <c r="AO48" s="3240"/>
      <c r="AP48" s="3240"/>
      <c r="AQ48" s="3240"/>
      <c r="AR48" s="3240"/>
      <c r="AS48" s="3241"/>
      <c r="AT48" s="3239"/>
      <c r="AU48" s="3240"/>
      <c r="AV48" s="3240"/>
      <c r="AW48" s="3240"/>
      <c r="AX48" s="3240"/>
      <c r="AY48" s="3240"/>
      <c r="AZ48" s="3240"/>
      <c r="BA48" s="3241"/>
      <c r="BB48" s="3239"/>
      <c r="BC48" s="3240"/>
      <c r="BD48" s="3240"/>
      <c r="BE48" s="3240"/>
      <c r="BF48" s="3240"/>
      <c r="BG48" s="3240"/>
      <c r="BH48" s="3240"/>
      <c r="BI48" s="3241"/>
      <c r="BJ48" s="3239"/>
      <c r="BK48" s="3240"/>
      <c r="BL48" s="3240"/>
      <c r="BM48" s="3240"/>
      <c r="BN48" s="3240"/>
      <c r="BO48" s="3240"/>
      <c r="BP48" s="3240"/>
      <c r="BQ48" s="3241"/>
      <c r="BR48" s="3239"/>
      <c r="BS48" s="3240"/>
      <c r="BT48" s="3240"/>
      <c r="BU48" s="3240"/>
      <c r="BV48" s="3240"/>
      <c r="BW48" s="3240"/>
      <c r="BX48" s="3240"/>
      <c r="BY48" s="3242"/>
      <c r="BZ48" s="3241"/>
      <c r="CA48" s="1185" t="s">
        <v>416</v>
      </c>
      <c r="CC48" s="437"/>
      <c r="CD48" s="437" t="str">
        <f t="shared" si="1"/>
        <v>Группа потребителей</v>
      </c>
      <c r="CE48" s="437"/>
      <c r="CF48" s="437"/>
      <c r="CG48" s="1082">
        <v>23</v>
      </c>
    </row>
    <row r="49" spans="1:85" ht="24" customHeight="1">
      <c r="A49" s="1290" t="s">
        <v>154</v>
      </c>
      <c r="B49" s="1290" t="s">
        <v>155</v>
      </c>
      <c r="C49" s="1290" t="s">
        <v>156</v>
      </c>
      <c r="D49" s="1290" t="s">
        <v>157</v>
      </c>
      <c r="E49" s="3255"/>
      <c r="F49" s="3255"/>
      <c r="G49" s="3255"/>
      <c r="H49" s="3255"/>
      <c r="I49" s="3257"/>
      <c r="J49" s="3257"/>
      <c r="K49" s="3256" t="str">
        <f>J48&amp;".1"</f>
        <v>....1.1.1</v>
      </c>
      <c r="L49" s="1291" t="s">
        <v>417</v>
      </c>
      <c r="P49" s="3258"/>
      <c r="Q49" s="3258"/>
      <c r="R49" s="294">
        <v>1</v>
      </c>
      <c r="S49" s="1151" t="str">
        <f>$K49</f>
        <v>....1.1.1</v>
      </c>
      <c r="T49" s="1274" t="s">
        <v>455</v>
      </c>
      <c r="U49" s="238"/>
      <c r="V49" s="688"/>
      <c r="W49" s="263"/>
      <c r="X49" s="688"/>
      <c r="Y49" s="1184"/>
      <c r="Z49" s="3259"/>
      <c r="AA49" s="3121" t="s">
        <v>67</v>
      </c>
      <c r="AB49" s="3259"/>
      <c r="AC49" s="3121" t="s">
        <v>67</v>
      </c>
      <c r="AD49" s="688">
        <v>843.22</v>
      </c>
      <c r="AE49" s="263"/>
      <c r="AF49" s="688"/>
      <c r="AG49" s="1184"/>
      <c r="AH49" s="3259">
        <v>45658.55159722222</v>
      </c>
      <c r="AI49" s="3121" t="s">
        <v>67</v>
      </c>
      <c r="AJ49" s="3261">
        <v>45838.551678240743</v>
      </c>
      <c r="AK49" s="3121" t="s">
        <v>67</v>
      </c>
      <c r="AL49" s="688">
        <v>989.78</v>
      </c>
      <c r="AM49" s="263"/>
      <c r="AN49" s="688"/>
      <c r="AO49" s="1184"/>
      <c r="AP49" s="3259">
        <v>45839.55263888889</v>
      </c>
      <c r="AQ49" s="3121" t="s">
        <v>67</v>
      </c>
      <c r="AR49" s="3259">
        <v>46022.552719907406</v>
      </c>
      <c r="AS49" s="3121" t="s">
        <v>67</v>
      </c>
      <c r="AT49" s="688"/>
      <c r="AU49" s="263"/>
      <c r="AV49" s="688"/>
      <c r="AW49" s="1184"/>
      <c r="AX49" s="3259"/>
      <c r="AY49" s="3121" t="s">
        <v>67</v>
      </c>
      <c r="AZ49" s="3259"/>
      <c r="BA49" s="3121" t="s">
        <v>67</v>
      </c>
      <c r="BB49" s="688"/>
      <c r="BC49" s="263"/>
      <c r="BD49" s="688"/>
      <c r="BE49" s="1184"/>
      <c r="BF49" s="3259"/>
      <c r="BG49" s="3121" t="s">
        <v>67</v>
      </c>
      <c r="BH49" s="3259"/>
      <c r="BI49" s="3121" t="s">
        <v>67</v>
      </c>
      <c r="BJ49" s="688"/>
      <c r="BK49" s="263"/>
      <c r="BL49" s="688"/>
      <c r="BM49" s="1184"/>
      <c r="BN49" s="3259"/>
      <c r="BO49" s="3121" t="s">
        <v>67</v>
      </c>
      <c r="BP49" s="3259"/>
      <c r="BQ49" s="3121" t="s">
        <v>67</v>
      </c>
      <c r="BR49" s="688"/>
      <c r="BS49" s="263"/>
      <c r="BT49" s="688"/>
      <c r="BU49" s="1184"/>
      <c r="BV49" s="3259"/>
      <c r="BW49" s="3121" t="s">
        <v>67</v>
      </c>
      <c r="BX49" s="3259"/>
      <c r="BY49" s="3121" t="s">
        <v>67</v>
      </c>
      <c r="BZ49" s="1275"/>
      <c r="CA49" s="3278" t="s">
        <v>418</v>
      </c>
      <c r="CB49" s="448" t="e">
        <f ca="1">STRCHECKDATE(V50:BZ50)</f>
        <v>#NAME?</v>
      </c>
      <c r="CC49" s="437"/>
      <c r="CD49" s="437" t="str">
        <f t="shared" si="1"/>
        <v>вода</v>
      </c>
      <c r="CE49" s="437"/>
      <c r="CF49" s="437"/>
      <c r="CG49" s="1082">
        <v>23</v>
      </c>
    </row>
    <row r="50" spans="1:85" ht="1.1499999999999999" customHeight="1">
      <c r="A50" s="1290" t="s">
        <v>154</v>
      </c>
      <c r="B50" s="1290" t="s">
        <v>155</v>
      </c>
      <c r="C50" s="1290" t="s">
        <v>156</v>
      </c>
      <c r="D50" s="1290" t="s">
        <v>157</v>
      </c>
      <c r="E50" s="3255"/>
      <c r="F50" s="3255"/>
      <c r="G50" s="3255"/>
      <c r="H50" s="3255"/>
      <c r="I50" s="3257"/>
      <c r="J50" s="3257"/>
      <c r="K50" s="3256"/>
      <c r="L50" s="1291"/>
      <c r="P50" s="3258"/>
      <c r="Q50" s="3258"/>
      <c r="R50" s="294"/>
      <c r="S50" s="1150"/>
      <c r="T50" s="238"/>
      <c r="U50" s="238"/>
      <c r="V50" s="263"/>
      <c r="W50" s="263"/>
      <c r="X50" s="263"/>
      <c r="Y50" s="266" t="str">
        <f>Z49&amp;"-"&amp;AB49</f>
        <v>-</v>
      </c>
      <c r="Z50" s="3260"/>
      <c r="AA50" s="3121"/>
      <c r="AB50" s="3260"/>
      <c r="AC50" s="3121"/>
      <c r="AD50" s="263"/>
      <c r="AE50" s="263"/>
      <c r="AF50" s="263"/>
      <c r="AG50" s="266" t="str">
        <f>AH49&amp;"-"&amp;AJ49</f>
        <v>45658,5515972222-45838,5516782407</v>
      </c>
      <c r="AH50" s="3260"/>
      <c r="AI50" s="3121"/>
      <c r="AJ50" s="3262"/>
      <c r="AK50" s="3121"/>
      <c r="AL50" s="263"/>
      <c r="AM50" s="263"/>
      <c r="AN50" s="263"/>
      <c r="AO50" s="266" t="str">
        <f>AP49&amp;"-"&amp;AR49</f>
        <v>45839,5526388889-46022,5527199074</v>
      </c>
      <c r="AP50" s="3260"/>
      <c r="AQ50" s="3121"/>
      <c r="AR50" s="3260"/>
      <c r="AS50" s="3121"/>
      <c r="AT50" s="263"/>
      <c r="AU50" s="263"/>
      <c r="AV50" s="263"/>
      <c r="AW50" s="266" t="str">
        <f>AX49&amp;"-"&amp;AZ49</f>
        <v>-</v>
      </c>
      <c r="AX50" s="3260"/>
      <c r="AY50" s="3121"/>
      <c r="AZ50" s="3260"/>
      <c r="BA50" s="3121"/>
      <c r="BB50" s="263"/>
      <c r="BC50" s="263"/>
      <c r="BD50" s="263"/>
      <c r="BE50" s="266" t="str">
        <f>BF49&amp;"-"&amp;BH49</f>
        <v>-</v>
      </c>
      <c r="BF50" s="3260"/>
      <c r="BG50" s="3121"/>
      <c r="BH50" s="3260"/>
      <c r="BI50" s="3121"/>
      <c r="BJ50" s="263"/>
      <c r="BK50" s="263"/>
      <c r="BL50" s="263"/>
      <c r="BM50" s="266" t="str">
        <f>BN49&amp;"-"&amp;BP49</f>
        <v>-</v>
      </c>
      <c r="BN50" s="3260"/>
      <c r="BO50" s="3121"/>
      <c r="BP50" s="3260"/>
      <c r="BQ50" s="3121"/>
      <c r="BR50" s="263"/>
      <c r="BS50" s="263"/>
      <c r="BT50" s="263"/>
      <c r="BU50" s="266" t="str">
        <f>BV49&amp;"-"&amp;BX49</f>
        <v>-</v>
      </c>
      <c r="BV50" s="3260"/>
      <c r="BW50" s="3121"/>
      <c r="BX50" s="3260"/>
      <c r="BY50" s="3121"/>
      <c r="BZ50" s="1276"/>
      <c r="CA50" s="3279"/>
      <c r="CC50" s="437"/>
      <c r="CD50" s="437" t="str">
        <f t="shared" si="1"/>
        <v/>
      </c>
      <c r="CE50" s="437"/>
      <c r="CF50" s="437"/>
      <c r="CG50" s="1082">
        <v>1</v>
      </c>
    </row>
    <row r="51" spans="1:85" ht="11.45" customHeight="1">
      <c r="A51" s="1290" t="s">
        <v>154</v>
      </c>
      <c r="B51" s="1290" t="s">
        <v>155</v>
      </c>
      <c r="C51" s="1290" t="s">
        <v>156</v>
      </c>
      <c r="D51" s="1290" t="s">
        <v>157</v>
      </c>
      <c r="E51" s="3255"/>
      <c r="F51" s="3255"/>
      <c r="G51" s="3255"/>
      <c r="H51" s="3255"/>
      <c r="I51" s="3257"/>
      <c r="J51" s="3256"/>
      <c r="K51" s="1290"/>
      <c r="L51" s="1291"/>
      <c r="P51" s="3258"/>
      <c r="Q51" s="3258"/>
      <c r="R51" s="293"/>
      <c r="S51" s="1205"/>
      <c r="T51" s="226" t="s">
        <v>419</v>
      </c>
      <c r="U51" s="304"/>
      <c r="V51" s="304"/>
      <c r="W51" s="304"/>
      <c r="X51" s="304"/>
      <c r="Y51" s="304"/>
      <c r="Z51" s="304"/>
      <c r="AA51" s="304"/>
      <c r="AB51" s="304"/>
      <c r="AC51" s="304"/>
      <c r="AD51" s="304"/>
      <c r="AE51" s="304"/>
      <c r="AF51" s="304"/>
      <c r="AG51" s="304"/>
      <c r="AH51" s="304"/>
      <c r="AI51" s="304"/>
      <c r="AJ51" s="304"/>
      <c r="AK51" s="304"/>
      <c r="AL51" s="2195"/>
      <c r="AM51" s="2196"/>
      <c r="AN51" s="2197"/>
      <c r="AO51" s="2198"/>
      <c r="AP51" s="2199"/>
      <c r="AQ51" s="2200"/>
      <c r="AR51" s="2201"/>
      <c r="AS51" s="2202"/>
      <c r="AT51" s="2203"/>
      <c r="AU51" s="2204"/>
      <c r="AV51" s="2205"/>
      <c r="AW51" s="2206"/>
      <c r="AX51" s="2207"/>
      <c r="AY51" s="2208"/>
      <c r="AZ51" s="2209"/>
      <c r="BA51" s="2210"/>
      <c r="BB51" s="2211"/>
      <c r="BC51" s="2212"/>
      <c r="BD51" s="2213"/>
      <c r="BE51" s="2214"/>
      <c r="BF51" s="2215"/>
      <c r="BG51" s="2216"/>
      <c r="BH51" s="2217"/>
      <c r="BI51" s="2218"/>
      <c r="BJ51" s="2219"/>
      <c r="BK51" s="2220"/>
      <c r="BL51" s="2221"/>
      <c r="BM51" s="2222"/>
      <c r="BN51" s="2223"/>
      <c r="BO51" s="2224"/>
      <c r="BP51" s="2225"/>
      <c r="BQ51" s="2226"/>
      <c r="BR51" s="2227"/>
      <c r="BS51" s="2228"/>
      <c r="BT51" s="2229"/>
      <c r="BU51" s="2230"/>
      <c r="BV51" s="2231"/>
      <c r="BW51" s="2232"/>
      <c r="BX51" s="2233"/>
      <c r="BY51" s="2368"/>
      <c r="BZ51" s="262"/>
      <c r="CA51" s="3280"/>
      <c r="CC51" s="437"/>
      <c r="CD51" s="437" t="str">
        <f t="shared" si="1"/>
        <v>Добавить вид теплоносителя (параметры теплоносителя)</v>
      </c>
      <c r="CE51" s="437"/>
      <c r="CF51" s="437"/>
      <c r="CG51" s="1082">
        <v>11</v>
      </c>
    </row>
    <row r="52" spans="1:85" ht="11.45" customHeight="1">
      <c r="A52" s="1290" t="s">
        <v>154</v>
      </c>
      <c r="B52" s="1290" t="s">
        <v>155</v>
      </c>
      <c r="C52" s="1290" t="s">
        <v>156</v>
      </c>
      <c r="D52" s="1290" t="s">
        <v>157</v>
      </c>
      <c r="E52" s="3255"/>
      <c r="F52" s="3255"/>
      <c r="G52" s="3255"/>
      <c r="H52" s="3255"/>
      <c r="I52" s="3256"/>
      <c r="J52" s="1290"/>
      <c r="K52" s="1290"/>
      <c r="L52" s="1291"/>
      <c r="P52" s="3258"/>
      <c r="Q52" s="1147"/>
      <c r="R52" s="293"/>
      <c r="S52" s="1205"/>
      <c r="T52" s="225" t="s">
        <v>420</v>
      </c>
      <c r="U52" s="304"/>
      <c r="V52" s="304"/>
      <c r="W52" s="304"/>
      <c r="X52" s="304"/>
      <c r="Y52" s="304"/>
      <c r="Z52" s="304"/>
      <c r="AA52" s="304"/>
      <c r="AB52" s="304"/>
      <c r="AC52" s="303"/>
      <c r="AD52" s="304"/>
      <c r="AE52" s="304"/>
      <c r="AF52" s="304"/>
      <c r="AG52" s="304"/>
      <c r="AH52" s="304"/>
      <c r="AI52" s="304"/>
      <c r="AJ52" s="304"/>
      <c r="AK52" s="303"/>
      <c r="AL52" s="2234"/>
      <c r="AM52" s="2235"/>
      <c r="AN52" s="2236"/>
      <c r="AO52" s="2237"/>
      <c r="AP52" s="2238"/>
      <c r="AQ52" s="2239"/>
      <c r="AR52" s="2240"/>
      <c r="AS52" s="2241"/>
      <c r="AT52" s="2242"/>
      <c r="AU52" s="2243"/>
      <c r="AV52" s="2244"/>
      <c r="AW52" s="2245"/>
      <c r="AX52" s="2246"/>
      <c r="AY52" s="2247"/>
      <c r="AZ52" s="2248"/>
      <c r="BA52" s="2249"/>
      <c r="BB52" s="2250"/>
      <c r="BC52" s="2251"/>
      <c r="BD52" s="2252"/>
      <c r="BE52" s="2253"/>
      <c r="BF52" s="2254"/>
      <c r="BG52" s="2255"/>
      <c r="BH52" s="2256"/>
      <c r="BI52" s="2257"/>
      <c r="BJ52" s="2258"/>
      <c r="BK52" s="2259"/>
      <c r="BL52" s="2260"/>
      <c r="BM52" s="2261"/>
      <c r="BN52" s="2262"/>
      <c r="BO52" s="2263"/>
      <c r="BP52" s="2264"/>
      <c r="BQ52" s="2265"/>
      <c r="BR52" s="2266"/>
      <c r="BS52" s="2267"/>
      <c r="BT52" s="2268"/>
      <c r="BU52" s="2269"/>
      <c r="BV52" s="2270"/>
      <c r="BW52" s="2271"/>
      <c r="BX52" s="2272"/>
      <c r="BY52" s="2369"/>
      <c r="BZ52" s="304"/>
      <c r="CA52" s="241"/>
      <c r="CC52" s="437"/>
      <c r="CD52" s="437" t="str">
        <f t="shared" si="1"/>
        <v>Добавить группу потребителей</v>
      </c>
      <c r="CE52" s="437"/>
      <c r="CF52" s="437"/>
      <c r="CG52" s="1082">
        <v>11</v>
      </c>
    </row>
    <row r="53" spans="1:85" ht="14.65" customHeight="1">
      <c r="A53" s="1290" t="s">
        <v>154</v>
      </c>
      <c r="B53" s="1290" t="s">
        <v>155</v>
      </c>
      <c r="C53" s="1290" t="s">
        <v>156</v>
      </c>
      <c r="D53" s="1290" t="s">
        <v>157</v>
      </c>
      <c r="E53" s="3255"/>
      <c r="F53" s="3255"/>
      <c r="G53" s="3255"/>
      <c r="H53" s="3254"/>
      <c r="I53" s="1290"/>
      <c r="J53" s="1290"/>
      <c r="K53" s="1290"/>
      <c r="L53" s="1291"/>
      <c r="M53" s="1292"/>
      <c r="N53" s="1292"/>
      <c r="O53" s="474"/>
      <c r="P53" s="297"/>
      <c r="Q53" s="312"/>
      <c r="R53" s="292"/>
      <c r="S53" s="1205"/>
      <c r="T53" s="302" t="s">
        <v>421</v>
      </c>
      <c r="U53" s="304"/>
      <c r="V53" s="304"/>
      <c r="W53" s="304"/>
      <c r="X53" s="304"/>
      <c r="Y53" s="304"/>
      <c r="Z53" s="304"/>
      <c r="AA53" s="304"/>
      <c r="AB53" s="304"/>
      <c r="AC53" s="303"/>
      <c r="AD53" s="304"/>
      <c r="AE53" s="304"/>
      <c r="AF53" s="304"/>
      <c r="AG53" s="304"/>
      <c r="AH53" s="304"/>
      <c r="AI53" s="304"/>
      <c r="AJ53" s="304"/>
      <c r="AK53" s="303"/>
      <c r="AL53" s="2273"/>
      <c r="AM53" s="2274"/>
      <c r="AN53" s="2275"/>
      <c r="AO53" s="2276"/>
      <c r="AP53" s="2277"/>
      <c r="AQ53" s="2278"/>
      <c r="AR53" s="2279"/>
      <c r="AS53" s="2280"/>
      <c r="AT53" s="2281"/>
      <c r="AU53" s="2282"/>
      <c r="AV53" s="2283"/>
      <c r="AW53" s="2284"/>
      <c r="AX53" s="2285"/>
      <c r="AY53" s="2286"/>
      <c r="AZ53" s="2287"/>
      <c r="BA53" s="2288"/>
      <c r="BB53" s="2289"/>
      <c r="BC53" s="2290"/>
      <c r="BD53" s="2291"/>
      <c r="BE53" s="2292"/>
      <c r="BF53" s="2293"/>
      <c r="BG53" s="2294"/>
      <c r="BH53" s="2295"/>
      <c r="BI53" s="2296"/>
      <c r="BJ53" s="2297"/>
      <c r="BK53" s="2298"/>
      <c r="BL53" s="2299"/>
      <c r="BM53" s="2300"/>
      <c r="BN53" s="2301"/>
      <c r="BO53" s="2302"/>
      <c r="BP53" s="2303"/>
      <c r="BQ53" s="2304"/>
      <c r="BR53" s="2305"/>
      <c r="BS53" s="2306"/>
      <c r="BT53" s="2307"/>
      <c r="BU53" s="2308"/>
      <c r="BV53" s="2309"/>
      <c r="BW53" s="2310"/>
      <c r="BX53" s="2311"/>
      <c r="BY53" s="2370"/>
      <c r="BZ53" s="304"/>
      <c r="CA53" s="241"/>
      <c r="CC53" s="437"/>
      <c r="CD53" s="437" t="str">
        <f t="shared" si="1"/>
        <v>Добавить схему подключения</v>
      </c>
      <c r="CE53" s="437"/>
      <c r="CF53" s="437"/>
      <c r="CG53" s="1082">
        <v>14</v>
      </c>
    </row>
    <row r="54" spans="1:85" s="1569" customFormat="1" ht="1.1499999999999999" customHeight="1">
      <c r="A54" s="1270" t="s">
        <v>154</v>
      </c>
      <c r="B54" s="1270" t="s">
        <v>155</v>
      </c>
      <c r="C54" s="1270" t="s">
        <v>156</v>
      </c>
      <c r="D54" s="1241"/>
      <c r="E54" s="3255"/>
      <c r="F54" s="3255"/>
      <c r="G54" s="3254"/>
      <c r="H54" s="1241"/>
      <c r="I54" s="1241"/>
      <c r="J54" s="1241"/>
      <c r="K54" s="1241"/>
      <c r="L54" s="1266"/>
      <c r="M54" s="1242"/>
      <c r="N54" s="1242"/>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2360"/>
      <c r="BZ54" s="1251"/>
      <c r="CA54" s="1251"/>
      <c r="CC54" s="720"/>
      <c r="CD54" s="720" t="str">
        <f t="shared" si="1"/>
        <v>Добавить источник для дифференциации</v>
      </c>
      <c r="CE54" s="720"/>
      <c r="CF54" s="720"/>
      <c r="CG54" s="455">
        <v>1</v>
      </c>
    </row>
    <row r="55" spans="1:85" s="1569" customFormat="1" ht="1.1499999999999999" customHeight="1">
      <c r="A55" s="1270" t="s">
        <v>154</v>
      </c>
      <c r="B55" s="1270" t="s">
        <v>155</v>
      </c>
      <c r="C55" s="1241"/>
      <c r="D55" s="1241"/>
      <c r="E55" s="3255"/>
      <c r="F55" s="3254"/>
      <c r="G55" s="1241"/>
      <c r="H55" s="1241"/>
      <c r="I55" s="1241"/>
      <c r="J55" s="1241"/>
      <c r="K55" s="1241"/>
      <c r="L55" s="1266"/>
      <c r="M55" s="1248"/>
      <c r="N55" s="1248"/>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2360"/>
      <c r="BZ55" s="1251"/>
      <c r="CA55" s="1251"/>
      <c r="CC55" s="720"/>
      <c r="CD55" s="720" t="str">
        <f t="shared" si="1"/>
        <v>Добавить централизованную систему для дифференциации</v>
      </c>
      <c r="CE55" s="720"/>
      <c r="CF55" s="720"/>
      <c r="CG55" s="455">
        <v>1</v>
      </c>
    </row>
    <row r="56" spans="1:85" s="1569" customFormat="1" ht="1.1499999999999999" customHeight="1">
      <c r="A56" s="1270" t="s">
        <v>154</v>
      </c>
      <c r="B56" s="1270"/>
      <c r="C56" s="1270"/>
      <c r="D56" s="1270"/>
      <c r="E56" s="3254"/>
      <c r="F56" s="1270"/>
      <c r="G56" s="1270"/>
      <c r="H56" s="1270"/>
      <c r="I56" s="1270"/>
      <c r="J56" s="1270"/>
      <c r="K56" s="1270"/>
      <c r="L56" s="1273"/>
      <c r="M56" s="1248"/>
      <c r="N56" s="1248"/>
      <c r="O56" s="455"/>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2360"/>
      <c r="BZ56" s="1251"/>
      <c r="CA56" s="1251"/>
      <c r="CC56" s="437"/>
      <c r="CD56" s="437" t="str">
        <f t="shared" si="1"/>
        <v>Добавить территорию для дифференциации</v>
      </c>
      <c r="CE56" s="437"/>
      <c r="CF56" s="437"/>
      <c r="CG56" s="448">
        <v>1</v>
      </c>
    </row>
    <row r="57" spans="1:8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175</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2360"/>
      <c r="BZ57" s="1251"/>
      <c r="CA57" s="1251"/>
      <c r="CC57" s="720"/>
      <c r="CD57" s="720" t="str">
        <f t="shared" si="1"/>
        <v>Добавить наименование тарифа</v>
      </c>
      <c r="CE57" s="720"/>
      <c r="CF57" s="720"/>
      <c r="CG57" s="455">
        <v>1</v>
      </c>
    </row>
    <row r="58" spans="1:85" ht="11.45" customHeight="1">
      <c r="M58" s="1087"/>
      <c r="N58" s="1087"/>
      <c r="O58" s="474"/>
      <c r="P58" s="1082"/>
      <c r="Q58" s="1082"/>
      <c r="R58" s="1082"/>
      <c r="S58" s="1082"/>
      <c r="AL58" s="1562"/>
      <c r="AM58" s="1562"/>
      <c r="AN58" s="1562"/>
      <c r="AO58" s="1562"/>
      <c r="AP58" s="1562"/>
      <c r="AQ58" s="1562"/>
      <c r="AR58" s="1562"/>
      <c r="AS58" s="1562"/>
      <c r="AT58" s="1562"/>
      <c r="AU58" s="1562"/>
      <c r="AV58" s="1562"/>
      <c r="AW58" s="1562"/>
      <c r="AX58" s="1562"/>
      <c r="AY58" s="1562"/>
      <c r="AZ58" s="1562"/>
      <c r="BA58" s="1562"/>
      <c r="BB58" s="1562"/>
      <c r="BC58" s="1562"/>
      <c r="BD58" s="1562"/>
      <c r="BE58" s="1562"/>
      <c r="BF58" s="1562"/>
      <c r="BG58" s="1562"/>
      <c r="BH58" s="1562"/>
      <c r="BI58" s="1562"/>
      <c r="BJ58" s="1562"/>
      <c r="BK58" s="1562"/>
      <c r="BL58" s="1562"/>
      <c r="BM58" s="1562"/>
      <c r="BN58" s="1562"/>
      <c r="BO58" s="1562"/>
      <c r="BP58" s="1562"/>
      <c r="BQ58" s="1562"/>
      <c r="BR58" s="1562"/>
      <c r="BS58" s="1562"/>
      <c r="BT58" s="1562"/>
      <c r="BU58" s="1562"/>
      <c r="BV58" s="1562"/>
      <c r="BW58" s="1562"/>
      <c r="BX58" s="1562"/>
      <c r="BY58" s="2355"/>
      <c r="CB58" s="1082"/>
      <c r="CC58" s="1082"/>
      <c r="CD58" s="1082"/>
      <c r="CE58" s="1082"/>
      <c r="CF58" s="1082"/>
      <c r="CG58" s="1082">
        <v>11</v>
      </c>
    </row>
    <row r="59" spans="1:85" ht="28.5" customHeight="1">
      <c r="O59" s="474"/>
      <c r="S59" s="1180"/>
      <c r="T59" s="3252"/>
      <c r="U59" s="3252"/>
      <c r="V59" s="3252"/>
      <c r="W59" s="3252"/>
      <c r="X59" s="3252"/>
      <c r="Y59" s="3252"/>
      <c r="Z59" s="3252"/>
      <c r="AA59" s="3252"/>
      <c r="AB59" s="3252"/>
      <c r="AC59" s="3252"/>
      <c r="AD59" s="3252"/>
      <c r="AE59" s="3252"/>
      <c r="AF59" s="3252"/>
      <c r="AG59" s="3252"/>
      <c r="AH59" s="3252"/>
      <c r="AI59" s="3252"/>
      <c r="AJ59" s="3252"/>
      <c r="AK59" s="3252"/>
      <c r="AL59" s="3252"/>
      <c r="AM59" s="3252"/>
      <c r="AN59" s="3252"/>
      <c r="AO59" s="3252"/>
      <c r="AP59" s="3252"/>
      <c r="AQ59" s="3252"/>
      <c r="AR59" s="3252"/>
      <c r="AS59" s="3252"/>
      <c r="AT59" s="3252"/>
      <c r="AU59" s="3252"/>
      <c r="AV59" s="3252"/>
      <c r="AW59" s="3252"/>
      <c r="AX59" s="3252"/>
      <c r="AY59" s="3252"/>
      <c r="AZ59" s="3252"/>
      <c r="BA59" s="3252"/>
      <c r="BB59" s="3252"/>
      <c r="BC59" s="3252"/>
      <c r="BD59" s="3252"/>
      <c r="BE59" s="3252"/>
      <c r="BF59" s="3252"/>
      <c r="BG59" s="3252"/>
      <c r="BH59" s="3252"/>
      <c r="BI59" s="3252"/>
      <c r="BJ59" s="3252"/>
      <c r="BK59" s="3252"/>
      <c r="BL59" s="3252"/>
      <c r="BM59" s="3252"/>
      <c r="BN59" s="3252"/>
      <c r="BO59" s="3252"/>
      <c r="BP59" s="3252"/>
      <c r="BQ59" s="3252"/>
      <c r="BR59" s="3252"/>
      <c r="BS59" s="3252"/>
      <c r="BT59" s="3252"/>
      <c r="BU59" s="3252"/>
      <c r="BV59" s="3252"/>
      <c r="BW59" s="3252"/>
      <c r="BX59" s="3252"/>
      <c r="BY59" s="3253"/>
      <c r="BZ59" s="3252"/>
      <c r="CA59" s="3252"/>
      <c r="CG59" s="1082">
        <v>27</v>
      </c>
    </row>
    <row r="60" spans="1:85" ht="67.150000000000006" customHeight="1">
      <c r="O60" s="474"/>
      <c r="P60" s="1230"/>
      <c r="T60" s="3252"/>
      <c r="U60" s="3252"/>
      <c r="V60" s="3252"/>
      <c r="W60" s="3252"/>
      <c r="X60" s="3252"/>
      <c r="Y60" s="3252"/>
      <c r="Z60" s="3252"/>
      <c r="AA60" s="3252"/>
      <c r="AB60" s="3252"/>
      <c r="AC60" s="3252"/>
      <c r="AD60" s="3252"/>
      <c r="AE60" s="3252"/>
      <c r="AF60" s="3252"/>
      <c r="AG60" s="3252"/>
      <c r="AH60" s="3252"/>
      <c r="AI60" s="3252"/>
      <c r="AJ60" s="3252"/>
      <c r="AK60" s="3252"/>
      <c r="AL60" s="3252"/>
      <c r="AM60" s="3252"/>
      <c r="AN60" s="3252"/>
      <c r="AO60" s="3252"/>
      <c r="AP60" s="3252"/>
      <c r="AQ60" s="3252"/>
      <c r="AR60" s="3252"/>
      <c r="AS60" s="3252"/>
      <c r="AT60" s="3252"/>
      <c r="AU60" s="3252"/>
      <c r="AV60" s="3252"/>
      <c r="AW60" s="3252"/>
      <c r="AX60" s="3252"/>
      <c r="AY60" s="3252"/>
      <c r="AZ60" s="3252"/>
      <c r="BA60" s="3252"/>
      <c r="BB60" s="3252"/>
      <c r="BC60" s="3252"/>
      <c r="BD60" s="3252"/>
      <c r="BE60" s="3252"/>
      <c r="BF60" s="3252"/>
      <c r="BG60" s="3252"/>
      <c r="BH60" s="3252"/>
      <c r="BI60" s="3252"/>
      <c r="BJ60" s="3252"/>
      <c r="BK60" s="3252"/>
      <c r="BL60" s="3252"/>
      <c r="BM60" s="3252"/>
      <c r="BN60" s="3252"/>
      <c r="BO60" s="3252"/>
      <c r="BP60" s="3252"/>
      <c r="BQ60" s="3252"/>
      <c r="BR60" s="3252"/>
      <c r="BS60" s="3252"/>
      <c r="BT60" s="3252"/>
      <c r="BU60" s="3252"/>
      <c r="BV60" s="3252"/>
      <c r="BW60" s="3252"/>
      <c r="BX60" s="3252"/>
      <c r="BY60" s="3253"/>
      <c r="BZ60" s="3252"/>
      <c r="CA60" s="3252"/>
      <c r="CG60" s="1082">
        <v>64</v>
      </c>
    </row>
    <row r="61" spans="1:85" ht="14.65" customHeight="1">
      <c r="O61" s="474"/>
      <c r="AL61" s="1562"/>
      <c r="AM61" s="1562"/>
      <c r="AN61" s="1562"/>
      <c r="AO61" s="1562"/>
      <c r="AP61" s="1562"/>
      <c r="AQ61" s="1562"/>
      <c r="AR61" s="1562"/>
      <c r="AS61" s="1562"/>
      <c r="AT61" s="1562"/>
      <c r="AU61" s="1562"/>
      <c r="AV61" s="1562"/>
      <c r="AW61" s="1562"/>
      <c r="AX61" s="1562"/>
      <c r="AY61" s="1562"/>
      <c r="AZ61" s="1562"/>
      <c r="BA61" s="1562"/>
      <c r="BB61" s="1562"/>
      <c r="BC61" s="1562"/>
      <c r="BD61" s="1562"/>
      <c r="BE61" s="1562"/>
      <c r="BF61" s="1562"/>
      <c r="BG61" s="1562"/>
      <c r="BH61" s="1562"/>
      <c r="BI61" s="1562"/>
      <c r="BJ61" s="1562"/>
      <c r="BK61" s="1562"/>
      <c r="BL61" s="1562"/>
      <c r="BM61" s="1562"/>
      <c r="BN61" s="1562"/>
      <c r="BO61" s="1562"/>
      <c r="BP61" s="1562"/>
      <c r="BQ61" s="1562"/>
      <c r="BR61" s="1562"/>
      <c r="BS61" s="1562"/>
      <c r="BT61" s="1562"/>
      <c r="BU61" s="1562"/>
      <c r="BV61" s="1562"/>
      <c r="BW61" s="1562"/>
      <c r="BX61" s="1562"/>
      <c r="BY61" s="2355"/>
      <c r="CG61" s="1082">
        <v>14</v>
      </c>
    </row>
    <row r="62" spans="1:85" ht="18.75" customHeight="1">
      <c r="O62" s="474"/>
      <c r="P62" s="1255"/>
      <c r="S62" s="1180"/>
      <c r="T62" s="3252"/>
      <c r="U62" s="3252"/>
      <c r="V62" s="3252"/>
      <c r="W62" s="3252"/>
      <c r="X62" s="3252"/>
      <c r="Y62" s="3252"/>
      <c r="Z62" s="3252"/>
      <c r="AA62" s="3252"/>
      <c r="AB62" s="3252"/>
      <c r="AC62" s="3252"/>
      <c r="AD62" s="3252"/>
      <c r="AE62" s="3252"/>
      <c r="AF62" s="3252"/>
      <c r="AG62" s="3252"/>
      <c r="AH62" s="3252"/>
      <c r="AI62" s="3252"/>
      <c r="AJ62" s="3252"/>
      <c r="AK62" s="3252"/>
      <c r="AL62" s="3252"/>
      <c r="AM62" s="3252"/>
      <c r="AN62" s="3252"/>
      <c r="AO62" s="3252"/>
      <c r="AP62" s="3252"/>
      <c r="AQ62" s="3252"/>
      <c r="AR62" s="3252"/>
      <c r="AS62" s="3252"/>
      <c r="AT62" s="3252"/>
      <c r="AU62" s="3252"/>
      <c r="AV62" s="3252"/>
      <c r="AW62" s="3252"/>
      <c r="AX62" s="3252"/>
      <c r="AY62" s="3252"/>
      <c r="AZ62" s="3252"/>
      <c r="BA62" s="3252"/>
      <c r="BB62" s="3252"/>
      <c r="BC62" s="3252"/>
      <c r="BD62" s="3252"/>
      <c r="BE62" s="3252"/>
      <c r="BF62" s="3252"/>
      <c r="BG62" s="3252"/>
      <c r="BH62" s="3252"/>
      <c r="BI62" s="3252"/>
      <c r="BJ62" s="3252"/>
      <c r="BK62" s="3252"/>
      <c r="BL62" s="3252"/>
      <c r="BM62" s="3252"/>
      <c r="BN62" s="3252"/>
      <c r="BO62" s="3252"/>
      <c r="BP62" s="3252"/>
      <c r="BQ62" s="3252"/>
      <c r="BR62" s="3252"/>
      <c r="BS62" s="3252"/>
      <c r="BT62" s="3252"/>
      <c r="BU62" s="3252"/>
      <c r="BV62" s="3252"/>
      <c r="BW62" s="3252"/>
      <c r="BX62" s="3252"/>
      <c r="BY62" s="3253"/>
      <c r="BZ62" s="3252"/>
      <c r="CA62" s="3252"/>
      <c r="CG62" s="1082">
        <v>18</v>
      </c>
    </row>
    <row r="63" spans="1:85" ht="18.75" customHeight="1">
      <c r="O63" s="474"/>
      <c r="P63" s="1255"/>
      <c r="T63" s="3252"/>
      <c r="U63" s="3252"/>
      <c r="V63" s="3252"/>
      <c r="W63" s="3252"/>
      <c r="X63" s="3252"/>
      <c r="Y63" s="3252"/>
      <c r="Z63" s="3252"/>
      <c r="AA63" s="3252"/>
      <c r="AB63" s="3252"/>
      <c r="AC63" s="3252"/>
      <c r="AD63" s="3252"/>
      <c r="AE63" s="3252"/>
      <c r="AF63" s="3252"/>
      <c r="AG63" s="3252"/>
      <c r="AH63" s="3252"/>
      <c r="AI63" s="3252"/>
      <c r="AJ63" s="3252"/>
      <c r="AK63" s="3252"/>
      <c r="AL63" s="3252"/>
      <c r="AM63" s="3252"/>
      <c r="AN63" s="3252"/>
      <c r="AO63" s="3252"/>
      <c r="AP63" s="3252"/>
      <c r="AQ63" s="3252"/>
      <c r="AR63" s="3252"/>
      <c r="AS63" s="3252"/>
      <c r="AT63" s="3252"/>
      <c r="AU63" s="3252"/>
      <c r="AV63" s="3252"/>
      <c r="AW63" s="3252"/>
      <c r="AX63" s="3252"/>
      <c r="AY63" s="3252"/>
      <c r="AZ63" s="3252"/>
      <c r="BA63" s="3252"/>
      <c r="BB63" s="3252"/>
      <c r="BC63" s="3252"/>
      <c r="BD63" s="3252"/>
      <c r="BE63" s="3252"/>
      <c r="BF63" s="3252"/>
      <c r="BG63" s="3252"/>
      <c r="BH63" s="3252"/>
      <c r="BI63" s="3252"/>
      <c r="BJ63" s="3252"/>
      <c r="BK63" s="3252"/>
      <c r="BL63" s="3252"/>
      <c r="BM63" s="3252"/>
      <c r="BN63" s="3252"/>
      <c r="BO63" s="3252"/>
      <c r="BP63" s="3252"/>
      <c r="BQ63" s="3252"/>
      <c r="BR63" s="3252"/>
      <c r="BS63" s="3252"/>
      <c r="BT63" s="3252"/>
      <c r="BU63" s="3252"/>
      <c r="BV63" s="3252"/>
      <c r="BW63" s="3252"/>
      <c r="BX63" s="3252"/>
      <c r="BY63" s="3253"/>
      <c r="BZ63" s="3252"/>
      <c r="CA63" s="3252"/>
      <c r="CG63" s="1082">
        <v>18</v>
      </c>
    </row>
    <row r="64" spans="1:85" ht="29.25" customHeight="1">
      <c r="O64" s="474"/>
      <c r="P64" s="1255"/>
      <c r="S64" s="1180"/>
      <c r="T64" s="3252"/>
      <c r="U64" s="3252"/>
      <c r="V64" s="3252"/>
      <c r="W64" s="3252"/>
      <c r="X64" s="3252"/>
      <c r="Y64" s="3252"/>
      <c r="Z64" s="3252"/>
      <c r="AA64" s="3252"/>
      <c r="AB64" s="3252"/>
      <c r="AC64" s="3252"/>
      <c r="AD64" s="3252"/>
      <c r="AE64" s="3252"/>
      <c r="AF64" s="3252"/>
      <c r="AG64" s="3252"/>
      <c r="AH64" s="3252"/>
      <c r="AI64" s="3252"/>
      <c r="AJ64" s="3252"/>
      <c r="AK64" s="3252"/>
      <c r="AL64" s="3252"/>
      <c r="AM64" s="3252"/>
      <c r="AN64" s="3252"/>
      <c r="AO64" s="3252"/>
      <c r="AP64" s="3252"/>
      <c r="AQ64" s="3252"/>
      <c r="AR64" s="3252"/>
      <c r="AS64" s="3252"/>
      <c r="AT64" s="3252"/>
      <c r="AU64" s="3252"/>
      <c r="AV64" s="3252"/>
      <c r="AW64" s="3252"/>
      <c r="AX64" s="3252"/>
      <c r="AY64" s="3252"/>
      <c r="AZ64" s="3252"/>
      <c r="BA64" s="3252"/>
      <c r="BB64" s="3252"/>
      <c r="BC64" s="3252"/>
      <c r="BD64" s="3252"/>
      <c r="BE64" s="3252"/>
      <c r="BF64" s="3252"/>
      <c r="BG64" s="3252"/>
      <c r="BH64" s="3252"/>
      <c r="BI64" s="3252"/>
      <c r="BJ64" s="3252"/>
      <c r="BK64" s="3252"/>
      <c r="BL64" s="3252"/>
      <c r="BM64" s="3252"/>
      <c r="BN64" s="3252"/>
      <c r="BO64" s="3252"/>
      <c r="BP64" s="3252"/>
      <c r="BQ64" s="3252"/>
      <c r="BR64" s="3252"/>
      <c r="BS64" s="3252"/>
      <c r="BT64" s="3252"/>
      <c r="BU64" s="3252"/>
      <c r="BV64" s="3252"/>
      <c r="BW64" s="3252"/>
      <c r="BX64" s="3252"/>
      <c r="BY64" s="3253"/>
      <c r="BZ64" s="3252"/>
      <c r="CA64" s="3252"/>
      <c r="CG64" s="1082">
        <v>28</v>
      </c>
    </row>
    <row r="65" spans="1:8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562">
        <v>0</v>
      </c>
      <c r="AM65" s="1562">
        <v>0</v>
      </c>
      <c r="AN65" s="1562">
        <v>0</v>
      </c>
      <c r="AO65" s="1562">
        <v>0</v>
      </c>
      <c r="AP65" s="1562">
        <v>0</v>
      </c>
      <c r="AQ65" s="1562">
        <v>0</v>
      </c>
      <c r="AR65" s="1562">
        <v>0</v>
      </c>
      <c r="AS65" s="1562">
        <v>0</v>
      </c>
      <c r="AT65" s="1562">
        <v>0</v>
      </c>
      <c r="AU65" s="1562">
        <v>0</v>
      </c>
      <c r="AV65" s="1562">
        <v>0</v>
      </c>
      <c r="AW65" s="1562">
        <v>0</v>
      </c>
      <c r="AX65" s="1562">
        <v>0</v>
      </c>
      <c r="AY65" s="1562">
        <v>0</v>
      </c>
      <c r="AZ65" s="1562">
        <v>0</v>
      </c>
      <c r="BA65" s="1562">
        <v>0</v>
      </c>
      <c r="BB65" s="1562">
        <v>0</v>
      </c>
      <c r="BC65" s="1562">
        <v>0</v>
      </c>
      <c r="BD65" s="1562">
        <v>0</v>
      </c>
      <c r="BE65" s="1562">
        <v>0</v>
      </c>
      <c r="BF65" s="1562">
        <v>0</v>
      </c>
      <c r="BG65" s="1562">
        <v>0</v>
      </c>
      <c r="BH65" s="1562">
        <v>0</v>
      </c>
      <c r="BI65" s="1562">
        <v>0</v>
      </c>
      <c r="BJ65" s="1562">
        <v>0</v>
      </c>
      <c r="BK65" s="1562">
        <v>0</v>
      </c>
      <c r="BL65" s="1562">
        <v>0</v>
      </c>
      <c r="BM65" s="1562">
        <v>0</v>
      </c>
      <c r="BN65" s="1562">
        <v>0</v>
      </c>
      <c r="BO65" s="1562">
        <v>0</v>
      </c>
      <c r="BP65" s="1562">
        <v>0</v>
      </c>
      <c r="BQ65" s="1562">
        <v>0</v>
      </c>
      <c r="BR65" s="1562">
        <v>0</v>
      </c>
      <c r="BS65" s="1562">
        <v>0</v>
      </c>
      <c r="BT65" s="1562">
        <v>0</v>
      </c>
      <c r="BU65" s="1562">
        <v>0</v>
      </c>
      <c r="BV65" s="1562">
        <v>0</v>
      </c>
      <c r="BW65" s="1562">
        <v>0</v>
      </c>
      <c r="BX65" s="1562">
        <v>0</v>
      </c>
      <c r="BY65" s="2355">
        <v>0</v>
      </c>
      <c r="BZ65" s="1082">
        <v>4</v>
      </c>
      <c r="CA65" s="1082">
        <v>115</v>
      </c>
      <c r="CB65" s="448">
        <v>10</v>
      </c>
      <c r="CC65" s="448">
        <v>10</v>
      </c>
      <c r="CD65" s="448">
        <v>10</v>
      </c>
      <c r="CE65" s="448">
        <v>10</v>
      </c>
      <c r="CF65" s="448">
        <v>10</v>
      </c>
      <c r="CG65" s="1082">
        <v>23</v>
      </c>
    </row>
  </sheetData>
  <sheetProtection formatColumns="0" formatRows="0" insertRows="0" deleteColumns="0" deleteRows="0" sort="0" autoFilter="0"/>
  <mergeCells count="227">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BZ43"/>
    <mergeCell ref="AD44:BZ44"/>
    <mergeCell ref="AD45:BZ45"/>
    <mergeCell ref="AD46:BZ46"/>
    <mergeCell ref="AD47:BZ47"/>
    <mergeCell ref="AD48:BZ48"/>
    <mergeCell ref="S26:AJ26"/>
    <mergeCell ref="S27:AJ27"/>
    <mergeCell ref="S29:T29"/>
    <mergeCell ref="S30:T30"/>
    <mergeCell ref="S31:T31"/>
    <mergeCell ref="S32:T32"/>
    <mergeCell ref="AD31:AJ31"/>
    <mergeCell ref="AD32:AJ32"/>
    <mergeCell ref="AD37:AK37"/>
    <mergeCell ref="AC49:AC50"/>
    <mergeCell ref="CA49:CA51"/>
    <mergeCell ref="CA8:CA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BZ38"/>
    <mergeCell ref="CA38:CA41"/>
    <mergeCell ref="S39:S41"/>
    <mergeCell ref="T39:T41"/>
    <mergeCell ref="V39:AB39"/>
    <mergeCell ref="AC39:AC41"/>
    <mergeCell ref="BZ39:BZ41"/>
    <mergeCell ref="AI42:AJ42"/>
    <mergeCell ref="AD39:AJ39"/>
    <mergeCell ref="AK39:AK41"/>
    <mergeCell ref="AD40:AD41"/>
    <mergeCell ref="AE40:AE41"/>
    <mergeCell ref="AF40:AG40"/>
    <mergeCell ref="AH40:AJ40"/>
    <mergeCell ref="AI41:AJ41"/>
    <mergeCell ref="AQ42:AR42"/>
    <mergeCell ref="T62:CA62"/>
    <mergeCell ref="T63:CA63"/>
    <mergeCell ref="T64:CA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CA59"/>
    <mergeCell ref="W40:W41"/>
    <mergeCell ref="T60:CA60"/>
    <mergeCell ref="Z49:Z50"/>
    <mergeCell ref="AA49:AA50"/>
    <mergeCell ref="AB49:AB50"/>
    <mergeCell ref="V7:AC7"/>
    <mergeCell ref="AD7:BZ7"/>
    <mergeCell ref="S34:T34"/>
    <mergeCell ref="V34:AB34"/>
    <mergeCell ref="AD34:AJ34"/>
    <mergeCell ref="S35:T35"/>
    <mergeCell ref="V35:AB35"/>
    <mergeCell ref="AD35:AJ35"/>
    <mergeCell ref="V2:AC2"/>
    <mergeCell ref="AD2:BZ2"/>
    <mergeCell ref="V3:AC3"/>
    <mergeCell ref="AD3:BZ3"/>
    <mergeCell ref="V4:AC4"/>
    <mergeCell ref="AD4:BZ4"/>
    <mergeCell ref="V5:AC5"/>
    <mergeCell ref="AD5:BZ5"/>
    <mergeCell ref="V6:AC6"/>
    <mergeCell ref="AD6:BZ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Y327729 AK393265:BY393265 AK49 AQ49 AS49 AY49 BA49 BG49 BI49 BO49 BQ49 BW49 BY49 AK524337:BY524337 AK8 AQ8 AS8 AY8 BA8 BG8 BI8 BO8 BQ8 BW8 BY8 AK589873:BY589873 AK655409:BY655409 AK17 AK720945:BY720945 AK786481:BY786481 AK852017:BY852017 AK917553:BY917553 AK983089:BY983089 AK65585:BY65585 AK131121:BY131121 AI49 AK458801:BY458801 AI8 AC8 AA8 AI17 AK196657:BY196657 AA49 AC49 AK262193:BY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CA65579:CA65586 CA131115:CA131122 CA196651:CA196658 CA262187:CA262194 CA327723:CA327730 CA393259:CA393266 CA458795:CA458802 CA524331:CA524338 CA589867:CA589874 CA655403:CA655410 CA720939:CA720946 CA786475:CA786482 CA852011:CA852018 CA917547:CA917554 CA983083:CA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BU9 BU50" xr:uid="{00000000-0002-0000-0A00-000005000000}"/>
    <dataValidation type="list" allowBlank="1" showInputMessage="1" errorTitle="Ошибка" error="Выберите значение из списка" prompt="Выберите значение из списка" sqref="V983088:BZ983088 V65584:BZ65584 V131120:BZ131120 V196656:BZ196656 V262192:BZ262192 V327728:BZ327728 V393264:BZ393264 V458800:BZ458800 V524336:BZ524336 V589872:BZ589872 V655408:BZ655408 V720944:BZ720944 V786480:BZ786480 V852016:BZ852016 V917552:BZ917552" xr:uid="{00000000-0002-0000-0A00-000006000000}">
      <formula1>kind_of_cons</formula1>
    </dataValidation>
    <dataValidation allowBlank="1" sqref="S131123:CA131129 S196659:CA196665 S262195:CA262201 S327731:CA327737 S393267:CA393273 S458803:CA458809 S524339:CA524345 S589875:CA589881 S655411:CA655417 S720947:CA720953 S786483:CA786489 S852019:CA852025 S917555:CA917561 S983091:CA983097 S65587:CA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96351-856B-574B-A2DF-2A8852B7A987}">
  <sheetPr>
    <tabColor theme="6" tint="0.39997558519241921"/>
  </sheetPr>
  <dimension ref="A1:DM79"/>
  <sheetViews>
    <sheetView showGridLines="0" zoomScale="90" workbookViewId="0">
      <pane xSplit="29" ySplit="42" topLeftCell="BF49" activePane="bottomRight" state="frozen"/>
      <selection pane="topRight" activeCell="AD1" sqref="AD1"/>
      <selection pane="bottomLeft" activeCell="A43" sqref="A43"/>
      <selection pane="bottomRight" activeCell="BZ63" sqref="BZ63"/>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45" max="45" width="10.5703125" style="4"/>
    <col min="94" max="108" width="0" style="4" hidden="1" customWidth="1"/>
    <col min="109" max="109" width="10.5703125" style="4" hidden="1"/>
    <col min="110" max="110" width="4" style="1562" customWidth="1"/>
    <col min="111" max="111" width="115" style="1562" customWidth="1"/>
    <col min="112" max="116" width="10" style="1569" customWidth="1"/>
    <col min="117" max="117" width="10.5703125" style="1562" hidden="1"/>
  </cols>
  <sheetData>
    <row r="1" spans="1:117" ht="22.5" hidden="1" customHeight="1">
      <c r="Y1" s="265"/>
      <c r="Z1" s="265"/>
      <c r="AG1" s="265"/>
      <c r="AH1" s="265"/>
      <c r="AL1" s="1562"/>
      <c r="AM1" s="1562"/>
      <c r="AN1" s="1562"/>
      <c r="AO1" s="1562"/>
      <c r="AP1" s="1562"/>
      <c r="AQ1" s="1562"/>
      <c r="AR1" s="1562"/>
      <c r="AS1" s="2355"/>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S1" s="1562"/>
      <c r="BT1" s="1562"/>
      <c r="BU1" s="1562"/>
      <c r="BV1" s="1562"/>
      <c r="BW1" s="1562"/>
      <c r="BX1" s="1562"/>
      <c r="BY1" s="1562"/>
      <c r="BZ1" s="1562"/>
      <c r="CA1" s="1562"/>
      <c r="CB1" s="1562"/>
      <c r="CC1" s="1562"/>
      <c r="CD1" s="1562"/>
      <c r="CE1" s="1562"/>
      <c r="CF1" s="1562"/>
      <c r="CG1" s="1562"/>
      <c r="CH1" s="1562"/>
      <c r="CI1" s="1562"/>
      <c r="CJ1" s="1562"/>
      <c r="CK1" s="1562"/>
      <c r="CL1" s="1562"/>
      <c r="CM1" s="1562"/>
      <c r="CN1" s="1562"/>
      <c r="CO1" s="1562"/>
      <c r="CP1" s="2355"/>
      <c r="CQ1" s="2355"/>
      <c r="CR1" s="2355"/>
      <c r="CS1" s="2355"/>
      <c r="CT1" s="2355"/>
      <c r="CU1" s="2355"/>
      <c r="CV1" s="2355"/>
      <c r="CW1" s="2355"/>
      <c r="CX1" s="2355"/>
      <c r="CY1" s="2355"/>
      <c r="CZ1" s="2355"/>
      <c r="DA1" s="2355"/>
      <c r="DB1" s="2355"/>
      <c r="DC1" s="2355"/>
      <c r="DD1" s="2355"/>
      <c r="DE1" s="2355"/>
      <c r="DM1" s="1082" t="s">
        <v>14</v>
      </c>
    </row>
    <row r="2" spans="1:117" ht="21" hidden="1" customHeight="1">
      <c r="A2" s="1290"/>
      <c r="B2" s="1290"/>
      <c r="C2" s="1290"/>
      <c r="D2" s="1290"/>
      <c r="E2" s="3254">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6"/>
      <c r="AM2" s="3247"/>
      <c r="AN2" s="3247"/>
      <c r="AO2" s="3247"/>
      <c r="AP2" s="3247"/>
      <c r="AQ2" s="3247"/>
      <c r="AR2" s="3247"/>
      <c r="AS2" s="3249"/>
      <c r="AT2" s="3246"/>
      <c r="AU2" s="3247"/>
      <c r="AV2" s="3247"/>
      <c r="AW2" s="3247"/>
      <c r="AX2" s="3247"/>
      <c r="AY2" s="3247"/>
      <c r="AZ2" s="3247"/>
      <c r="BA2" s="3248"/>
      <c r="BB2" s="3246"/>
      <c r="BC2" s="3247"/>
      <c r="BD2" s="3247"/>
      <c r="BE2" s="3247"/>
      <c r="BF2" s="3247"/>
      <c r="BG2" s="3247"/>
      <c r="BH2" s="3247"/>
      <c r="BI2" s="3248"/>
      <c r="BJ2" s="3246"/>
      <c r="BK2" s="3247"/>
      <c r="BL2" s="3247"/>
      <c r="BM2" s="3247"/>
      <c r="BN2" s="3247"/>
      <c r="BO2" s="3247"/>
      <c r="BP2" s="3247"/>
      <c r="BQ2" s="3248"/>
      <c r="BR2" s="3246"/>
      <c r="BS2" s="3247"/>
      <c r="BT2" s="3247"/>
      <c r="BU2" s="3247"/>
      <c r="BV2" s="3247"/>
      <c r="BW2" s="3247"/>
      <c r="BX2" s="3247"/>
      <c r="BY2" s="3248"/>
      <c r="BZ2" s="3246"/>
      <c r="CA2" s="3247"/>
      <c r="CB2" s="3247"/>
      <c r="CC2" s="3247"/>
      <c r="CD2" s="3247"/>
      <c r="CE2" s="3247"/>
      <c r="CF2" s="3247"/>
      <c r="CG2" s="3248"/>
      <c r="CH2" s="3246"/>
      <c r="CI2" s="3247"/>
      <c r="CJ2" s="3247"/>
      <c r="CK2" s="3247"/>
      <c r="CL2" s="3247"/>
      <c r="CM2" s="3247"/>
      <c r="CN2" s="3247"/>
      <c r="CO2" s="3248"/>
      <c r="CP2" s="3288"/>
      <c r="CQ2" s="3289"/>
      <c r="CR2" s="3289"/>
      <c r="CS2" s="3289"/>
      <c r="CT2" s="3289"/>
      <c r="CU2" s="3289"/>
      <c r="CV2" s="3289"/>
      <c r="CW2" s="3249"/>
      <c r="CX2" s="3288"/>
      <c r="CY2" s="3289"/>
      <c r="CZ2" s="3289"/>
      <c r="DA2" s="3289"/>
      <c r="DB2" s="3289"/>
      <c r="DC2" s="3289"/>
      <c r="DD2" s="3289"/>
      <c r="DE2" s="3249"/>
      <c r="DF2" s="3248"/>
      <c r="DG2" s="1185" t="s">
        <v>404</v>
      </c>
      <c r="DI2" s="437"/>
      <c r="DJ2" s="437" t="str">
        <f t="shared" ref="DJ2:DJ15" si="0">IF(T2="","",T2)</f>
        <v>Наименование тарифа</v>
      </c>
      <c r="DK2" s="437"/>
      <c r="DL2" s="437"/>
      <c r="DM2" s="1082">
        <v>0</v>
      </c>
    </row>
    <row r="3" spans="1:117" ht="21" hidden="1" customHeight="1">
      <c r="A3" s="1290"/>
      <c r="B3" s="1290"/>
      <c r="C3" s="1290"/>
      <c r="D3" s="1290"/>
      <c r="E3" s="3255"/>
      <c r="F3" s="3254">
        <v>1</v>
      </c>
      <c r="G3" s="1290"/>
      <c r="H3" s="1290"/>
      <c r="I3" s="1290"/>
      <c r="J3" s="1290"/>
      <c r="K3" s="1290"/>
      <c r="L3" s="1291"/>
      <c r="M3" s="1292"/>
      <c r="N3" s="1292"/>
      <c r="O3" s="1292"/>
      <c r="P3" s="1259"/>
      <c r="Q3" s="289"/>
      <c r="R3" s="290"/>
      <c r="S3" s="1263" t="e">
        <f>INDEX(PT_DIFFERENTIATION_NUM_TER,MATCH(B3,PT_DIFFERENTIATION_TER_ID,0))</f>
        <v>#N/A</v>
      </c>
      <c r="T3" s="246"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6"/>
      <c r="AM3" s="3247"/>
      <c r="AN3" s="3247"/>
      <c r="AO3" s="3247"/>
      <c r="AP3" s="3247"/>
      <c r="AQ3" s="3247"/>
      <c r="AR3" s="3247"/>
      <c r="AS3" s="3249"/>
      <c r="AT3" s="3246"/>
      <c r="AU3" s="3247"/>
      <c r="AV3" s="3247"/>
      <c r="AW3" s="3247"/>
      <c r="AX3" s="3247"/>
      <c r="AY3" s="3247"/>
      <c r="AZ3" s="3247"/>
      <c r="BA3" s="3248"/>
      <c r="BB3" s="3246"/>
      <c r="BC3" s="3247"/>
      <c r="BD3" s="3247"/>
      <c r="BE3" s="3247"/>
      <c r="BF3" s="3247"/>
      <c r="BG3" s="3247"/>
      <c r="BH3" s="3247"/>
      <c r="BI3" s="3248"/>
      <c r="BJ3" s="3246"/>
      <c r="BK3" s="3247"/>
      <c r="BL3" s="3247"/>
      <c r="BM3" s="3247"/>
      <c r="BN3" s="3247"/>
      <c r="BO3" s="3247"/>
      <c r="BP3" s="3247"/>
      <c r="BQ3" s="3248"/>
      <c r="BR3" s="3246"/>
      <c r="BS3" s="3247"/>
      <c r="BT3" s="3247"/>
      <c r="BU3" s="3247"/>
      <c r="BV3" s="3247"/>
      <c r="BW3" s="3247"/>
      <c r="BX3" s="3247"/>
      <c r="BY3" s="3248"/>
      <c r="BZ3" s="3246"/>
      <c r="CA3" s="3247"/>
      <c r="CB3" s="3247"/>
      <c r="CC3" s="3247"/>
      <c r="CD3" s="3247"/>
      <c r="CE3" s="3247"/>
      <c r="CF3" s="3247"/>
      <c r="CG3" s="3248"/>
      <c r="CH3" s="3246"/>
      <c r="CI3" s="3247"/>
      <c r="CJ3" s="3247"/>
      <c r="CK3" s="3247"/>
      <c r="CL3" s="3247"/>
      <c r="CM3" s="3247"/>
      <c r="CN3" s="3247"/>
      <c r="CO3" s="3248"/>
      <c r="CP3" s="3288"/>
      <c r="CQ3" s="3289"/>
      <c r="CR3" s="3289"/>
      <c r="CS3" s="3289"/>
      <c r="CT3" s="3289"/>
      <c r="CU3" s="3289"/>
      <c r="CV3" s="3289"/>
      <c r="CW3" s="3249"/>
      <c r="CX3" s="3288"/>
      <c r="CY3" s="3289"/>
      <c r="CZ3" s="3289"/>
      <c r="DA3" s="3289"/>
      <c r="DB3" s="3289"/>
      <c r="DC3" s="3289"/>
      <c r="DD3" s="3289"/>
      <c r="DE3" s="3249"/>
      <c r="DF3" s="3248"/>
      <c r="DG3" s="1185" t="s">
        <v>406</v>
      </c>
      <c r="DI3" s="437"/>
      <c r="DJ3" s="437" t="str">
        <f t="shared" si="0"/>
        <v>Территория действия тарифа</v>
      </c>
      <c r="DK3" s="437"/>
      <c r="DL3" s="437"/>
      <c r="DM3" s="1082">
        <v>0</v>
      </c>
    </row>
    <row r="4" spans="1:117" ht="23.25" hidden="1" customHeight="1">
      <c r="A4" s="1290"/>
      <c r="B4" s="1290"/>
      <c r="C4" s="1290"/>
      <c r="D4" s="1290"/>
      <c r="E4" s="3255"/>
      <c r="F4" s="3255"/>
      <c r="G4" s="3254">
        <v>1</v>
      </c>
      <c r="H4" s="1290"/>
      <c r="I4" s="1290"/>
      <c r="J4" s="1290"/>
      <c r="K4" s="1290"/>
      <c r="L4" s="1291"/>
      <c r="M4" s="1292"/>
      <c r="N4" s="1292"/>
      <c r="O4" s="1292"/>
      <c r="P4" s="291"/>
      <c r="Q4" s="289"/>
      <c r="R4" s="290"/>
      <c r="S4" s="1263" t="e">
        <f>INDEX(PT_DIFFERENTIATION_NUM_CS,MATCH(C4,PT_DIFFERENTIATION_CS_ID,0))</f>
        <v>#N/A</v>
      </c>
      <c r="T4" s="247" t="s">
        <v>407</v>
      </c>
      <c r="U4" s="238"/>
      <c r="V4" s="3246"/>
      <c r="W4" s="3247"/>
      <c r="X4" s="3247"/>
      <c r="Y4" s="3247"/>
      <c r="Z4" s="3247"/>
      <c r="AA4" s="3247"/>
      <c r="AB4" s="3247"/>
      <c r="AC4" s="3248"/>
      <c r="AD4" s="3246" t="e">
        <f>INDEX(PT_DIFFERENTIATION_CS,MATCH(C4,PT_DIFFERENTIATION_CS_ID,0))</f>
        <v>#N/A</v>
      </c>
      <c r="AE4" s="3247"/>
      <c r="AF4" s="3247"/>
      <c r="AG4" s="3247"/>
      <c r="AH4" s="3247"/>
      <c r="AI4" s="3247"/>
      <c r="AJ4" s="3247"/>
      <c r="AK4" s="3247"/>
      <c r="AL4" s="3246"/>
      <c r="AM4" s="3247"/>
      <c r="AN4" s="3247"/>
      <c r="AO4" s="3247"/>
      <c r="AP4" s="3247"/>
      <c r="AQ4" s="3247"/>
      <c r="AR4" s="3247"/>
      <c r="AS4" s="3249"/>
      <c r="AT4" s="3246"/>
      <c r="AU4" s="3247"/>
      <c r="AV4" s="3247"/>
      <c r="AW4" s="3247"/>
      <c r="AX4" s="3247"/>
      <c r="AY4" s="3247"/>
      <c r="AZ4" s="3247"/>
      <c r="BA4" s="3248"/>
      <c r="BB4" s="3246"/>
      <c r="BC4" s="3247"/>
      <c r="BD4" s="3247"/>
      <c r="BE4" s="3247"/>
      <c r="BF4" s="3247"/>
      <c r="BG4" s="3247"/>
      <c r="BH4" s="3247"/>
      <c r="BI4" s="3248"/>
      <c r="BJ4" s="3246"/>
      <c r="BK4" s="3247"/>
      <c r="BL4" s="3247"/>
      <c r="BM4" s="3247"/>
      <c r="BN4" s="3247"/>
      <c r="BO4" s="3247"/>
      <c r="BP4" s="3247"/>
      <c r="BQ4" s="3248"/>
      <c r="BR4" s="3246"/>
      <c r="BS4" s="3247"/>
      <c r="BT4" s="3247"/>
      <c r="BU4" s="3247"/>
      <c r="BV4" s="3247"/>
      <c r="BW4" s="3247"/>
      <c r="BX4" s="3247"/>
      <c r="BY4" s="3248"/>
      <c r="BZ4" s="3246"/>
      <c r="CA4" s="3247"/>
      <c r="CB4" s="3247"/>
      <c r="CC4" s="3247"/>
      <c r="CD4" s="3247"/>
      <c r="CE4" s="3247"/>
      <c r="CF4" s="3247"/>
      <c r="CG4" s="3248"/>
      <c r="CH4" s="3246"/>
      <c r="CI4" s="3247"/>
      <c r="CJ4" s="3247"/>
      <c r="CK4" s="3247"/>
      <c r="CL4" s="3247"/>
      <c r="CM4" s="3247"/>
      <c r="CN4" s="3247"/>
      <c r="CO4" s="3248"/>
      <c r="CP4" s="3288"/>
      <c r="CQ4" s="3289"/>
      <c r="CR4" s="3289"/>
      <c r="CS4" s="3289"/>
      <c r="CT4" s="3289"/>
      <c r="CU4" s="3289"/>
      <c r="CV4" s="3289"/>
      <c r="CW4" s="3249"/>
      <c r="CX4" s="3288"/>
      <c r="CY4" s="3289"/>
      <c r="CZ4" s="3289"/>
      <c r="DA4" s="3289"/>
      <c r="DB4" s="3289"/>
      <c r="DC4" s="3289"/>
      <c r="DD4" s="3289"/>
      <c r="DE4" s="3249"/>
      <c r="DF4" s="3248"/>
      <c r="DG4" s="1185" t="s">
        <v>408</v>
      </c>
      <c r="DI4" s="437"/>
      <c r="DJ4" s="437" t="str">
        <f t="shared" si="0"/>
        <v xml:space="preserve">Наименование системы теплоснабжения </v>
      </c>
      <c r="DK4" s="437"/>
      <c r="DL4" s="437"/>
      <c r="DM4" s="1082">
        <v>0</v>
      </c>
    </row>
    <row r="5" spans="1:117" ht="21" hidden="1" customHeight="1">
      <c r="A5" s="1290"/>
      <c r="B5" s="1290"/>
      <c r="C5" s="1290"/>
      <c r="D5" s="1290"/>
      <c r="E5" s="3255"/>
      <c r="F5" s="3255"/>
      <c r="G5" s="3255"/>
      <c r="H5" s="3254">
        <v>1</v>
      </c>
      <c r="I5" s="1290"/>
      <c r="J5" s="1290"/>
      <c r="K5" s="1290"/>
      <c r="L5" s="1291"/>
      <c r="M5" s="1292"/>
      <c r="N5" s="1292"/>
      <c r="O5" s="1292"/>
      <c r="P5" s="291"/>
      <c r="Q5" s="289"/>
      <c r="R5" s="290"/>
      <c r="S5" s="1263" t="e">
        <f>INDEX(PT_DIFFERENTIATION_NUM_IST_TE,MATCH(D5,PT_DIFFERENTIATION_IST_TE_ID,0))</f>
        <v>#N/A</v>
      </c>
      <c r="T5" s="248" t="s">
        <v>409</v>
      </c>
      <c r="U5" s="238"/>
      <c r="V5" s="3246"/>
      <c r="W5" s="3247"/>
      <c r="X5" s="3247"/>
      <c r="Y5" s="3247"/>
      <c r="Z5" s="3247"/>
      <c r="AA5" s="3247"/>
      <c r="AB5" s="3247"/>
      <c r="AC5" s="3248"/>
      <c r="AD5" s="3246" t="e">
        <f>INDEX(PT_DIFFERENTIATION_IST_TE,MATCH(D5,PT_DIFFERENTIATION_IST_TE_ID,0))</f>
        <v>#N/A</v>
      </c>
      <c r="AE5" s="3247"/>
      <c r="AF5" s="3247"/>
      <c r="AG5" s="3247"/>
      <c r="AH5" s="3247"/>
      <c r="AI5" s="3247"/>
      <c r="AJ5" s="3247"/>
      <c r="AK5" s="3247"/>
      <c r="AL5" s="3246"/>
      <c r="AM5" s="3247"/>
      <c r="AN5" s="3247"/>
      <c r="AO5" s="3247"/>
      <c r="AP5" s="3247"/>
      <c r="AQ5" s="3247"/>
      <c r="AR5" s="3247"/>
      <c r="AS5" s="3249"/>
      <c r="AT5" s="3246"/>
      <c r="AU5" s="3247"/>
      <c r="AV5" s="3247"/>
      <c r="AW5" s="3247"/>
      <c r="AX5" s="3247"/>
      <c r="AY5" s="3247"/>
      <c r="AZ5" s="3247"/>
      <c r="BA5" s="3248"/>
      <c r="BB5" s="3246"/>
      <c r="BC5" s="3247"/>
      <c r="BD5" s="3247"/>
      <c r="BE5" s="3247"/>
      <c r="BF5" s="3247"/>
      <c r="BG5" s="3247"/>
      <c r="BH5" s="3247"/>
      <c r="BI5" s="3248"/>
      <c r="BJ5" s="3246"/>
      <c r="BK5" s="3247"/>
      <c r="BL5" s="3247"/>
      <c r="BM5" s="3247"/>
      <c r="BN5" s="3247"/>
      <c r="BO5" s="3247"/>
      <c r="BP5" s="3247"/>
      <c r="BQ5" s="3248"/>
      <c r="BR5" s="3246"/>
      <c r="BS5" s="3247"/>
      <c r="BT5" s="3247"/>
      <c r="BU5" s="3247"/>
      <c r="BV5" s="3247"/>
      <c r="BW5" s="3247"/>
      <c r="BX5" s="3247"/>
      <c r="BY5" s="3248"/>
      <c r="BZ5" s="3246"/>
      <c r="CA5" s="3247"/>
      <c r="CB5" s="3247"/>
      <c r="CC5" s="3247"/>
      <c r="CD5" s="3247"/>
      <c r="CE5" s="3247"/>
      <c r="CF5" s="3247"/>
      <c r="CG5" s="3248"/>
      <c r="CH5" s="3246"/>
      <c r="CI5" s="3247"/>
      <c r="CJ5" s="3247"/>
      <c r="CK5" s="3247"/>
      <c r="CL5" s="3247"/>
      <c r="CM5" s="3247"/>
      <c r="CN5" s="3247"/>
      <c r="CO5" s="3248"/>
      <c r="CP5" s="3288"/>
      <c r="CQ5" s="3289"/>
      <c r="CR5" s="3289"/>
      <c r="CS5" s="3289"/>
      <c r="CT5" s="3289"/>
      <c r="CU5" s="3289"/>
      <c r="CV5" s="3289"/>
      <c r="CW5" s="3249"/>
      <c r="CX5" s="3288"/>
      <c r="CY5" s="3289"/>
      <c r="CZ5" s="3289"/>
      <c r="DA5" s="3289"/>
      <c r="DB5" s="3289"/>
      <c r="DC5" s="3289"/>
      <c r="DD5" s="3289"/>
      <c r="DE5" s="3249"/>
      <c r="DF5" s="3248"/>
      <c r="DG5" s="1185" t="s">
        <v>410</v>
      </c>
      <c r="DI5" s="437"/>
      <c r="DJ5" s="437" t="str">
        <f t="shared" si="0"/>
        <v xml:space="preserve">Источник тепловой энергии  </v>
      </c>
      <c r="DK5" s="437"/>
      <c r="DL5" s="437"/>
      <c r="DM5" s="1082">
        <v>0</v>
      </c>
    </row>
    <row r="6" spans="1:117" ht="47.25" hidden="1" customHeight="1">
      <c r="A6" s="1290"/>
      <c r="B6" s="1290"/>
      <c r="C6" s="1290"/>
      <c r="D6" s="1290"/>
      <c r="E6" s="3255"/>
      <c r="F6" s="3255"/>
      <c r="G6" s="3255"/>
      <c r="H6" s="3255"/>
      <c r="I6" s="3256" t="e">
        <f>S5&amp;".1"</f>
        <v>#N/A</v>
      </c>
      <c r="J6" s="1290"/>
      <c r="K6" s="1290"/>
      <c r="L6" s="1291" t="s">
        <v>411</v>
      </c>
      <c r="M6" s="474"/>
      <c r="P6" s="3258">
        <v>1</v>
      </c>
      <c r="Q6" s="1258"/>
      <c r="R6" s="293"/>
      <c r="S6" s="1263" t="e">
        <f>$I6</f>
        <v>#N/A</v>
      </c>
      <c r="T6" s="223" t="s">
        <v>412</v>
      </c>
      <c r="U6" s="238"/>
      <c r="V6" s="3239"/>
      <c r="W6" s="3240"/>
      <c r="X6" s="3240"/>
      <c r="Y6" s="3240"/>
      <c r="Z6" s="3240"/>
      <c r="AA6" s="3240"/>
      <c r="AB6" s="3240"/>
      <c r="AC6" s="3241"/>
      <c r="AD6" s="3239"/>
      <c r="AE6" s="3240"/>
      <c r="AF6" s="3240"/>
      <c r="AG6" s="3240"/>
      <c r="AH6" s="3240"/>
      <c r="AI6" s="3240"/>
      <c r="AJ6" s="3240"/>
      <c r="AK6" s="3240"/>
      <c r="AL6" s="3239"/>
      <c r="AM6" s="3240"/>
      <c r="AN6" s="3240"/>
      <c r="AO6" s="3240"/>
      <c r="AP6" s="3240"/>
      <c r="AQ6" s="3240"/>
      <c r="AR6" s="3240"/>
      <c r="AS6" s="3242"/>
      <c r="AT6" s="3239"/>
      <c r="AU6" s="3240"/>
      <c r="AV6" s="3240"/>
      <c r="AW6" s="3240"/>
      <c r="AX6" s="3240"/>
      <c r="AY6" s="3240"/>
      <c r="AZ6" s="3240"/>
      <c r="BA6" s="3241"/>
      <c r="BB6" s="3239"/>
      <c r="BC6" s="3240"/>
      <c r="BD6" s="3240"/>
      <c r="BE6" s="3240"/>
      <c r="BF6" s="3240"/>
      <c r="BG6" s="3240"/>
      <c r="BH6" s="3240"/>
      <c r="BI6" s="3241"/>
      <c r="BJ6" s="3239"/>
      <c r="BK6" s="3240"/>
      <c r="BL6" s="3240"/>
      <c r="BM6" s="3240"/>
      <c r="BN6" s="3240"/>
      <c r="BO6" s="3240"/>
      <c r="BP6" s="3240"/>
      <c r="BQ6" s="3241"/>
      <c r="BR6" s="3239"/>
      <c r="BS6" s="3240"/>
      <c r="BT6" s="3240"/>
      <c r="BU6" s="3240"/>
      <c r="BV6" s="3240"/>
      <c r="BW6" s="3240"/>
      <c r="BX6" s="3240"/>
      <c r="BY6" s="3241"/>
      <c r="BZ6" s="3239"/>
      <c r="CA6" s="3240"/>
      <c r="CB6" s="3240"/>
      <c r="CC6" s="3240"/>
      <c r="CD6" s="3240"/>
      <c r="CE6" s="3240"/>
      <c r="CF6" s="3240"/>
      <c r="CG6" s="3241"/>
      <c r="CH6" s="3239"/>
      <c r="CI6" s="3240"/>
      <c r="CJ6" s="3240"/>
      <c r="CK6" s="3240"/>
      <c r="CL6" s="3240"/>
      <c r="CM6" s="3240"/>
      <c r="CN6" s="3240"/>
      <c r="CO6" s="3241"/>
      <c r="CP6" s="3286"/>
      <c r="CQ6" s="3287"/>
      <c r="CR6" s="3287"/>
      <c r="CS6" s="3287"/>
      <c r="CT6" s="3287"/>
      <c r="CU6" s="3287"/>
      <c r="CV6" s="3287"/>
      <c r="CW6" s="3242"/>
      <c r="CX6" s="3286"/>
      <c r="CY6" s="3287"/>
      <c r="CZ6" s="3287"/>
      <c r="DA6" s="3287"/>
      <c r="DB6" s="3287"/>
      <c r="DC6" s="3287"/>
      <c r="DD6" s="3287"/>
      <c r="DE6" s="3242"/>
      <c r="DF6" s="3241"/>
      <c r="DG6" s="1185" t="s">
        <v>413</v>
      </c>
      <c r="DI6" s="437"/>
      <c r="DJ6" s="437" t="str">
        <f t="shared" si="0"/>
        <v>Схема подключения теплопотребляющей установки к коллектору источника тепловой энергии</v>
      </c>
      <c r="DK6" s="437"/>
      <c r="DL6" s="437"/>
      <c r="DM6" s="1082">
        <v>0</v>
      </c>
    </row>
    <row r="7" spans="1:117" ht="21" hidden="1" customHeight="1">
      <c r="A7" s="1290"/>
      <c r="B7" s="1290"/>
      <c r="C7" s="1290"/>
      <c r="D7" s="1290"/>
      <c r="E7" s="3255"/>
      <c r="F7" s="3255"/>
      <c r="G7" s="3255"/>
      <c r="H7" s="3255"/>
      <c r="I7" s="3257"/>
      <c r="J7" s="3256" t="e">
        <f>I6&amp;".1"</f>
        <v>#N/A</v>
      </c>
      <c r="K7" s="1290"/>
      <c r="L7" s="1291" t="s">
        <v>414</v>
      </c>
      <c r="M7" s="474"/>
      <c r="N7" s="1293"/>
      <c r="P7" s="3258"/>
      <c r="Q7" s="3258">
        <v>1</v>
      </c>
      <c r="R7" s="294"/>
      <c r="S7" s="1263" t="e">
        <f>$J7</f>
        <v>#N/A</v>
      </c>
      <c r="T7" s="224" t="s">
        <v>415</v>
      </c>
      <c r="U7" s="238"/>
      <c r="V7" s="3239"/>
      <c r="W7" s="3240"/>
      <c r="X7" s="3240"/>
      <c r="Y7" s="3240"/>
      <c r="Z7" s="3240"/>
      <c r="AA7" s="3240"/>
      <c r="AB7" s="3240"/>
      <c r="AC7" s="3241"/>
      <c r="AD7" s="3239"/>
      <c r="AE7" s="3240"/>
      <c r="AF7" s="3240"/>
      <c r="AG7" s="3240"/>
      <c r="AH7" s="3240"/>
      <c r="AI7" s="3240"/>
      <c r="AJ7" s="3240"/>
      <c r="AK7" s="3240"/>
      <c r="AL7" s="3239"/>
      <c r="AM7" s="3240"/>
      <c r="AN7" s="3240"/>
      <c r="AO7" s="3240"/>
      <c r="AP7" s="3240"/>
      <c r="AQ7" s="3240"/>
      <c r="AR7" s="3240"/>
      <c r="AS7" s="3242"/>
      <c r="AT7" s="3239"/>
      <c r="AU7" s="3240"/>
      <c r="AV7" s="3240"/>
      <c r="AW7" s="3240"/>
      <c r="AX7" s="3240"/>
      <c r="AY7" s="3240"/>
      <c r="AZ7" s="3240"/>
      <c r="BA7" s="3241"/>
      <c r="BB7" s="3239"/>
      <c r="BC7" s="3240"/>
      <c r="BD7" s="3240"/>
      <c r="BE7" s="3240"/>
      <c r="BF7" s="3240"/>
      <c r="BG7" s="3240"/>
      <c r="BH7" s="3240"/>
      <c r="BI7" s="3241"/>
      <c r="BJ7" s="3239"/>
      <c r="BK7" s="3240"/>
      <c r="BL7" s="3240"/>
      <c r="BM7" s="3240"/>
      <c r="BN7" s="3240"/>
      <c r="BO7" s="3240"/>
      <c r="BP7" s="3240"/>
      <c r="BQ7" s="3241"/>
      <c r="BR7" s="3239"/>
      <c r="BS7" s="3240"/>
      <c r="BT7" s="3240"/>
      <c r="BU7" s="3240"/>
      <c r="BV7" s="3240"/>
      <c r="BW7" s="3240"/>
      <c r="BX7" s="3240"/>
      <c r="BY7" s="3241"/>
      <c r="BZ7" s="3239"/>
      <c r="CA7" s="3240"/>
      <c r="CB7" s="3240"/>
      <c r="CC7" s="3240"/>
      <c r="CD7" s="3240"/>
      <c r="CE7" s="3240"/>
      <c r="CF7" s="3240"/>
      <c r="CG7" s="3241"/>
      <c r="CH7" s="3239"/>
      <c r="CI7" s="3240"/>
      <c r="CJ7" s="3240"/>
      <c r="CK7" s="3240"/>
      <c r="CL7" s="3240"/>
      <c r="CM7" s="3240"/>
      <c r="CN7" s="3240"/>
      <c r="CO7" s="3241"/>
      <c r="CP7" s="3286"/>
      <c r="CQ7" s="3287"/>
      <c r="CR7" s="3287"/>
      <c r="CS7" s="3287"/>
      <c r="CT7" s="3287"/>
      <c r="CU7" s="3287"/>
      <c r="CV7" s="3287"/>
      <c r="CW7" s="3242"/>
      <c r="CX7" s="3286"/>
      <c r="CY7" s="3287"/>
      <c r="CZ7" s="3287"/>
      <c r="DA7" s="3287"/>
      <c r="DB7" s="3287"/>
      <c r="DC7" s="3287"/>
      <c r="DD7" s="3287"/>
      <c r="DE7" s="3242"/>
      <c r="DF7" s="3241"/>
      <c r="DG7" s="1185" t="s">
        <v>416</v>
      </c>
      <c r="DI7" s="437"/>
      <c r="DJ7" s="437" t="str">
        <f t="shared" si="0"/>
        <v>Группа потребителей</v>
      </c>
      <c r="DK7" s="437"/>
      <c r="DL7" s="437"/>
      <c r="DM7" s="1082">
        <v>0</v>
      </c>
    </row>
    <row r="8" spans="1:117" ht="21" hidden="1" customHeight="1">
      <c r="A8" s="1290"/>
      <c r="B8" s="1290"/>
      <c r="C8" s="1290"/>
      <c r="D8" s="1290"/>
      <c r="E8" s="3255"/>
      <c r="F8" s="3255"/>
      <c r="G8" s="3255"/>
      <c r="H8" s="3255"/>
      <c r="I8" s="3257"/>
      <c r="J8" s="3257"/>
      <c r="K8" s="3256" t="e">
        <f>J7&amp;".1"</f>
        <v>#N/A</v>
      </c>
      <c r="L8" s="1291" t="s">
        <v>417</v>
      </c>
      <c r="M8" s="474"/>
      <c r="N8" s="1293"/>
      <c r="O8" s="1293"/>
      <c r="P8" s="3258"/>
      <c r="Q8" s="3258"/>
      <c r="R8" s="294">
        <v>1</v>
      </c>
      <c r="S8" s="1263" t="e">
        <f>$K8</f>
        <v>#N/A</v>
      </c>
      <c r="T8" s="1274"/>
      <c r="U8" s="238"/>
      <c r="V8" s="688"/>
      <c r="W8" s="263"/>
      <c r="X8" s="688"/>
      <c r="Y8" s="1184"/>
      <c r="Z8" s="3259"/>
      <c r="AA8" s="3121" t="s">
        <v>67</v>
      </c>
      <c r="AB8" s="3259"/>
      <c r="AC8" s="3121" t="s">
        <v>67</v>
      </c>
      <c r="AD8" s="688"/>
      <c r="AE8" s="263"/>
      <c r="AF8" s="688"/>
      <c r="AG8" s="1184"/>
      <c r="AH8" s="3259"/>
      <c r="AI8" s="3121" t="s">
        <v>67</v>
      </c>
      <c r="AJ8" s="3259"/>
      <c r="AK8" s="3121" t="s">
        <v>67</v>
      </c>
      <c r="AL8" s="688"/>
      <c r="AM8" s="263"/>
      <c r="AN8" s="688"/>
      <c r="AO8" s="1184"/>
      <c r="AP8" s="3259"/>
      <c r="AQ8" s="3121" t="s">
        <v>67</v>
      </c>
      <c r="AR8" s="3259"/>
      <c r="AS8" s="3121" t="s">
        <v>67</v>
      </c>
      <c r="AT8" s="688"/>
      <c r="AU8" s="263"/>
      <c r="AV8" s="688"/>
      <c r="AW8" s="1184"/>
      <c r="AX8" s="3259"/>
      <c r="AY8" s="3121" t="s">
        <v>67</v>
      </c>
      <c r="AZ8" s="3259"/>
      <c r="BA8" s="3121" t="s">
        <v>67</v>
      </c>
      <c r="BB8" s="688"/>
      <c r="BC8" s="263"/>
      <c r="BD8" s="688"/>
      <c r="BE8" s="1184"/>
      <c r="BF8" s="3259"/>
      <c r="BG8" s="3121" t="s">
        <v>67</v>
      </c>
      <c r="BH8" s="3259"/>
      <c r="BI8" s="3121" t="s">
        <v>67</v>
      </c>
      <c r="BJ8" s="688"/>
      <c r="BK8" s="263"/>
      <c r="BL8" s="688"/>
      <c r="BM8" s="1184"/>
      <c r="BN8" s="3259"/>
      <c r="BO8" s="3121" t="s">
        <v>67</v>
      </c>
      <c r="BP8" s="3259"/>
      <c r="BQ8" s="3121" t="s">
        <v>67</v>
      </c>
      <c r="BR8" s="688"/>
      <c r="BS8" s="263"/>
      <c r="BT8" s="688"/>
      <c r="BU8" s="1184"/>
      <c r="BV8" s="3259"/>
      <c r="BW8" s="3121" t="s">
        <v>67</v>
      </c>
      <c r="BX8" s="3259"/>
      <c r="BY8" s="3121" t="s">
        <v>67</v>
      </c>
      <c r="BZ8" s="688"/>
      <c r="CA8" s="263"/>
      <c r="CB8" s="688"/>
      <c r="CC8" s="1184"/>
      <c r="CD8" s="3259"/>
      <c r="CE8" s="3121" t="s">
        <v>67</v>
      </c>
      <c r="CF8" s="3259"/>
      <c r="CG8" s="3121" t="s">
        <v>67</v>
      </c>
      <c r="CH8" s="688"/>
      <c r="CI8" s="263"/>
      <c r="CJ8" s="688"/>
      <c r="CK8" s="1184"/>
      <c r="CL8" s="3259"/>
      <c r="CM8" s="3121" t="s">
        <v>67</v>
      </c>
      <c r="CN8" s="3259"/>
      <c r="CO8" s="3121" t="s">
        <v>67</v>
      </c>
      <c r="CP8" s="2931"/>
      <c r="CQ8" s="2932"/>
      <c r="CR8" s="2931"/>
      <c r="CS8" s="2933"/>
      <c r="CT8" s="3290"/>
      <c r="CU8" s="3121" t="s">
        <v>67</v>
      </c>
      <c r="CV8" s="3290"/>
      <c r="CW8" s="3121" t="s">
        <v>67</v>
      </c>
      <c r="CX8" s="2931"/>
      <c r="CY8" s="2932"/>
      <c r="CZ8" s="2931"/>
      <c r="DA8" s="2933"/>
      <c r="DB8" s="3290"/>
      <c r="DC8" s="3121" t="s">
        <v>67</v>
      </c>
      <c r="DD8" s="3290"/>
      <c r="DE8" s="3121" t="s">
        <v>67</v>
      </c>
      <c r="DF8" s="263"/>
      <c r="DG8" s="3278" t="s">
        <v>418</v>
      </c>
      <c r="DH8" s="448" t="e">
        <f ca="1">STRCHECKDATE(V9:DF9)</f>
        <v>#NAME?</v>
      </c>
      <c r="DI8" s="437"/>
      <c r="DJ8" s="437" t="str">
        <f t="shared" si="0"/>
        <v/>
      </c>
      <c r="DK8" s="437"/>
      <c r="DL8" s="437"/>
      <c r="DM8" s="1082">
        <v>0</v>
      </c>
    </row>
    <row r="9" spans="1:117" ht="0.75" hidden="1" customHeight="1">
      <c r="A9" s="1290"/>
      <c r="B9" s="1290"/>
      <c r="C9" s="1290"/>
      <c r="D9" s="1290"/>
      <c r="E9" s="3255"/>
      <c r="F9" s="3255"/>
      <c r="G9" s="3255"/>
      <c r="H9" s="3255"/>
      <c r="I9" s="3257"/>
      <c r="J9" s="3257"/>
      <c r="K9" s="3256"/>
      <c r="L9" s="1291"/>
      <c r="M9" s="474"/>
      <c r="N9" s="1293"/>
      <c r="O9" s="1293"/>
      <c r="P9" s="3258"/>
      <c r="Q9" s="3258"/>
      <c r="R9" s="294"/>
      <c r="S9" s="1269"/>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263"/>
      <c r="AN9" s="263"/>
      <c r="AO9" s="266" t="str">
        <f>AP8&amp;"-"&amp;AR8</f>
        <v>-</v>
      </c>
      <c r="AP9" s="3260"/>
      <c r="AQ9" s="3121"/>
      <c r="AR9" s="3260"/>
      <c r="AS9" s="3121"/>
      <c r="AT9" s="263"/>
      <c r="AU9" s="263"/>
      <c r="AV9" s="263"/>
      <c r="AW9" s="266" t="str">
        <f>AX8&amp;"-"&amp;AZ8</f>
        <v>-</v>
      </c>
      <c r="AX9" s="3260"/>
      <c r="AY9" s="3121"/>
      <c r="AZ9" s="3260"/>
      <c r="BA9" s="3121"/>
      <c r="BB9" s="263"/>
      <c r="BC9" s="263"/>
      <c r="BD9" s="263"/>
      <c r="BE9" s="266" t="str">
        <f>BF8&amp;"-"&amp;BH8</f>
        <v>-</v>
      </c>
      <c r="BF9" s="3260"/>
      <c r="BG9" s="3121"/>
      <c r="BH9" s="3260"/>
      <c r="BI9" s="3121"/>
      <c r="BJ9" s="263"/>
      <c r="BK9" s="263"/>
      <c r="BL9" s="263"/>
      <c r="BM9" s="266" t="str">
        <f>BN8&amp;"-"&amp;BP8</f>
        <v>-</v>
      </c>
      <c r="BN9" s="3260"/>
      <c r="BO9" s="3121"/>
      <c r="BP9" s="3260"/>
      <c r="BQ9" s="3121"/>
      <c r="BR9" s="263"/>
      <c r="BS9" s="263"/>
      <c r="BT9" s="263"/>
      <c r="BU9" s="266" t="str">
        <f>BV8&amp;"-"&amp;BX8</f>
        <v>-</v>
      </c>
      <c r="BV9" s="3260"/>
      <c r="BW9" s="3121"/>
      <c r="BX9" s="3260"/>
      <c r="BY9" s="3121"/>
      <c r="BZ9" s="263"/>
      <c r="CA9" s="263"/>
      <c r="CB9" s="263"/>
      <c r="CC9" s="266" t="str">
        <f>CD8&amp;"-"&amp;CF8</f>
        <v>-</v>
      </c>
      <c r="CD9" s="3260"/>
      <c r="CE9" s="3121"/>
      <c r="CF9" s="3260"/>
      <c r="CG9" s="3121"/>
      <c r="CH9" s="263"/>
      <c r="CI9" s="263"/>
      <c r="CJ9" s="263"/>
      <c r="CK9" s="266" t="str">
        <f>CL8&amp;"-"&amp;CN8</f>
        <v>-</v>
      </c>
      <c r="CL9" s="3260"/>
      <c r="CM9" s="3121"/>
      <c r="CN9" s="3260"/>
      <c r="CO9" s="3121"/>
      <c r="CP9" s="2932"/>
      <c r="CQ9" s="2932"/>
      <c r="CR9" s="2932"/>
      <c r="CS9" s="2934" t="str">
        <f>CT8&amp;"-"&amp;CV8</f>
        <v>-</v>
      </c>
      <c r="CT9" s="3291"/>
      <c r="CU9" s="3121"/>
      <c r="CV9" s="3291"/>
      <c r="CW9" s="3121"/>
      <c r="CX9" s="2932"/>
      <c r="CY9" s="2932"/>
      <c r="CZ9" s="2932"/>
      <c r="DA9" s="266" t="str">
        <f>DB8&amp;"-"&amp;DD8</f>
        <v>-</v>
      </c>
      <c r="DB9" s="3291"/>
      <c r="DC9" s="3121"/>
      <c r="DD9" s="3291"/>
      <c r="DE9" s="3121"/>
      <c r="DF9" s="263"/>
      <c r="DG9" s="3279"/>
      <c r="DI9" s="437"/>
      <c r="DJ9" s="437" t="str">
        <f t="shared" si="0"/>
        <v/>
      </c>
      <c r="DK9" s="437"/>
      <c r="DL9" s="437"/>
      <c r="DM9" s="1082">
        <v>0</v>
      </c>
    </row>
    <row r="10" spans="1:117" ht="15" hidden="1" customHeight="1">
      <c r="A10" s="1290"/>
      <c r="B10" s="1290"/>
      <c r="C10" s="1290"/>
      <c r="D10" s="1290"/>
      <c r="E10" s="3255"/>
      <c r="F10" s="3255"/>
      <c r="G10" s="3255"/>
      <c r="H10" s="3255"/>
      <c r="I10" s="3257"/>
      <c r="J10" s="3256"/>
      <c r="K10" s="1290"/>
      <c r="L10" s="1291"/>
      <c r="M10" s="474"/>
      <c r="N10" s="1293"/>
      <c r="P10" s="3258"/>
      <c r="Q10" s="3258"/>
      <c r="R10" s="293"/>
      <c r="S10" s="1205"/>
      <c r="T10" s="226" t="s">
        <v>419</v>
      </c>
      <c r="U10" s="304"/>
      <c r="V10" s="304"/>
      <c r="W10" s="304"/>
      <c r="X10" s="304"/>
      <c r="Y10" s="304"/>
      <c r="Z10" s="304"/>
      <c r="AA10" s="304"/>
      <c r="AB10" s="304"/>
      <c r="AC10" s="304"/>
      <c r="AD10" s="304"/>
      <c r="AE10" s="304"/>
      <c r="AF10" s="304"/>
      <c r="AG10" s="304"/>
      <c r="AH10" s="304"/>
      <c r="AI10" s="304"/>
      <c r="AJ10" s="304"/>
      <c r="AK10" s="304"/>
      <c r="AL10" s="2312"/>
      <c r="AM10" s="2313"/>
      <c r="AN10" s="2314"/>
      <c r="AO10" s="2315"/>
      <c r="AP10" s="2316"/>
      <c r="AQ10" s="2317"/>
      <c r="AR10" s="2318"/>
      <c r="AS10" s="2371"/>
      <c r="AT10" s="2372"/>
      <c r="AU10" s="2373"/>
      <c r="AV10" s="2374"/>
      <c r="AW10" s="2375"/>
      <c r="AX10" s="2376"/>
      <c r="AY10" s="2377"/>
      <c r="AZ10" s="2378"/>
      <c r="BA10" s="2379"/>
      <c r="BB10" s="2380"/>
      <c r="BC10" s="2381"/>
      <c r="BD10" s="2382"/>
      <c r="BE10" s="2383"/>
      <c r="BF10" s="2384"/>
      <c r="BG10" s="2385"/>
      <c r="BH10" s="2386"/>
      <c r="BI10" s="2387"/>
      <c r="BJ10" s="2388"/>
      <c r="BK10" s="2389"/>
      <c r="BL10" s="2390"/>
      <c r="BM10" s="2391"/>
      <c r="BN10" s="2392"/>
      <c r="BO10" s="2393"/>
      <c r="BP10" s="2394"/>
      <c r="BQ10" s="2395"/>
      <c r="BR10" s="2396"/>
      <c r="BS10" s="2397"/>
      <c r="BT10" s="2398"/>
      <c r="BU10" s="2399"/>
      <c r="BV10" s="2400"/>
      <c r="BW10" s="2401"/>
      <c r="BX10" s="2402"/>
      <c r="BY10" s="2403"/>
      <c r="BZ10" s="2404"/>
      <c r="CA10" s="2405"/>
      <c r="CB10" s="2406"/>
      <c r="CC10" s="2407"/>
      <c r="CD10" s="2408"/>
      <c r="CE10" s="2409"/>
      <c r="CF10" s="2410"/>
      <c r="CG10" s="2411"/>
      <c r="CH10" s="2412"/>
      <c r="CI10" s="2413"/>
      <c r="CJ10" s="2414"/>
      <c r="CK10" s="2415"/>
      <c r="CL10" s="2416"/>
      <c r="CM10" s="2417"/>
      <c r="CN10" s="2418"/>
      <c r="CO10" s="2419"/>
      <c r="CP10" s="2935"/>
      <c r="CQ10" s="2936"/>
      <c r="CR10" s="2937"/>
      <c r="CS10" s="2938"/>
      <c r="CT10" s="2939"/>
      <c r="CU10" s="2940"/>
      <c r="CV10" s="2941"/>
      <c r="CW10" s="2942"/>
      <c r="CX10" s="2943"/>
      <c r="CY10" s="2944"/>
      <c r="CZ10" s="2945"/>
      <c r="DA10" s="2946"/>
      <c r="DB10" s="2947"/>
      <c r="DC10" s="2948"/>
      <c r="DD10" s="2949"/>
      <c r="DE10" s="2922"/>
      <c r="DF10" s="262"/>
      <c r="DG10" s="3280"/>
      <c r="DI10" s="437"/>
      <c r="DJ10" s="437" t="str">
        <f t="shared" si="0"/>
        <v>Добавить вид теплоносителя (параметры теплоносителя)</v>
      </c>
      <c r="DK10" s="437"/>
      <c r="DL10" s="437"/>
      <c r="DM10" s="1082">
        <v>0</v>
      </c>
    </row>
    <row r="11" spans="1:117" ht="15" hidden="1" customHeight="1">
      <c r="A11" s="1290"/>
      <c r="B11" s="1290"/>
      <c r="C11" s="1290"/>
      <c r="D11" s="1290"/>
      <c r="E11" s="3255"/>
      <c r="F11" s="3255"/>
      <c r="G11" s="3255"/>
      <c r="H11" s="3255"/>
      <c r="I11" s="3256"/>
      <c r="J11" s="1290"/>
      <c r="K11" s="1290"/>
      <c r="L11" s="1291"/>
      <c r="M11" s="474"/>
      <c r="P11" s="3258"/>
      <c r="Q11" s="1258"/>
      <c r="R11" s="293"/>
      <c r="S11" s="1205"/>
      <c r="T11" s="225" t="s">
        <v>420</v>
      </c>
      <c r="U11" s="304"/>
      <c r="V11" s="304"/>
      <c r="W11" s="304"/>
      <c r="X11" s="304"/>
      <c r="Y11" s="304"/>
      <c r="Z11" s="304"/>
      <c r="AA11" s="304"/>
      <c r="AB11" s="304"/>
      <c r="AC11" s="303"/>
      <c r="AD11" s="304"/>
      <c r="AE11" s="304"/>
      <c r="AF11" s="304"/>
      <c r="AG11" s="304"/>
      <c r="AH11" s="304"/>
      <c r="AI11" s="304"/>
      <c r="AJ11" s="304"/>
      <c r="AK11" s="303"/>
      <c r="AL11" s="2319"/>
      <c r="AM11" s="2320"/>
      <c r="AN11" s="2321"/>
      <c r="AO11" s="2322"/>
      <c r="AP11" s="2323"/>
      <c r="AQ11" s="2324"/>
      <c r="AR11" s="2325"/>
      <c r="AS11" s="2420"/>
      <c r="AT11" s="2421"/>
      <c r="AU11" s="2422"/>
      <c r="AV11" s="2423"/>
      <c r="AW11" s="2424"/>
      <c r="AX11" s="2425"/>
      <c r="AY11" s="2426"/>
      <c r="AZ11" s="2427"/>
      <c r="BA11" s="2428"/>
      <c r="BB11" s="2429"/>
      <c r="BC11" s="2430"/>
      <c r="BD11" s="2431"/>
      <c r="BE11" s="2432"/>
      <c r="BF11" s="2433"/>
      <c r="BG11" s="2434"/>
      <c r="BH11" s="2435"/>
      <c r="BI11" s="2436"/>
      <c r="BJ11" s="2437"/>
      <c r="BK11" s="2438"/>
      <c r="BL11" s="2439"/>
      <c r="BM11" s="2440"/>
      <c r="BN11" s="2441"/>
      <c r="BO11" s="2442"/>
      <c r="BP11" s="2443"/>
      <c r="BQ11" s="2444"/>
      <c r="BR11" s="2445"/>
      <c r="BS11" s="2446"/>
      <c r="BT11" s="2447"/>
      <c r="BU11" s="2448"/>
      <c r="BV11" s="2449"/>
      <c r="BW11" s="2450"/>
      <c r="BX11" s="2451"/>
      <c r="BY11" s="2452"/>
      <c r="BZ11" s="2453"/>
      <c r="CA11" s="2454"/>
      <c r="CB11" s="2455"/>
      <c r="CC11" s="2456"/>
      <c r="CD11" s="2457"/>
      <c r="CE11" s="2458"/>
      <c r="CF11" s="2459"/>
      <c r="CG11" s="2460"/>
      <c r="CH11" s="2461"/>
      <c r="CI11" s="2462"/>
      <c r="CJ11" s="2463"/>
      <c r="CK11" s="2464"/>
      <c r="CL11" s="2465"/>
      <c r="CM11" s="2466"/>
      <c r="CN11" s="2467"/>
      <c r="CO11" s="2468"/>
      <c r="CP11" s="2950"/>
      <c r="CQ11" s="2951"/>
      <c r="CR11" s="2952"/>
      <c r="CS11" s="2953"/>
      <c r="CT11" s="2954"/>
      <c r="CU11" s="2955"/>
      <c r="CV11" s="2956"/>
      <c r="CW11" s="2957"/>
      <c r="CX11" s="2958"/>
      <c r="CY11" s="2959"/>
      <c r="CZ11" s="2960"/>
      <c r="DA11" s="2961"/>
      <c r="DB11" s="2962"/>
      <c r="DC11" s="2963"/>
      <c r="DD11" s="2964"/>
      <c r="DE11" s="2923"/>
      <c r="DF11" s="304"/>
      <c r="DG11" s="241"/>
      <c r="DI11" s="437"/>
      <c r="DJ11" s="437" t="str">
        <f t="shared" si="0"/>
        <v>Добавить группу потребителей</v>
      </c>
      <c r="DK11" s="437"/>
      <c r="DL11" s="437"/>
      <c r="DM11" s="1082">
        <v>0</v>
      </c>
    </row>
    <row r="12" spans="1:117" ht="14.25" hidden="1" customHeight="1">
      <c r="A12" s="1290"/>
      <c r="B12" s="1290"/>
      <c r="C12" s="1290"/>
      <c r="D12" s="1290"/>
      <c r="E12" s="3255"/>
      <c r="F12" s="3255"/>
      <c r="G12" s="3255"/>
      <c r="H12" s="3254"/>
      <c r="I12" s="1290"/>
      <c r="J12" s="1290"/>
      <c r="K12" s="1290"/>
      <c r="L12" s="1291"/>
      <c r="M12" s="1292"/>
      <c r="N12" s="1292"/>
      <c r="O12" s="474"/>
      <c r="P12" s="297"/>
      <c r="Q12" s="312"/>
      <c r="R12" s="292"/>
      <c r="S12" s="1205"/>
      <c r="T12" s="302" t="s">
        <v>421</v>
      </c>
      <c r="U12" s="304"/>
      <c r="V12" s="304"/>
      <c r="W12" s="304"/>
      <c r="X12" s="304"/>
      <c r="Y12" s="304"/>
      <c r="Z12" s="304"/>
      <c r="AA12" s="304"/>
      <c r="AB12" s="304"/>
      <c r="AC12" s="303"/>
      <c r="AD12" s="304"/>
      <c r="AE12" s="304"/>
      <c r="AF12" s="304"/>
      <c r="AG12" s="304"/>
      <c r="AH12" s="304"/>
      <c r="AI12" s="304"/>
      <c r="AJ12" s="304"/>
      <c r="AK12" s="303"/>
      <c r="AL12" s="2326"/>
      <c r="AM12" s="2327"/>
      <c r="AN12" s="2328"/>
      <c r="AO12" s="2329"/>
      <c r="AP12" s="2330"/>
      <c r="AQ12" s="2331"/>
      <c r="AR12" s="2332"/>
      <c r="AS12" s="2469"/>
      <c r="AT12" s="2470"/>
      <c r="AU12" s="2471"/>
      <c r="AV12" s="2472"/>
      <c r="AW12" s="2473"/>
      <c r="AX12" s="2474"/>
      <c r="AY12" s="2475"/>
      <c r="AZ12" s="2476"/>
      <c r="BA12" s="2477"/>
      <c r="BB12" s="2478"/>
      <c r="BC12" s="2479"/>
      <c r="BD12" s="2480"/>
      <c r="BE12" s="2481"/>
      <c r="BF12" s="2482"/>
      <c r="BG12" s="2483"/>
      <c r="BH12" s="2484"/>
      <c r="BI12" s="2485"/>
      <c r="BJ12" s="2486"/>
      <c r="BK12" s="2487"/>
      <c r="BL12" s="2488"/>
      <c r="BM12" s="2489"/>
      <c r="BN12" s="2490"/>
      <c r="BO12" s="2491"/>
      <c r="BP12" s="2492"/>
      <c r="BQ12" s="2493"/>
      <c r="BR12" s="2494"/>
      <c r="BS12" s="2495"/>
      <c r="BT12" s="2496"/>
      <c r="BU12" s="2497"/>
      <c r="BV12" s="2498"/>
      <c r="BW12" s="2499"/>
      <c r="BX12" s="2500"/>
      <c r="BY12" s="2501"/>
      <c r="BZ12" s="2502"/>
      <c r="CA12" s="2503"/>
      <c r="CB12" s="2504"/>
      <c r="CC12" s="2505"/>
      <c r="CD12" s="2506"/>
      <c r="CE12" s="2507"/>
      <c r="CF12" s="2508"/>
      <c r="CG12" s="2509"/>
      <c r="CH12" s="2510"/>
      <c r="CI12" s="2511"/>
      <c r="CJ12" s="2512"/>
      <c r="CK12" s="2513"/>
      <c r="CL12" s="2514"/>
      <c r="CM12" s="2515"/>
      <c r="CN12" s="2516"/>
      <c r="CO12" s="2517"/>
      <c r="CP12" s="2965"/>
      <c r="CQ12" s="2966"/>
      <c r="CR12" s="2967"/>
      <c r="CS12" s="2968"/>
      <c r="CT12" s="2969"/>
      <c r="CU12" s="2970"/>
      <c r="CV12" s="2971"/>
      <c r="CW12" s="2972"/>
      <c r="CX12" s="2973"/>
      <c r="CY12" s="2974"/>
      <c r="CZ12" s="2975"/>
      <c r="DA12" s="2976"/>
      <c r="DB12" s="2977"/>
      <c r="DC12" s="2978"/>
      <c r="DD12" s="2979"/>
      <c r="DE12" s="2924"/>
      <c r="DF12" s="304"/>
      <c r="DG12" s="241"/>
      <c r="DI12" s="437"/>
      <c r="DJ12" s="437" t="str">
        <f t="shared" si="0"/>
        <v>Добавить схему подключения</v>
      </c>
      <c r="DK12" s="437"/>
      <c r="DL12" s="437"/>
      <c r="DM12" s="1082">
        <v>0</v>
      </c>
    </row>
    <row r="13" spans="1:117" s="1569" customFormat="1" ht="0.75" hidden="1" customHeight="1">
      <c r="A13" s="1241"/>
      <c r="B13" s="1241"/>
      <c r="C13" s="1241"/>
      <c r="D13" s="1241"/>
      <c r="E13" s="3255"/>
      <c r="F13" s="3255"/>
      <c r="G13" s="3254"/>
      <c r="H13" s="1241"/>
      <c r="I13" s="1241"/>
      <c r="J13" s="1241"/>
      <c r="K13" s="1241"/>
      <c r="L13" s="1266"/>
      <c r="M13" s="1242"/>
      <c r="N13" s="1242"/>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c r="CB13" s="1247"/>
      <c r="CC13" s="1247"/>
      <c r="CD13" s="1247"/>
      <c r="CE13" s="1247"/>
      <c r="CF13" s="1247"/>
      <c r="CG13" s="1247"/>
      <c r="CH13" s="1247"/>
      <c r="CI13" s="1247"/>
      <c r="CJ13" s="1247"/>
      <c r="CK13" s="1247"/>
      <c r="CL13" s="1247"/>
      <c r="CM13" s="1247"/>
      <c r="CN13" s="1247"/>
      <c r="CO13" s="1247"/>
      <c r="CP13" s="1247"/>
      <c r="CQ13" s="1247"/>
      <c r="CR13" s="1247"/>
      <c r="CS13" s="1247"/>
      <c r="CT13" s="1247"/>
      <c r="CU13" s="1247"/>
      <c r="CV13" s="1247"/>
      <c r="CW13" s="1247"/>
      <c r="CX13" s="1247"/>
      <c r="CY13" s="1247"/>
      <c r="CZ13" s="1247"/>
      <c r="DA13" s="1247"/>
      <c r="DB13" s="1247"/>
      <c r="DC13" s="1247"/>
      <c r="DD13" s="1247"/>
      <c r="DE13" s="1247"/>
      <c r="DF13" s="1247"/>
      <c r="DG13" s="1247"/>
      <c r="DI13" s="720"/>
      <c r="DJ13" s="720" t="str">
        <f t="shared" si="0"/>
        <v>Добавить источник для дифференциации</v>
      </c>
      <c r="DK13" s="720"/>
      <c r="DL13" s="720"/>
      <c r="DM13" s="455">
        <v>0</v>
      </c>
    </row>
    <row r="14" spans="1:117" s="1569" customFormat="1" ht="0.75" hidden="1" customHeight="1">
      <c r="A14" s="1241"/>
      <c r="B14" s="1241"/>
      <c r="C14" s="1241"/>
      <c r="D14" s="1241"/>
      <c r="E14" s="3255"/>
      <c r="F14" s="3254"/>
      <c r="G14" s="1241"/>
      <c r="H14" s="1241"/>
      <c r="I14" s="1241"/>
      <c r="J14" s="1241"/>
      <c r="K14" s="1241"/>
      <c r="L14" s="1266"/>
      <c r="M14" s="1248"/>
      <c r="N14" s="1248"/>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c r="DF14" s="1251"/>
      <c r="DG14" s="1251"/>
      <c r="DI14" s="720"/>
      <c r="DJ14" s="720" t="str">
        <f t="shared" si="0"/>
        <v>Добавить централизованную систему для дифференциации</v>
      </c>
      <c r="DK14" s="720"/>
      <c r="DL14" s="720"/>
      <c r="DM14" s="455">
        <v>0</v>
      </c>
    </row>
    <row r="15" spans="1:117" s="1569" customFormat="1" ht="0.75" hidden="1" customHeight="1">
      <c r="A15" s="1241"/>
      <c r="B15" s="1241"/>
      <c r="C15" s="1241"/>
      <c r="D15" s="1241"/>
      <c r="E15" s="3254"/>
      <c r="F15" s="1241"/>
      <c r="G15" s="1241"/>
      <c r="H15" s="1241"/>
      <c r="I15" s="1241"/>
      <c r="J15" s="1241"/>
      <c r="K15" s="1241"/>
      <c r="L15" s="1266"/>
      <c r="M15" s="1248"/>
      <c r="N15" s="1248"/>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c r="DF15" s="1251"/>
      <c r="DG15" s="1251"/>
      <c r="DI15" s="720"/>
      <c r="DJ15" s="720" t="str">
        <f t="shared" si="0"/>
        <v>Добавить территорию для дифференциации</v>
      </c>
      <c r="DK15" s="720"/>
      <c r="DL15" s="720"/>
      <c r="DM15" s="455">
        <v>0</v>
      </c>
    </row>
    <row r="16" spans="1:117" ht="14.25" hidden="1" customHeight="1">
      <c r="AC16" s="265"/>
      <c r="AK16" s="265"/>
      <c r="AL16" s="1562"/>
      <c r="AM16" s="1562"/>
      <c r="AN16" s="1562"/>
      <c r="AO16" s="1562"/>
      <c r="AP16" s="1562"/>
      <c r="AQ16" s="1562"/>
      <c r="AR16" s="1562"/>
      <c r="AS16" s="2355"/>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1562"/>
      <c r="BY16" s="1562"/>
      <c r="BZ16" s="1562"/>
      <c r="CA16" s="1562"/>
      <c r="CB16" s="1562"/>
      <c r="CC16" s="1562"/>
      <c r="CD16" s="1562"/>
      <c r="CE16" s="1562"/>
      <c r="CF16" s="1562"/>
      <c r="CG16" s="1562"/>
      <c r="CH16" s="1562"/>
      <c r="CI16" s="1562"/>
      <c r="CJ16" s="1562"/>
      <c r="CK16" s="1562"/>
      <c r="CL16" s="1562"/>
      <c r="CM16" s="1562"/>
      <c r="CN16" s="1562"/>
      <c r="CO16" s="1562"/>
      <c r="CP16" s="2355"/>
      <c r="CQ16" s="2355"/>
      <c r="CR16" s="2355"/>
      <c r="CS16" s="2355"/>
      <c r="CT16" s="2355"/>
      <c r="CU16" s="2355"/>
      <c r="CV16" s="2355"/>
      <c r="CW16" s="2355"/>
      <c r="CX16" s="2355"/>
      <c r="CY16" s="2355"/>
      <c r="CZ16" s="2355"/>
      <c r="DA16" s="2355"/>
      <c r="DB16" s="2355"/>
      <c r="DC16" s="2355"/>
      <c r="DD16" s="2355"/>
      <c r="DE16" s="2355"/>
      <c r="DM16" s="1082">
        <v>0</v>
      </c>
    </row>
    <row r="17" spans="1:117" ht="14.25" hidden="1" customHeight="1">
      <c r="AD17" s="1287"/>
      <c r="AE17" s="1287"/>
      <c r="AF17" s="1287"/>
      <c r="AG17" s="1288"/>
      <c r="AH17" s="3251"/>
      <c r="AI17" s="3250" t="s">
        <v>67</v>
      </c>
      <c r="AJ17" s="3251"/>
      <c r="AK17" s="3250" t="s">
        <v>67</v>
      </c>
      <c r="AL17" s="1562"/>
      <c r="AM17" s="1562"/>
      <c r="AN17" s="1562"/>
      <c r="AO17" s="1562"/>
      <c r="AP17" s="1562"/>
      <c r="AQ17" s="1562"/>
      <c r="AR17" s="1562"/>
      <c r="AS17" s="2355"/>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1562"/>
      <c r="BY17" s="1562"/>
      <c r="BZ17" s="1562"/>
      <c r="CA17" s="1562"/>
      <c r="CB17" s="1562"/>
      <c r="CC17" s="1562"/>
      <c r="CD17" s="1562"/>
      <c r="CE17" s="1562"/>
      <c r="CF17" s="1562"/>
      <c r="CG17" s="1562"/>
      <c r="CH17" s="1562"/>
      <c r="CI17" s="1562"/>
      <c r="CJ17" s="1562"/>
      <c r="CK17" s="1562"/>
      <c r="CL17" s="1562"/>
      <c r="CM17" s="1562"/>
      <c r="CN17" s="1562"/>
      <c r="CO17" s="1562"/>
      <c r="CP17" s="2355"/>
      <c r="CQ17" s="2355"/>
      <c r="CR17" s="2355"/>
      <c r="CS17" s="2355"/>
      <c r="CT17" s="2355"/>
      <c r="CU17" s="2355"/>
      <c r="CV17" s="2355"/>
      <c r="CW17" s="2355"/>
      <c r="CX17" s="2355"/>
      <c r="CY17" s="2355"/>
      <c r="CZ17" s="2355"/>
      <c r="DA17" s="2355"/>
      <c r="DB17" s="2355"/>
      <c r="DC17" s="2355"/>
      <c r="DD17" s="2355"/>
      <c r="DE17" s="2355"/>
      <c r="DM17" s="1082">
        <v>0</v>
      </c>
    </row>
    <row r="18" spans="1:117" ht="14.25" hidden="1" customHeight="1">
      <c r="AD18" s="1287"/>
      <c r="AE18" s="1287"/>
      <c r="AF18" s="1287"/>
      <c r="AG18" s="266" t="str">
        <f>AH17&amp;"-"&amp;AJ17</f>
        <v>-</v>
      </c>
      <c r="AH18" s="3250"/>
      <c r="AI18" s="3250"/>
      <c r="AJ18" s="3250"/>
      <c r="AK18" s="3250"/>
      <c r="AL18" s="1562"/>
      <c r="AM18" s="1562"/>
      <c r="AN18" s="1562"/>
      <c r="AO18" s="1562"/>
      <c r="AP18" s="1562"/>
      <c r="AQ18" s="1562"/>
      <c r="AR18" s="1562"/>
      <c r="AS18" s="2355"/>
      <c r="AT18" s="1562"/>
      <c r="AU18" s="1562"/>
      <c r="AV18" s="1562"/>
      <c r="AW18" s="1562"/>
      <c r="AX18" s="1562"/>
      <c r="AY18" s="1562"/>
      <c r="AZ18" s="1562"/>
      <c r="BA18" s="1562"/>
      <c r="BB18" s="1562"/>
      <c r="BC18" s="1562"/>
      <c r="BD18" s="1562"/>
      <c r="BE18" s="1562"/>
      <c r="BF18" s="1562"/>
      <c r="BG18" s="1562"/>
      <c r="BH18" s="1562"/>
      <c r="BI18" s="1562"/>
      <c r="BJ18" s="1562"/>
      <c r="BK18" s="1562"/>
      <c r="BL18" s="1562"/>
      <c r="BM18" s="1562"/>
      <c r="BN18" s="1562"/>
      <c r="BO18" s="1562"/>
      <c r="BP18" s="1562"/>
      <c r="BQ18" s="1562"/>
      <c r="BR18" s="1562"/>
      <c r="BS18" s="1562"/>
      <c r="BT18" s="1562"/>
      <c r="BU18" s="1562"/>
      <c r="BV18" s="1562"/>
      <c r="BW18" s="1562"/>
      <c r="BX18" s="1562"/>
      <c r="BY18" s="1562"/>
      <c r="BZ18" s="1562"/>
      <c r="CA18" s="1562"/>
      <c r="CB18" s="1562"/>
      <c r="CC18" s="1562"/>
      <c r="CD18" s="1562"/>
      <c r="CE18" s="1562"/>
      <c r="CF18" s="1562"/>
      <c r="CG18" s="1562"/>
      <c r="CH18" s="1562"/>
      <c r="CI18" s="1562"/>
      <c r="CJ18" s="1562"/>
      <c r="CK18" s="1562"/>
      <c r="CL18" s="1562"/>
      <c r="CM18" s="1562"/>
      <c r="CN18" s="1562"/>
      <c r="CO18" s="1562"/>
      <c r="CP18" s="2355"/>
      <c r="CQ18" s="2355"/>
      <c r="CR18" s="2355"/>
      <c r="CS18" s="2355"/>
      <c r="CT18" s="2355"/>
      <c r="CU18" s="2355"/>
      <c r="CV18" s="2355"/>
      <c r="CW18" s="2355"/>
      <c r="CX18" s="2355"/>
      <c r="CY18" s="2355"/>
      <c r="CZ18" s="2355"/>
      <c r="DA18" s="2355"/>
      <c r="DB18" s="2355"/>
      <c r="DC18" s="2355"/>
      <c r="DD18" s="2355"/>
      <c r="DE18" s="2355"/>
      <c r="DM18" s="1082">
        <v>0</v>
      </c>
    </row>
    <row r="19" spans="1:117" ht="14.25" hidden="1" customHeight="1">
      <c r="AK19" s="265"/>
      <c r="AL19" s="1562"/>
      <c r="AM19" s="1562"/>
      <c r="AN19" s="1562"/>
      <c r="AO19" s="1562"/>
      <c r="AP19" s="1562"/>
      <c r="AQ19" s="1562"/>
      <c r="AR19" s="1562"/>
      <c r="AS19" s="2355"/>
      <c r="AT19" s="1562"/>
      <c r="AU19" s="1562"/>
      <c r="AV19" s="1562"/>
      <c r="AW19" s="1562"/>
      <c r="AX19" s="1562"/>
      <c r="AY19" s="1562"/>
      <c r="AZ19" s="1562"/>
      <c r="BA19" s="1562"/>
      <c r="BB19" s="1562"/>
      <c r="BC19" s="1562"/>
      <c r="BD19" s="1562"/>
      <c r="BE19" s="1562"/>
      <c r="BF19" s="1562"/>
      <c r="BG19" s="1562"/>
      <c r="BH19" s="1562"/>
      <c r="BI19" s="1562"/>
      <c r="BJ19" s="1562"/>
      <c r="BK19" s="1562"/>
      <c r="BL19" s="1562"/>
      <c r="BM19" s="1562"/>
      <c r="BN19" s="1562"/>
      <c r="BO19" s="1562"/>
      <c r="BP19" s="1562"/>
      <c r="BQ19" s="1562"/>
      <c r="BR19" s="1562"/>
      <c r="BS19" s="1562"/>
      <c r="BT19" s="1562"/>
      <c r="BU19" s="1562"/>
      <c r="BV19" s="1562"/>
      <c r="BW19" s="1562"/>
      <c r="BX19" s="1562"/>
      <c r="BY19" s="1562"/>
      <c r="BZ19" s="1562"/>
      <c r="CA19" s="1562"/>
      <c r="CB19" s="1562"/>
      <c r="CC19" s="1562"/>
      <c r="CD19" s="1562"/>
      <c r="CE19" s="1562"/>
      <c r="CF19" s="1562"/>
      <c r="CG19" s="1562"/>
      <c r="CH19" s="1562"/>
      <c r="CI19" s="1562"/>
      <c r="CJ19" s="1562"/>
      <c r="CK19" s="1562"/>
      <c r="CL19" s="1562"/>
      <c r="CM19" s="1562"/>
      <c r="CN19" s="1562"/>
      <c r="CO19" s="1562"/>
      <c r="CP19" s="2355"/>
      <c r="CQ19" s="2355"/>
      <c r="CR19" s="2355"/>
      <c r="CS19" s="2355"/>
      <c r="CT19" s="2355"/>
      <c r="CU19" s="2355"/>
      <c r="CV19" s="2355"/>
      <c r="CW19" s="2355"/>
      <c r="CX19" s="2355"/>
      <c r="CY19" s="2355"/>
      <c r="CZ19" s="2355"/>
      <c r="DA19" s="2355"/>
      <c r="DB19" s="2355"/>
      <c r="DC19" s="2355"/>
      <c r="DD19" s="2355"/>
      <c r="DE19" s="2355"/>
      <c r="DM19" s="1082">
        <v>0</v>
      </c>
    </row>
    <row r="20" spans="1:117" s="1293" customFormat="1" ht="22.5" hidden="1" customHeight="1">
      <c r="L20" s="1256"/>
      <c r="M20" s="1289"/>
      <c r="N20" s="1289"/>
      <c r="O20" s="1294" t="s">
        <v>422</v>
      </c>
      <c r="P20" s="1289"/>
      <c r="Q20" s="1298"/>
      <c r="R20" s="1298"/>
      <c r="S20" s="666"/>
      <c r="Z20" s="1294"/>
      <c r="AB20" s="1294"/>
      <c r="AH20" s="1294"/>
      <c r="AJ20" s="1294"/>
      <c r="AP20" s="1294"/>
      <c r="AR20" s="1294"/>
      <c r="AS20" s="2361"/>
      <c r="AX20" s="1294"/>
      <c r="AZ20" s="1294"/>
      <c r="BF20" s="1294"/>
      <c r="BH20" s="1294"/>
      <c r="BN20" s="1294"/>
      <c r="BP20" s="1294"/>
      <c r="BV20" s="1294"/>
      <c r="BX20" s="1294"/>
      <c r="CD20" s="1294"/>
      <c r="CF20" s="1294"/>
      <c r="CL20" s="1294"/>
      <c r="CN20" s="1294"/>
      <c r="CP20" s="2361"/>
      <c r="CQ20" s="2361"/>
      <c r="CR20" s="2361"/>
      <c r="CS20" s="2361"/>
      <c r="CT20" s="2980"/>
      <c r="CU20" s="2361"/>
      <c r="CV20" s="2980"/>
      <c r="CW20" s="2361"/>
      <c r="CX20" s="2361"/>
      <c r="CY20" s="2361"/>
      <c r="CZ20" s="2361"/>
      <c r="DA20" s="2361"/>
      <c r="DB20" s="2980"/>
      <c r="DC20" s="2361"/>
      <c r="DD20" s="2980"/>
      <c r="DE20" s="2361"/>
      <c r="DH20" s="448"/>
      <c r="DI20" s="448"/>
      <c r="DJ20" s="448"/>
      <c r="DK20" s="448"/>
      <c r="DL20" s="448"/>
      <c r="DM20" s="1087">
        <v>0</v>
      </c>
    </row>
    <row r="21" spans="1:117" s="1293" customFormat="1" ht="14.25" hidden="1" customHeight="1">
      <c r="L21" s="1256"/>
      <c r="M21" s="1289"/>
      <c r="N21" s="1289"/>
      <c r="O21" s="1289"/>
      <c r="P21" s="1289"/>
      <c r="Q21" s="1298"/>
      <c r="R21" s="1298"/>
      <c r="S21" s="666"/>
      <c r="AS21" s="2361"/>
      <c r="CP21" s="2361"/>
      <c r="CQ21" s="2361"/>
      <c r="CR21" s="2361"/>
      <c r="CS21" s="2361"/>
      <c r="CT21" s="2361"/>
      <c r="CU21" s="2361"/>
      <c r="CV21" s="2361"/>
      <c r="CW21" s="2361"/>
      <c r="CX21" s="2361"/>
      <c r="CY21" s="2361"/>
      <c r="CZ21" s="2361"/>
      <c r="DA21" s="2361"/>
      <c r="DB21" s="2361"/>
      <c r="DC21" s="2361"/>
      <c r="DD21" s="2361"/>
      <c r="DE21" s="2361"/>
      <c r="DH21" s="448"/>
      <c r="DI21" s="448"/>
      <c r="DJ21" s="448"/>
      <c r="DK21" s="448"/>
      <c r="DL21" s="448"/>
      <c r="DM21" s="1087">
        <v>0</v>
      </c>
    </row>
    <row r="22" spans="1:117"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Q22" s="1297" t="s">
        <v>425</v>
      </c>
      <c r="AS22" s="2362" t="s">
        <v>426</v>
      </c>
      <c r="AY22" s="1297" t="s">
        <v>425</v>
      </c>
      <c r="BA22" s="1297" t="s">
        <v>426</v>
      </c>
      <c r="BG22" s="1297" t="s">
        <v>425</v>
      </c>
      <c r="BI22" s="1297" t="s">
        <v>426</v>
      </c>
      <c r="BO22" s="1297" t="s">
        <v>425</v>
      </c>
      <c r="BQ22" s="1297" t="s">
        <v>426</v>
      </c>
      <c r="BW22" s="1297" t="s">
        <v>425</v>
      </c>
      <c r="BY22" s="1297" t="s">
        <v>426</v>
      </c>
      <c r="CE22" s="1297" t="s">
        <v>425</v>
      </c>
      <c r="CG22" s="1297" t="s">
        <v>426</v>
      </c>
      <c r="CM22" s="1297" t="s">
        <v>425</v>
      </c>
      <c r="CO22" s="1297" t="s">
        <v>426</v>
      </c>
      <c r="CP22" s="2361"/>
      <c r="CQ22" s="2361"/>
      <c r="CR22" s="2361"/>
      <c r="CS22" s="2361"/>
      <c r="CT22" s="2361"/>
      <c r="CU22" s="2362" t="s">
        <v>425</v>
      </c>
      <c r="CV22" s="2361"/>
      <c r="CW22" s="2362" t="s">
        <v>426</v>
      </c>
      <c r="CX22" s="2361"/>
      <c r="CY22" s="2361"/>
      <c r="CZ22" s="2361"/>
      <c r="DA22" s="2361"/>
      <c r="DB22" s="2361"/>
      <c r="DC22" s="2362" t="s">
        <v>425</v>
      </c>
      <c r="DD22" s="2361"/>
      <c r="DE22" s="2362" t="s">
        <v>426</v>
      </c>
      <c r="DH22" s="448"/>
      <c r="DI22" s="448"/>
      <c r="DJ22" s="448"/>
      <c r="DK22" s="448"/>
      <c r="DL22" s="448"/>
      <c r="DM22" s="1087">
        <v>0</v>
      </c>
    </row>
    <row r="23" spans="1:117" ht="14.25" hidden="1" customHeight="1">
      <c r="O23" s="1291"/>
      <c r="AL23" s="1562"/>
      <c r="AM23" s="1562"/>
      <c r="AN23" s="1562"/>
      <c r="AO23" s="1562"/>
      <c r="AP23" s="1562"/>
      <c r="AQ23" s="1562"/>
      <c r="AR23" s="1562"/>
      <c r="AS23" s="2355"/>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1562"/>
      <c r="BY23" s="1562"/>
      <c r="BZ23" s="1562"/>
      <c r="CA23" s="1562"/>
      <c r="CB23" s="1562"/>
      <c r="CC23" s="1562"/>
      <c r="CD23" s="1562"/>
      <c r="CE23" s="1562"/>
      <c r="CF23" s="1562"/>
      <c r="CG23" s="1562"/>
      <c r="CH23" s="1562"/>
      <c r="CI23" s="1562"/>
      <c r="CJ23" s="1562"/>
      <c r="CK23" s="1562"/>
      <c r="CL23" s="1562"/>
      <c r="CM23" s="1562"/>
      <c r="CN23" s="1562"/>
      <c r="CO23" s="1562"/>
      <c r="CP23" s="2355"/>
      <c r="CQ23" s="2355"/>
      <c r="CR23" s="2355"/>
      <c r="CS23" s="2355"/>
      <c r="CT23" s="2355"/>
      <c r="CU23" s="2355"/>
      <c r="CV23" s="2355"/>
      <c r="CW23" s="2355"/>
      <c r="CX23" s="2355"/>
      <c r="CY23" s="2355"/>
      <c r="CZ23" s="2355"/>
      <c r="DA23" s="2355"/>
      <c r="DB23" s="2355"/>
      <c r="DC23" s="2355"/>
      <c r="DD23" s="2355"/>
      <c r="DE23" s="2355"/>
      <c r="DM23" s="1082">
        <v>0</v>
      </c>
    </row>
    <row r="24" spans="1:117" ht="14.25" hidden="1" customHeight="1">
      <c r="O24" s="1291"/>
      <c r="AL24" s="1562"/>
      <c r="AM24" s="1562"/>
      <c r="AN24" s="1562"/>
      <c r="AO24" s="1562"/>
      <c r="AP24" s="1562"/>
      <c r="AQ24" s="1562"/>
      <c r="AR24" s="1562"/>
      <c r="AS24" s="2355"/>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2"/>
      <c r="BQ24" s="1562"/>
      <c r="BR24" s="1562"/>
      <c r="BS24" s="1562"/>
      <c r="BT24" s="1562"/>
      <c r="BU24" s="1562"/>
      <c r="BV24" s="1562"/>
      <c r="BW24" s="1562"/>
      <c r="BX24" s="1562"/>
      <c r="BY24" s="1562"/>
      <c r="BZ24" s="1562"/>
      <c r="CA24" s="1562"/>
      <c r="CB24" s="1562"/>
      <c r="CC24" s="1562"/>
      <c r="CD24" s="1562"/>
      <c r="CE24" s="1562"/>
      <c r="CF24" s="1562"/>
      <c r="CG24" s="1562"/>
      <c r="CH24" s="1562"/>
      <c r="CI24" s="1562"/>
      <c r="CJ24" s="1562"/>
      <c r="CK24" s="1562"/>
      <c r="CL24" s="1562"/>
      <c r="CM24" s="1562"/>
      <c r="CN24" s="1562"/>
      <c r="CO24" s="1562"/>
      <c r="CP24" s="2355"/>
      <c r="CQ24" s="2355"/>
      <c r="CR24" s="2355"/>
      <c r="CS24" s="2355"/>
      <c r="CT24" s="2355"/>
      <c r="CU24" s="2355"/>
      <c r="CV24" s="2355"/>
      <c r="CW24" s="2355"/>
      <c r="CX24" s="2355"/>
      <c r="CY24" s="2355"/>
      <c r="CZ24" s="2355"/>
      <c r="DA24" s="2355"/>
      <c r="DB24" s="2355"/>
      <c r="DC24" s="2355"/>
      <c r="DD24" s="2355"/>
      <c r="DE24" s="2355"/>
      <c r="DM24" s="1082">
        <v>0</v>
      </c>
    </row>
    <row r="25" spans="1:117"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2355"/>
      <c r="AT25" s="1562"/>
      <c r="AU25" s="1562"/>
      <c r="AV25" s="1562"/>
      <c r="AW25" s="1562"/>
      <c r="AX25" s="1562"/>
      <c r="AY25" s="1562"/>
      <c r="AZ25" s="1562"/>
      <c r="BA25" s="1562"/>
      <c r="BB25" s="1562"/>
      <c r="BC25" s="1562"/>
      <c r="BD25" s="1562"/>
      <c r="BE25" s="1562"/>
      <c r="BF25" s="1562"/>
      <c r="BG25" s="1562"/>
      <c r="BH25" s="1562"/>
      <c r="BI25" s="1562"/>
      <c r="BJ25" s="1562"/>
      <c r="BK25" s="1562"/>
      <c r="BL25" s="1562"/>
      <c r="BM25" s="1562"/>
      <c r="BN25" s="1562"/>
      <c r="BO25" s="1562"/>
      <c r="BP25" s="1562"/>
      <c r="BQ25" s="1562"/>
      <c r="BR25" s="1562"/>
      <c r="BS25" s="1562"/>
      <c r="BT25" s="1562"/>
      <c r="BU25" s="1562"/>
      <c r="BV25" s="1562"/>
      <c r="BW25" s="1562"/>
      <c r="BX25" s="1562"/>
      <c r="BY25" s="1562"/>
      <c r="BZ25" s="1562"/>
      <c r="CA25" s="1562"/>
      <c r="CB25" s="1562"/>
      <c r="CC25" s="1562"/>
      <c r="CD25" s="1562"/>
      <c r="CE25" s="1562"/>
      <c r="CF25" s="1562"/>
      <c r="CG25" s="1562"/>
      <c r="CH25" s="1562"/>
      <c r="CI25" s="1562"/>
      <c r="CJ25" s="1562"/>
      <c r="CK25" s="1562"/>
      <c r="CL25" s="1562"/>
      <c r="CM25" s="1562"/>
      <c r="CN25" s="1562"/>
      <c r="CO25" s="1562"/>
      <c r="CP25" s="2355"/>
      <c r="CQ25" s="2355"/>
      <c r="CR25" s="2355"/>
      <c r="CS25" s="2355"/>
      <c r="CT25" s="2355"/>
      <c r="CU25" s="2355"/>
      <c r="CV25" s="2355"/>
      <c r="CW25" s="2355"/>
      <c r="CX25" s="2355"/>
      <c r="CY25" s="2355"/>
      <c r="CZ25" s="2355"/>
      <c r="DA25" s="2355"/>
      <c r="DB25" s="2355"/>
      <c r="DC25" s="2355"/>
      <c r="DD25" s="2355"/>
      <c r="DE25" s="2355"/>
      <c r="DM25" s="1082">
        <v>14</v>
      </c>
    </row>
    <row r="26" spans="1:117" ht="14.65" customHeight="1">
      <c r="Q26" s="313"/>
      <c r="R26" s="313"/>
      <c r="S26" s="3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2"/>
      <c r="U26" s="3232"/>
      <c r="V26" s="3232"/>
      <c r="W26" s="3232"/>
      <c r="X26" s="3232"/>
      <c r="Y26" s="3232"/>
      <c r="Z26" s="3232"/>
      <c r="AA26" s="3232"/>
      <c r="AB26" s="3232"/>
      <c r="AC26" s="3232"/>
      <c r="AD26" s="3232"/>
      <c r="AE26" s="3232"/>
      <c r="AF26" s="3232"/>
      <c r="AG26" s="3232"/>
      <c r="AH26" s="3232"/>
      <c r="AI26" s="3232"/>
      <c r="AJ26" s="3232"/>
      <c r="AK26" s="1170"/>
      <c r="AL26" s="2007"/>
      <c r="AM26" s="2007"/>
      <c r="AN26" s="2007"/>
      <c r="AO26" s="2007"/>
      <c r="AP26" s="2007"/>
      <c r="AQ26" s="2007"/>
      <c r="AR26" s="2007"/>
      <c r="AS26" s="2363"/>
      <c r="AT26" s="2007"/>
      <c r="AU26" s="2007"/>
      <c r="AV26" s="2007"/>
      <c r="AW26" s="2007"/>
      <c r="AX26" s="2007"/>
      <c r="AY26" s="2007"/>
      <c r="AZ26" s="2007"/>
      <c r="BA26" s="2007"/>
      <c r="BB26" s="2007"/>
      <c r="BC26" s="2007"/>
      <c r="BD26" s="2007"/>
      <c r="BE26" s="2007"/>
      <c r="BF26" s="2007"/>
      <c r="BG26" s="2007"/>
      <c r="BH26" s="2007"/>
      <c r="BI26" s="2007"/>
      <c r="BJ26" s="2007"/>
      <c r="BK26" s="2007"/>
      <c r="BL26" s="2007"/>
      <c r="BM26" s="2007"/>
      <c r="BN26" s="2007"/>
      <c r="BO26" s="2007"/>
      <c r="BP26" s="2007"/>
      <c r="BQ26" s="2007"/>
      <c r="BR26" s="2007"/>
      <c r="BS26" s="2007"/>
      <c r="BT26" s="2007"/>
      <c r="BU26" s="2007"/>
      <c r="BV26" s="2007"/>
      <c r="BW26" s="2007"/>
      <c r="BX26" s="2007"/>
      <c r="BY26" s="2007"/>
      <c r="BZ26" s="2007"/>
      <c r="CA26" s="2007"/>
      <c r="CB26" s="2007"/>
      <c r="CC26" s="2007"/>
      <c r="CD26" s="2007"/>
      <c r="CE26" s="2007"/>
      <c r="CF26" s="2007"/>
      <c r="CG26" s="2007"/>
      <c r="CH26" s="2007"/>
      <c r="CI26" s="2007"/>
      <c r="CJ26" s="2007"/>
      <c r="CK26" s="2007"/>
      <c r="CL26" s="2007"/>
      <c r="CM26" s="2007"/>
      <c r="CN26" s="2007"/>
      <c r="CO26" s="2007"/>
      <c r="CP26" s="2363"/>
      <c r="CQ26" s="2363"/>
      <c r="CR26" s="2363"/>
      <c r="CS26" s="2363"/>
      <c r="CT26" s="2363"/>
      <c r="CU26" s="2363"/>
      <c r="CV26" s="2363"/>
      <c r="CW26" s="2363"/>
      <c r="CX26" s="2363"/>
      <c r="CY26" s="2363"/>
      <c r="CZ26" s="2363"/>
      <c r="DA26" s="2363"/>
      <c r="DB26" s="2363"/>
      <c r="DC26" s="2363"/>
      <c r="DD26" s="2363"/>
      <c r="DE26" s="2363"/>
      <c r="DM26" s="1082">
        <v>14</v>
      </c>
    </row>
    <row r="27" spans="1:117"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L27" s="2008"/>
      <c r="AM27" s="2008"/>
      <c r="AN27" s="2008"/>
      <c r="AO27" s="2008"/>
      <c r="AP27" s="2008"/>
      <c r="AQ27" s="2008"/>
      <c r="AR27" s="2008"/>
      <c r="AS27" s="2364"/>
      <c r="AT27" s="2008"/>
      <c r="AU27" s="2008"/>
      <c r="AV27" s="2008"/>
      <c r="AW27" s="2008"/>
      <c r="AX27" s="2008"/>
      <c r="AY27" s="2008"/>
      <c r="AZ27" s="2008"/>
      <c r="BA27" s="2008"/>
      <c r="BB27" s="2008"/>
      <c r="BC27" s="2008"/>
      <c r="BD27" s="2008"/>
      <c r="BE27" s="2008"/>
      <c r="BF27" s="2008"/>
      <c r="BG27" s="2008"/>
      <c r="BH27" s="2008"/>
      <c r="BI27" s="2008"/>
      <c r="BJ27" s="2008"/>
      <c r="BK27" s="2008"/>
      <c r="BL27" s="2008"/>
      <c r="BM27" s="2008"/>
      <c r="BN27" s="2008"/>
      <c r="BO27" s="2008"/>
      <c r="BP27" s="2008"/>
      <c r="BQ27" s="2008"/>
      <c r="BR27" s="2008"/>
      <c r="BS27" s="2008"/>
      <c r="BT27" s="2008"/>
      <c r="BU27" s="2008"/>
      <c r="BV27" s="2008"/>
      <c r="BW27" s="2008"/>
      <c r="BX27" s="2008"/>
      <c r="BY27" s="2008"/>
      <c r="BZ27" s="2008"/>
      <c r="CA27" s="2008"/>
      <c r="CB27" s="2008"/>
      <c r="CC27" s="2008"/>
      <c r="CD27" s="2008"/>
      <c r="CE27" s="2008"/>
      <c r="CF27" s="2008"/>
      <c r="CG27" s="2008"/>
      <c r="CH27" s="2008"/>
      <c r="CI27" s="2008"/>
      <c r="CJ27" s="2008"/>
      <c r="CK27" s="2008"/>
      <c r="CL27" s="2008"/>
      <c r="CM27" s="2008"/>
      <c r="CN27" s="2008"/>
      <c r="CO27" s="2008"/>
      <c r="CP27" s="2364"/>
      <c r="CQ27" s="2364"/>
      <c r="CR27" s="2364"/>
      <c r="CS27" s="2364"/>
      <c r="CT27" s="2364"/>
      <c r="CU27" s="2364"/>
      <c r="CV27" s="2364"/>
      <c r="CW27" s="2364"/>
      <c r="CX27" s="2364"/>
      <c r="CY27" s="2364"/>
      <c r="CZ27" s="2364"/>
      <c r="DA27" s="2364"/>
      <c r="DB27" s="2364"/>
      <c r="DC27" s="2364"/>
      <c r="DD27" s="2364"/>
      <c r="DE27" s="2364"/>
      <c r="DM27" s="1082">
        <v>14</v>
      </c>
    </row>
    <row r="28" spans="1:117"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365"/>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365"/>
      <c r="CQ28" s="2365"/>
      <c r="CR28" s="2365"/>
      <c r="CS28" s="2365"/>
      <c r="CT28" s="2365"/>
      <c r="CU28" s="2365"/>
      <c r="CV28" s="2365"/>
      <c r="CW28" s="2365"/>
      <c r="CX28" s="2365"/>
      <c r="CY28" s="2365"/>
      <c r="CZ28" s="2365"/>
      <c r="DA28" s="2365"/>
      <c r="DB28" s="2365"/>
      <c r="DC28" s="2365"/>
      <c r="DD28" s="2365"/>
      <c r="DE28" s="2365"/>
      <c r="DF28" s="446"/>
      <c r="DM28" s="1082">
        <v>0</v>
      </c>
    </row>
    <row r="29" spans="1:117" s="1778" customFormat="1" ht="25.5" hidden="1" customHeight="1">
      <c r="A29" s="1295"/>
      <c r="B29" s="1295"/>
      <c r="C29" s="1295"/>
      <c r="D29" s="1295"/>
      <c r="E29" s="1295"/>
      <c r="F29" s="1295"/>
      <c r="G29" s="1295"/>
      <c r="H29" s="1295"/>
      <c r="I29" s="1295"/>
      <c r="J29" s="1295"/>
      <c r="K29" s="1295"/>
      <c r="L29" s="1296"/>
      <c r="M29" s="1295"/>
      <c r="N29" s="1295"/>
      <c r="O29" s="1295"/>
      <c r="S29" s="3243" t="s">
        <v>42</v>
      </c>
      <c r="T29" s="3243"/>
      <c r="U29" s="1299"/>
      <c r="V29" s="3245" t="str">
        <f>IF(TITLE_NAME_OR_PR_CHANGE="",IF(TITLE_NAME_OR_PR="","",TITLE_NAME_OR_PR),TITLE_NAME_OR_PR_CHANGE)</f>
        <v/>
      </c>
      <c r="W29" s="3245"/>
      <c r="X29" s="3245"/>
      <c r="Y29" s="3245"/>
      <c r="Z29" s="3245"/>
      <c r="AA29" s="3245"/>
      <c r="AB29" s="3245"/>
      <c r="AC29" s="264"/>
      <c r="AD29" s="3245" t="str">
        <f>IF(TITLE_NAME_OR_PR_CHANGE="",IF(TITLE_NAME_OR_PR="","",TITLE_NAME_OR_PR),TITLE_NAME_OR_PR_CHANGE)</f>
        <v/>
      </c>
      <c r="AE29" s="3245"/>
      <c r="AF29" s="3245"/>
      <c r="AG29" s="3245"/>
      <c r="AH29" s="3245"/>
      <c r="AI29" s="3245"/>
      <c r="AJ29" s="3245"/>
      <c r="AK29" s="264"/>
      <c r="AL29" s="3245" t="str">
        <f>IF(TITLE_NAME_OR_PR_CHANGE="",IF(TITLE_NAME_OR_PR="","",TITLE_NAME_OR_PR),TITLE_NAME_OR_PR_CHANGE)</f>
        <v/>
      </c>
      <c r="AM29" s="3245"/>
      <c r="AN29" s="3245"/>
      <c r="AO29" s="3245"/>
      <c r="AP29" s="3245"/>
      <c r="AQ29" s="3245"/>
      <c r="AR29" s="3245"/>
      <c r="AS29" s="2355"/>
      <c r="AT29" s="3245" t="str">
        <f>IF(TITLE_NAME_OR_PR_CHANGE="",IF(TITLE_NAME_OR_PR="","",TITLE_NAME_OR_PR),TITLE_NAME_OR_PR_CHANGE)</f>
        <v/>
      </c>
      <c r="AU29" s="3245"/>
      <c r="AV29" s="3245"/>
      <c r="AW29" s="3245"/>
      <c r="AX29" s="3245"/>
      <c r="AY29" s="3245"/>
      <c r="AZ29" s="3245"/>
      <c r="BA29" s="1562"/>
      <c r="BB29" s="3245" t="str">
        <f>IF(TITLE_NAME_OR_PR_CHANGE="",IF(TITLE_NAME_OR_PR="","",TITLE_NAME_OR_PR),TITLE_NAME_OR_PR_CHANGE)</f>
        <v/>
      </c>
      <c r="BC29" s="3245"/>
      <c r="BD29" s="3245"/>
      <c r="BE29" s="3245"/>
      <c r="BF29" s="3245"/>
      <c r="BG29" s="3245"/>
      <c r="BH29" s="3245"/>
      <c r="BI29" s="1562"/>
      <c r="BJ29" s="3245" t="str">
        <f>IF(TITLE_NAME_OR_PR_CHANGE="",IF(TITLE_NAME_OR_PR="","",TITLE_NAME_OR_PR),TITLE_NAME_OR_PR_CHANGE)</f>
        <v/>
      </c>
      <c r="BK29" s="3245"/>
      <c r="BL29" s="3245"/>
      <c r="BM29" s="3245"/>
      <c r="BN29" s="3245"/>
      <c r="BO29" s="3245"/>
      <c r="BP29" s="3245"/>
      <c r="BQ29" s="1562"/>
      <c r="BR29" s="3245" t="str">
        <f>IF(TITLE_NAME_OR_PR_CHANGE="",IF(TITLE_NAME_OR_PR="","",TITLE_NAME_OR_PR),TITLE_NAME_OR_PR_CHANGE)</f>
        <v/>
      </c>
      <c r="BS29" s="3245"/>
      <c r="BT29" s="3245"/>
      <c r="BU29" s="3245"/>
      <c r="BV29" s="3245"/>
      <c r="BW29" s="3245"/>
      <c r="BX29" s="3245"/>
      <c r="BY29" s="1562"/>
      <c r="BZ29" s="3245" t="str">
        <f>IF(TITLE_NAME_OR_PR_CHANGE="",IF(TITLE_NAME_OR_PR="","",TITLE_NAME_OR_PR),TITLE_NAME_OR_PR_CHANGE)</f>
        <v/>
      </c>
      <c r="CA29" s="3245"/>
      <c r="CB29" s="3245"/>
      <c r="CC29" s="3245"/>
      <c r="CD29" s="3245"/>
      <c r="CE29" s="3245"/>
      <c r="CF29" s="3245"/>
      <c r="CG29" s="1562"/>
      <c r="CH29" s="3245" t="str">
        <f>IF(TITLE_NAME_OR_PR_CHANGE="",IF(TITLE_NAME_OR_PR="","",TITLE_NAME_OR_PR),TITLE_NAME_OR_PR_CHANGE)</f>
        <v/>
      </c>
      <c r="CI29" s="3245"/>
      <c r="CJ29" s="3245"/>
      <c r="CK29" s="3245"/>
      <c r="CL29" s="3245"/>
      <c r="CM29" s="3245"/>
      <c r="CN29" s="3245"/>
      <c r="CO29" s="1562"/>
      <c r="CP29" s="3292" t="str">
        <f>IF(TITLE_NAME_OR_PR_CHANGE="",IF(TITLE_NAME_OR_PR="","",TITLE_NAME_OR_PR),TITLE_NAME_OR_PR_CHANGE)</f>
        <v/>
      </c>
      <c r="CQ29" s="3292"/>
      <c r="CR29" s="3292"/>
      <c r="CS29" s="3292"/>
      <c r="CT29" s="3292"/>
      <c r="CU29" s="3292"/>
      <c r="CV29" s="3292"/>
      <c r="CW29" s="2355"/>
      <c r="CX29" s="3292" t="str">
        <f>IF(TITLE_NAME_OR_PR_CHANGE="",IF(TITLE_NAME_OR_PR="","",TITLE_NAME_OR_PR),TITLE_NAME_OR_PR_CHANGE)</f>
        <v/>
      </c>
      <c r="CY29" s="3292"/>
      <c r="CZ29" s="3292"/>
      <c r="DA29" s="3292"/>
      <c r="DB29" s="3292"/>
      <c r="DC29" s="3292"/>
      <c r="DD29" s="3292"/>
      <c r="DE29" s="2355"/>
      <c r="DF29" s="264"/>
      <c r="DG29" s="218"/>
      <c r="DH29" s="305"/>
      <c r="DI29" s="305"/>
      <c r="DJ29" s="305"/>
      <c r="DK29" s="305"/>
      <c r="DL29" s="305"/>
      <c r="DM29" s="355">
        <v>0</v>
      </c>
    </row>
    <row r="30" spans="1:117" s="1778" customFormat="1" ht="18.75" hidden="1" customHeight="1">
      <c r="A30" s="1295"/>
      <c r="B30" s="1295"/>
      <c r="C30" s="1295"/>
      <c r="D30" s="1295"/>
      <c r="E30" s="1295"/>
      <c r="F30" s="1295"/>
      <c r="G30" s="1295"/>
      <c r="H30" s="1295"/>
      <c r="I30" s="1295"/>
      <c r="J30" s="1295"/>
      <c r="K30" s="1295"/>
      <c r="L30" s="1296"/>
      <c r="M30" s="1295"/>
      <c r="N30" s="1295"/>
      <c r="O30" s="1295"/>
      <c r="S30" s="3243" t="s">
        <v>428</v>
      </c>
      <c r="T30" s="3243"/>
      <c r="U30" s="1299"/>
      <c r="V30" s="3244">
        <f>IF(TITLE_DATE_PR_CHANGE="",IF(TITLE_DATE_PR="","",TITLE_DATE_PR),TITLE_DATE_PR_CHANGE)</f>
        <v>45595.546053240738</v>
      </c>
      <c r="W30" s="3244"/>
      <c r="X30" s="3244"/>
      <c r="Y30" s="3244"/>
      <c r="Z30" s="3244"/>
      <c r="AA30" s="3244"/>
      <c r="AB30" s="3244"/>
      <c r="AC30" s="264"/>
      <c r="AD30" s="3244">
        <f>IF(TITLE_DATE_PR_CHANGE="",IF(TITLE_DATE_PR="","",TITLE_DATE_PR),TITLE_DATE_PR_CHANGE)</f>
        <v>45595.546053240738</v>
      </c>
      <c r="AE30" s="3244"/>
      <c r="AF30" s="3244"/>
      <c r="AG30" s="3244"/>
      <c r="AH30" s="3244"/>
      <c r="AI30" s="3244"/>
      <c r="AJ30" s="3244"/>
      <c r="AK30" s="264"/>
      <c r="AL30" s="3244">
        <f>IF(TITLE_DATE_PR_CHANGE="",IF(TITLE_DATE_PR="","",TITLE_DATE_PR),TITLE_DATE_PR_CHANGE)</f>
        <v>45595.546053240738</v>
      </c>
      <c r="AM30" s="3244"/>
      <c r="AN30" s="3244"/>
      <c r="AO30" s="3244"/>
      <c r="AP30" s="3244"/>
      <c r="AQ30" s="3244"/>
      <c r="AR30" s="3244"/>
      <c r="AS30" s="2355"/>
      <c r="AT30" s="3244">
        <f>IF(TITLE_DATE_PR_CHANGE="",IF(TITLE_DATE_PR="","",TITLE_DATE_PR),TITLE_DATE_PR_CHANGE)</f>
        <v>45595.546053240738</v>
      </c>
      <c r="AU30" s="3244"/>
      <c r="AV30" s="3244"/>
      <c r="AW30" s="3244"/>
      <c r="AX30" s="3244"/>
      <c r="AY30" s="3244"/>
      <c r="AZ30" s="3244"/>
      <c r="BA30" s="1562"/>
      <c r="BB30" s="3244">
        <f>IF(TITLE_DATE_PR_CHANGE="",IF(TITLE_DATE_PR="","",TITLE_DATE_PR),TITLE_DATE_PR_CHANGE)</f>
        <v>45595.546053240738</v>
      </c>
      <c r="BC30" s="3244"/>
      <c r="BD30" s="3244"/>
      <c r="BE30" s="3244"/>
      <c r="BF30" s="3244"/>
      <c r="BG30" s="3244"/>
      <c r="BH30" s="3244"/>
      <c r="BI30" s="1562"/>
      <c r="BJ30" s="3244">
        <f>IF(TITLE_DATE_PR_CHANGE="",IF(TITLE_DATE_PR="","",TITLE_DATE_PR),TITLE_DATE_PR_CHANGE)</f>
        <v>45595.546053240738</v>
      </c>
      <c r="BK30" s="3244"/>
      <c r="BL30" s="3244"/>
      <c r="BM30" s="3244"/>
      <c r="BN30" s="3244"/>
      <c r="BO30" s="3244"/>
      <c r="BP30" s="3244"/>
      <c r="BQ30" s="1562"/>
      <c r="BR30" s="3244">
        <f>IF(TITLE_DATE_PR_CHANGE="",IF(TITLE_DATE_PR="","",TITLE_DATE_PR),TITLE_DATE_PR_CHANGE)</f>
        <v>45595.546053240738</v>
      </c>
      <c r="BS30" s="3244"/>
      <c r="BT30" s="3244"/>
      <c r="BU30" s="3244"/>
      <c r="BV30" s="3244"/>
      <c r="BW30" s="3244"/>
      <c r="BX30" s="3244"/>
      <c r="BY30" s="1562"/>
      <c r="BZ30" s="3244">
        <f>IF(TITLE_DATE_PR_CHANGE="",IF(TITLE_DATE_PR="","",TITLE_DATE_PR),TITLE_DATE_PR_CHANGE)</f>
        <v>45595.546053240738</v>
      </c>
      <c r="CA30" s="3244"/>
      <c r="CB30" s="3244"/>
      <c r="CC30" s="3244"/>
      <c r="CD30" s="3244"/>
      <c r="CE30" s="3244"/>
      <c r="CF30" s="3244"/>
      <c r="CG30" s="1562"/>
      <c r="CH30" s="3244">
        <f>IF(TITLE_DATE_PR_CHANGE="",IF(TITLE_DATE_PR="","",TITLE_DATE_PR),TITLE_DATE_PR_CHANGE)</f>
        <v>45595.546053240738</v>
      </c>
      <c r="CI30" s="3244"/>
      <c r="CJ30" s="3244"/>
      <c r="CK30" s="3244"/>
      <c r="CL30" s="3244"/>
      <c r="CM30" s="3244"/>
      <c r="CN30" s="3244"/>
      <c r="CO30" s="1562"/>
      <c r="CP30" s="3293">
        <f>IF(TITLE_DATE_PR_CHANGE="",IF(TITLE_DATE_PR="","",TITLE_DATE_PR),TITLE_DATE_PR_CHANGE)</f>
        <v>45595.546053240738</v>
      </c>
      <c r="CQ30" s="3244"/>
      <c r="CR30" s="3244"/>
      <c r="CS30" s="3244"/>
      <c r="CT30" s="3244"/>
      <c r="CU30" s="3244"/>
      <c r="CV30" s="3244"/>
      <c r="CW30" s="2355"/>
      <c r="CX30" s="3244">
        <f>IF(TITLE_DATE_PR_CHANGE="",IF(TITLE_DATE_PR="","",TITLE_DATE_PR),TITLE_DATE_PR_CHANGE)</f>
        <v>45595.546053240738</v>
      </c>
      <c r="CY30" s="3244"/>
      <c r="CZ30" s="3244"/>
      <c r="DA30" s="3244"/>
      <c r="DB30" s="3244"/>
      <c r="DC30" s="3244"/>
      <c r="DD30" s="3244"/>
      <c r="DE30" s="2355"/>
      <c r="DF30" s="264"/>
      <c r="DG30" s="218"/>
      <c r="DH30" s="305"/>
      <c r="DI30" s="305"/>
      <c r="DJ30" s="305"/>
      <c r="DK30" s="305"/>
      <c r="DL30" s="305"/>
      <c r="DM30" s="355">
        <v>0</v>
      </c>
    </row>
    <row r="31" spans="1:117" s="1778" customFormat="1" ht="18.75" hidden="1" customHeight="1">
      <c r="A31" s="1295"/>
      <c r="B31" s="1295"/>
      <c r="C31" s="1295"/>
      <c r="D31" s="1295"/>
      <c r="E31" s="1295"/>
      <c r="F31" s="1295"/>
      <c r="G31" s="1295"/>
      <c r="H31" s="1295"/>
      <c r="I31" s="1295"/>
      <c r="J31" s="1295"/>
      <c r="K31" s="1295"/>
      <c r="L31" s="1296"/>
      <c r="M31" s="1295"/>
      <c r="N31" s="1295"/>
      <c r="O31" s="1295"/>
      <c r="S31" s="3243" t="s">
        <v>429</v>
      </c>
      <c r="T31" s="3243"/>
      <c r="U31" s="1299"/>
      <c r="V31" s="3245" t="str">
        <f>IF(TITLE_NUMBER_PR_CHANGE="",IF(TITLE_NUMBER_PR="","",TITLE_NUMBER_PR),TITLE_NUMBER_PR_CHANGE)</f>
        <v>03/3636</v>
      </c>
      <c r="W31" s="3245"/>
      <c r="X31" s="3245"/>
      <c r="Y31" s="3245"/>
      <c r="Z31" s="3245"/>
      <c r="AA31" s="3245"/>
      <c r="AB31" s="3245"/>
      <c r="AC31" s="264"/>
      <c r="AD31" s="3245" t="str">
        <f>IF(TITLE_NUMBER_PR_CHANGE="",IF(TITLE_NUMBER_PR="","",TITLE_NUMBER_PR),TITLE_NUMBER_PR_CHANGE)</f>
        <v>03/3636</v>
      </c>
      <c r="AE31" s="3245"/>
      <c r="AF31" s="3245"/>
      <c r="AG31" s="3245"/>
      <c r="AH31" s="3245"/>
      <c r="AI31" s="3245"/>
      <c r="AJ31" s="3245"/>
      <c r="AK31" s="264"/>
      <c r="AL31" s="3245" t="str">
        <f>IF(TITLE_NUMBER_PR_CHANGE="",IF(TITLE_NUMBER_PR="","",TITLE_NUMBER_PR),TITLE_NUMBER_PR_CHANGE)</f>
        <v>03/3636</v>
      </c>
      <c r="AM31" s="3245"/>
      <c r="AN31" s="3245"/>
      <c r="AO31" s="3245"/>
      <c r="AP31" s="3245"/>
      <c r="AQ31" s="3245"/>
      <c r="AR31" s="3245"/>
      <c r="AS31" s="2355"/>
      <c r="AT31" s="3245" t="str">
        <f>IF(TITLE_NUMBER_PR_CHANGE="",IF(TITLE_NUMBER_PR="","",TITLE_NUMBER_PR),TITLE_NUMBER_PR_CHANGE)</f>
        <v>03/3636</v>
      </c>
      <c r="AU31" s="3245"/>
      <c r="AV31" s="3245"/>
      <c r="AW31" s="3245"/>
      <c r="AX31" s="3245"/>
      <c r="AY31" s="3245"/>
      <c r="AZ31" s="3245"/>
      <c r="BA31" s="1562"/>
      <c r="BB31" s="3245" t="str">
        <f>IF(TITLE_NUMBER_PR_CHANGE="",IF(TITLE_NUMBER_PR="","",TITLE_NUMBER_PR),TITLE_NUMBER_PR_CHANGE)</f>
        <v>03/3636</v>
      </c>
      <c r="BC31" s="3245"/>
      <c r="BD31" s="3245"/>
      <c r="BE31" s="3245"/>
      <c r="BF31" s="3245"/>
      <c r="BG31" s="3245"/>
      <c r="BH31" s="3245"/>
      <c r="BI31" s="1562"/>
      <c r="BJ31" s="3245" t="str">
        <f>IF(TITLE_NUMBER_PR_CHANGE="",IF(TITLE_NUMBER_PR="","",TITLE_NUMBER_PR),TITLE_NUMBER_PR_CHANGE)</f>
        <v>03/3636</v>
      </c>
      <c r="BK31" s="3245"/>
      <c r="BL31" s="3245"/>
      <c r="BM31" s="3245"/>
      <c r="BN31" s="3245"/>
      <c r="BO31" s="3245"/>
      <c r="BP31" s="3245"/>
      <c r="BQ31" s="1562"/>
      <c r="BR31" s="3245" t="str">
        <f>IF(TITLE_NUMBER_PR_CHANGE="",IF(TITLE_NUMBER_PR="","",TITLE_NUMBER_PR),TITLE_NUMBER_PR_CHANGE)</f>
        <v>03/3636</v>
      </c>
      <c r="BS31" s="3245"/>
      <c r="BT31" s="3245"/>
      <c r="BU31" s="3245"/>
      <c r="BV31" s="3245"/>
      <c r="BW31" s="3245"/>
      <c r="BX31" s="3245"/>
      <c r="BY31" s="1562"/>
      <c r="BZ31" s="3245" t="str">
        <f>IF(TITLE_NUMBER_PR_CHANGE="",IF(TITLE_NUMBER_PR="","",TITLE_NUMBER_PR),TITLE_NUMBER_PR_CHANGE)</f>
        <v>03/3636</v>
      </c>
      <c r="CA31" s="3245"/>
      <c r="CB31" s="3245"/>
      <c r="CC31" s="3245"/>
      <c r="CD31" s="3245"/>
      <c r="CE31" s="3245"/>
      <c r="CF31" s="3245"/>
      <c r="CG31" s="1562"/>
      <c r="CH31" s="3245" t="str">
        <f>IF(TITLE_NUMBER_PR_CHANGE="",IF(TITLE_NUMBER_PR="","",TITLE_NUMBER_PR),TITLE_NUMBER_PR_CHANGE)</f>
        <v>03/3636</v>
      </c>
      <c r="CI31" s="3245"/>
      <c r="CJ31" s="3245"/>
      <c r="CK31" s="3245"/>
      <c r="CL31" s="3245"/>
      <c r="CM31" s="3245"/>
      <c r="CN31" s="3245"/>
      <c r="CO31" s="1562"/>
      <c r="CP31" s="3292" t="str">
        <f>IF(TITLE_NUMBER_PR_CHANGE="",IF(TITLE_NUMBER_PR="","",TITLE_NUMBER_PR),TITLE_NUMBER_PR_CHANGE)</f>
        <v>03/3636</v>
      </c>
      <c r="CQ31" s="3292"/>
      <c r="CR31" s="3292"/>
      <c r="CS31" s="3292"/>
      <c r="CT31" s="3292"/>
      <c r="CU31" s="3292"/>
      <c r="CV31" s="3292"/>
      <c r="CW31" s="2355"/>
      <c r="CX31" s="3292" t="str">
        <f>IF(TITLE_NUMBER_PR_CHANGE="",IF(TITLE_NUMBER_PR="","",TITLE_NUMBER_PR),TITLE_NUMBER_PR_CHANGE)</f>
        <v>03/3636</v>
      </c>
      <c r="CY31" s="3292"/>
      <c r="CZ31" s="3292"/>
      <c r="DA31" s="3292"/>
      <c r="DB31" s="3292"/>
      <c r="DC31" s="3292"/>
      <c r="DD31" s="3292"/>
      <c r="DE31" s="2355"/>
      <c r="DF31" s="264"/>
      <c r="DG31" s="218"/>
      <c r="DH31" s="305"/>
      <c r="DI31" s="305"/>
      <c r="DJ31" s="305"/>
      <c r="DK31" s="305"/>
      <c r="DL31" s="305"/>
      <c r="DM31" s="355">
        <v>0</v>
      </c>
    </row>
    <row r="32" spans="1:117" s="1778" customFormat="1" ht="18.75" hidden="1" customHeight="1">
      <c r="A32" s="1295"/>
      <c r="B32" s="1295"/>
      <c r="C32" s="1295"/>
      <c r="D32" s="1295"/>
      <c r="E32" s="1295"/>
      <c r="F32" s="1295"/>
      <c r="G32" s="1295"/>
      <c r="H32" s="1295"/>
      <c r="I32" s="1295"/>
      <c r="J32" s="1295"/>
      <c r="K32" s="1295"/>
      <c r="L32" s="1296"/>
      <c r="M32" s="1295"/>
      <c r="N32" s="1295"/>
      <c r="O32" s="1295"/>
      <c r="S32" s="3243" t="s">
        <v>43</v>
      </c>
      <c r="T32" s="3243"/>
      <c r="U32" s="1299"/>
      <c r="V32" s="3245" t="str">
        <f>IF(TITLE_IST_PUB_CHANGE="",IF(TITLE_IST_PUB="","",TITLE_IST_PUB),TITLE_IST_PUB_CHANGE)</f>
        <v/>
      </c>
      <c r="W32" s="3245"/>
      <c r="X32" s="3245"/>
      <c r="Y32" s="3245"/>
      <c r="Z32" s="3245"/>
      <c r="AA32" s="3245"/>
      <c r="AB32" s="3245"/>
      <c r="AC32" s="264"/>
      <c r="AD32" s="3245" t="str">
        <f>IF(TITLE_IST_PUB_CHANGE="",IF(TITLE_IST_PUB="","",TITLE_IST_PUB),TITLE_IST_PUB_CHANGE)</f>
        <v/>
      </c>
      <c r="AE32" s="3245"/>
      <c r="AF32" s="3245"/>
      <c r="AG32" s="3245"/>
      <c r="AH32" s="3245"/>
      <c r="AI32" s="3245"/>
      <c r="AJ32" s="3245"/>
      <c r="AK32" s="264"/>
      <c r="AL32" s="3245" t="str">
        <f>IF(TITLE_IST_PUB_CHANGE="",IF(TITLE_IST_PUB="","",TITLE_IST_PUB),TITLE_IST_PUB_CHANGE)</f>
        <v/>
      </c>
      <c r="AM32" s="3245"/>
      <c r="AN32" s="3245"/>
      <c r="AO32" s="3245"/>
      <c r="AP32" s="3245"/>
      <c r="AQ32" s="3245"/>
      <c r="AR32" s="3245"/>
      <c r="AS32" s="2355"/>
      <c r="AT32" s="3245" t="str">
        <f>IF(TITLE_IST_PUB_CHANGE="",IF(TITLE_IST_PUB="","",TITLE_IST_PUB),TITLE_IST_PUB_CHANGE)</f>
        <v/>
      </c>
      <c r="AU32" s="3245"/>
      <c r="AV32" s="3245"/>
      <c r="AW32" s="3245"/>
      <c r="AX32" s="3245"/>
      <c r="AY32" s="3245"/>
      <c r="AZ32" s="3245"/>
      <c r="BA32" s="1562"/>
      <c r="BB32" s="3245" t="str">
        <f>IF(TITLE_IST_PUB_CHANGE="",IF(TITLE_IST_PUB="","",TITLE_IST_PUB),TITLE_IST_PUB_CHANGE)</f>
        <v/>
      </c>
      <c r="BC32" s="3245"/>
      <c r="BD32" s="3245"/>
      <c r="BE32" s="3245"/>
      <c r="BF32" s="3245"/>
      <c r="BG32" s="3245"/>
      <c r="BH32" s="3245"/>
      <c r="BI32" s="1562"/>
      <c r="BJ32" s="3245" t="str">
        <f>IF(TITLE_IST_PUB_CHANGE="",IF(TITLE_IST_PUB="","",TITLE_IST_PUB),TITLE_IST_PUB_CHANGE)</f>
        <v/>
      </c>
      <c r="BK32" s="3245"/>
      <c r="BL32" s="3245"/>
      <c r="BM32" s="3245"/>
      <c r="BN32" s="3245"/>
      <c r="BO32" s="3245"/>
      <c r="BP32" s="3245"/>
      <c r="BQ32" s="1562"/>
      <c r="BR32" s="3245" t="str">
        <f>IF(TITLE_IST_PUB_CHANGE="",IF(TITLE_IST_PUB="","",TITLE_IST_PUB),TITLE_IST_PUB_CHANGE)</f>
        <v/>
      </c>
      <c r="BS32" s="3245"/>
      <c r="BT32" s="3245"/>
      <c r="BU32" s="3245"/>
      <c r="BV32" s="3245"/>
      <c r="BW32" s="3245"/>
      <c r="BX32" s="3245"/>
      <c r="BY32" s="1562"/>
      <c r="BZ32" s="3245" t="str">
        <f>IF(TITLE_IST_PUB_CHANGE="",IF(TITLE_IST_PUB="","",TITLE_IST_PUB),TITLE_IST_PUB_CHANGE)</f>
        <v/>
      </c>
      <c r="CA32" s="3245"/>
      <c r="CB32" s="3245"/>
      <c r="CC32" s="3245"/>
      <c r="CD32" s="3245"/>
      <c r="CE32" s="3245"/>
      <c r="CF32" s="3245"/>
      <c r="CG32" s="1562"/>
      <c r="CH32" s="3245" t="str">
        <f>IF(TITLE_IST_PUB_CHANGE="",IF(TITLE_IST_PUB="","",TITLE_IST_PUB),TITLE_IST_PUB_CHANGE)</f>
        <v/>
      </c>
      <c r="CI32" s="3245"/>
      <c r="CJ32" s="3245"/>
      <c r="CK32" s="3245"/>
      <c r="CL32" s="3245"/>
      <c r="CM32" s="3245"/>
      <c r="CN32" s="3245"/>
      <c r="CO32" s="1562"/>
      <c r="CP32" s="3292" t="str">
        <f>IF(TITLE_IST_PUB_CHANGE="",IF(TITLE_IST_PUB="","",TITLE_IST_PUB),TITLE_IST_PUB_CHANGE)</f>
        <v/>
      </c>
      <c r="CQ32" s="3292"/>
      <c r="CR32" s="3292"/>
      <c r="CS32" s="3292"/>
      <c r="CT32" s="3292"/>
      <c r="CU32" s="3292"/>
      <c r="CV32" s="3292"/>
      <c r="CW32" s="2355"/>
      <c r="CX32" s="3292" t="str">
        <f>IF(TITLE_IST_PUB_CHANGE="",IF(TITLE_IST_PUB="","",TITLE_IST_PUB),TITLE_IST_PUB_CHANGE)</f>
        <v/>
      </c>
      <c r="CY32" s="3292"/>
      <c r="CZ32" s="3292"/>
      <c r="DA32" s="3292"/>
      <c r="DB32" s="3292"/>
      <c r="DC32" s="3292"/>
      <c r="DD32" s="3292"/>
      <c r="DE32" s="2355"/>
      <c r="DF32" s="264"/>
      <c r="DG32" s="218"/>
      <c r="DH32" s="305"/>
      <c r="DI32" s="305"/>
      <c r="DJ32" s="305"/>
      <c r="DK32" s="305"/>
      <c r="DL32" s="305"/>
      <c r="DM32" s="355">
        <v>0</v>
      </c>
    </row>
    <row r="33" spans="1:117"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365"/>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365"/>
      <c r="CQ33" s="2365"/>
      <c r="CR33" s="2365"/>
      <c r="CS33" s="2365"/>
      <c r="CT33" s="2365"/>
      <c r="CU33" s="2365"/>
      <c r="CV33" s="2365"/>
      <c r="CW33" s="2365"/>
      <c r="CX33" s="2365"/>
      <c r="CY33" s="2365"/>
      <c r="CZ33" s="2365"/>
      <c r="DA33" s="2365"/>
      <c r="DB33" s="2365"/>
      <c r="DC33" s="2365"/>
      <c r="DD33" s="2365"/>
      <c r="DE33" s="2365"/>
      <c r="DF33" s="446"/>
      <c r="DM33" s="1082">
        <v>0</v>
      </c>
    </row>
    <row r="34" spans="1:117" s="1778" customFormat="1" ht="18.75" customHeight="1">
      <c r="A34" s="1295"/>
      <c r="B34" s="1295"/>
      <c r="C34" s="1295"/>
      <c r="D34" s="1295"/>
      <c r="E34" s="1295"/>
      <c r="F34" s="1295"/>
      <c r="G34" s="1295"/>
      <c r="H34" s="1295"/>
      <c r="I34" s="1295"/>
      <c r="J34" s="1295"/>
      <c r="K34" s="1295"/>
      <c r="L34" s="1296"/>
      <c r="M34" s="1295"/>
      <c r="N34" s="1295"/>
      <c r="O34" s="1295"/>
      <c r="S34" s="3243" t="s">
        <v>430</v>
      </c>
      <c r="T34" s="3243"/>
      <c r="U34" s="1299"/>
      <c r="V34" s="3244">
        <f>IF(TITLE_DATE_PR_CHANGE="",IF(TITLE_DATE_PR="","",TITLE_DATE_PR),TITLE_DATE_PR_CHANGE)</f>
        <v>45595.546053240738</v>
      </c>
      <c r="W34" s="3244"/>
      <c r="X34" s="3244"/>
      <c r="Y34" s="3244"/>
      <c r="Z34" s="3244"/>
      <c r="AA34" s="3244"/>
      <c r="AB34" s="3244"/>
      <c r="AC34" s="264"/>
      <c r="AD34" s="3244">
        <f>IF(TITLE_DATE_PR_CHANGE="",IF(TITLE_DATE_PR="","",TITLE_DATE_PR),TITLE_DATE_PR_CHANGE)</f>
        <v>45595.546053240738</v>
      </c>
      <c r="AE34" s="3244"/>
      <c r="AF34" s="3244"/>
      <c r="AG34" s="3244"/>
      <c r="AH34" s="3244"/>
      <c r="AI34" s="3244"/>
      <c r="AJ34" s="3244"/>
      <c r="AK34" s="264"/>
      <c r="AL34" s="3244">
        <f>IF(TITLE_DATE_PR_CHANGE="",IF(TITLE_DATE_PR="","",TITLE_DATE_PR),TITLE_DATE_PR_CHANGE)</f>
        <v>45595.546053240738</v>
      </c>
      <c r="AM34" s="3244"/>
      <c r="AN34" s="3244"/>
      <c r="AO34" s="3244"/>
      <c r="AP34" s="3244"/>
      <c r="AQ34" s="3244"/>
      <c r="AR34" s="3244"/>
      <c r="AS34" s="2355"/>
      <c r="AT34" s="3244">
        <f>IF(TITLE_DATE_PR_CHANGE="",IF(TITLE_DATE_PR="","",TITLE_DATE_PR),TITLE_DATE_PR_CHANGE)</f>
        <v>45595.546053240738</v>
      </c>
      <c r="AU34" s="3244"/>
      <c r="AV34" s="3244"/>
      <c r="AW34" s="3244"/>
      <c r="AX34" s="3244"/>
      <c r="AY34" s="3244"/>
      <c r="AZ34" s="3244"/>
      <c r="BA34" s="1562"/>
      <c r="BB34" s="3244">
        <f>IF(TITLE_DATE_PR_CHANGE="",IF(TITLE_DATE_PR="","",TITLE_DATE_PR),TITLE_DATE_PR_CHANGE)</f>
        <v>45595.546053240738</v>
      </c>
      <c r="BC34" s="3244"/>
      <c r="BD34" s="3244"/>
      <c r="BE34" s="3244"/>
      <c r="BF34" s="3244"/>
      <c r="BG34" s="3244"/>
      <c r="BH34" s="3244"/>
      <c r="BI34" s="1562"/>
      <c r="BJ34" s="3244">
        <f>IF(TITLE_DATE_PR_CHANGE="",IF(TITLE_DATE_PR="","",TITLE_DATE_PR),TITLE_DATE_PR_CHANGE)</f>
        <v>45595.546053240738</v>
      </c>
      <c r="BK34" s="3244"/>
      <c r="BL34" s="3244"/>
      <c r="BM34" s="3244"/>
      <c r="BN34" s="3244"/>
      <c r="BO34" s="3244"/>
      <c r="BP34" s="3244"/>
      <c r="BQ34" s="1562"/>
      <c r="BR34" s="3244">
        <f>IF(TITLE_DATE_PR_CHANGE="",IF(TITLE_DATE_PR="","",TITLE_DATE_PR),TITLE_DATE_PR_CHANGE)</f>
        <v>45595.546053240738</v>
      </c>
      <c r="BS34" s="3244"/>
      <c r="BT34" s="3244"/>
      <c r="BU34" s="3244"/>
      <c r="BV34" s="3244"/>
      <c r="BW34" s="3244"/>
      <c r="BX34" s="3244"/>
      <c r="BY34" s="1562"/>
      <c r="BZ34" s="3244">
        <f>IF(TITLE_DATE_PR_CHANGE="",IF(TITLE_DATE_PR="","",TITLE_DATE_PR),TITLE_DATE_PR_CHANGE)</f>
        <v>45595.546053240738</v>
      </c>
      <c r="CA34" s="3244"/>
      <c r="CB34" s="3244"/>
      <c r="CC34" s="3244"/>
      <c r="CD34" s="3244"/>
      <c r="CE34" s="3244"/>
      <c r="CF34" s="3244"/>
      <c r="CG34" s="1562"/>
      <c r="CH34" s="3244">
        <f>IF(TITLE_DATE_PR_CHANGE="",IF(TITLE_DATE_PR="","",TITLE_DATE_PR),TITLE_DATE_PR_CHANGE)</f>
        <v>45595.546053240738</v>
      </c>
      <c r="CI34" s="3244"/>
      <c r="CJ34" s="3244"/>
      <c r="CK34" s="3244"/>
      <c r="CL34" s="3244"/>
      <c r="CM34" s="3244"/>
      <c r="CN34" s="3244"/>
      <c r="CO34" s="1562"/>
      <c r="CP34" s="3244">
        <f>IF(TITLE_DATE_PR_CHANGE="",IF(TITLE_DATE_PR="","",TITLE_DATE_PR),TITLE_DATE_PR_CHANGE)</f>
        <v>45595.546053240738</v>
      </c>
      <c r="CQ34" s="3244"/>
      <c r="CR34" s="3244"/>
      <c r="CS34" s="3244"/>
      <c r="CT34" s="3244"/>
      <c r="CU34" s="3244"/>
      <c r="CV34" s="3244"/>
      <c r="CW34" s="2355"/>
      <c r="CX34" s="3244">
        <f>IF(TITLE_DATE_PR_CHANGE="",IF(TITLE_DATE_PR="","",TITLE_DATE_PR),TITLE_DATE_PR_CHANGE)</f>
        <v>45595.546053240738</v>
      </c>
      <c r="CY34" s="3244"/>
      <c r="CZ34" s="3244"/>
      <c r="DA34" s="3244"/>
      <c r="DB34" s="3244"/>
      <c r="DC34" s="3244"/>
      <c r="DD34" s="3244"/>
      <c r="DE34" s="2355"/>
      <c r="DF34" s="264"/>
      <c r="DG34" s="218"/>
      <c r="DH34" s="305"/>
      <c r="DI34" s="305"/>
      <c r="DJ34" s="305"/>
      <c r="DK34" s="305"/>
      <c r="DL34" s="305"/>
      <c r="DM34" s="355">
        <v>0</v>
      </c>
    </row>
    <row r="35" spans="1:117" s="1778" customFormat="1" ht="18.75" customHeight="1">
      <c r="A35" s="1295"/>
      <c r="B35" s="1295"/>
      <c r="C35" s="1295"/>
      <c r="D35" s="1295"/>
      <c r="E35" s="1295"/>
      <c r="F35" s="1295"/>
      <c r="G35" s="1295"/>
      <c r="H35" s="1295"/>
      <c r="I35" s="1295"/>
      <c r="J35" s="1295"/>
      <c r="K35" s="1295"/>
      <c r="L35" s="1296"/>
      <c r="M35" s="1295"/>
      <c r="N35" s="1295"/>
      <c r="O35" s="1295"/>
      <c r="S35" s="3243" t="s">
        <v>431</v>
      </c>
      <c r="T35" s="3243"/>
      <c r="U35" s="1299"/>
      <c r="V35" s="3245" t="str">
        <f>IF(TITLE_NUMBER_PR_CHANGE="",IF(TITLE_NUMBER_PR="","",TITLE_NUMBER_PR),TITLE_NUMBER_PR_CHANGE)</f>
        <v>03/3636</v>
      </c>
      <c r="W35" s="3245"/>
      <c r="X35" s="3245"/>
      <c r="Y35" s="3245"/>
      <c r="Z35" s="3245"/>
      <c r="AA35" s="3245"/>
      <c r="AB35" s="3245"/>
      <c r="AC35" s="264"/>
      <c r="AD35" s="3245" t="str">
        <f>IF(TITLE_NUMBER_PR_CHANGE="",IF(TITLE_NUMBER_PR="","",TITLE_NUMBER_PR),TITLE_NUMBER_PR_CHANGE)</f>
        <v>03/3636</v>
      </c>
      <c r="AE35" s="3245"/>
      <c r="AF35" s="3245"/>
      <c r="AG35" s="3245"/>
      <c r="AH35" s="3245"/>
      <c r="AI35" s="3245"/>
      <c r="AJ35" s="3245"/>
      <c r="AK35" s="264"/>
      <c r="AL35" s="3245" t="str">
        <f>IF(TITLE_NUMBER_PR_CHANGE="",IF(TITLE_NUMBER_PR="","",TITLE_NUMBER_PR),TITLE_NUMBER_PR_CHANGE)</f>
        <v>03/3636</v>
      </c>
      <c r="AM35" s="3245"/>
      <c r="AN35" s="3245"/>
      <c r="AO35" s="3245"/>
      <c r="AP35" s="3245"/>
      <c r="AQ35" s="3245"/>
      <c r="AR35" s="3245"/>
      <c r="AS35" s="2355"/>
      <c r="AT35" s="3245" t="str">
        <f>IF(TITLE_NUMBER_PR_CHANGE="",IF(TITLE_NUMBER_PR="","",TITLE_NUMBER_PR),TITLE_NUMBER_PR_CHANGE)</f>
        <v>03/3636</v>
      </c>
      <c r="AU35" s="3245"/>
      <c r="AV35" s="3245"/>
      <c r="AW35" s="3245"/>
      <c r="AX35" s="3245"/>
      <c r="AY35" s="3245"/>
      <c r="AZ35" s="3245"/>
      <c r="BA35" s="1562"/>
      <c r="BB35" s="3245" t="str">
        <f>IF(TITLE_NUMBER_PR_CHANGE="",IF(TITLE_NUMBER_PR="","",TITLE_NUMBER_PR),TITLE_NUMBER_PR_CHANGE)</f>
        <v>03/3636</v>
      </c>
      <c r="BC35" s="3245"/>
      <c r="BD35" s="3245"/>
      <c r="BE35" s="3245"/>
      <c r="BF35" s="3245"/>
      <c r="BG35" s="3245"/>
      <c r="BH35" s="3245"/>
      <c r="BI35" s="1562"/>
      <c r="BJ35" s="3245" t="str">
        <f>IF(TITLE_NUMBER_PR_CHANGE="",IF(TITLE_NUMBER_PR="","",TITLE_NUMBER_PR),TITLE_NUMBER_PR_CHANGE)</f>
        <v>03/3636</v>
      </c>
      <c r="BK35" s="3245"/>
      <c r="BL35" s="3245"/>
      <c r="BM35" s="3245"/>
      <c r="BN35" s="3245"/>
      <c r="BO35" s="3245"/>
      <c r="BP35" s="3245"/>
      <c r="BQ35" s="1562"/>
      <c r="BR35" s="3245" t="str">
        <f>IF(TITLE_NUMBER_PR_CHANGE="",IF(TITLE_NUMBER_PR="","",TITLE_NUMBER_PR),TITLE_NUMBER_PR_CHANGE)</f>
        <v>03/3636</v>
      </c>
      <c r="BS35" s="3245"/>
      <c r="BT35" s="3245"/>
      <c r="BU35" s="3245"/>
      <c r="BV35" s="3245"/>
      <c r="BW35" s="3245"/>
      <c r="BX35" s="3245"/>
      <c r="BY35" s="1562"/>
      <c r="BZ35" s="3245" t="str">
        <f>IF(TITLE_NUMBER_PR_CHANGE="",IF(TITLE_NUMBER_PR="","",TITLE_NUMBER_PR),TITLE_NUMBER_PR_CHANGE)</f>
        <v>03/3636</v>
      </c>
      <c r="CA35" s="3245"/>
      <c r="CB35" s="3245"/>
      <c r="CC35" s="3245"/>
      <c r="CD35" s="3245"/>
      <c r="CE35" s="3245"/>
      <c r="CF35" s="3245"/>
      <c r="CG35" s="1562"/>
      <c r="CH35" s="3245" t="str">
        <f>IF(TITLE_NUMBER_PR_CHANGE="",IF(TITLE_NUMBER_PR="","",TITLE_NUMBER_PR),TITLE_NUMBER_PR_CHANGE)</f>
        <v>03/3636</v>
      </c>
      <c r="CI35" s="3245"/>
      <c r="CJ35" s="3245"/>
      <c r="CK35" s="3245"/>
      <c r="CL35" s="3245"/>
      <c r="CM35" s="3245"/>
      <c r="CN35" s="3245"/>
      <c r="CO35" s="1562"/>
      <c r="CP35" s="3292" t="str">
        <f>IF(TITLE_NUMBER_PR_CHANGE="",IF(TITLE_NUMBER_PR="","",TITLE_NUMBER_PR),TITLE_NUMBER_PR_CHANGE)</f>
        <v>03/3636</v>
      </c>
      <c r="CQ35" s="3292"/>
      <c r="CR35" s="3292"/>
      <c r="CS35" s="3292"/>
      <c r="CT35" s="3292"/>
      <c r="CU35" s="3292"/>
      <c r="CV35" s="3292"/>
      <c r="CW35" s="2355"/>
      <c r="CX35" s="3292" t="str">
        <f>IF(TITLE_NUMBER_PR_CHANGE="",IF(TITLE_NUMBER_PR="","",TITLE_NUMBER_PR),TITLE_NUMBER_PR_CHANGE)</f>
        <v>03/3636</v>
      </c>
      <c r="CY35" s="3292"/>
      <c r="CZ35" s="3292"/>
      <c r="DA35" s="3292"/>
      <c r="DB35" s="3292"/>
      <c r="DC35" s="3292"/>
      <c r="DD35" s="3292"/>
      <c r="DE35" s="2355"/>
      <c r="DF35" s="264"/>
      <c r="DG35" s="218"/>
      <c r="DH35" s="305"/>
      <c r="DI35" s="305"/>
      <c r="DJ35" s="305"/>
      <c r="DK35" s="305"/>
      <c r="DL35" s="305"/>
      <c r="DM35" s="355">
        <v>0</v>
      </c>
    </row>
    <row r="36" spans="1:117"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432</v>
      </c>
      <c r="AD36" s="264"/>
      <c r="AE36" s="264"/>
      <c r="AF36" s="264"/>
      <c r="AG36" s="264"/>
      <c r="AH36" s="264"/>
      <c r="AI36" s="264"/>
      <c r="AJ36" s="264"/>
      <c r="AK36" s="216" t="s">
        <v>432</v>
      </c>
      <c r="AL36" s="1562"/>
      <c r="AM36" s="1562"/>
      <c r="AN36" s="1562"/>
      <c r="AO36" s="1562"/>
      <c r="AP36" s="1562"/>
      <c r="AQ36" s="1562"/>
      <c r="AR36" s="1562"/>
      <c r="AS36" s="2366" t="s">
        <v>432</v>
      </c>
      <c r="AT36" s="1562"/>
      <c r="AU36" s="1562"/>
      <c r="AV36" s="1562"/>
      <c r="AW36" s="1562"/>
      <c r="AX36" s="1562"/>
      <c r="AY36" s="1562"/>
      <c r="AZ36" s="1562"/>
      <c r="BA36" s="1569" t="s">
        <v>432</v>
      </c>
      <c r="BB36" s="1562"/>
      <c r="BC36" s="1562"/>
      <c r="BD36" s="1562"/>
      <c r="BE36" s="1562"/>
      <c r="BF36" s="1562"/>
      <c r="BG36" s="1562"/>
      <c r="BH36" s="1562"/>
      <c r="BI36" s="1569" t="s">
        <v>432</v>
      </c>
      <c r="BJ36" s="1562"/>
      <c r="BK36" s="1562"/>
      <c r="BL36" s="1562"/>
      <c r="BM36" s="1562"/>
      <c r="BN36" s="1562"/>
      <c r="BO36" s="1562"/>
      <c r="BP36" s="1562"/>
      <c r="BQ36" s="1569" t="s">
        <v>432</v>
      </c>
      <c r="BR36" s="1562"/>
      <c r="BS36" s="1562"/>
      <c r="BT36" s="1562"/>
      <c r="BU36" s="1562"/>
      <c r="BV36" s="1562"/>
      <c r="BW36" s="1562"/>
      <c r="BX36" s="1562"/>
      <c r="BY36" s="1569" t="s">
        <v>432</v>
      </c>
      <c r="BZ36" s="1562"/>
      <c r="CA36" s="1562"/>
      <c r="CB36" s="1562"/>
      <c r="CC36" s="1562"/>
      <c r="CD36" s="1562"/>
      <c r="CE36" s="1562"/>
      <c r="CF36" s="1562"/>
      <c r="CG36" s="1569" t="s">
        <v>432</v>
      </c>
      <c r="CH36" s="1562"/>
      <c r="CI36" s="1562"/>
      <c r="CJ36" s="1562"/>
      <c r="CK36" s="1562"/>
      <c r="CL36" s="1562"/>
      <c r="CM36" s="1562"/>
      <c r="CN36" s="1562"/>
      <c r="CO36" s="1569" t="s">
        <v>432</v>
      </c>
      <c r="CP36" s="2355"/>
      <c r="CQ36" s="2355"/>
      <c r="CR36" s="2355"/>
      <c r="CS36" s="2355"/>
      <c r="CT36" s="2355"/>
      <c r="CU36" s="2355"/>
      <c r="CV36" s="2355"/>
      <c r="CW36" s="2366" t="s">
        <v>432</v>
      </c>
      <c r="CX36" s="2355"/>
      <c r="CY36" s="2355"/>
      <c r="CZ36" s="2355"/>
      <c r="DA36" s="2355"/>
      <c r="DB36" s="2355"/>
      <c r="DC36" s="2355"/>
      <c r="DD36" s="2355"/>
      <c r="DE36" s="2366" t="s">
        <v>432</v>
      </c>
      <c r="DH36" s="305"/>
      <c r="DI36" s="305"/>
      <c r="DJ36" s="305"/>
      <c r="DK36" s="305"/>
      <c r="DL36" s="305"/>
      <c r="DM36" s="355">
        <v>0</v>
      </c>
    </row>
    <row r="37" spans="1:117" ht="14.65" customHeight="1">
      <c r="Q37" s="313"/>
      <c r="R37" s="313"/>
      <c r="S37" s="1202"/>
      <c r="T37" s="300"/>
      <c r="U37" s="1171"/>
      <c r="V37" s="3266"/>
      <c r="W37" s="3266"/>
      <c r="X37" s="3266"/>
      <c r="Y37" s="3266"/>
      <c r="Z37" s="3266"/>
      <c r="AA37" s="3266"/>
      <c r="AB37" s="3266"/>
      <c r="AC37" s="3266"/>
      <c r="AD37" s="3266"/>
      <c r="AE37" s="3266"/>
      <c r="AF37" s="3266"/>
      <c r="AG37" s="3266"/>
      <c r="AH37" s="3266"/>
      <c r="AI37" s="3266"/>
      <c r="AJ37" s="3266"/>
      <c r="AK37" s="3266"/>
      <c r="AL37" s="3266" t="s">
        <v>169</v>
      </c>
      <c r="AM37" s="3266"/>
      <c r="AN37" s="3266"/>
      <c r="AO37" s="3266"/>
      <c r="AP37" s="3266"/>
      <c r="AQ37" s="3266"/>
      <c r="AR37" s="3266"/>
      <c r="AS37" s="3282"/>
      <c r="AT37" s="3266" t="s">
        <v>169</v>
      </c>
      <c r="AU37" s="3266"/>
      <c r="AV37" s="3266"/>
      <c r="AW37" s="3266"/>
      <c r="AX37" s="3266"/>
      <c r="AY37" s="3266"/>
      <c r="AZ37" s="3266"/>
      <c r="BA37" s="3266"/>
      <c r="BB37" s="3266" t="s">
        <v>169</v>
      </c>
      <c r="BC37" s="3266"/>
      <c r="BD37" s="3266"/>
      <c r="BE37" s="3266"/>
      <c r="BF37" s="3266"/>
      <c r="BG37" s="3266"/>
      <c r="BH37" s="3266"/>
      <c r="BI37" s="3266"/>
      <c r="BJ37" s="3266" t="s">
        <v>169</v>
      </c>
      <c r="BK37" s="3266"/>
      <c r="BL37" s="3266"/>
      <c r="BM37" s="3266"/>
      <c r="BN37" s="3266"/>
      <c r="BO37" s="3266"/>
      <c r="BP37" s="3266"/>
      <c r="BQ37" s="3266"/>
      <c r="BR37" s="3266" t="s">
        <v>169</v>
      </c>
      <c r="BS37" s="3266"/>
      <c r="BT37" s="3266"/>
      <c r="BU37" s="3266"/>
      <c r="BV37" s="3266"/>
      <c r="BW37" s="3266"/>
      <c r="BX37" s="3266"/>
      <c r="BY37" s="3266"/>
      <c r="BZ37" s="3266" t="s">
        <v>169</v>
      </c>
      <c r="CA37" s="3266"/>
      <c r="CB37" s="3266"/>
      <c r="CC37" s="3266"/>
      <c r="CD37" s="3266"/>
      <c r="CE37" s="3266"/>
      <c r="CF37" s="3266"/>
      <c r="CG37" s="3266"/>
      <c r="CH37" s="3266" t="s">
        <v>169</v>
      </c>
      <c r="CI37" s="3266"/>
      <c r="CJ37" s="3266"/>
      <c r="CK37" s="3266"/>
      <c r="CL37" s="3266"/>
      <c r="CM37" s="3266"/>
      <c r="CN37" s="3266"/>
      <c r="CO37" s="3266"/>
      <c r="CP37" s="3282" t="s">
        <v>169</v>
      </c>
      <c r="CQ37" s="3282"/>
      <c r="CR37" s="3282"/>
      <c r="CS37" s="3282"/>
      <c r="CT37" s="3282"/>
      <c r="CU37" s="3282"/>
      <c r="CV37" s="3282"/>
      <c r="CW37" s="3282"/>
      <c r="CX37" s="3282" t="s">
        <v>169</v>
      </c>
      <c r="CY37" s="3282"/>
      <c r="CZ37" s="3282"/>
      <c r="DA37" s="3282"/>
      <c r="DB37" s="3282"/>
      <c r="DC37" s="3282"/>
      <c r="DD37" s="3282"/>
      <c r="DE37" s="3282"/>
      <c r="DM37" s="1082">
        <v>14</v>
      </c>
    </row>
    <row r="38" spans="1:117" ht="1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t="s">
        <v>308</v>
      </c>
      <c r="AM38" s="3111"/>
      <c r="AN38" s="3111"/>
      <c r="AO38" s="3111"/>
      <c r="AP38" s="3111"/>
      <c r="AQ38" s="3111"/>
      <c r="AR38" s="3111"/>
      <c r="AS38" s="3267"/>
      <c r="AT38" s="3111" t="s">
        <v>308</v>
      </c>
      <c r="AU38" s="3111"/>
      <c r="AV38" s="3111"/>
      <c r="AW38" s="3111"/>
      <c r="AX38" s="3111"/>
      <c r="AY38" s="3111"/>
      <c r="AZ38" s="3111"/>
      <c r="BA38" s="3111"/>
      <c r="BB38" s="3111" t="s">
        <v>308</v>
      </c>
      <c r="BC38" s="3111"/>
      <c r="BD38" s="3111"/>
      <c r="BE38" s="3111"/>
      <c r="BF38" s="3111"/>
      <c r="BG38" s="3111"/>
      <c r="BH38" s="3111"/>
      <c r="BI38" s="3111"/>
      <c r="BJ38" s="3111" t="s">
        <v>308</v>
      </c>
      <c r="BK38" s="3111"/>
      <c r="BL38" s="3111"/>
      <c r="BM38" s="3111"/>
      <c r="BN38" s="3111"/>
      <c r="BO38" s="3111"/>
      <c r="BP38" s="3111"/>
      <c r="BQ38" s="3111"/>
      <c r="BR38" s="3111" t="s">
        <v>308</v>
      </c>
      <c r="BS38" s="3111"/>
      <c r="BT38" s="3111"/>
      <c r="BU38" s="3111"/>
      <c r="BV38" s="3111"/>
      <c r="BW38" s="3111"/>
      <c r="BX38" s="3111"/>
      <c r="BY38" s="3111"/>
      <c r="BZ38" s="3111" t="s">
        <v>308</v>
      </c>
      <c r="CA38" s="3111"/>
      <c r="CB38" s="3111"/>
      <c r="CC38" s="3111"/>
      <c r="CD38" s="3111"/>
      <c r="CE38" s="3111"/>
      <c r="CF38" s="3111"/>
      <c r="CG38" s="3111"/>
      <c r="CH38" s="3111" t="s">
        <v>308</v>
      </c>
      <c r="CI38" s="3111"/>
      <c r="CJ38" s="3111"/>
      <c r="CK38" s="3111"/>
      <c r="CL38" s="3111"/>
      <c r="CM38" s="3111"/>
      <c r="CN38" s="3111"/>
      <c r="CO38" s="3111"/>
      <c r="CP38" s="3267" t="s">
        <v>308</v>
      </c>
      <c r="CQ38" s="3267"/>
      <c r="CR38" s="3267"/>
      <c r="CS38" s="3267"/>
      <c r="CT38" s="3267"/>
      <c r="CU38" s="3267"/>
      <c r="CV38" s="3267"/>
      <c r="CW38" s="3267"/>
      <c r="CX38" s="3267" t="s">
        <v>308</v>
      </c>
      <c r="CY38" s="3267"/>
      <c r="CZ38" s="3267"/>
      <c r="DA38" s="3267"/>
      <c r="DB38" s="3267"/>
      <c r="DC38" s="3267"/>
      <c r="DD38" s="3267"/>
      <c r="DE38" s="3267"/>
      <c r="DF38" s="3111"/>
      <c r="DG38" s="3111"/>
      <c r="DM38" s="1082"/>
    </row>
    <row r="39" spans="1:117" ht="14.65" customHeight="1">
      <c r="Q39" s="313"/>
      <c r="R39" s="313"/>
      <c r="S39" s="3268" t="s">
        <v>85</v>
      </c>
      <c r="T39" s="3212" t="s">
        <v>433</v>
      </c>
      <c r="U39" s="239"/>
      <c r="V39" s="3269" t="s">
        <v>434</v>
      </c>
      <c r="W39" s="3270"/>
      <c r="X39" s="3270"/>
      <c r="Y39" s="3270"/>
      <c r="Z39" s="3270"/>
      <c r="AA39" s="3270"/>
      <c r="AB39" s="3271"/>
      <c r="AC39" s="3272" t="s">
        <v>435</v>
      </c>
      <c r="AD39" s="3269" t="s">
        <v>434</v>
      </c>
      <c r="AE39" s="3270"/>
      <c r="AF39" s="3270"/>
      <c r="AG39" s="3270"/>
      <c r="AH39" s="3270"/>
      <c r="AI39" s="3270"/>
      <c r="AJ39" s="3271"/>
      <c r="AK39" s="3272" t="s">
        <v>436</v>
      </c>
      <c r="AL39" s="3269" t="s">
        <v>434</v>
      </c>
      <c r="AM39" s="3270"/>
      <c r="AN39" s="3270"/>
      <c r="AO39" s="3270"/>
      <c r="AP39" s="3270"/>
      <c r="AQ39" s="3270"/>
      <c r="AR39" s="3271"/>
      <c r="AS39" s="3283" t="s">
        <v>435</v>
      </c>
      <c r="AT39" s="3269" t="s">
        <v>434</v>
      </c>
      <c r="AU39" s="3270"/>
      <c r="AV39" s="3270"/>
      <c r="AW39" s="3270"/>
      <c r="AX39" s="3270"/>
      <c r="AY39" s="3270"/>
      <c r="AZ39" s="3271"/>
      <c r="BA39" s="3272" t="s">
        <v>435</v>
      </c>
      <c r="BB39" s="3269" t="s">
        <v>434</v>
      </c>
      <c r="BC39" s="3270"/>
      <c r="BD39" s="3270"/>
      <c r="BE39" s="3270"/>
      <c r="BF39" s="3270"/>
      <c r="BG39" s="3270"/>
      <c r="BH39" s="3271"/>
      <c r="BI39" s="3272" t="s">
        <v>435</v>
      </c>
      <c r="BJ39" s="3269" t="s">
        <v>434</v>
      </c>
      <c r="BK39" s="3270"/>
      <c r="BL39" s="3270"/>
      <c r="BM39" s="3270"/>
      <c r="BN39" s="3270"/>
      <c r="BO39" s="3270"/>
      <c r="BP39" s="3271"/>
      <c r="BQ39" s="3272" t="s">
        <v>435</v>
      </c>
      <c r="BR39" s="3269" t="s">
        <v>434</v>
      </c>
      <c r="BS39" s="3270"/>
      <c r="BT39" s="3270"/>
      <c r="BU39" s="3270"/>
      <c r="BV39" s="3270"/>
      <c r="BW39" s="3270"/>
      <c r="BX39" s="3271"/>
      <c r="BY39" s="3272" t="s">
        <v>435</v>
      </c>
      <c r="BZ39" s="3269" t="s">
        <v>434</v>
      </c>
      <c r="CA39" s="3270"/>
      <c r="CB39" s="3270"/>
      <c r="CC39" s="3270"/>
      <c r="CD39" s="3270"/>
      <c r="CE39" s="3270"/>
      <c r="CF39" s="3271"/>
      <c r="CG39" s="3272" t="s">
        <v>435</v>
      </c>
      <c r="CH39" s="3269" t="s">
        <v>434</v>
      </c>
      <c r="CI39" s="3270"/>
      <c r="CJ39" s="3270"/>
      <c r="CK39" s="3270"/>
      <c r="CL39" s="3270"/>
      <c r="CM39" s="3270"/>
      <c r="CN39" s="3271"/>
      <c r="CO39" s="3272" t="s">
        <v>435</v>
      </c>
      <c r="CP39" s="3294" t="s">
        <v>434</v>
      </c>
      <c r="CQ39" s="3295"/>
      <c r="CR39" s="3295"/>
      <c r="CS39" s="3295"/>
      <c r="CT39" s="3295"/>
      <c r="CU39" s="3295"/>
      <c r="CV39" s="3296"/>
      <c r="CW39" s="3283" t="s">
        <v>435</v>
      </c>
      <c r="CX39" s="3294" t="s">
        <v>434</v>
      </c>
      <c r="CY39" s="3295"/>
      <c r="CZ39" s="3295"/>
      <c r="DA39" s="3295"/>
      <c r="DB39" s="3295"/>
      <c r="DC39" s="3295"/>
      <c r="DD39" s="3296"/>
      <c r="DE39" s="3283" t="s">
        <v>435</v>
      </c>
      <c r="DF39" s="3275" t="s">
        <v>437</v>
      </c>
      <c r="DG39" s="3111"/>
      <c r="DM39" s="1082">
        <v>14</v>
      </c>
    </row>
    <row r="40" spans="1:117" ht="35.65" customHeight="1">
      <c r="Q40" s="313"/>
      <c r="R40" s="313"/>
      <c r="S40" s="3268"/>
      <c r="T40" s="3212"/>
      <c r="U40" s="961"/>
      <c r="V40" s="3184" t="s">
        <v>438</v>
      </c>
      <c r="W40" s="3263" t="s">
        <v>439</v>
      </c>
      <c r="X40" s="3093" t="s">
        <v>440</v>
      </c>
      <c r="Y40" s="3092"/>
      <c r="Z40" s="3093" t="s">
        <v>456</v>
      </c>
      <c r="AA40" s="3098"/>
      <c r="AB40" s="3092"/>
      <c r="AC40" s="3273"/>
      <c r="AD40" s="3184" t="s">
        <v>438</v>
      </c>
      <c r="AE40" s="3263" t="s">
        <v>439</v>
      </c>
      <c r="AF40" s="3093" t="s">
        <v>440</v>
      </c>
      <c r="AG40" s="3092"/>
      <c r="AH40" s="3093" t="s">
        <v>441</v>
      </c>
      <c r="AI40" s="3098"/>
      <c r="AJ40" s="3092"/>
      <c r="AK40" s="3273"/>
      <c r="AL40" s="3184" t="s">
        <v>438</v>
      </c>
      <c r="AM40" s="3263" t="s">
        <v>439</v>
      </c>
      <c r="AN40" s="3093" t="s">
        <v>440</v>
      </c>
      <c r="AO40" s="3092"/>
      <c r="AP40" s="3093" t="s">
        <v>456</v>
      </c>
      <c r="AQ40" s="3098"/>
      <c r="AR40" s="3092"/>
      <c r="AS40" s="3284"/>
      <c r="AT40" s="3184" t="s">
        <v>438</v>
      </c>
      <c r="AU40" s="3263" t="s">
        <v>439</v>
      </c>
      <c r="AV40" s="3093" t="s">
        <v>440</v>
      </c>
      <c r="AW40" s="3092"/>
      <c r="AX40" s="3093" t="s">
        <v>456</v>
      </c>
      <c r="AY40" s="3098"/>
      <c r="AZ40" s="3092"/>
      <c r="BA40" s="3273"/>
      <c r="BB40" s="3184" t="s">
        <v>438</v>
      </c>
      <c r="BC40" s="3263" t="s">
        <v>439</v>
      </c>
      <c r="BD40" s="3093" t="s">
        <v>440</v>
      </c>
      <c r="BE40" s="3092"/>
      <c r="BF40" s="3093" t="s">
        <v>456</v>
      </c>
      <c r="BG40" s="3098"/>
      <c r="BH40" s="3092"/>
      <c r="BI40" s="3273"/>
      <c r="BJ40" s="3184" t="s">
        <v>438</v>
      </c>
      <c r="BK40" s="3263" t="s">
        <v>439</v>
      </c>
      <c r="BL40" s="3093" t="s">
        <v>440</v>
      </c>
      <c r="BM40" s="3092"/>
      <c r="BN40" s="3093" t="s">
        <v>456</v>
      </c>
      <c r="BO40" s="3098"/>
      <c r="BP40" s="3092"/>
      <c r="BQ40" s="3273"/>
      <c r="BR40" s="3184" t="s">
        <v>438</v>
      </c>
      <c r="BS40" s="3263" t="s">
        <v>439</v>
      </c>
      <c r="BT40" s="3093" t="s">
        <v>440</v>
      </c>
      <c r="BU40" s="3092"/>
      <c r="BV40" s="3093" t="s">
        <v>456</v>
      </c>
      <c r="BW40" s="3098"/>
      <c r="BX40" s="3092"/>
      <c r="BY40" s="3273"/>
      <c r="BZ40" s="3184" t="s">
        <v>438</v>
      </c>
      <c r="CA40" s="3263" t="s">
        <v>439</v>
      </c>
      <c r="CB40" s="3093" t="s">
        <v>440</v>
      </c>
      <c r="CC40" s="3092"/>
      <c r="CD40" s="3093" t="s">
        <v>456</v>
      </c>
      <c r="CE40" s="3098"/>
      <c r="CF40" s="3092"/>
      <c r="CG40" s="3273"/>
      <c r="CH40" s="3184" t="s">
        <v>438</v>
      </c>
      <c r="CI40" s="3263" t="s">
        <v>439</v>
      </c>
      <c r="CJ40" s="3093" t="s">
        <v>440</v>
      </c>
      <c r="CK40" s="3092"/>
      <c r="CL40" s="3093" t="s">
        <v>456</v>
      </c>
      <c r="CM40" s="3098"/>
      <c r="CN40" s="3092"/>
      <c r="CO40" s="3273"/>
      <c r="CP40" s="3297" t="s">
        <v>438</v>
      </c>
      <c r="CQ40" s="3299" t="s">
        <v>439</v>
      </c>
      <c r="CR40" s="3301" t="s">
        <v>440</v>
      </c>
      <c r="CS40" s="3302"/>
      <c r="CT40" s="3301" t="s">
        <v>456</v>
      </c>
      <c r="CU40" s="3303"/>
      <c r="CV40" s="3302"/>
      <c r="CW40" s="3284"/>
      <c r="CX40" s="3297" t="s">
        <v>438</v>
      </c>
      <c r="CY40" s="3299" t="s">
        <v>439</v>
      </c>
      <c r="CZ40" s="3301" t="s">
        <v>440</v>
      </c>
      <c r="DA40" s="3302"/>
      <c r="DB40" s="3301" t="s">
        <v>456</v>
      </c>
      <c r="DC40" s="3303"/>
      <c r="DD40" s="3302"/>
      <c r="DE40" s="3284"/>
      <c r="DF40" s="3276"/>
      <c r="DG40" s="3111"/>
      <c r="DM40" s="1082">
        <v>34</v>
      </c>
    </row>
    <row r="41" spans="1:117" ht="35.65" customHeight="1">
      <c r="A41" s="1297"/>
      <c r="B41" s="1297" t="s">
        <v>133</v>
      </c>
      <c r="C41" s="1297" t="s">
        <v>134</v>
      </c>
      <c r="D41" s="1297" t="s">
        <v>135</v>
      </c>
      <c r="E41" s="1291" t="s">
        <v>442</v>
      </c>
      <c r="F41" s="1291" t="s">
        <v>443</v>
      </c>
      <c r="G41" s="1291" t="s">
        <v>444</v>
      </c>
      <c r="H41" s="1291" t="s">
        <v>445</v>
      </c>
      <c r="I41" s="1291" t="s">
        <v>446</v>
      </c>
      <c r="J41" s="1291" t="s">
        <v>447</v>
      </c>
      <c r="K41" s="1291" t="s">
        <v>448</v>
      </c>
      <c r="L41" s="1291" t="s">
        <v>423</v>
      </c>
      <c r="Q41" s="313"/>
      <c r="R41" s="313"/>
      <c r="S41" s="3268"/>
      <c r="T41" s="3212"/>
      <c r="U41" s="240"/>
      <c r="V41" s="3237"/>
      <c r="W41" s="3264"/>
      <c r="X41" s="1149" t="s">
        <v>449</v>
      </c>
      <c r="Y41" s="1149" t="s">
        <v>450</v>
      </c>
      <c r="Z41" s="1265" t="s">
        <v>451</v>
      </c>
      <c r="AA41" s="3217" t="s">
        <v>452</v>
      </c>
      <c r="AB41" s="3231"/>
      <c r="AC41" s="3274"/>
      <c r="AD41" s="3237"/>
      <c r="AE41" s="3264"/>
      <c r="AF41" s="1149" t="s">
        <v>449</v>
      </c>
      <c r="AG41" s="1149" t="s">
        <v>450</v>
      </c>
      <c r="AH41" s="1265" t="s">
        <v>451</v>
      </c>
      <c r="AI41" s="3217" t="s">
        <v>452</v>
      </c>
      <c r="AJ41" s="3231"/>
      <c r="AK41" s="3274"/>
      <c r="AL41" s="3237"/>
      <c r="AM41" s="3264"/>
      <c r="AN41" s="2021" t="s">
        <v>449</v>
      </c>
      <c r="AO41" s="2021" t="s">
        <v>450</v>
      </c>
      <c r="AP41" s="2021" t="s">
        <v>451</v>
      </c>
      <c r="AQ41" s="3217" t="s">
        <v>452</v>
      </c>
      <c r="AR41" s="3231"/>
      <c r="AS41" s="3285"/>
      <c r="AT41" s="3237"/>
      <c r="AU41" s="3264"/>
      <c r="AV41" s="2021" t="s">
        <v>449</v>
      </c>
      <c r="AW41" s="2021" t="s">
        <v>450</v>
      </c>
      <c r="AX41" s="2021" t="s">
        <v>451</v>
      </c>
      <c r="AY41" s="3217" t="s">
        <v>452</v>
      </c>
      <c r="AZ41" s="3231"/>
      <c r="BA41" s="3274"/>
      <c r="BB41" s="3237"/>
      <c r="BC41" s="3264"/>
      <c r="BD41" s="2021" t="s">
        <v>449</v>
      </c>
      <c r="BE41" s="2021" t="s">
        <v>450</v>
      </c>
      <c r="BF41" s="2021" t="s">
        <v>451</v>
      </c>
      <c r="BG41" s="3217" t="s">
        <v>452</v>
      </c>
      <c r="BH41" s="3231"/>
      <c r="BI41" s="3274"/>
      <c r="BJ41" s="3237"/>
      <c r="BK41" s="3264"/>
      <c r="BL41" s="2021" t="s">
        <v>449</v>
      </c>
      <c r="BM41" s="2021" t="s">
        <v>450</v>
      </c>
      <c r="BN41" s="2021" t="s">
        <v>451</v>
      </c>
      <c r="BO41" s="3217" t="s">
        <v>452</v>
      </c>
      <c r="BP41" s="3231"/>
      <c r="BQ41" s="3274"/>
      <c r="BR41" s="3237"/>
      <c r="BS41" s="3264"/>
      <c r="BT41" s="2021" t="s">
        <v>449</v>
      </c>
      <c r="BU41" s="2021" t="s">
        <v>450</v>
      </c>
      <c r="BV41" s="2021" t="s">
        <v>451</v>
      </c>
      <c r="BW41" s="3217" t="s">
        <v>452</v>
      </c>
      <c r="BX41" s="3231"/>
      <c r="BY41" s="3274"/>
      <c r="BZ41" s="3237"/>
      <c r="CA41" s="3264"/>
      <c r="CB41" s="2021" t="s">
        <v>449</v>
      </c>
      <c r="CC41" s="2021" t="s">
        <v>450</v>
      </c>
      <c r="CD41" s="2021" t="s">
        <v>451</v>
      </c>
      <c r="CE41" s="3217" t="s">
        <v>452</v>
      </c>
      <c r="CF41" s="3231"/>
      <c r="CG41" s="3274"/>
      <c r="CH41" s="3237"/>
      <c r="CI41" s="3264"/>
      <c r="CJ41" s="2021" t="s">
        <v>449</v>
      </c>
      <c r="CK41" s="2021" t="s">
        <v>450</v>
      </c>
      <c r="CL41" s="2021" t="s">
        <v>451</v>
      </c>
      <c r="CM41" s="3217" t="s">
        <v>452</v>
      </c>
      <c r="CN41" s="3231"/>
      <c r="CO41" s="3274"/>
      <c r="CP41" s="3298"/>
      <c r="CQ41" s="3300"/>
      <c r="CR41" s="2981" t="s">
        <v>449</v>
      </c>
      <c r="CS41" s="2981" t="s">
        <v>450</v>
      </c>
      <c r="CT41" s="2981" t="s">
        <v>451</v>
      </c>
      <c r="CU41" s="3304" t="s">
        <v>452</v>
      </c>
      <c r="CV41" s="3305"/>
      <c r="CW41" s="3285"/>
      <c r="CX41" s="3298"/>
      <c r="CY41" s="3300"/>
      <c r="CZ41" s="2981" t="s">
        <v>449</v>
      </c>
      <c r="DA41" s="2981" t="s">
        <v>450</v>
      </c>
      <c r="DB41" s="2981" t="s">
        <v>451</v>
      </c>
      <c r="DC41" s="3304" t="s">
        <v>452</v>
      </c>
      <c r="DD41" s="3305"/>
      <c r="DE41" s="3285"/>
      <c r="DF41" s="3277"/>
      <c r="DG41" s="3111"/>
      <c r="DM41" s="1082">
        <v>34</v>
      </c>
    </row>
    <row r="42" spans="1:117"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3265">
        <f ca="1">OFFSET(AA42,0,-1)+1</f>
        <v>4</v>
      </c>
      <c r="AB42" s="3265"/>
      <c r="AC42" s="1262">
        <f ca="1">OFFSET(AC42,0,-2)+1</f>
        <v>5</v>
      </c>
      <c r="AD42" s="1262">
        <f ca="1">OFFSET(AD42,0,-1)+1</f>
        <v>6</v>
      </c>
      <c r="AE42" s="1262"/>
      <c r="AF42" s="1262">
        <f ca="1">OFFSET(AF42,0,-1)+1</f>
        <v>1</v>
      </c>
      <c r="AG42" s="1262">
        <f ca="1">OFFSET(AG42,0,-1)+1</f>
        <v>2</v>
      </c>
      <c r="AH42" s="1262">
        <f ca="1">OFFSET(AH42,0,-1)+1</f>
        <v>3</v>
      </c>
      <c r="AI42" s="3265">
        <f ca="1">OFFSET(AI42,0,-1)+1</f>
        <v>4</v>
      </c>
      <c r="AJ42" s="3265"/>
      <c r="AK42" s="1262">
        <f ca="1">OFFSET(AK42,0,-2)+1</f>
        <v>5</v>
      </c>
      <c r="AL42" s="2010">
        <f ca="1">OFFSET(AL42,0,-1)+1</f>
        <v>6</v>
      </c>
      <c r="AM42" s="2010"/>
      <c r="AN42" s="2010">
        <f ca="1">OFFSET(AN42,0,-1)+1</f>
        <v>1</v>
      </c>
      <c r="AO42" s="2010">
        <f ca="1">OFFSET(AO42,0,-1)+1</f>
        <v>2</v>
      </c>
      <c r="AP42" s="2010">
        <f ca="1">OFFSET(AP42,0,-1)+1</f>
        <v>3</v>
      </c>
      <c r="AQ42" s="3265">
        <f ca="1">OFFSET(AQ42,0,-1)+1</f>
        <v>4</v>
      </c>
      <c r="AR42" s="3265"/>
      <c r="AS42" s="2367">
        <f ca="1">OFFSET(AS42,0,-2)+1</f>
        <v>5</v>
      </c>
      <c r="AT42" s="2010">
        <f ca="1">OFFSET(AT42,0,-1)+1</f>
        <v>6</v>
      </c>
      <c r="AU42" s="2010"/>
      <c r="AV42" s="2010">
        <f ca="1">OFFSET(AV42,0,-1)+1</f>
        <v>1</v>
      </c>
      <c r="AW42" s="2010">
        <f ca="1">OFFSET(AW42,0,-1)+1</f>
        <v>2</v>
      </c>
      <c r="AX42" s="2010">
        <f ca="1">OFFSET(AX42,0,-1)+1</f>
        <v>3</v>
      </c>
      <c r="AY42" s="3265">
        <f ca="1">OFFSET(AY42,0,-1)+1</f>
        <v>4</v>
      </c>
      <c r="AZ42" s="3265"/>
      <c r="BA42" s="2010">
        <f ca="1">OFFSET(BA42,0,-2)+1</f>
        <v>5</v>
      </c>
      <c r="BB42" s="2010">
        <f ca="1">OFFSET(BB42,0,-1)+1</f>
        <v>6</v>
      </c>
      <c r="BC42" s="2010"/>
      <c r="BD42" s="2010">
        <f ca="1">OFFSET(BD42,0,-1)+1</f>
        <v>1</v>
      </c>
      <c r="BE42" s="2010">
        <f ca="1">OFFSET(BE42,0,-1)+1</f>
        <v>2</v>
      </c>
      <c r="BF42" s="2010">
        <f ca="1">OFFSET(BF42,0,-1)+1</f>
        <v>3</v>
      </c>
      <c r="BG42" s="3265">
        <f ca="1">OFFSET(BG42,0,-1)+1</f>
        <v>4</v>
      </c>
      <c r="BH42" s="3265"/>
      <c r="BI42" s="2010">
        <f ca="1">OFFSET(BI42,0,-2)+1</f>
        <v>5</v>
      </c>
      <c r="BJ42" s="2010">
        <f ca="1">OFFSET(BJ42,0,-1)+1</f>
        <v>6</v>
      </c>
      <c r="BK42" s="2010"/>
      <c r="BL42" s="2010">
        <f ca="1">OFFSET(BL42,0,-1)+1</f>
        <v>1</v>
      </c>
      <c r="BM42" s="2010">
        <f ca="1">OFFSET(BM42,0,-1)+1</f>
        <v>2</v>
      </c>
      <c r="BN42" s="2010">
        <f ca="1">OFFSET(BN42,0,-1)+1</f>
        <v>3</v>
      </c>
      <c r="BO42" s="3265">
        <f ca="1">OFFSET(BO42,0,-1)+1</f>
        <v>4</v>
      </c>
      <c r="BP42" s="3265"/>
      <c r="BQ42" s="2010">
        <f ca="1">OFFSET(BQ42,0,-2)+1</f>
        <v>5</v>
      </c>
      <c r="BR42" s="2010">
        <f ca="1">OFFSET(BR42,0,-1)+1</f>
        <v>6</v>
      </c>
      <c r="BS42" s="2010"/>
      <c r="BT42" s="2010">
        <f ca="1">OFFSET(BT42,0,-1)+1</f>
        <v>1</v>
      </c>
      <c r="BU42" s="2010">
        <f ca="1">OFFSET(BU42,0,-1)+1</f>
        <v>2</v>
      </c>
      <c r="BV42" s="2010">
        <f ca="1">OFFSET(BV42,0,-1)+1</f>
        <v>3</v>
      </c>
      <c r="BW42" s="3265">
        <f ca="1">OFFSET(BW42,0,-1)+1</f>
        <v>4</v>
      </c>
      <c r="BX42" s="3265"/>
      <c r="BY42" s="2010">
        <f ca="1">OFFSET(BY42,0,-2)+1</f>
        <v>5</v>
      </c>
      <c r="BZ42" s="2010">
        <f ca="1">OFFSET(BZ42,0,-1)+1</f>
        <v>6</v>
      </c>
      <c r="CA42" s="2010"/>
      <c r="CB42" s="2010">
        <f ca="1">OFFSET(CB42,0,-1)+1</f>
        <v>1</v>
      </c>
      <c r="CC42" s="2010">
        <f ca="1">OFFSET(CC42,0,-1)+1</f>
        <v>2</v>
      </c>
      <c r="CD42" s="2010">
        <f ca="1">OFFSET(CD42,0,-1)+1</f>
        <v>3</v>
      </c>
      <c r="CE42" s="3265">
        <f ca="1">OFFSET(CE42,0,-1)+1</f>
        <v>4</v>
      </c>
      <c r="CF42" s="3265"/>
      <c r="CG42" s="2010">
        <f ca="1">OFFSET(CG42,0,-2)+1</f>
        <v>5</v>
      </c>
      <c r="CH42" s="2010">
        <f ca="1">OFFSET(CH42,0,-1)+1</f>
        <v>6</v>
      </c>
      <c r="CI42" s="2010"/>
      <c r="CJ42" s="2010">
        <f ca="1">OFFSET(CJ42,0,-1)+1</f>
        <v>1</v>
      </c>
      <c r="CK42" s="2010">
        <f ca="1">OFFSET(CK42,0,-1)+1</f>
        <v>2</v>
      </c>
      <c r="CL42" s="2010">
        <f ca="1">OFFSET(CL42,0,-1)+1</f>
        <v>3</v>
      </c>
      <c r="CM42" s="3265">
        <f ca="1">OFFSET(CM42,0,-1)+1</f>
        <v>4</v>
      </c>
      <c r="CN42" s="3265"/>
      <c r="CO42" s="2010">
        <f ca="1">OFFSET(CO42,0,-2)+1</f>
        <v>5</v>
      </c>
      <c r="CP42" s="2367">
        <f ca="1">OFFSET(CP42,0,-1)+1</f>
        <v>6</v>
      </c>
      <c r="CQ42" s="2367"/>
      <c r="CR42" s="2367">
        <f ca="1">OFFSET(CR42,0,-1)+1</f>
        <v>1</v>
      </c>
      <c r="CS42" s="2367">
        <f ca="1">OFFSET(CS42,0,-1)+1</f>
        <v>2</v>
      </c>
      <c r="CT42" s="2367">
        <f ca="1">OFFSET(CT42,0,-1)+1</f>
        <v>3</v>
      </c>
      <c r="CU42" s="3306">
        <f ca="1">OFFSET(CU42,0,-1)+1</f>
        <v>4</v>
      </c>
      <c r="CV42" s="3306"/>
      <c r="CW42" s="2367">
        <f ca="1">OFFSET(CW42,0,-2)+1</f>
        <v>5</v>
      </c>
      <c r="CX42" s="2367">
        <f ca="1">OFFSET(CX42,0,-1)+1</f>
        <v>6</v>
      </c>
      <c r="CY42" s="2367"/>
      <c r="CZ42" s="2367">
        <f ca="1">OFFSET(CZ42,0,-1)+1</f>
        <v>1</v>
      </c>
      <c r="DA42" s="2367">
        <f ca="1">OFFSET(DA42,0,-1)+1</f>
        <v>2</v>
      </c>
      <c r="DB42" s="2367">
        <f ca="1">OFFSET(DB42,0,-1)+1</f>
        <v>3</v>
      </c>
      <c r="DC42" s="3306">
        <f ca="1">OFFSET(DC42,0,-1)+1</f>
        <v>4</v>
      </c>
      <c r="DD42" s="3306"/>
      <c r="DE42" s="2367">
        <f ca="1">OFFSET(DE42,0,-2)+1</f>
        <v>5</v>
      </c>
      <c r="DF42" s="1172">
        <f ca="1">OFFSET(DF42,0,-1)</f>
        <v>5</v>
      </c>
      <c r="DG42" s="1262">
        <f ca="1">OFFSET(DG42,0,-1)+1</f>
        <v>6</v>
      </c>
      <c r="DH42" s="448"/>
      <c r="DI42" s="448"/>
      <c r="DJ42" s="448"/>
      <c r="DK42" s="448"/>
      <c r="DL42" s="448"/>
      <c r="DM42" s="433">
        <v>0</v>
      </c>
    </row>
    <row r="43" spans="1:117" ht="30" customHeight="1">
      <c r="A43" s="1290" t="s">
        <v>162</v>
      </c>
      <c r="B43" s="1290"/>
      <c r="C43" s="1290"/>
      <c r="D43" s="1290"/>
      <c r="E43" s="3254">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121</v>
      </c>
      <c r="U43" s="238"/>
      <c r="V43" s="3246"/>
      <c r="W43" s="3247"/>
      <c r="X43" s="3247"/>
      <c r="Y43" s="3247"/>
      <c r="Z43" s="3247"/>
      <c r="AA43" s="3247"/>
      <c r="AB43" s="3247"/>
      <c r="AC43" s="3248"/>
      <c r="AD43" s="3246" t="str">
        <f>INDEX(PT_DIFFERENTIATION_NTAR,MATCH(A43,PT_DIFFERENTIATION_NTAR_ID,0))</f>
        <v>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v>
      </c>
      <c r="AE43" s="3247"/>
      <c r="AF43" s="3247"/>
      <c r="AG43" s="3247"/>
      <c r="AH43" s="3247"/>
      <c r="AI43" s="3247"/>
      <c r="AJ43" s="3247"/>
      <c r="AK43" s="3247"/>
      <c r="AL43" s="3246"/>
      <c r="AM43" s="3247"/>
      <c r="AN43" s="3247"/>
      <c r="AO43" s="3247"/>
      <c r="AP43" s="3247"/>
      <c r="AQ43" s="3247"/>
      <c r="AR43" s="3247"/>
      <c r="AS43" s="3249"/>
      <c r="AT43" s="3246"/>
      <c r="AU43" s="3247"/>
      <c r="AV43" s="3247"/>
      <c r="AW43" s="3247"/>
      <c r="AX43" s="3247"/>
      <c r="AY43" s="3247"/>
      <c r="AZ43" s="3247"/>
      <c r="BA43" s="3248"/>
      <c r="BB43" s="3246"/>
      <c r="BC43" s="3247"/>
      <c r="BD43" s="3247"/>
      <c r="BE43" s="3247"/>
      <c r="BF43" s="3247"/>
      <c r="BG43" s="3247"/>
      <c r="BH43" s="3247"/>
      <c r="BI43" s="3248"/>
      <c r="BJ43" s="3246"/>
      <c r="BK43" s="3247"/>
      <c r="BL43" s="3247"/>
      <c r="BM43" s="3247"/>
      <c r="BN43" s="3247"/>
      <c r="BO43" s="3247"/>
      <c r="BP43" s="3247"/>
      <c r="BQ43" s="3248"/>
      <c r="BR43" s="3246"/>
      <c r="BS43" s="3247"/>
      <c r="BT43" s="3247"/>
      <c r="BU43" s="3247"/>
      <c r="BV43" s="3247"/>
      <c r="BW43" s="3247"/>
      <c r="BX43" s="3247"/>
      <c r="BY43" s="3248"/>
      <c r="BZ43" s="3246"/>
      <c r="CA43" s="3247"/>
      <c r="CB43" s="3247"/>
      <c r="CC43" s="3247"/>
      <c r="CD43" s="3247"/>
      <c r="CE43" s="3247"/>
      <c r="CF43" s="3247"/>
      <c r="CG43" s="3248"/>
      <c r="CH43" s="3246"/>
      <c r="CI43" s="3247"/>
      <c r="CJ43" s="3247"/>
      <c r="CK43" s="3247"/>
      <c r="CL43" s="3247"/>
      <c r="CM43" s="3247"/>
      <c r="CN43" s="3247"/>
      <c r="CO43" s="3248"/>
      <c r="CP43" s="3288"/>
      <c r="CQ43" s="3289"/>
      <c r="CR43" s="3289"/>
      <c r="CS43" s="3289"/>
      <c r="CT43" s="3289"/>
      <c r="CU43" s="3289"/>
      <c r="CV43" s="3289"/>
      <c r="CW43" s="3249"/>
      <c r="CX43" s="3288"/>
      <c r="CY43" s="3289"/>
      <c r="CZ43" s="3289"/>
      <c r="DA43" s="3289"/>
      <c r="DB43" s="3289"/>
      <c r="DC43" s="3289"/>
      <c r="DD43" s="3289"/>
      <c r="DE43" s="3249"/>
      <c r="DF43" s="3248"/>
      <c r="DG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DI43" s="437"/>
      <c r="DJ43" s="437" t="str">
        <f t="shared" ref="DJ43:DJ71" si="1">IF(T43="","",T43)</f>
        <v>Наименование тарифа</v>
      </c>
      <c r="DK43" s="437"/>
      <c r="DL43" s="437"/>
      <c r="DM43" s="1082">
        <v>21</v>
      </c>
    </row>
    <row r="44" spans="1:117" ht="21.95" customHeight="1">
      <c r="A44" s="1290" t="s">
        <v>162</v>
      </c>
      <c r="B44" s="1290" t="s">
        <v>163</v>
      </c>
      <c r="C44" s="1290"/>
      <c r="D44" s="1290"/>
      <c r="E44" s="3255"/>
      <c r="F44" s="3254">
        <v>1</v>
      </c>
      <c r="G44" s="1290"/>
      <c r="H44" s="1290"/>
      <c r="I44" s="1290"/>
      <c r="J44" s="1290"/>
      <c r="K44" s="1290"/>
      <c r="L44" s="1291"/>
      <c r="M44" s="1292"/>
      <c r="N44" s="1292"/>
      <c r="O44" s="1292"/>
      <c r="P44" s="1259"/>
      <c r="Q44" s="289"/>
      <c r="R44" s="290"/>
      <c r="S44" s="1263" t="str">
        <f>INDEX(PT_DIFFERENTIATION_NUM_TER,MATCH(B44,PT_DIFFERENTIATION_TER_ID,0))</f>
        <v>1.1</v>
      </c>
      <c r="T44" s="246" t="s">
        <v>405</v>
      </c>
      <c r="U44" s="238"/>
      <c r="V44" s="3246"/>
      <c r="W44" s="3247"/>
      <c r="X44" s="3247"/>
      <c r="Y44" s="3247"/>
      <c r="Z44" s="3247"/>
      <c r="AA44" s="3247"/>
      <c r="AB44" s="3247"/>
      <c r="AC44" s="3248"/>
      <c r="AD44" s="3246" t="str">
        <f>INDEX(PT_DIFFERENTIATION_TER,MATCH(B44,PT_DIFFERENTIATION_TER_ID,0))</f>
        <v>без дифференциации</v>
      </c>
      <c r="AE44" s="3247"/>
      <c r="AF44" s="3247"/>
      <c r="AG44" s="3247"/>
      <c r="AH44" s="3247"/>
      <c r="AI44" s="3247"/>
      <c r="AJ44" s="3247"/>
      <c r="AK44" s="3247"/>
      <c r="AL44" s="3246"/>
      <c r="AM44" s="3247"/>
      <c r="AN44" s="3247"/>
      <c r="AO44" s="3247"/>
      <c r="AP44" s="3247"/>
      <c r="AQ44" s="3247"/>
      <c r="AR44" s="3247"/>
      <c r="AS44" s="3249"/>
      <c r="AT44" s="3246"/>
      <c r="AU44" s="3247"/>
      <c r="AV44" s="3247"/>
      <c r="AW44" s="3247"/>
      <c r="AX44" s="3247"/>
      <c r="AY44" s="3247"/>
      <c r="AZ44" s="3247"/>
      <c r="BA44" s="3248"/>
      <c r="BB44" s="3246"/>
      <c r="BC44" s="3247"/>
      <c r="BD44" s="3247"/>
      <c r="BE44" s="3247"/>
      <c r="BF44" s="3247"/>
      <c r="BG44" s="3247"/>
      <c r="BH44" s="3247"/>
      <c r="BI44" s="3248"/>
      <c r="BJ44" s="3246"/>
      <c r="BK44" s="3247"/>
      <c r="BL44" s="3247"/>
      <c r="BM44" s="3247"/>
      <c r="BN44" s="3247"/>
      <c r="BO44" s="3247"/>
      <c r="BP44" s="3247"/>
      <c r="BQ44" s="3248"/>
      <c r="BR44" s="3246"/>
      <c r="BS44" s="3247"/>
      <c r="BT44" s="3247"/>
      <c r="BU44" s="3247"/>
      <c r="BV44" s="3247"/>
      <c r="BW44" s="3247"/>
      <c r="BX44" s="3247"/>
      <c r="BY44" s="3248"/>
      <c r="BZ44" s="3246"/>
      <c r="CA44" s="3247"/>
      <c r="CB44" s="3247"/>
      <c r="CC44" s="3247"/>
      <c r="CD44" s="3247"/>
      <c r="CE44" s="3247"/>
      <c r="CF44" s="3247"/>
      <c r="CG44" s="3248"/>
      <c r="CH44" s="3246"/>
      <c r="CI44" s="3247"/>
      <c r="CJ44" s="3247"/>
      <c r="CK44" s="3247"/>
      <c r="CL44" s="3247"/>
      <c r="CM44" s="3247"/>
      <c r="CN44" s="3247"/>
      <c r="CO44" s="3248"/>
      <c r="CP44" s="3288"/>
      <c r="CQ44" s="3289"/>
      <c r="CR44" s="3289"/>
      <c r="CS44" s="3289"/>
      <c r="CT44" s="3289"/>
      <c r="CU44" s="3289"/>
      <c r="CV44" s="3289"/>
      <c r="CW44" s="3249"/>
      <c r="CX44" s="3288"/>
      <c r="CY44" s="3289"/>
      <c r="CZ44" s="3289"/>
      <c r="DA44" s="3289"/>
      <c r="DB44" s="3289"/>
      <c r="DC44" s="3289"/>
      <c r="DD44" s="3289"/>
      <c r="DE44" s="3249"/>
      <c r="DF44" s="3248"/>
      <c r="DG44" s="1185" t="s">
        <v>406</v>
      </c>
      <c r="DI44" s="437"/>
      <c r="DJ44" s="437" t="str">
        <f t="shared" si="1"/>
        <v>Территория действия тарифа</v>
      </c>
      <c r="DK44" s="437"/>
      <c r="DL44" s="437"/>
      <c r="DM44" s="1082">
        <v>21</v>
      </c>
    </row>
    <row r="45" spans="1:117" ht="24" customHeight="1">
      <c r="A45" s="1290" t="s">
        <v>162</v>
      </c>
      <c r="B45" s="1290" t="s">
        <v>163</v>
      </c>
      <c r="C45" s="1290" t="s">
        <v>164</v>
      </c>
      <c r="D45" s="1290"/>
      <c r="E45" s="3255"/>
      <c r="F45" s="3255"/>
      <c r="G45" s="3254">
        <v>1</v>
      </c>
      <c r="H45" s="1290"/>
      <c r="I45" s="1290"/>
      <c r="J45" s="1290"/>
      <c r="K45" s="1290"/>
      <c r="L45" s="1291"/>
      <c r="M45" s="1292"/>
      <c r="N45" s="1292"/>
      <c r="O45" s="1292"/>
      <c r="P45" s="291"/>
      <c r="Q45" s="289"/>
      <c r="R45" s="290"/>
      <c r="S45" s="1263" t="str">
        <f>INDEX(PT_DIFFERENTIATION_NUM_CS,MATCH(C45,PT_DIFFERENTIATION_CS_ID,0))</f>
        <v>1.1.1</v>
      </c>
      <c r="T45" s="247" t="s">
        <v>407</v>
      </c>
      <c r="U45" s="238"/>
      <c r="V45" s="3246"/>
      <c r="W45" s="3247"/>
      <c r="X45" s="3247"/>
      <c r="Y45" s="3247"/>
      <c r="Z45" s="3247"/>
      <c r="AA45" s="3247"/>
      <c r="AB45" s="3247"/>
      <c r="AC45" s="3248"/>
      <c r="AD45" s="3246" t="str">
        <f>INDEX(PT_DIFFERENTIATION_CS,MATCH(C45,PT_DIFFERENTIATION_CS_ID,0))</f>
        <v>без дифференциации</v>
      </c>
      <c r="AE45" s="3247"/>
      <c r="AF45" s="3247"/>
      <c r="AG45" s="3247"/>
      <c r="AH45" s="3247"/>
      <c r="AI45" s="3247"/>
      <c r="AJ45" s="3247"/>
      <c r="AK45" s="3247"/>
      <c r="AL45" s="3246"/>
      <c r="AM45" s="3247"/>
      <c r="AN45" s="3247"/>
      <c r="AO45" s="3247"/>
      <c r="AP45" s="3247"/>
      <c r="AQ45" s="3247"/>
      <c r="AR45" s="3247"/>
      <c r="AS45" s="3249"/>
      <c r="AT45" s="3246"/>
      <c r="AU45" s="3247"/>
      <c r="AV45" s="3247"/>
      <c r="AW45" s="3247"/>
      <c r="AX45" s="3247"/>
      <c r="AY45" s="3247"/>
      <c r="AZ45" s="3247"/>
      <c r="BA45" s="3248"/>
      <c r="BB45" s="3246"/>
      <c r="BC45" s="3247"/>
      <c r="BD45" s="3247"/>
      <c r="BE45" s="3247"/>
      <c r="BF45" s="3247"/>
      <c r="BG45" s="3247"/>
      <c r="BH45" s="3247"/>
      <c r="BI45" s="3248"/>
      <c r="BJ45" s="3246"/>
      <c r="BK45" s="3247"/>
      <c r="BL45" s="3247"/>
      <c r="BM45" s="3247"/>
      <c r="BN45" s="3247"/>
      <c r="BO45" s="3247"/>
      <c r="BP45" s="3247"/>
      <c r="BQ45" s="3248"/>
      <c r="BR45" s="3246"/>
      <c r="BS45" s="3247"/>
      <c r="BT45" s="3247"/>
      <c r="BU45" s="3247"/>
      <c r="BV45" s="3247"/>
      <c r="BW45" s="3247"/>
      <c r="BX45" s="3247"/>
      <c r="BY45" s="3248"/>
      <c r="BZ45" s="3246"/>
      <c r="CA45" s="3247"/>
      <c r="CB45" s="3247"/>
      <c r="CC45" s="3247"/>
      <c r="CD45" s="3247"/>
      <c r="CE45" s="3247"/>
      <c r="CF45" s="3247"/>
      <c r="CG45" s="3248"/>
      <c r="CH45" s="3246"/>
      <c r="CI45" s="3247"/>
      <c r="CJ45" s="3247"/>
      <c r="CK45" s="3247"/>
      <c r="CL45" s="3247"/>
      <c r="CM45" s="3247"/>
      <c r="CN45" s="3247"/>
      <c r="CO45" s="3248"/>
      <c r="CP45" s="3288"/>
      <c r="CQ45" s="3289"/>
      <c r="CR45" s="3289"/>
      <c r="CS45" s="3289"/>
      <c r="CT45" s="3289"/>
      <c r="CU45" s="3289"/>
      <c r="CV45" s="3289"/>
      <c r="CW45" s="3249"/>
      <c r="CX45" s="3288"/>
      <c r="CY45" s="3289"/>
      <c r="CZ45" s="3289"/>
      <c r="DA45" s="3289"/>
      <c r="DB45" s="3289"/>
      <c r="DC45" s="3289"/>
      <c r="DD45" s="3289"/>
      <c r="DE45" s="3249"/>
      <c r="DF45" s="3248"/>
      <c r="DG45" s="1185" t="s">
        <v>408</v>
      </c>
      <c r="DI45" s="437"/>
      <c r="DJ45" s="437" t="str">
        <f t="shared" si="1"/>
        <v xml:space="preserve">Наименование системы теплоснабжения </v>
      </c>
      <c r="DK45" s="437"/>
      <c r="DL45" s="437"/>
      <c r="DM45" s="1082">
        <v>23</v>
      </c>
    </row>
    <row r="46" spans="1:117" ht="21.95" customHeight="1">
      <c r="A46" s="1290" t="s">
        <v>162</v>
      </c>
      <c r="B46" s="1290" t="s">
        <v>163</v>
      </c>
      <c r="C46" s="1290" t="s">
        <v>164</v>
      </c>
      <c r="D46" s="1290" t="s">
        <v>165</v>
      </c>
      <c r="E46" s="3255"/>
      <c r="F46" s="3255"/>
      <c r="G46" s="3255"/>
      <c r="H46" s="3254">
        <v>1</v>
      </c>
      <c r="I46" s="1290"/>
      <c r="J46" s="1290"/>
      <c r="K46" s="1290"/>
      <c r="L46" s="1291"/>
      <c r="M46" s="1292"/>
      <c r="N46" s="1292"/>
      <c r="O46" s="1292"/>
      <c r="P46" s="291"/>
      <c r="Q46" s="289"/>
      <c r="R46" s="290"/>
      <c r="S46" s="1263" t="str">
        <f>INDEX(PT_DIFFERENTIATION_NUM_IST_TE,MATCH(D46,PT_DIFFERENTIATION_IST_TE_ID,0))</f>
        <v>1.1.1.1</v>
      </c>
      <c r="T46" s="248" t="s">
        <v>409</v>
      </c>
      <c r="U46" s="238"/>
      <c r="V46" s="3246"/>
      <c r="W46" s="3247"/>
      <c r="X46" s="3247"/>
      <c r="Y46" s="3247"/>
      <c r="Z46" s="3247"/>
      <c r="AA46" s="3247"/>
      <c r="AB46" s="3247"/>
      <c r="AC46" s="3248"/>
      <c r="AD46" s="3246" t="str">
        <f>INDEX(PT_DIFFERENTIATION_IST_TE,MATCH(D46,PT_DIFFERENTIATION_IST_TE_ID,0))</f>
        <v>без дифференциации</v>
      </c>
      <c r="AE46" s="3247"/>
      <c r="AF46" s="3247"/>
      <c r="AG46" s="3247"/>
      <c r="AH46" s="3247"/>
      <c r="AI46" s="3247"/>
      <c r="AJ46" s="3247"/>
      <c r="AK46" s="3247"/>
      <c r="AL46" s="3246"/>
      <c r="AM46" s="3247"/>
      <c r="AN46" s="3247"/>
      <c r="AO46" s="3247"/>
      <c r="AP46" s="3247"/>
      <c r="AQ46" s="3247"/>
      <c r="AR46" s="3247"/>
      <c r="AS46" s="3249"/>
      <c r="AT46" s="3246"/>
      <c r="AU46" s="3247"/>
      <c r="AV46" s="3247"/>
      <c r="AW46" s="3247"/>
      <c r="AX46" s="3247"/>
      <c r="AY46" s="3247"/>
      <c r="AZ46" s="3247"/>
      <c r="BA46" s="3248"/>
      <c r="BB46" s="3246"/>
      <c r="BC46" s="3247"/>
      <c r="BD46" s="3247"/>
      <c r="BE46" s="3247"/>
      <c r="BF46" s="3247"/>
      <c r="BG46" s="3247"/>
      <c r="BH46" s="3247"/>
      <c r="BI46" s="3248"/>
      <c r="BJ46" s="3246"/>
      <c r="BK46" s="3247"/>
      <c r="BL46" s="3247"/>
      <c r="BM46" s="3247"/>
      <c r="BN46" s="3247"/>
      <c r="BO46" s="3247"/>
      <c r="BP46" s="3247"/>
      <c r="BQ46" s="3248"/>
      <c r="BR46" s="3246"/>
      <c r="BS46" s="3247"/>
      <c r="BT46" s="3247"/>
      <c r="BU46" s="3247"/>
      <c r="BV46" s="3247"/>
      <c r="BW46" s="3247"/>
      <c r="BX46" s="3247"/>
      <c r="BY46" s="3248"/>
      <c r="BZ46" s="3246"/>
      <c r="CA46" s="3247"/>
      <c r="CB46" s="3247"/>
      <c r="CC46" s="3247"/>
      <c r="CD46" s="3247"/>
      <c r="CE46" s="3247"/>
      <c r="CF46" s="3247"/>
      <c r="CG46" s="3248"/>
      <c r="CH46" s="3246"/>
      <c r="CI46" s="3247"/>
      <c r="CJ46" s="3247"/>
      <c r="CK46" s="3247"/>
      <c r="CL46" s="3247"/>
      <c r="CM46" s="3247"/>
      <c r="CN46" s="3247"/>
      <c r="CO46" s="3248"/>
      <c r="CP46" s="3288"/>
      <c r="CQ46" s="3289"/>
      <c r="CR46" s="3289"/>
      <c r="CS46" s="3289"/>
      <c r="CT46" s="3289"/>
      <c r="CU46" s="3289"/>
      <c r="CV46" s="3289"/>
      <c r="CW46" s="3249"/>
      <c r="CX46" s="3288"/>
      <c r="CY46" s="3289"/>
      <c r="CZ46" s="3289"/>
      <c r="DA46" s="3289"/>
      <c r="DB46" s="3289"/>
      <c r="DC46" s="3289"/>
      <c r="DD46" s="3289"/>
      <c r="DE46" s="3249"/>
      <c r="DF46" s="3248"/>
      <c r="DG46" s="1185" t="s">
        <v>410</v>
      </c>
      <c r="DI46" s="437"/>
      <c r="DJ46" s="437" t="str">
        <f t="shared" si="1"/>
        <v xml:space="preserve">Источник тепловой энергии  </v>
      </c>
      <c r="DK46" s="437"/>
      <c r="DL46" s="437"/>
      <c r="DM46" s="1082">
        <v>21</v>
      </c>
    </row>
    <row r="47" spans="1:117" ht="49.5" customHeight="1">
      <c r="A47" s="1290" t="s">
        <v>162</v>
      </c>
      <c r="B47" s="1290" t="s">
        <v>163</v>
      </c>
      <c r="C47" s="1290" t="s">
        <v>164</v>
      </c>
      <c r="D47" s="1290" t="s">
        <v>165</v>
      </c>
      <c r="E47" s="3255"/>
      <c r="F47" s="3255"/>
      <c r="G47" s="3255"/>
      <c r="H47" s="3255"/>
      <c r="I47" s="3256" t="str">
        <f>S46&amp;".1"</f>
        <v>1.1.1.1.1</v>
      </c>
      <c r="J47" s="1290"/>
      <c r="K47" s="1290"/>
      <c r="L47" s="1291" t="s">
        <v>411</v>
      </c>
      <c r="P47" s="3258">
        <v>1</v>
      </c>
      <c r="Q47" s="1258"/>
      <c r="R47" s="293"/>
      <c r="S47" s="1263" t="str">
        <f>$I47</f>
        <v>1.1.1.1.1</v>
      </c>
      <c r="T47" s="223" t="s">
        <v>412</v>
      </c>
      <c r="U47" s="238"/>
      <c r="V47" s="3239"/>
      <c r="W47" s="3240"/>
      <c r="X47" s="3240"/>
      <c r="Y47" s="3240"/>
      <c r="Z47" s="3240"/>
      <c r="AA47" s="3240"/>
      <c r="AB47" s="3240"/>
      <c r="AC47" s="3241"/>
      <c r="AD47" s="3239" t="s">
        <v>453</v>
      </c>
      <c r="AE47" s="3240"/>
      <c r="AF47" s="3240"/>
      <c r="AG47" s="3240"/>
      <c r="AH47" s="3240"/>
      <c r="AI47" s="3240"/>
      <c r="AJ47" s="3240"/>
      <c r="AK47" s="3240"/>
      <c r="AL47" s="3239"/>
      <c r="AM47" s="3240"/>
      <c r="AN47" s="3240"/>
      <c r="AO47" s="3240"/>
      <c r="AP47" s="3240"/>
      <c r="AQ47" s="3240"/>
      <c r="AR47" s="3240"/>
      <c r="AS47" s="3242"/>
      <c r="AT47" s="3239"/>
      <c r="AU47" s="3240"/>
      <c r="AV47" s="3240"/>
      <c r="AW47" s="3240"/>
      <c r="AX47" s="3240"/>
      <c r="AY47" s="3240"/>
      <c r="AZ47" s="3240"/>
      <c r="BA47" s="3241"/>
      <c r="BB47" s="3239"/>
      <c r="BC47" s="3240"/>
      <c r="BD47" s="3240"/>
      <c r="BE47" s="3240"/>
      <c r="BF47" s="3240"/>
      <c r="BG47" s="3240"/>
      <c r="BH47" s="3240"/>
      <c r="BI47" s="3241"/>
      <c r="BJ47" s="3239"/>
      <c r="BK47" s="3240"/>
      <c r="BL47" s="3240"/>
      <c r="BM47" s="3240"/>
      <c r="BN47" s="3240"/>
      <c r="BO47" s="3240"/>
      <c r="BP47" s="3240"/>
      <c r="BQ47" s="3241"/>
      <c r="BR47" s="3239"/>
      <c r="BS47" s="3240"/>
      <c r="BT47" s="3240"/>
      <c r="BU47" s="3240"/>
      <c r="BV47" s="3240"/>
      <c r="BW47" s="3240"/>
      <c r="BX47" s="3240"/>
      <c r="BY47" s="3241"/>
      <c r="BZ47" s="3239"/>
      <c r="CA47" s="3240"/>
      <c r="CB47" s="3240"/>
      <c r="CC47" s="3240"/>
      <c r="CD47" s="3240"/>
      <c r="CE47" s="3240"/>
      <c r="CF47" s="3240"/>
      <c r="CG47" s="3241"/>
      <c r="CH47" s="3239"/>
      <c r="CI47" s="3240"/>
      <c r="CJ47" s="3240"/>
      <c r="CK47" s="3240"/>
      <c r="CL47" s="3240"/>
      <c r="CM47" s="3240"/>
      <c r="CN47" s="3240"/>
      <c r="CO47" s="3241"/>
      <c r="CP47" s="3286"/>
      <c r="CQ47" s="3287"/>
      <c r="CR47" s="3287"/>
      <c r="CS47" s="3287"/>
      <c r="CT47" s="3287"/>
      <c r="CU47" s="3287"/>
      <c r="CV47" s="3287"/>
      <c r="CW47" s="3242"/>
      <c r="CX47" s="3286"/>
      <c r="CY47" s="3287"/>
      <c r="CZ47" s="3287"/>
      <c r="DA47" s="3287"/>
      <c r="DB47" s="3287"/>
      <c r="DC47" s="3287"/>
      <c r="DD47" s="3287"/>
      <c r="DE47" s="3242"/>
      <c r="DF47" s="3241"/>
      <c r="DG47" s="1185" t="s">
        <v>413</v>
      </c>
      <c r="DI47" s="437"/>
      <c r="DJ47" s="437" t="str">
        <f t="shared" si="1"/>
        <v>Схема подключения теплопотребляющей установки к коллектору источника тепловой энергии</v>
      </c>
      <c r="DK47" s="437"/>
      <c r="DL47" s="437"/>
      <c r="DM47" s="1082">
        <v>47</v>
      </c>
    </row>
    <row r="48" spans="1:117" ht="21.95" customHeight="1">
      <c r="A48" s="1290" t="s">
        <v>162</v>
      </c>
      <c r="B48" s="1290" t="s">
        <v>163</v>
      </c>
      <c r="C48" s="1290" t="s">
        <v>164</v>
      </c>
      <c r="D48" s="1290" t="s">
        <v>165</v>
      </c>
      <c r="E48" s="3255"/>
      <c r="F48" s="3255"/>
      <c r="G48" s="3255"/>
      <c r="H48" s="3255"/>
      <c r="I48" s="3257"/>
      <c r="J48" s="3256" t="str">
        <f>I47&amp;".1"</f>
        <v>1.1.1.1.1.1</v>
      </c>
      <c r="K48" s="1290"/>
      <c r="L48" s="1291" t="s">
        <v>414</v>
      </c>
      <c r="P48" s="3258"/>
      <c r="Q48" s="3258">
        <v>1</v>
      </c>
      <c r="R48" s="294"/>
      <c r="S48" s="1263" t="str">
        <f>$J48</f>
        <v>1.1.1.1.1.1</v>
      </c>
      <c r="T48" s="224" t="s">
        <v>415</v>
      </c>
      <c r="U48" s="238"/>
      <c r="V48" s="3239"/>
      <c r="W48" s="3240"/>
      <c r="X48" s="3240"/>
      <c r="Y48" s="3240"/>
      <c r="Z48" s="3240"/>
      <c r="AA48" s="3240"/>
      <c r="AB48" s="3240"/>
      <c r="AC48" s="3241"/>
      <c r="AD48" s="3239" t="s">
        <v>454</v>
      </c>
      <c r="AE48" s="3240"/>
      <c r="AF48" s="3240"/>
      <c r="AG48" s="3240"/>
      <c r="AH48" s="3240"/>
      <c r="AI48" s="3240"/>
      <c r="AJ48" s="3240"/>
      <c r="AK48" s="3240"/>
      <c r="AL48" s="3239"/>
      <c r="AM48" s="3240"/>
      <c r="AN48" s="3240"/>
      <c r="AO48" s="3240"/>
      <c r="AP48" s="3240"/>
      <c r="AQ48" s="3240"/>
      <c r="AR48" s="3240"/>
      <c r="AS48" s="3242"/>
      <c r="AT48" s="3239"/>
      <c r="AU48" s="3240"/>
      <c r="AV48" s="3240"/>
      <c r="AW48" s="3240"/>
      <c r="AX48" s="3240"/>
      <c r="AY48" s="3240"/>
      <c r="AZ48" s="3240"/>
      <c r="BA48" s="3241"/>
      <c r="BB48" s="3239"/>
      <c r="BC48" s="3240"/>
      <c r="BD48" s="3240"/>
      <c r="BE48" s="3240"/>
      <c r="BF48" s="3240"/>
      <c r="BG48" s="3240"/>
      <c r="BH48" s="3240"/>
      <c r="BI48" s="3241"/>
      <c r="BJ48" s="3239"/>
      <c r="BK48" s="3240"/>
      <c r="BL48" s="3240"/>
      <c r="BM48" s="3240"/>
      <c r="BN48" s="3240"/>
      <c r="BO48" s="3240"/>
      <c r="BP48" s="3240"/>
      <c r="BQ48" s="3241"/>
      <c r="BR48" s="3239"/>
      <c r="BS48" s="3240"/>
      <c r="BT48" s="3240"/>
      <c r="BU48" s="3240"/>
      <c r="BV48" s="3240"/>
      <c r="BW48" s="3240"/>
      <c r="BX48" s="3240"/>
      <c r="BY48" s="3241"/>
      <c r="BZ48" s="3239"/>
      <c r="CA48" s="3240"/>
      <c r="CB48" s="3240"/>
      <c r="CC48" s="3240"/>
      <c r="CD48" s="3240"/>
      <c r="CE48" s="3240"/>
      <c r="CF48" s="3240"/>
      <c r="CG48" s="3241"/>
      <c r="CH48" s="3239"/>
      <c r="CI48" s="3240"/>
      <c r="CJ48" s="3240"/>
      <c r="CK48" s="3240"/>
      <c r="CL48" s="3240"/>
      <c r="CM48" s="3240"/>
      <c r="CN48" s="3240"/>
      <c r="CO48" s="3241"/>
      <c r="CP48" s="3286"/>
      <c r="CQ48" s="3287"/>
      <c r="CR48" s="3287"/>
      <c r="CS48" s="3287"/>
      <c r="CT48" s="3287"/>
      <c r="CU48" s="3287"/>
      <c r="CV48" s="3287"/>
      <c r="CW48" s="3242"/>
      <c r="CX48" s="3286"/>
      <c r="CY48" s="3287"/>
      <c r="CZ48" s="3287"/>
      <c r="DA48" s="3287"/>
      <c r="DB48" s="3287"/>
      <c r="DC48" s="3287"/>
      <c r="DD48" s="3287"/>
      <c r="DE48" s="3242"/>
      <c r="DF48" s="3241"/>
      <c r="DG48" s="1185" t="s">
        <v>416</v>
      </c>
      <c r="DI48" s="437"/>
      <c r="DJ48" s="437" t="str">
        <f t="shared" si="1"/>
        <v>Группа потребителей</v>
      </c>
      <c r="DK48" s="437"/>
      <c r="DL48" s="437"/>
      <c r="DM48" s="1082">
        <v>21</v>
      </c>
    </row>
    <row r="49" spans="1:117" ht="21.95" customHeight="1">
      <c r="A49" s="1290" t="s">
        <v>162</v>
      </c>
      <c r="B49" s="1290" t="s">
        <v>163</v>
      </c>
      <c r="C49" s="1290" t="s">
        <v>164</v>
      </c>
      <c r="D49" s="1290" t="s">
        <v>165</v>
      </c>
      <c r="E49" s="3255"/>
      <c r="F49" s="3255"/>
      <c r="G49" s="3255"/>
      <c r="H49" s="3255"/>
      <c r="I49" s="3257"/>
      <c r="J49" s="3257"/>
      <c r="K49" s="3256" t="str">
        <f>J48&amp;".1"</f>
        <v>1.1.1.1.1.1.1</v>
      </c>
      <c r="L49" s="1291" t="s">
        <v>417</v>
      </c>
      <c r="P49" s="3258"/>
      <c r="Q49" s="3258"/>
      <c r="R49" s="294">
        <v>1</v>
      </c>
      <c r="S49" s="1263" t="str">
        <f>$K49</f>
        <v>1.1.1.1.1.1.1</v>
      </c>
      <c r="T49" s="1274" t="s">
        <v>455</v>
      </c>
      <c r="U49" s="238"/>
      <c r="V49" s="1287"/>
      <c r="W49" s="1287"/>
      <c r="X49" s="1287"/>
      <c r="Y49" s="1288"/>
      <c r="Z49" s="3251"/>
      <c r="AA49" s="3250" t="s">
        <v>67</v>
      </c>
      <c r="AB49" s="3251"/>
      <c r="AC49" s="3250" t="s">
        <v>67</v>
      </c>
      <c r="AD49" s="688">
        <v>2089.63</v>
      </c>
      <c r="AE49" s="263"/>
      <c r="AF49" s="688"/>
      <c r="AG49" s="1184"/>
      <c r="AH49" s="3259">
        <v>45658.573622685188</v>
      </c>
      <c r="AI49" s="3121" t="s">
        <v>67</v>
      </c>
      <c r="AJ49" s="3261">
        <v>45838.573750000003</v>
      </c>
      <c r="AK49" s="3121" t="s">
        <v>67</v>
      </c>
      <c r="AL49" s="688">
        <v>2667.29</v>
      </c>
      <c r="AM49" s="263"/>
      <c r="AN49" s="688"/>
      <c r="AO49" s="1184"/>
      <c r="AP49" s="3259">
        <v>45839.573935185188</v>
      </c>
      <c r="AQ49" s="3121" t="s">
        <v>67</v>
      </c>
      <c r="AR49" s="3259">
        <v>46022.574016203704</v>
      </c>
      <c r="AS49" s="3121" t="s">
        <v>67</v>
      </c>
      <c r="AT49" s="688">
        <v>2667.29</v>
      </c>
      <c r="AU49" s="263"/>
      <c r="AV49" s="688"/>
      <c r="AW49" s="1184"/>
      <c r="AX49" s="3259">
        <v>46023.549247685187</v>
      </c>
      <c r="AY49" s="3121" t="s">
        <v>67</v>
      </c>
      <c r="AZ49" s="3259">
        <v>46203.549155092594</v>
      </c>
      <c r="BA49" s="3121" t="s">
        <v>67</v>
      </c>
      <c r="BB49" s="688">
        <v>2782.55</v>
      </c>
      <c r="BC49" s="263"/>
      <c r="BD49" s="688"/>
      <c r="BE49" s="1184"/>
      <c r="BF49" s="3259">
        <v>46204.548877314817</v>
      </c>
      <c r="BG49" s="3121" t="s">
        <v>67</v>
      </c>
      <c r="BH49" s="3259">
        <v>46387.548807870371</v>
      </c>
      <c r="BI49" s="3121" t="s">
        <v>67</v>
      </c>
      <c r="BJ49" s="688">
        <v>2782.55</v>
      </c>
      <c r="BK49" s="263"/>
      <c r="BL49" s="688"/>
      <c r="BM49" s="1184"/>
      <c r="BN49" s="3259">
        <v>46388.548680555556</v>
      </c>
      <c r="BO49" s="3121" t="s">
        <v>67</v>
      </c>
      <c r="BP49" s="3259">
        <v>46568.548564814817</v>
      </c>
      <c r="BQ49" s="3121" t="s">
        <v>67</v>
      </c>
      <c r="BR49" s="688">
        <v>2942.5</v>
      </c>
      <c r="BS49" s="263"/>
      <c r="BT49" s="688"/>
      <c r="BU49" s="1184"/>
      <c r="BV49" s="3259">
        <v>46569.548275462963</v>
      </c>
      <c r="BW49" s="3121" t="s">
        <v>67</v>
      </c>
      <c r="BX49" s="3259">
        <v>46752.548182870371</v>
      </c>
      <c r="BY49" s="3121" t="s">
        <v>67</v>
      </c>
      <c r="BZ49" s="688">
        <v>2942.5</v>
      </c>
      <c r="CA49" s="263"/>
      <c r="CB49" s="688"/>
      <c r="CC49" s="1184"/>
      <c r="CD49" s="3259">
        <v>46753.547997685186</v>
      </c>
      <c r="CE49" s="3121" t="s">
        <v>67</v>
      </c>
      <c r="CF49" s="3259">
        <v>46934.547812500001</v>
      </c>
      <c r="CG49" s="3121" t="s">
        <v>67</v>
      </c>
      <c r="CH49" s="688">
        <v>3039.15</v>
      </c>
      <c r="CI49" s="263"/>
      <c r="CJ49" s="688"/>
      <c r="CK49" s="1184"/>
      <c r="CL49" s="3259">
        <v>46935.547673611109</v>
      </c>
      <c r="CM49" s="3121" t="s">
        <v>67</v>
      </c>
      <c r="CN49" s="3259">
        <v>47118.547592592593</v>
      </c>
      <c r="CO49" s="3121" t="s">
        <v>19</v>
      </c>
      <c r="CP49" s="2982"/>
      <c r="CQ49" s="2982"/>
      <c r="CR49" s="2982"/>
      <c r="CS49" s="2983"/>
      <c r="CT49" s="3308"/>
      <c r="CU49" s="3250" t="s">
        <v>67</v>
      </c>
      <c r="CV49" s="3308"/>
      <c r="CW49" s="3250" t="s">
        <v>67</v>
      </c>
      <c r="CX49" s="2982"/>
      <c r="CY49" s="2982"/>
      <c r="CZ49" s="2982"/>
      <c r="DA49" s="2983"/>
      <c r="DB49" s="3308"/>
      <c r="DC49" s="3250" t="s">
        <v>67</v>
      </c>
      <c r="DD49" s="3308"/>
      <c r="DE49" s="3307" t="s">
        <v>67</v>
      </c>
      <c r="DF49" s="1275"/>
      <c r="DG49" s="3278" t="s">
        <v>418</v>
      </c>
      <c r="DH49" s="448" t="e">
        <f ca="1">STRCHECKDATE(V50:DF50)</f>
        <v>#NAME?</v>
      </c>
      <c r="DI49" s="437"/>
      <c r="DJ49" s="437" t="str">
        <f t="shared" si="1"/>
        <v>вода</v>
      </c>
      <c r="DK49" s="437"/>
      <c r="DL49" s="437"/>
      <c r="DM49" s="1082">
        <v>21</v>
      </c>
    </row>
    <row r="50" spans="1:117" ht="1.1499999999999999" customHeight="1">
      <c r="A50" s="1290" t="s">
        <v>162</v>
      </c>
      <c r="B50" s="1290" t="s">
        <v>163</v>
      </c>
      <c r="C50" s="1290" t="s">
        <v>164</v>
      </c>
      <c r="D50" s="1290" t="s">
        <v>165</v>
      </c>
      <c r="E50" s="3255"/>
      <c r="F50" s="3255"/>
      <c r="G50" s="3255"/>
      <c r="H50" s="3255"/>
      <c r="I50" s="3257"/>
      <c r="J50" s="3257"/>
      <c r="K50" s="3256"/>
      <c r="L50" s="1291"/>
      <c r="P50" s="3258"/>
      <c r="Q50" s="3258"/>
      <c r="R50" s="294"/>
      <c r="S50" s="1269"/>
      <c r="T50" s="238"/>
      <c r="U50" s="238"/>
      <c r="V50" s="1287"/>
      <c r="W50" s="1287"/>
      <c r="X50" s="1287"/>
      <c r="Y50" s="266" t="str">
        <f>Z49&amp;"-"&amp;AB49</f>
        <v>-</v>
      </c>
      <c r="Z50" s="3250"/>
      <c r="AA50" s="3250"/>
      <c r="AB50" s="3250"/>
      <c r="AC50" s="3250"/>
      <c r="AD50" s="263"/>
      <c r="AE50" s="263"/>
      <c r="AF50" s="263"/>
      <c r="AG50" s="266" t="str">
        <f>AH49&amp;"-"&amp;AJ49</f>
        <v>45658,5736226852-45838,57375</v>
      </c>
      <c r="AH50" s="3260"/>
      <c r="AI50" s="3121"/>
      <c r="AJ50" s="3262"/>
      <c r="AK50" s="3121"/>
      <c r="AL50" s="263"/>
      <c r="AM50" s="263"/>
      <c r="AN50" s="263"/>
      <c r="AO50" s="266" t="str">
        <f>AP49&amp;"-"&amp;AR49</f>
        <v>45839,5739351852-46022,5740162037</v>
      </c>
      <c r="AP50" s="3260"/>
      <c r="AQ50" s="3121"/>
      <c r="AR50" s="3260"/>
      <c r="AS50" s="3121"/>
      <c r="AT50" s="263"/>
      <c r="AU50" s="263"/>
      <c r="AV50" s="263"/>
      <c r="AW50" s="266" t="str">
        <f>AX49&amp;"-"&amp;AZ49</f>
        <v>46023,5492476852-46203,5491550926</v>
      </c>
      <c r="AX50" s="3260"/>
      <c r="AY50" s="3121"/>
      <c r="AZ50" s="3260"/>
      <c r="BA50" s="3121"/>
      <c r="BB50" s="263"/>
      <c r="BC50" s="263"/>
      <c r="BD50" s="263"/>
      <c r="BE50" s="266" t="str">
        <f>BF49&amp;"-"&amp;BH49</f>
        <v>46204,5488773148-46387,5488078704</v>
      </c>
      <c r="BF50" s="3260"/>
      <c r="BG50" s="3121"/>
      <c r="BH50" s="3260"/>
      <c r="BI50" s="3121"/>
      <c r="BJ50" s="263"/>
      <c r="BK50" s="263"/>
      <c r="BL50" s="263"/>
      <c r="BM50" s="266" t="str">
        <f>BN49&amp;"-"&amp;BP49</f>
        <v>46388,5486805556-46568,5485648148</v>
      </c>
      <c r="BN50" s="3260"/>
      <c r="BO50" s="3121"/>
      <c r="BP50" s="3260"/>
      <c r="BQ50" s="3121"/>
      <c r="BR50" s="263"/>
      <c r="BS50" s="263"/>
      <c r="BT50" s="263"/>
      <c r="BU50" s="266" t="str">
        <f>BV49&amp;"-"&amp;BX49</f>
        <v>46569,548275463-46752,5481828704</v>
      </c>
      <c r="BV50" s="3260"/>
      <c r="BW50" s="3121"/>
      <c r="BX50" s="3260"/>
      <c r="BY50" s="3121"/>
      <c r="BZ50" s="263"/>
      <c r="CA50" s="263"/>
      <c r="CB50" s="263"/>
      <c r="CC50" s="266" t="str">
        <f>CD49&amp;"-"&amp;CF49</f>
        <v>46753,5479976852-46934,5478125</v>
      </c>
      <c r="CD50" s="3260"/>
      <c r="CE50" s="3121"/>
      <c r="CF50" s="3260"/>
      <c r="CG50" s="3121"/>
      <c r="CH50" s="263"/>
      <c r="CI50" s="263"/>
      <c r="CJ50" s="263"/>
      <c r="CK50" s="266" t="str">
        <f>CL49&amp;"-"&amp;CN49</f>
        <v>46935,5476736111-47118,5475925926</v>
      </c>
      <c r="CL50" s="3260"/>
      <c r="CM50" s="3121"/>
      <c r="CN50" s="3260"/>
      <c r="CO50" s="3121"/>
      <c r="CP50" s="2982"/>
      <c r="CQ50" s="2982"/>
      <c r="CR50" s="2982"/>
      <c r="CS50" s="266" t="str">
        <f>CT49&amp;"-"&amp;CV49</f>
        <v>-</v>
      </c>
      <c r="CT50" s="3250"/>
      <c r="CU50" s="3250"/>
      <c r="CV50" s="3250"/>
      <c r="CW50" s="3250"/>
      <c r="CX50" s="2982"/>
      <c r="CY50" s="2982"/>
      <c r="CZ50" s="2982"/>
      <c r="DA50" s="266" t="str">
        <f>DB49&amp;"-"&amp;DD49</f>
        <v>-</v>
      </c>
      <c r="DB50" s="3250"/>
      <c r="DC50" s="3250"/>
      <c r="DD50" s="3250"/>
      <c r="DE50" s="3307"/>
      <c r="DF50" s="1276"/>
      <c r="DG50" s="3279"/>
      <c r="DI50" s="437"/>
      <c r="DJ50" s="437" t="str">
        <f t="shared" si="1"/>
        <v/>
      </c>
      <c r="DK50" s="437"/>
      <c r="DL50" s="437"/>
      <c r="DM50" s="1082">
        <v>1</v>
      </c>
    </row>
    <row r="51" spans="1:117" ht="11.45" customHeight="1">
      <c r="A51" s="1290" t="s">
        <v>162</v>
      </c>
      <c r="B51" s="1290" t="s">
        <v>163</v>
      </c>
      <c r="C51" s="1290" t="s">
        <v>164</v>
      </c>
      <c r="D51" s="1290" t="s">
        <v>165</v>
      </c>
      <c r="E51" s="3255"/>
      <c r="F51" s="3255"/>
      <c r="G51" s="3255"/>
      <c r="H51" s="3255"/>
      <c r="I51" s="3257"/>
      <c r="J51" s="3256"/>
      <c r="K51" s="1290"/>
      <c r="L51" s="1291"/>
      <c r="P51" s="3258"/>
      <c r="Q51" s="3258"/>
      <c r="R51" s="293"/>
      <c r="S51" s="1205"/>
      <c r="T51" s="226" t="s">
        <v>419</v>
      </c>
      <c r="U51" s="304"/>
      <c r="V51" s="304"/>
      <c r="W51" s="304"/>
      <c r="X51" s="304"/>
      <c r="Y51" s="304"/>
      <c r="Z51" s="304"/>
      <c r="AA51" s="304"/>
      <c r="AB51" s="304"/>
      <c r="AC51" s="304"/>
      <c r="AD51" s="304"/>
      <c r="AE51" s="304"/>
      <c r="AF51" s="304"/>
      <c r="AG51" s="304"/>
      <c r="AH51" s="304"/>
      <c r="AI51" s="304"/>
      <c r="AJ51" s="304"/>
      <c r="AK51" s="304"/>
      <c r="AL51" s="2333"/>
      <c r="AM51" s="2334"/>
      <c r="AN51" s="2335"/>
      <c r="AO51" s="2336"/>
      <c r="AP51" s="2337"/>
      <c r="AQ51" s="2338"/>
      <c r="AR51" s="2339"/>
      <c r="AS51" s="2518"/>
      <c r="AT51" s="2519"/>
      <c r="AU51" s="2520"/>
      <c r="AV51" s="2521"/>
      <c r="AW51" s="2522"/>
      <c r="AX51" s="2523"/>
      <c r="AY51" s="2524"/>
      <c r="AZ51" s="2525"/>
      <c r="BA51" s="2526"/>
      <c r="BB51" s="2527"/>
      <c r="BC51" s="2528"/>
      <c r="BD51" s="2529"/>
      <c r="BE51" s="2530"/>
      <c r="BF51" s="2531"/>
      <c r="BG51" s="2532"/>
      <c r="BH51" s="2533"/>
      <c r="BI51" s="2534"/>
      <c r="BJ51" s="2535"/>
      <c r="BK51" s="2536"/>
      <c r="BL51" s="2537"/>
      <c r="BM51" s="2538"/>
      <c r="BN51" s="2539"/>
      <c r="BO51" s="2540"/>
      <c r="BP51" s="2541"/>
      <c r="BQ51" s="2542"/>
      <c r="BR51" s="2543"/>
      <c r="BS51" s="2544"/>
      <c r="BT51" s="2545"/>
      <c r="BU51" s="2546"/>
      <c r="BV51" s="2547"/>
      <c r="BW51" s="2548"/>
      <c r="BX51" s="2549"/>
      <c r="BY51" s="2550"/>
      <c r="BZ51" s="2551"/>
      <c r="CA51" s="2552"/>
      <c r="CB51" s="2553"/>
      <c r="CC51" s="2554"/>
      <c r="CD51" s="2555"/>
      <c r="CE51" s="2556"/>
      <c r="CF51" s="2557"/>
      <c r="CG51" s="2558"/>
      <c r="CH51" s="2559"/>
      <c r="CI51" s="2560"/>
      <c r="CJ51" s="2561"/>
      <c r="CK51" s="2562"/>
      <c r="CL51" s="2563"/>
      <c r="CM51" s="2564"/>
      <c r="CN51" s="2565"/>
      <c r="CO51" s="2566"/>
      <c r="CP51" s="2984"/>
      <c r="CQ51" s="2985"/>
      <c r="CR51" s="2986"/>
      <c r="CS51" s="2987"/>
      <c r="CT51" s="2988"/>
      <c r="CU51" s="2989"/>
      <c r="CV51" s="2990"/>
      <c r="CW51" s="2991"/>
      <c r="CX51" s="2992"/>
      <c r="CY51" s="2993"/>
      <c r="CZ51" s="2994"/>
      <c r="DA51" s="2995"/>
      <c r="DB51" s="2996"/>
      <c r="DC51" s="2997"/>
      <c r="DD51" s="2998"/>
      <c r="DE51" s="2925"/>
      <c r="DF51" s="262"/>
      <c r="DG51" s="3280"/>
      <c r="DI51" s="437"/>
      <c r="DJ51" s="437" t="str">
        <f t="shared" si="1"/>
        <v>Добавить вид теплоносителя (параметры теплоносителя)</v>
      </c>
      <c r="DK51" s="437"/>
      <c r="DL51" s="437"/>
      <c r="DM51" s="1082">
        <v>11</v>
      </c>
    </row>
    <row r="52" spans="1:117" ht="11.45" customHeight="1">
      <c r="A52" s="1290" t="s">
        <v>162</v>
      </c>
      <c r="B52" s="1290" t="s">
        <v>163</v>
      </c>
      <c r="C52" s="1290" t="s">
        <v>164</v>
      </c>
      <c r="D52" s="1290" t="s">
        <v>165</v>
      </c>
      <c r="E52" s="3255"/>
      <c r="F52" s="3255"/>
      <c r="G52" s="3255"/>
      <c r="H52" s="3255"/>
      <c r="I52" s="3256"/>
      <c r="J52" s="1290"/>
      <c r="K52" s="1290"/>
      <c r="L52" s="1291"/>
      <c r="P52" s="3258"/>
      <c r="Q52" s="1258"/>
      <c r="R52" s="293"/>
      <c r="S52" s="1205"/>
      <c r="T52" s="225" t="s">
        <v>420</v>
      </c>
      <c r="U52" s="304"/>
      <c r="V52" s="304"/>
      <c r="W52" s="304"/>
      <c r="X52" s="304"/>
      <c r="Y52" s="304"/>
      <c r="Z52" s="304"/>
      <c r="AA52" s="304"/>
      <c r="AB52" s="304"/>
      <c r="AC52" s="303"/>
      <c r="AD52" s="304"/>
      <c r="AE52" s="304"/>
      <c r="AF52" s="304"/>
      <c r="AG52" s="304"/>
      <c r="AH52" s="304"/>
      <c r="AI52" s="304"/>
      <c r="AJ52" s="304"/>
      <c r="AK52" s="303"/>
      <c r="AL52" s="2340"/>
      <c r="AM52" s="2341"/>
      <c r="AN52" s="2342"/>
      <c r="AO52" s="2343"/>
      <c r="AP52" s="2344"/>
      <c r="AQ52" s="2345"/>
      <c r="AR52" s="2346"/>
      <c r="AS52" s="2567"/>
      <c r="AT52" s="2568"/>
      <c r="AU52" s="2569"/>
      <c r="AV52" s="2570"/>
      <c r="AW52" s="2571"/>
      <c r="AX52" s="2572"/>
      <c r="AY52" s="2573"/>
      <c r="AZ52" s="2574"/>
      <c r="BA52" s="2575"/>
      <c r="BB52" s="2576"/>
      <c r="BC52" s="2577"/>
      <c r="BD52" s="2578"/>
      <c r="BE52" s="2579"/>
      <c r="BF52" s="2580"/>
      <c r="BG52" s="2581"/>
      <c r="BH52" s="2582"/>
      <c r="BI52" s="2583"/>
      <c r="BJ52" s="2584"/>
      <c r="BK52" s="2585"/>
      <c r="BL52" s="2586"/>
      <c r="BM52" s="2587"/>
      <c r="BN52" s="2588"/>
      <c r="BO52" s="2589"/>
      <c r="BP52" s="2590"/>
      <c r="BQ52" s="2591"/>
      <c r="BR52" s="2592"/>
      <c r="BS52" s="2593"/>
      <c r="BT52" s="2594"/>
      <c r="BU52" s="2595"/>
      <c r="BV52" s="2596"/>
      <c r="BW52" s="2597"/>
      <c r="BX52" s="2598"/>
      <c r="BY52" s="2599"/>
      <c r="BZ52" s="2600"/>
      <c r="CA52" s="2601"/>
      <c r="CB52" s="2602"/>
      <c r="CC52" s="2603"/>
      <c r="CD52" s="2604"/>
      <c r="CE52" s="2605"/>
      <c r="CF52" s="2606"/>
      <c r="CG52" s="2607"/>
      <c r="CH52" s="2608"/>
      <c r="CI52" s="2609"/>
      <c r="CJ52" s="2610"/>
      <c r="CK52" s="2611"/>
      <c r="CL52" s="2612"/>
      <c r="CM52" s="2613"/>
      <c r="CN52" s="2614"/>
      <c r="CO52" s="2615"/>
      <c r="CP52" s="2999"/>
      <c r="CQ52" s="3000"/>
      <c r="CR52" s="3001"/>
      <c r="CS52" s="3002"/>
      <c r="CT52" s="3003"/>
      <c r="CU52" s="3004"/>
      <c r="CV52" s="3005"/>
      <c r="CW52" s="3006"/>
      <c r="CX52" s="3007"/>
      <c r="CY52" s="3008"/>
      <c r="CZ52" s="3009"/>
      <c r="DA52" s="3010"/>
      <c r="DB52" s="3011"/>
      <c r="DC52" s="3012"/>
      <c r="DD52" s="3013"/>
      <c r="DE52" s="2926"/>
      <c r="DF52" s="304"/>
      <c r="DG52" s="241"/>
      <c r="DI52" s="437"/>
      <c r="DJ52" s="437" t="str">
        <f t="shared" si="1"/>
        <v>Добавить группу потребителей</v>
      </c>
      <c r="DK52" s="437"/>
      <c r="DL52" s="437"/>
      <c r="DM52" s="1082">
        <v>11</v>
      </c>
    </row>
    <row r="53" spans="1:117" ht="14.65" customHeight="1">
      <c r="A53" s="1290" t="s">
        <v>162</v>
      </c>
      <c r="B53" s="1290" t="s">
        <v>163</v>
      </c>
      <c r="C53" s="1290" t="s">
        <v>164</v>
      </c>
      <c r="D53" s="1290" t="s">
        <v>165</v>
      </c>
      <c r="E53" s="3255"/>
      <c r="F53" s="3255"/>
      <c r="G53" s="3255"/>
      <c r="H53" s="3254"/>
      <c r="I53" s="1290"/>
      <c r="J53" s="1290"/>
      <c r="K53" s="1290"/>
      <c r="L53" s="1291"/>
      <c r="M53" s="1292"/>
      <c r="N53" s="1292"/>
      <c r="O53" s="474"/>
      <c r="P53" s="297"/>
      <c r="Q53" s="312"/>
      <c r="R53" s="292"/>
      <c r="S53" s="1205"/>
      <c r="T53" s="302" t="s">
        <v>421</v>
      </c>
      <c r="U53" s="304"/>
      <c r="V53" s="304"/>
      <c r="W53" s="304"/>
      <c r="X53" s="304"/>
      <c r="Y53" s="304"/>
      <c r="Z53" s="304"/>
      <c r="AA53" s="304"/>
      <c r="AB53" s="304"/>
      <c r="AC53" s="303"/>
      <c r="AD53" s="304"/>
      <c r="AE53" s="304"/>
      <c r="AF53" s="304"/>
      <c r="AG53" s="304"/>
      <c r="AH53" s="304"/>
      <c r="AI53" s="304"/>
      <c r="AJ53" s="304"/>
      <c r="AK53" s="303"/>
      <c r="AL53" s="2347"/>
      <c r="AM53" s="2348"/>
      <c r="AN53" s="2349"/>
      <c r="AO53" s="2350"/>
      <c r="AP53" s="2351"/>
      <c r="AQ53" s="2352"/>
      <c r="AR53" s="2353"/>
      <c r="AS53" s="2616"/>
      <c r="AT53" s="2617"/>
      <c r="AU53" s="2618"/>
      <c r="AV53" s="2619"/>
      <c r="AW53" s="2620"/>
      <c r="AX53" s="2621"/>
      <c r="AY53" s="2622"/>
      <c r="AZ53" s="2623"/>
      <c r="BA53" s="2624"/>
      <c r="BB53" s="2625"/>
      <c r="BC53" s="2626"/>
      <c r="BD53" s="2627"/>
      <c r="BE53" s="2628"/>
      <c r="BF53" s="2629"/>
      <c r="BG53" s="2630"/>
      <c r="BH53" s="2631"/>
      <c r="BI53" s="2632"/>
      <c r="BJ53" s="2633"/>
      <c r="BK53" s="2634"/>
      <c r="BL53" s="2635"/>
      <c r="BM53" s="2636"/>
      <c r="BN53" s="2637"/>
      <c r="BO53" s="2638"/>
      <c r="BP53" s="2639"/>
      <c r="BQ53" s="2640"/>
      <c r="BR53" s="2641"/>
      <c r="BS53" s="2642"/>
      <c r="BT53" s="2643"/>
      <c r="BU53" s="2644"/>
      <c r="BV53" s="2645"/>
      <c r="BW53" s="2646"/>
      <c r="BX53" s="2647"/>
      <c r="BY53" s="2648"/>
      <c r="BZ53" s="2649"/>
      <c r="CA53" s="2650"/>
      <c r="CB53" s="2651"/>
      <c r="CC53" s="2652"/>
      <c r="CD53" s="2653"/>
      <c r="CE53" s="2654"/>
      <c r="CF53" s="2655"/>
      <c r="CG53" s="2656"/>
      <c r="CH53" s="2657"/>
      <c r="CI53" s="2658"/>
      <c r="CJ53" s="2659"/>
      <c r="CK53" s="2660"/>
      <c r="CL53" s="2661"/>
      <c r="CM53" s="2662"/>
      <c r="CN53" s="2663"/>
      <c r="CO53" s="2664"/>
      <c r="CP53" s="3014"/>
      <c r="CQ53" s="3015"/>
      <c r="CR53" s="3016"/>
      <c r="CS53" s="3017"/>
      <c r="CT53" s="3018"/>
      <c r="CU53" s="3019"/>
      <c r="CV53" s="3020"/>
      <c r="CW53" s="3021"/>
      <c r="CX53" s="3022"/>
      <c r="CY53" s="3023"/>
      <c r="CZ53" s="3024"/>
      <c r="DA53" s="3025"/>
      <c r="DB53" s="3026"/>
      <c r="DC53" s="3027"/>
      <c r="DD53" s="3028"/>
      <c r="DE53" s="2927"/>
      <c r="DF53" s="304"/>
      <c r="DG53" s="241"/>
      <c r="DI53" s="437"/>
      <c r="DJ53" s="437" t="str">
        <f t="shared" si="1"/>
        <v>Добавить схему подключения</v>
      </c>
      <c r="DK53" s="437"/>
      <c r="DL53" s="437"/>
      <c r="DM53" s="1082">
        <v>14</v>
      </c>
    </row>
    <row r="54" spans="1:117" s="1569" customFormat="1" ht="1.1499999999999999" customHeight="1">
      <c r="A54" s="1270" t="s">
        <v>162</v>
      </c>
      <c r="B54" s="1270" t="s">
        <v>163</v>
      </c>
      <c r="C54" s="1270" t="s">
        <v>164</v>
      </c>
      <c r="D54" s="1241"/>
      <c r="E54" s="3255"/>
      <c r="F54" s="3255"/>
      <c r="G54" s="3254"/>
      <c r="H54" s="1241"/>
      <c r="I54" s="1241"/>
      <c r="J54" s="1241"/>
      <c r="K54" s="1241"/>
      <c r="L54" s="1266"/>
      <c r="M54" s="1242"/>
      <c r="N54" s="1242"/>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c r="CB54" s="1251"/>
      <c r="CC54" s="1251"/>
      <c r="CD54" s="1251"/>
      <c r="CE54" s="1251"/>
      <c r="CF54" s="1251"/>
      <c r="CG54" s="1251"/>
      <c r="CH54" s="1251"/>
      <c r="CI54" s="1251"/>
      <c r="CJ54" s="1251"/>
      <c r="CK54" s="1251"/>
      <c r="CL54" s="1251"/>
      <c r="CM54" s="1251"/>
      <c r="CN54" s="1251"/>
      <c r="CO54" s="1251"/>
      <c r="CP54" s="1251"/>
      <c r="CQ54" s="1251"/>
      <c r="CR54" s="1251"/>
      <c r="CS54" s="1251"/>
      <c r="CT54" s="1251"/>
      <c r="CU54" s="1251"/>
      <c r="CV54" s="1251"/>
      <c r="CW54" s="1251"/>
      <c r="CX54" s="1251"/>
      <c r="CY54" s="1251"/>
      <c r="CZ54" s="1251"/>
      <c r="DA54" s="1251"/>
      <c r="DB54" s="1251"/>
      <c r="DC54" s="1251"/>
      <c r="DD54" s="1251"/>
      <c r="DE54" s="1251"/>
      <c r="DF54" s="1251"/>
      <c r="DG54" s="1251"/>
      <c r="DI54" s="720"/>
      <c r="DJ54" s="720" t="str">
        <f t="shared" si="1"/>
        <v>Добавить источник для дифференциации</v>
      </c>
      <c r="DK54" s="720"/>
      <c r="DL54" s="720"/>
      <c r="DM54" s="455">
        <v>1</v>
      </c>
    </row>
    <row r="55" spans="1:117" s="1569" customFormat="1" ht="1.1499999999999999" customHeight="1">
      <c r="A55" s="1270" t="s">
        <v>162</v>
      </c>
      <c r="B55" s="1270" t="s">
        <v>163</v>
      </c>
      <c r="C55" s="1241"/>
      <c r="D55" s="1241"/>
      <c r="E55" s="3255"/>
      <c r="F55" s="3254"/>
      <c r="G55" s="1241"/>
      <c r="H55" s="1241"/>
      <c r="I55" s="1241"/>
      <c r="J55" s="1241"/>
      <c r="K55" s="1241"/>
      <c r="L55" s="1266"/>
      <c r="M55" s="1248"/>
      <c r="N55" s="1248"/>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c r="CB55" s="1251"/>
      <c r="CC55" s="1251"/>
      <c r="CD55" s="1251"/>
      <c r="CE55" s="1251"/>
      <c r="CF55" s="1251"/>
      <c r="CG55" s="1251"/>
      <c r="CH55" s="1251"/>
      <c r="CI55" s="1251"/>
      <c r="CJ55" s="1251"/>
      <c r="CK55" s="1251"/>
      <c r="CL55" s="1251"/>
      <c r="CM55" s="1251"/>
      <c r="CN55" s="1251"/>
      <c r="CO55" s="1251"/>
      <c r="CP55" s="1251"/>
      <c r="CQ55" s="1251"/>
      <c r="CR55" s="1251"/>
      <c r="CS55" s="1251"/>
      <c r="CT55" s="1251"/>
      <c r="CU55" s="1251"/>
      <c r="CV55" s="1251"/>
      <c r="CW55" s="1251"/>
      <c r="CX55" s="1251"/>
      <c r="CY55" s="1251"/>
      <c r="CZ55" s="1251"/>
      <c r="DA55" s="1251"/>
      <c r="DB55" s="1251"/>
      <c r="DC55" s="1251"/>
      <c r="DD55" s="1251"/>
      <c r="DE55" s="1251"/>
      <c r="DF55" s="1251"/>
      <c r="DG55" s="1251"/>
      <c r="DI55" s="720"/>
      <c r="DJ55" s="720" t="str">
        <f t="shared" si="1"/>
        <v>Добавить централизованную систему для дифференциации</v>
      </c>
      <c r="DK55" s="720"/>
      <c r="DL55" s="720"/>
      <c r="DM55" s="455">
        <v>1</v>
      </c>
    </row>
    <row r="56" spans="1:117" s="1569" customFormat="1" ht="1.1499999999999999" customHeight="1">
      <c r="A56" s="1270" t="s">
        <v>162</v>
      </c>
      <c r="B56" s="1270"/>
      <c r="C56" s="1270"/>
      <c r="D56" s="1270"/>
      <c r="E56" s="3254"/>
      <c r="F56" s="1270"/>
      <c r="G56" s="1270"/>
      <c r="H56" s="1270"/>
      <c r="I56" s="1270"/>
      <c r="J56" s="1270"/>
      <c r="K56" s="1270"/>
      <c r="L56" s="1273"/>
      <c r="M56" s="1248"/>
      <c r="N56" s="1248"/>
      <c r="O56" s="455"/>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c r="CB56" s="1251"/>
      <c r="CC56" s="1251"/>
      <c r="CD56" s="1251"/>
      <c r="CE56" s="1251"/>
      <c r="CF56" s="1251"/>
      <c r="CG56" s="1251"/>
      <c r="CH56" s="1251"/>
      <c r="CI56" s="1251"/>
      <c r="CJ56" s="1251"/>
      <c r="CK56" s="1251"/>
      <c r="CL56" s="1251"/>
      <c r="CM56" s="1251"/>
      <c r="CN56" s="1251"/>
      <c r="CO56" s="1251"/>
      <c r="CP56" s="1251"/>
      <c r="CQ56" s="1251"/>
      <c r="CR56" s="1251"/>
      <c r="CS56" s="1251"/>
      <c r="CT56" s="1251"/>
      <c r="CU56" s="1251"/>
      <c r="CV56" s="1251"/>
      <c r="CW56" s="1251"/>
      <c r="CX56" s="1251"/>
      <c r="CY56" s="1251"/>
      <c r="CZ56" s="1251"/>
      <c r="DA56" s="1251"/>
      <c r="DB56" s="1251"/>
      <c r="DC56" s="1251"/>
      <c r="DD56" s="1251"/>
      <c r="DE56" s="1251"/>
      <c r="DF56" s="1251"/>
      <c r="DG56" s="1251"/>
      <c r="DI56" s="437"/>
      <c r="DJ56" s="437" t="str">
        <f t="shared" si="1"/>
        <v>Добавить территорию для дифференциации</v>
      </c>
      <c r="DK56" s="437"/>
      <c r="DL56" s="437"/>
      <c r="DM56" s="448">
        <v>1</v>
      </c>
    </row>
    <row r="57" spans="1:117" s="1775" customFormat="1" ht="36.75" customHeight="1">
      <c r="A57" s="1290" t="s">
        <v>171</v>
      </c>
      <c r="B57" s="1290"/>
      <c r="C57" s="1290"/>
      <c r="D57" s="1290"/>
      <c r="E57" s="3254" t="s">
        <v>108</v>
      </c>
      <c r="F57" s="1290"/>
      <c r="G57" s="1290"/>
      <c r="H57" s="1290"/>
      <c r="I57" s="1290"/>
      <c r="J57" s="1290"/>
      <c r="K57" s="1290"/>
      <c r="L57" s="1296"/>
      <c r="M57" s="1292"/>
      <c r="N57" s="1292"/>
      <c r="O57" s="1292"/>
      <c r="P57" s="2015"/>
      <c r="Q57" s="1748"/>
      <c r="R57" s="292"/>
      <c r="S57" s="2011" t="str">
        <f>INDEX(PT_DIFFERENTIATION_NUM_NTAR,MATCH(A57,PT_DIFFERENTIATION_NTAR_ID,0))</f>
        <v>2</v>
      </c>
      <c r="T57" s="1452" t="s">
        <v>121</v>
      </c>
      <c r="U57" s="238"/>
      <c r="V57" s="3246"/>
      <c r="W57" s="3247"/>
      <c r="X57" s="3247"/>
      <c r="Y57" s="3247"/>
      <c r="Z57" s="3247"/>
      <c r="AA57" s="3247"/>
      <c r="AB57" s="3247"/>
      <c r="AC57" s="3248"/>
      <c r="AD57" s="3246" t="str">
        <f>INDEX(PT_DIFFERENTIATION_NTAR,MATCH(A57,PT_DIFFERENTIATION_NTAR_ID,0))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v>
      </c>
      <c r="AE57" s="3247"/>
      <c r="AF57" s="3247"/>
      <c r="AG57" s="3247"/>
      <c r="AH57" s="3247"/>
      <c r="AI57" s="3247"/>
      <c r="AJ57" s="3247"/>
      <c r="AK57" s="3247"/>
      <c r="AL57" s="3246"/>
      <c r="AM57" s="3247"/>
      <c r="AN57" s="3247"/>
      <c r="AO57" s="3247"/>
      <c r="AP57" s="3247"/>
      <c r="AQ57" s="3247"/>
      <c r="AR57" s="3247"/>
      <c r="AS57" s="3249"/>
      <c r="AT57" s="3246"/>
      <c r="AU57" s="3247"/>
      <c r="AV57" s="3247"/>
      <c r="AW57" s="3247"/>
      <c r="AX57" s="3247"/>
      <c r="AY57" s="3247"/>
      <c r="AZ57" s="3247"/>
      <c r="BA57" s="3248"/>
      <c r="BB57" s="3246"/>
      <c r="BC57" s="3247"/>
      <c r="BD57" s="3247"/>
      <c r="BE57" s="3247"/>
      <c r="BF57" s="3247"/>
      <c r="BG57" s="3247"/>
      <c r="BH57" s="3247"/>
      <c r="BI57" s="3248"/>
      <c r="BJ57" s="3246"/>
      <c r="BK57" s="3247"/>
      <c r="BL57" s="3247"/>
      <c r="BM57" s="3247"/>
      <c r="BN57" s="3247"/>
      <c r="BO57" s="3247"/>
      <c r="BP57" s="3247"/>
      <c r="BQ57" s="3248"/>
      <c r="BR57" s="3246"/>
      <c r="BS57" s="3247"/>
      <c r="BT57" s="3247"/>
      <c r="BU57" s="3247"/>
      <c r="BV57" s="3247"/>
      <c r="BW57" s="3247"/>
      <c r="BX57" s="3247"/>
      <c r="BY57" s="3248"/>
      <c r="BZ57" s="3246"/>
      <c r="CA57" s="3247"/>
      <c r="CB57" s="3247"/>
      <c r="CC57" s="3247"/>
      <c r="CD57" s="3247"/>
      <c r="CE57" s="3247"/>
      <c r="CF57" s="3247"/>
      <c r="CG57" s="3248"/>
      <c r="CH57" s="3246"/>
      <c r="CI57" s="3247"/>
      <c r="CJ57" s="3247"/>
      <c r="CK57" s="3247"/>
      <c r="CL57" s="3247"/>
      <c r="CM57" s="3247"/>
      <c r="CN57" s="3247"/>
      <c r="CO57" s="3248"/>
      <c r="CP57" s="3288"/>
      <c r="CQ57" s="3289"/>
      <c r="CR57" s="3289"/>
      <c r="CS57" s="3289"/>
      <c r="CT57" s="3289"/>
      <c r="CU57" s="3289"/>
      <c r="CV57" s="3289"/>
      <c r="CW57" s="3249"/>
      <c r="CX57" s="3288"/>
      <c r="CY57" s="3289"/>
      <c r="CZ57" s="3289"/>
      <c r="DA57" s="3289"/>
      <c r="DB57" s="3289"/>
      <c r="DC57" s="3289"/>
      <c r="DD57" s="3289"/>
      <c r="DE57" s="3249"/>
      <c r="DF57" s="3248"/>
      <c r="DG57" s="1185" t="s">
        <v>404</v>
      </c>
      <c r="DH57" s="1569"/>
      <c r="DI57" s="1551"/>
      <c r="DJ57" s="1551" t="str">
        <f t="shared" si="1"/>
        <v>Наименование тарифа</v>
      </c>
      <c r="DK57" s="1551"/>
      <c r="DL57" s="1551"/>
      <c r="DM57" s="1562">
        <v>0</v>
      </c>
    </row>
    <row r="58" spans="1:117" s="1775" customFormat="1" ht="21" customHeight="1">
      <c r="A58" s="1290"/>
      <c r="B58" s="1290" t="s">
        <v>172</v>
      </c>
      <c r="C58" s="1290"/>
      <c r="D58" s="1290"/>
      <c r="E58" s="3255">
        <v>1</v>
      </c>
      <c r="F58" s="3254">
        <v>1</v>
      </c>
      <c r="G58" s="1290"/>
      <c r="H58" s="1290"/>
      <c r="I58" s="1290"/>
      <c r="J58" s="1290"/>
      <c r="K58" s="1290"/>
      <c r="L58" s="1296"/>
      <c r="M58" s="1292"/>
      <c r="N58" s="1292"/>
      <c r="O58" s="1292"/>
      <c r="P58" s="2000"/>
      <c r="Q58" s="289"/>
      <c r="R58" s="290"/>
      <c r="S58" s="2011" t="str">
        <f>INDEX(PT_DIFFERENTIATION_NUM_TER,MATCH(B58,PT_DIFFERENTIATION_TER_ID,0))</f>
        <v>2.1</v>
      </c>
      <c r="T58" s="1449" t="s">
        <v>405</v>
      </c>
      <c r="U58" s="238"/>
      <c r="V58" s="3246"/>
      <c r="W58" s="3247"/>
      <c r="X58" s="3247"/>
      <c r="Y58" s="3247"/>
      <c r="Z58" s="3247"/>
      <c r="AA58" s="3247"/>
      <c r="AB58" s="3247"/>
      <c r="AC58" s="3248"/>
      <c r="AD58" s="3246" t="str">
        <f>INDEX(PT_DIFFERENTIATION_TER,MATCH(B58,PT_DIFFERENTIATION_TER_ID,0))</f>
        <v>без дифференциации</v>
      </c>
      <c r="AE58" s="3247"/>
      <c r="AF58" s="3247"/>
      <c r="AG58" s="3247"/>
      <c r="AH58" s="3247"/>
      <c r="AI58" s="3247"/>
      <c r="AJ58" s="3247"/>
      <c r="AK58" s="3247"/>
      <c r="AL58" s="3246"/>
      <c r="AM58" s="3247"/>
      <c r="AN58" s="3247"/>
      <c r="AO58" s="3247"/>
      <c r="AP58" s="3247"/>
      <c r="AQ58" s="3247"/>
      <c r="AR58" s="3247"/>
      <c r="AS58" s="3249"/>
      <c r="AT58" s="3246"/>
      <c r="AU58" s="3247"/>
      <c r="AV58" s="3247"/>
      <c r="AW58" s="3247"/>
      <c r="AX58" s="3247"/>
      <c r="AY58" s="3247"/>
      <c r="AZ58" s="3247"/>
      <c r="BA58" s="3248"/>
      <c r="BB58" s="3246"/>
      <c r="BC58" s="3247"/>
      <c r="BD58" s="3247"/>
      <c r="BE58" s="3247"/>
      <c r="BF58" s="3247"/>
      <c r="BG58" s="3247"/>
      <c r="BH58" s="3247"/>
      <c r="BI58" s="3248"/>
      <c r="BJ58" s="3246"/>
      <c r="BK58" s="3247"/>
      <c r="BL58" s="3247"/>
      <c r="BM58" s="3247"/>
      <c r="BN58" s="3247"/>
      <c r="BO58" s="3247"/>
      <c r="BP58" s="3247"/>
      <c r="BQ58" s="3248"/>
      <c r="BR58" s="3246"/>
      <c r="BS58" s="3247"/>
      <c r="BT58" s="3247"/>
      <c r="BU58" s="3247"/>
      <c r="BV58" s="3247"/>
      <c r="BW58" s="3247"/>
      <c r="BX58" s="3247"/>
      <c r="BY58" s="3248"/>
      <c r="BZ58" s="3246"/>
      <c r="CA58" s="3247"/>
      <c r="CB58" s="3247"/>
      <c r="CC58" s="3247"/>
      <c r="CD58" s="3247"/>
      <c r="CE58" s="3247"/>
      <c r="CF58" s="3247"/>
      <c r="CG58" s="3248"/>
      <c r="CH58" s="3246"/>
      <c r="CI58" s="3247"/>
      <c r="CJ58" s="3247"/>
      <c r="CK58" s="3247"/>
      <c r="CL58" s="3247"/>
      <c r="CM58" s="3247"/>
      <c r="CN58" s="3247"/>
      <c r="CO58" s="3248"/>
      <c r="CP58" s="3288"/>
      <c r="CQ58" s="3289"/>
      <c r="CR58" s="3289"/>
      <c r="CS58" s="3289"/>
      <c r="CT58" s="3289"/>
      <c r="CU58" s="3289"/>
      <c r="CV58" s="3289"/>
      <c r="CW58" s="3249"/>
      <c r="CX58" s="3288"/>
      <c r="CY58" s="3289"/>
      <c r="CZ58" s="3289"/>
      <c r="DA58" s="3289"/>
      <c r="DB58" s="3289"/>
      <c r="DC58" s="3289"/>
      <c r="DD58" s="3289"/>
      <c r="DE58" s="3249"/>
      <c r="DF58" s="3248"/>
      <c r="DG58" s="1185" t="s">
        <v>406</v>
      </c>
      <c r="DH58" s="1569"/>
      <c r="DI58" s="1551"/>
      <c r="DJ58" s="1551" t="str">
        <f t="shared" si="1"/>
        <v>Территория действия тарифа</v>
      </c>
      <c r="DK58" s="1551"/>
      <c r="DL58" s="1551"/>
      <c r="DM58" s="1562">
        <v>0</v>
      </c>
    </row>
    <row r="59" spans="1:117" s="1775" customFormat="1" ht="23.25" customHeight="1">
      <c r="A59" s="1290"/>
      <c r="B59" s="1290"/>
      <c r="C59" s="1290" t="s">
        <v>173</v>
      </c>
      <c r="D59" s="1290"/>
      <c r="E59" s="3255">
        <v>1</v>
      </c>
      <c r="F59" s="3255"/>
      <c r="G59" s="3254">
        <v>1</v>
      </c>
      <c r="H59" s="1290"/>
      <c r="I59" s="1290"/>
      <c r="J59" s="1290"/>
      <c r="K59" s="1290"/>
      <c r="L59" s="1296"/>
      <c r="M59" s="1292"/>
      <c r="N59" s="1292"/>
      <c r="O59" s="1292"/>
      <c r="P59" s="291"/>
      <c r="Q59" s="289"/>
      <c r="R59" s="290"/>
      <c r="S59" s="2011" t="str">
        <f>INDEX(PT_DIFFERENTIATION_NUM_CS,MATCH(C59,PT_DIFFERENTIATION_CS_ID,0))</f>
        <v>2.1.1</v>
      </c>
      <c r="T59" s="247" t="s">
        <v>407</v>
      </c>
      <c r="U59" s="238"/>
      <c r="V59" s="3246"/>
      <c r="W59" s="3247"/>
      <c r="X59" s="3247"/>
      <c r="Y59" s="3247"/>
      <c r="Z59" s="3247"/>
      <c r="AA59" s="3247"/>
      <c r="AB59" s="3247"/>
      <c r="AC59" s="3248"/>
      <c r="AD59" s="3246" t="str">
        <f>INDEX(PT_DIFFERENTIATION_CS,MATCH(C59,PT_DIFFERENTIATION_CS_ID,0))</f>
        <v>без дифференциации</v>
      </c>
      <c r="AE59" s="3247"/>
      <c r="AF59" s="3247"/>
      <c r="AG59" s="3247"/>
      <c r="AH59" s="3247"/>
      <c r="AI59" s="3247"/>
      <c r="AJ59" s="3247"/>
      <c r="AK59" s="3247"/>
      <c r="AL59" s="3246"/>
      <c r="AM59" s="3247"/>
      <c r="AN59" s="3247"/>
      <c r="AO59" s="3247"/>
      <c r="AP59" s="3247"/>
      <c r="AQ59" s="3247"/>
      <c r="AR59" s="3247"/>
      <c r="AS59" s="3249"/>
      <c r="AT59" s="3246"/>
      <c r="AU59" s="3247"/>
      <c r="AV59" s="3247"/>
      <c r="AW59" s="3247"/>
      <c r="AX59" s="3247"/>
      <c r="AY59" s="3247"/>
      <c r="AZ59" s="3247"/>
      <c r="BA59" s="3248"/>
      <c r="BB59" s="3246"/>
      <c r="BC59" s="3247"/>
      <c r="BD59" s="3247"/>
      <c r="BE59" s="3247"/>
      <c r="BF59" s="3247"/>
      <c r="BG59" s="3247"/>
      <c r="BH59" s="3247"/>
      <c r="BI59" s="3248"/>
      <c r="BJ59" s="3246"/>
      <c r="BK59" s="3247"/>
      <c r="BL59" s="3247"/>
      <c r="BM59" s="3247"/>
      <c r="BN59" s="3247"/>
      <c r="BO59" s="3247"/>
      <c r="BP59" s="3247"/>
      <c r="BQ59" s="3248"/>
      <c r="BR59" s="3246"/>
      <c r="BS59" s="3247"/>
      <c r="BT59" s="3247"/>
      <c r="BU59" s="3247"/>
      <c r="BV59" s="3247"/>
      <c r="BW59" s="3247"/>
      <c r="BX59" s="3247"/>
      <c r="BY59" s="3248"/>
      <c r="BZ59" s="3246"/>
      <c r="CA59" s="3247"/>
      <c r="CB59" s="3247"/>
      <c r="CC59" s="3247"/>
      <c r="CD59" s="3247"/>
      <c r="CE59" s="3247"/>
      <c r="CF59" s="3247"/>
      <c r="CG59" s="3248"/>
      <c r="CH59" s="3246"/>
      <c r="CI59" s="3247"/>
      <c r="CJ59" s="3247"/>
      <c r="CK59" s="3247"/>
      <c r="CL59" s="3247"/>
      <c r="CM59" s="3247"/>
      <c r="CN59" s="3247"/>
      <c r="CO59" s="3248"/>
      <c r="CP59" s="3288"/>
      <c r="CQ59" s="3289"/>
      <c r="CR59" s="3289"/>
      <c r="CS59" s="3289"/>
      <c r="CT59" s="3289"/>
      <c r="CU59" s="3289"/>
      <c r="CV59" s="3289"/>
      <c r="CW59" s="3249"/>
      <c r="CX59" s="3288"/>
      <c r="CY59" s="3289"/>
      <c r="CZ59" s="3289"/>
      <c r="DA59" s="3289"/>
      <c r="DB59" s="3289"/>
      <c r="DC59" s="3289"/>
      <c r="DD59" s="3289"/>
      <c r="DE59" s="3249"/>
      <c r="DF59" s="3248"/>
      <c r="DG59" s="1185" t="s">
        <v>408</v>
      </c>
      <c r="DH59" s="1569"/>
      <c r="DI59" s="1551"/>
      <c r="DJ59" s="1551" t="str">
        <f t="shared" si="1"/>
        <v xml:space="preserve">Наименование системы теплоснабжения </v>
      </c>
      <c r="DK59" s="1551"/>
      <c r="DL59" s="1551"/>
      <c r="DM59" s="1562">
        <v>0</v>
      </c>
    </row>
    <row r="60" spans="1:117" s="1775" customFormat="1" ht="21" customHeight="1">
      <c r="A60" s="1290"/>
      <c r="B60" s="1290"/>
      <c r="C60" s="1290"/>
      <c r="D60" s="1290" t="s">
        <v>174</v>
      </c>
      <c r="E60" s="3255">
        <v>1</v>
      </c>
      <c r="F60" s="3255"/>
      <c r="G60" s="3255"/>
      <c r="H60" s="3254">
        <v>1</v>
      </c>
      <c r="I60" s="1290"/>
      <c r="J60" s="1290"/>
      <c r="K60" s="1290"/>
      <c r="L60" s="1296"/>
      <c r="M60" s="1292"/>
      <c r="N60" s="1292"/>
      <c r="O60" s="1292"/>
      <c r="P60" s="291"/>
      <c r="Q60" s="289"/>
      <c r="R60" s="290"/>
      <c r="S60" s="2011" t="str">
        <f>INDEX(PT_DIFFERENTIATION_NUM_IST_TE,MATCH(D60,PT_DIFFERENTIATION_IST_TE_ID,0))</f>
        <v>2.1.1.1</v>
      </c>
      <c r="T60" s="248" t="s">
        <v>409</v>
      </c>
      <c r="U60" s="238"/>
      <c r="V60" s="3246"/>
      <c r="W60" s="3247"/>
      <c r="X60" s="3247"/>
      <c r="Y60" s="3247"/>
      <c r="Z60" s="3247"/>
      <c r="AA60" s="3247"/>
      <c r="AB60" s="3247"/>
      <c r="AC60" s="3248"/>
      <c r="AD60" s="3246" t="str">
        <f>INDEX(PT_DIFFERENTIATION_IST_TE,MATCH(D60,PT_DIFFERENTIATION_IST_TE_ID,0))</f>
        <v>без дифференциации</v>
      </c>
      <c r="AE60" s="3247"/>
      <c r="AF60" s="3247"/>
      <c r="AG60" s="3247"/>
      <c r="AH60" s="3247"/>
      <c r="AI60" s="3247"/>
      <c r="AJ60" s="3247"/>
      <c r="AK60" s="3247"/>
      <c r="AL60" s="3246"/>
      <c r="AM60" s="3247"/>
      <c r="AN60" s="3247"/>
      <c r="AO60" s="3247"/>
      <c r="AP60" s="3247"/>
      <c r="AQ60" s="3247"/>
      <c r="AR60" s="3247"/>
      <c r="AS60" s="3249"/>
      <c r="AT60" s="3246"/>
      <c r="AU60" s="3247"/>
      <c r="AV60" s="3247"/>
      <c r="AW60" s="3247"/>
      <c r="AX60" s="3247"/>
      <c r="AY60" s="3247"/>
      <c r="AZ60" s="3247"/>
      <c r="BA60" s="3248"/>
      <c r="BB60" s="3246"/>
      <c r="BC60" s="3247"/>
      <c r="BD60" s="3247"/>
      <c r="BE60" s="3247"/>
      <c r="BF60" s="3247"/>
      <c r="BG60" s="3247"/>
      <c r="BH60" s="3247"/>
      <c r="BI60" s="3248"/>
      <c r="BJ60" s="3246"/>
      <c r="BK60" s="3247"/>
      <c r="BL60" s="3247"/>
      <c r="BM60" s="3247"/>
      <c r="BN60" s="3247"/>
      <c r="BO60" s="3247"/>
      <c r="BP60" s="3247"/>
      <c r="BQ60" s="3248"/>
      <c r="BR60" s="3246"/>
      <c r="BS60" s="3247"/>
      <c r="BT60" s="3247"/>
      <c r="BU60" s="3247"/>
      <c r="BV60" s="3247"/>
      <c r="BW60" s="3247"/>
      <c r="BX60" s="3247"/>
      <c r="BY60" s="3248"/>
      <c r="BZ60" s="3246"/>
      <c r="CA60" s="3247"/>
      <c r="CB60" s="3247"/>
      <c r="CC60" s="3247"/>
      <c r="CD60" s="3247"/>
      <c r="CE60" s="3247"/>
      <c r="CF60" s="3247"/>
      <c r="CG60" s="3248"/>
      <c r="CH60" s="3246"/>
      <c r="CI60" s="3247"/>
      <c r="CJ60" s="3247"/>
      <c r="CK60" s="3247"/>
      <c r="CL60" s="3247"/>
      <c r="CM60" s="3247"/>
      <c r="CN60" s="3247"/>
      <c r="CO60" s="3248"/>
      <c r="CP60" s="3288"/>
      <c r="CQ60" s="3289"/>
      <c r="CR60" s="3289"/>
      <c r="CS60" s="3289"/>
      <c r="CT60" s="3289"/>
      <c r="CU60" s="3289"/>
      <c r="CV60" s="3289"/>
      <c r="CW60" s="3249"/>
      <c r="CX60" s="3288"/>
      <c r="CY60" s="3289"/>
      <c r="CZ60" s="3289"/>
      <c r="DA60" s="3289"/>
      <c r="DB60" s="3289"/>
      <c r="DC60" s="3289"/>
      <c r="DD60" s="3289"/>
      <c r="DE60" s="3249"/>
      <c r="DF60" s="3248"/>
      <c r="DG60" s="1185" t="s">
        <v>410</v>
      </c>
      <c r="DH60" s="1569"/>
      <c r="DI60" s="1551"/>
      <c r="DJ60" s="1551" t="str">
        <f t="shared" si="1"/>
        <v xml:space="preserve">Источник тепловой энергии  </v>
      </c>
      <c r="DK60" s="1551"/>
      <c r="DL60" s="1551"/>
      <c r="DM60" s="1562">
        <v>0</v>
      </c>
    </row>
    <row r="61" spans="1:117" s="1775" customFormat="1" ht="47.25" customHeight="1">
      <c r="A61" s="1290"/>
      <c r="B61" s="1290"/>
      <c r="C61" s="1290"/>
      <c r="D61" s="1290"/>
      <c r="E61" s="3255">
        <v>1</v>
      </c>
      <c r="F61" s="3255"/>
      <c r="G61" s="3255"/>
      <c r="H61" s="3255"/>
      <c r="I61" s="3256" t="str">
        <f>S60&amp;".1"</f>
        <v>2.1.1.1.1</v>
      </c>
      <c r="J61" s="1290"/>
      <c r="K61" s="1290"/>
      <c r="L61" s="1296" t="s">
        <v>411</v>
      </c>
      <c r="M61" s="1293"/>
      <c r="N61" s="1702"/>
      <c r="O61" s="1702"/>
      <c r="P61" s="3258">
        <v>1</v>
      </c>
      <c r="Q61" s="2014"/>
      <c r="R61" s="293"/>
      <c r="S61" s="2011" t="str">
        <f>$I61</f>
        <v>2.1.1.1.1</v>
      </c>
      <c r="T61" s="223" t="s">
        <v>412</v>
      </c>
      <c r="U61" s="238"/>
      <c r="V61" s="3239"/>
      <c r="W61" s="3240"/>
      <c r="X61" s="3240"/>
      <c r="Y61" s="3240"/>
      <c r="Z61" s="3240"/>
      <c r="AA61" s="3240"/>
      <c r="AB61" s="3240"/>
      <c r="AC61" s="3241"/>
      <c r="AD61" s="3239" t="s">
        <v>453</v>
      </c>
      <c r="AE61" s="3240"/>
      <c r="AF61" s="3240"/>
      <c r="AG61" s="3240"/>
      <c r="AH61" s="3240"/>
      <c r="AI61" s="3240"/>
      <c r="AJ61" s="3240"/>
      <c r="AK61" s="3240"/>
      <c r="AL61" s="3239"/>
      <c r="AM61" s="3240"/>
      <c r="AN61" s="3240"/>
      <c r="AO61" s="3240"/>
      <c r="AP61" s="3240"/>
      <c r="AQ61" s="3240"/>
      <c r="AR61" s="3240"/>
      <c r="AS61" s="3242"/>
      <c r="AT61" s="3239"/>
      <c r="AU61" s="3240"/>
      <c r="AV61" s="3240"/>
      <c r="AW61" s="3240"/>
      <c r="AX61" s="3240"/>
      <c r="AY61" s="3240"/>
      <c r="AZ61" s="3240"/>
      <c r="BA61" s="3241"/>
      <c r="BB61" s="3239"/>
      <c r="BC61" s="3240"/>
      <c r="BD61" s="3240"/>
      <c r="BE61" s="3240"/>
      <c r="BF61" s="3240"/>
      <c r="BG61" s="3240"/>
      <c r="BH61" s="3240"/>
      <c r="BI61" s="3241"/>
      <c r="BJ61" s="3239"/>
      <c r="BK61" s="3240"/>
      <c r="BL61" s="3240"/>
      <c r="BM61" s="3240"/>
      <c r="BN61" s="3240"/>
      <c r="BO61" s="3240"/>
      <c r="BP61" s="3240"/>
      <c r="BQ61" s="3241"/>
      <c r="BR61" s="3239"/>
      <c r="BS61" s="3240"/>
      <c r="BT61" s="3240"/>
      <c r="BU61" s="3240"/>
      <c r="BV61" s="3240"/>
      <c r="BW61" s="3240"/>
      <c r="BX61" s="3240"/>
      <c r="BY61" s="3241"/>
      <c r="BZ61" s="3239"/>
      <c r="CA61" s="3240"/>
      <c r="CB61" s="3240"/>
      <c r="CC61" s="3240"/>
      <c r="CD61" s="3240"/>
      <c r="CE61" s="3240"/>
      <c r="CF61" s="3240"/>
      <c r="CG61" s="3241"/>
      <c r="CH61" s="3239"/>
      <c r="CI61" s="3240"/>
      <c r="CJ61" s="3240"/>
      <c r="CK61" s="3240"/>
      <c r="CL61" s="3240"/>
      <c r="CM61" s="3240"/>
      <c r="CN61" s="3240"/>
      <c r="CO61" s="3241"/>
      <c r="CP61" s="3286"/>
      <c r="CQ61" s="3287"/>
      <c r="CR61" s="3287"/>
      <c r="CS61" s="3287"/>
      <c r="CT61" s="3287"/>
      <c r="CU61" s="3287"/>
      <c r="CV61" s="3287"/>
      <c r="CW61" s="3242"/>
      <c r="CX61" s="3286"/>
      <c r="CY61" s="3287"/>
      <c r="CZ61" s="3287"/>
      <c r="DA61" s="3287"/>
      <c r="DB61" s="3287"/>
      <c r="DC61" s="3287"/>
      <c r="DD61" s="3287"/>
      <c r="DE61" s="3242"/>
      <c r="DF61" s="3241"/>
      <c r="DG61" s="1185" t="s">
        <v>413</v>
      </c>
      <c r="DH61" s="1569"/>
      <c r="DI61" s="1551"/>
      <c r="DJ61" s="1551" t="str">
        <f t="shared" si="1"/>
        <v>Схема подключения теплопотребляющей установки к коллектору источника тепловой энергии</v>
      </c>
      <c r="DK61" s="1551"/>
      <c r="DL61" s="1551"/>
      <c r="DM61" s="1562">
        <v>0</v>
      </c>
    </row>
    <row r="62" spans="1:117" s="1775" customFormat="1" ht="21" customHeight="1">
      <c r="A62" s="1290"/>
      <c r="B62" s="1290"/>
      <c r="C62" s="1290"/>
      <c r="D62" s="1290"/>
      <c r="E62" s="3255">
        <v>1</v>
      </c>
      <c r="F62" s="3255"/>
      <c r="G62" s="3255"/>
      <c r="H62" s="3255"/>
      <c r="I62" s="3257"/>
      <c r="J62" s="3256" t="str">
        <f>I61&amp;".1"</f>
        <v>2.1.1.1.1.1</v>
      </c>
      <c r="K62" s="1290"/>
      <c r="L62" s="1296" t="s">
        <v>414</v>
      </c>
      <c r="M62" s="1293"/>
      <c r="N62" s="1293"/>
      <c r="O62" s="1702"/>
      <c r="P62" s="3258"/>
      <c r="Q62" s="3258">
        <v>1</v>
      </c>
      <c r="R62" s="294"/>
      <c r="S62" s="2011" t="str">
        <f>$J62</f>
        <v>2.1.1.1.1.1</v>
      </c>
      <c r="T62" s="224" t="s">
        <v>415</v>
      </c>
      <c r="U62" s="238"/>
      <c r="V62" s="3239"/>
      <c r="W62" s="3240"/>
      <c r="X62" s="3240"/>
      <c r="Y62" s="3240"/>
      <c r="Z62" s="3240"/>
      <c r="AA62" s="3240"/>
      <c r="AB62" s="3240"/>
      <c r="AC62" s="3241"/>
      <c r="AD62" s="3239" t="s">
        <v>454</v>
      </c>
      <c r="AE62" s="3240"/>
      <c r="AF62" s="3240"/>
      <c r="AG62" s="3240"/>
      <c r="AH62" s="3240"/>
      <c r="AI62" s="3240"/>
      <c r="AJ62" s="3240"/>
      <c r="AK62" s="3240"/>
      <c r="AL62" s="3239"/>
      <c r="AM62" s="3240"/>
      <c r="AN62" s="3240"/>
      <c r="AO62" s="3240"/>
      <c r="AP62" s="3240"/>
      <c r="AQ62" s="3240"/>
      <c r="AR62" s="3240"/>
      <c r="AS62" s="3242"/>
      <c r="AT62" s="3239"/>
      <c r="AU62" s="3240"/>
      <c r="AV62" s="3240"/>
      <c r="AW62" s="3240"/>
      <c r="AX62" s="3240"/>
      <c r="AY62" s="3240"/>
      <c r="AZ62" s="3240"/>
      <c r="BA62" s="3241"/>
      <c r="BB62" s="3239"/>
      <c r="BC62" s="3240"/>
      <c r="BD62" s="3240"/>
      <c r="BE62" s="3240"/>
      <c r="BF62" s="3240"/>
      <c r="BG62" s="3240"/>
      <c r="BH62" s="3240"/>
      <c r="BI62" s="3241"/>
      <c r="BJ62" s="3239"/>
      <c r="BK62" s="3240"/>
      <c r="BL62" s="3240"/>
      <c r="BM62" s="3240"/>
      <c r="BN62" s="3240"/>
      <c r="BO62" s="3240"/>
      <c r="BP62" s="3240"/>
      <c r="BQ62" s="3241"/>
      <c r="BR62" s="3239"/>
      <c r="BS62" s="3240"/>
      <c r="BT62" s="3240"/>
      <c r="BU62" s="3240"/>
      <c r="BV62" s="3240"/>
      <c r="BW62" s="3240"/>
      <c r="BX62" s="3240"/>
      <c r="BY62" s="3241"/>
      <c r="BZ62" s="3239"/>
      <c r="CA62" s="3240"/>
      <c r="CB62" s="3240"/>
      <c r="CC62" s="3240"/>
      <c r="CD62" s="3240"/>
      <c r="CE62" s="3240"/>
      <c r="CF62" s="3240"/>
      <c r="CG62" s="3241"/>
      <c r="CH62" s="3239"/>
      <c r="CI62" s="3240"/>
      <c r="CJ62" s="3240"/>
      <c r="CK62" s="3240"/>
      <c r="CL62" s="3240"/>
      <c r="CM62" s="3240"/>
      <c r="CN62" s="3240"/>
      <c r="CO62" s="3241"/>
      <c r="CP62" s="3286"/>
      <c r="CQ62" s="3287"/>
      <c r="CR62" s="3287"/>
      <c r="CS62" s="3287"/>
      <c r="CT62" s="3287"/>
      <c r="CU62" s="3287"/>
      <c r="CV62" s="3287"/>
      <c r="CW62" s="3242"/>
      <c r="CX62" s="3286"/>
      <c r="CY62" s="3287"/>
      <c r="CZ62" s="3287"/>
      <c r="DA62" s="3287"/>
      <c r="DB62" s="3287"/>
      <c r="DC62" s="3287"/>
      <c r="DD62" s="3287"/>
      <c r="DE62" s="3242"/>
      <c r="DF62" s="3241"/>
      <c r="DG62" s="1185" t="s">
        <v>416</v>
      </c>
      <c r="DH62" s="1569"/>
      <c r="DI62" s="1551"/>
      <c r="DJ62" s="1551" t="str">
        <f t="shared" si="1"/>
        <v>Группа потребителей</v>
      </c>
      <c r="DK62" s="1551"/>
      <c r="DL62" s="1551"/>
      <c r="DM62" s="1562">
        <v>0</v>
      </c>
    </row>
    <row r="63" spans="1:117" s="1775" customFormat="1" ht="21" customHeight="1">
      <c r="A63" s="1290"/>
      <c r="B63" s="1290"/>
      <c r="C63" s="1290"/>
      <c r="D63" s="1290"/>
      <c r="E63" s="3255">
        <v>1</v>
      </c>
      <c r="F63" s="3255"/>
      <c r="G63" s="3255"/>
      <c r="H63" s="3255"/>
      <c r="I63" s="3257"/>
      <c r="J63" s="3257"/>
      <c r="K63" s="3256" t="str">
        <f>J62&amp;".1"</f>
        <v>2.1.1.1.1.1.1</v>
      </c>
      <c r="L63" s="1296" t="s">
        <v>417</v>
      </c>
      <c r="M63" s="1293"/>
      <c r="N63" s="1293"/>
      <c r="O63" s="1293"/>
      <c r="P63" s="3258"/>
      <c r="Q63" s="3258"/>
      <c r="R63" s="294">
        <v>1</v>
      </c>
      <c r="S63" s="2011" t="str">
        <f>$K63</f>
        <v>2.1.1.1.1.1.1</v>
      </c>
      <c r="T63" s="1274" t="s">
        <v>455</v>
      </c>
      <c r="U63" s="238"/>
      <c r="V63" s="1287"/>
      <c r="W63" s="1287"/>
      <c r="X63" s="1287"/>
      <c r="Y63" s="1288"/>
      <c r="Z63" s="3251"/>
      <c r="AA63" s="3250" t="s">
        <v>67</v>
      </c>
      <c r="AB63" s="3251"/>
      <c r="AC63" s="3250" t="s">
        <v>67</v>
      </c>
      <c r="AD63" s="688">
        <v>1399.32</v>
      </c>
      <c r="AE63" s="263"/>
      <c r="AF63" s="688"/>
      <c r="AG63" s="1184"/>
      <c r="AH63" s="3259">
        <v>45658.500972222224</v>
      </c>
      <c r="AI63" s="3121" t="s">
        <v>67</v>
      </c>
      <c r="AJ63" s="3259">
        <v>45838.501064814816</v>
      </c>
      <c r="AK63" s="3121" t="s">
        <v>67</v>
      </c>
      <c r="AL63" s="688">
        <v>1927.56</v>
      </c>
      <c r="AM63" s="263"/>
      <c r="AN63" s="688"/>
      <c r="AO63" s="1184"/>
      <c r="AP63" s="3259">
        <v>45839.501192129632</v>
      </c>
      <c r="AQ63" s="3121" t="s">
        <v>67</v>
      </c>
      <c r="AR63" s="3259">
        <v>46022.501331018517</v>
      </c>
      <c r="AS63" s="3281" t="s">
        <v>67</v>
      </c>
      <c r="AT63" s="688">
        <v>1869.94</v>
      </c>
      <c r="AU63" s="263"/>
      <c r="AV63" s="688"/>
      <c r="AW63" s="1184"/>
      <c r="AX63" s="3259">
        <v>46023.501608796294</v>
      </c>
      <c r="AY63" s="3121" t="s">
        <v>67</v>
      </c>
      <c r="AZ63" s="3259">
        <v>46203.50167824074</v>
      </c>
      <c r="BA63" s="3121" t="s">
        <v>67</v>
      </c>
      <c r="BB63" s="688">
        <v>2031.9</v>
      </c>
      <c r="BC63" s="263"/>
      <c r="BD63" s="688"/>
      <c r="BE63" s="1184"/>
      <c r="BF63" s="3259">
        <v>46204.501840277779</v>
      </c>
      <c r="BG63" s="3121" t="s">
        <v>67</v>
      </c>
      <c r="BH63" s="3259">
        <v>46387.501909722225</v>
      </c>
      <c r="BI63" s="3121" t="s">
        <v>67</v>
      </c>
      <c r="BJ63" s="688">
        <v>1970.96</v>
      </c>
      <c r="BK63" s="263"/>
      <c r="BL63" s="688"/>
      <c r="BM63" s="1184"/>
      <c r="BN63" s="3259">
        <v>46388.502210648148</v>
      </c>
      <c r="BO63" s="3121" t="s">
        <v>67</v>
      </c>
      <c r="BP63" s="3259">
        <v>46568.502303240741</v>
      </c>
      <c r="BQ63" s="3121" t="s">
        <v>67</v>
      </c>
      <c r="BR63" s="688">
        <v>2129.4299999999998</v>
      </c>
      <c r="BS63" s="263"/>
      <c r="BT63" s="688"/>
      <c r="BU63" s="1184"/>
      <c r="BV63" s="3259">
        <v>46569.502500000002</v>
      </c>
      <c r="BW63" s="3121" t="s">
        <v>67</v>
      </c>
      <c r="BX63" s="3259">
        <v>46752.502569444441</v>
      </c>
      <c r="BY63" s="3121" t="s">
        <v>67</v>
      </c>
      <c r="BZ63" s="688">
        <v>2065.5700000000002</v>
      </c>
      <c r="CA63" s="263"/>
      <c r="CB63" s="688"/>
      <c r="CC63" s="1184"/>
      <c r="CD63" s="3259">
        <v>46753.502951388888</v>
      </c>
      <c r="CE63" s="3121" t="s">
        <v>67</v>
      </c>
      <c r="CF63" s="3259">
        <v>46934.503055555557</v>
      </c>
      <c r="CG63" s="3121" t="s">
        <v>67</v>
      </c>
      <c r="CH63" s="688">
        <v>2231.65</v>
      </c>
      <c r="CI63" s="263"/>
      <c r="CJ63" s="688"/>
      <c r="CK63" s="1184"/>
      <c r="CL63" s="3259">
        <v>46935.503194444442</v>
      </c>
      <c r="CM63" s="3121" t="s">
        <v>67</v>
      </c>
      <c r="CN63" s="3259">
        <v>47118.503287037034</v>
      </c>
      <c r="CO63" s="3121" t="s">
        <v>19</v>
      </c>
      <c r="CP63" s="1287"/>
      <c r="CQ63" s="1287"/>
      <c r="CR63" s="1287"/>
      <c r="CS63" s="1288"/>
      <c r="CT63" s="3251"/>
      <c r="CU63" s="3250" t="s">
        <v>67</v>
      </c>
      <c r="CV63" s="3251"/>
      <c r="CW63" s="3250" t="s">
        <v>67</v>
      </c>
      <c r="CX63" s="1287"/>
      <c r="CY63" s="1287"/>
      <c r="CZ63" s="1287"/>
      <c r="DA63" s="1288"/>
      <c r="DB63" s="3251"/>
      <c r="DC63" s="3250" t="s">
        <v>67</v>
      </c>
      <c r="DD63" s="3251"/>
      <c r="DE63" s="3307" t="s">
        <v>67</v>
      </c>
      <c r="DF63" s="263"/>
      <c r="DG63" s="3278" t="s">
        <v>418</v>
      </c>
      <c r="DH63" s="1569" t="e">
        <f ca="1">STRCHECKDATE(V64:DF64)</f>
        <v>#NAME?</v>
      </c>
      <c r="DI63" s="1551"/>
      <c r="DJ63" s="1551" t="str">
        <f t="shared" si="1"/>
        <v>вода</v>
      </c>
      <c r="DK63" s="1551"/>
      <c r="DL63" s="1551"/>
      <c r="DM63" s="1562">
        <v>0</v>
      </c>
    </row>
    <row r="64" spans="1:117" s="1775" customFormat="1" ht="0.75" customHeight="1">
      <c r="A64" s="1290"/>
      <c r="B64" s="1290"/>
      <c r="C64" s="1290"/>
      <c r="D64" s="1290"/>
      <c r="E64" s="3255">
        <v>1</v>
      </c>
      <c r="F64" s="3255"/>
      <c r="G64" s="3255"/>
      <c r="H64" s="3255"/>
      <c r="I64" s="3257"/>
      <c r="J64" s="3257"/>
      <c r="K64" s="3256"/>
      <c r="L64" s="1296"/>
      <c r="M64" s="1293"/>
      <c r="N64" s="1293"/>
      <c r="O64" s="1293"/>
      <c r="P64" s="3258"/>
      <c r="Q64" s="3258"/>
      <c r="R64" s="294"/>
      <c r="S64" s="2018"/>
      <c r="T64" s="238"/>
      <c r="U64" s="238"/>
      <c r="V64" s="1287"/>
      <c r="W64" s="1287"/>
      <c r="X64" s="1287"/>
      <c r="Y64" s="266" t="str">
        <f>Z63&amp;"-"&amp;AB63</f>
        <v>-</v>
      </c>
      <c r="Z64" s="3250"/>
      <c r="AA64" s="3250"/>
      <c r="AB64" s="3250"/>
      <c r="AC64" s="3250"/>
      <c r="AD64" s="263"/>
      <c r="AE64" s="263"/>
      <c r="AF64" s="263"/>
      <c r="AG64" s="266" t="str">
        <f>AH63&amp;"-"&amp;AJ63</f>
        <v>45658,5009722222-45838,5010648148</v>
      </c>
      <c r="AH64" s="3260"/>
      <c r="AI64" s="3121"/>
      <c r="AJ64" s="3260"/>
      <c r="AK64" s="3121"/>
      <c r="AL64" s="263"/>
      <c r="AM64" s="263"/>
      <c r="AN64" s="263"/>
      <c r="AO64" s="266" t="str">
        <f>AP63&amp;"-"&amp;AR63</f>
        <v>45839,5011921296-46022,5013310185</v>
      </c>
      <c r="AP64" s="3260"/>
      <c r="AQ64" s="3121"/>
      <c r="AR64" s="3260"/>
      <c r="AS64" s="3281"/>
      <c r="AT64" s="263"/>
      <c r="AU64" s="263"/>
      <c r="AV64" s="263"/>
      <c r="AW64" s="266" t="str">
        <f>AX63&amp;"-"&amp;AZ63</f>
        <v>46023,5016087963-46203,5016782407</v>
      </c>
      <c r="AX64" s="3260"/>
      <c r="AY64" s="3121"/>
      <c r="AZ64" s="3260"/>
      <c r="BA64" s="3121"/>
      <c r="BB64" s="263"/>
      <c r="BC64" s="263"/>
      <c r="BD64" s="263"/>
      <c r="BE64" s="266" t="str">
        <f>BF63&amp;"-"&amp;BH63</f>
        <v>46204,5018402778-46387,5019097222</v>
      </c>
      <c r="BF64" s="3260"/>
      <c r="BG64" s="3121"/>
      <c r="BH64" s="3260"/>
      <c r="BI64" s="3121"/>
      <c r="BJ64" s="263"/>
      <c r="BK64" s="263"/>
      <c r="BL64" s="263"/>
      <c r="BM64" s="266" t="str">
        <f>BN63&amp;"-"&amp;BP63</f>
        <v>46388,5022106481-46568,5023032407</v>
      </c>
      <c r="BN64" s="3260"/>
      <c r="BO64" s="3121"/>
      <c r="BP64" s="3260"/>
      <c r="BQ64" s="3121"/>
      <c r="BR64" s="263"/>
      <c r="BS64" s="263"/>
      <c r="BT64" s="263"/>
      <c r="BU64" s="266" t="str">
        <f>BV63&amp;"-"&amp;BX63</f>
        <v>46569,5025-46752,5025694444</v>
      </c>
      <c r="BV64" s="3260"/>
      <c r="BW64" s="3121"/>
      <c r="BX64" s="3260"/>
      <c r="BY64" s="3121"/>
      <c r="BZ64" s="263"/>
      <c r="CA64" s="263"/>
      <c r="CB64" s="263"/>
      <c r="CC64" s="266" t="str">
        <f>CD63&amp;"-"&amp;CF63</f>
        <v>46753,5029513889-46934,5030555556</v>
      </c>
      <c r="CD64" s="3260"/>
      <c r="CE64" s="3121"/>
      <c r="CF64" s="3260"/>
      <c r="CG64" s="3121"/>
      <c r="CH64" s="263"/>
      <c r="CI64" s="263"/>
      <c r="CJ64" s="263"/>
      <c r="CK64" s="266" t="str">
        <f>CL63&amp;"-"&amp;CN63</f>
        <v>46935,5031944444-47118,503287037</v>
      </c>
      <c r="CL64" s="3260"/>
      <c r="CM64" s="3121"/>
      <c r="CN64" s="3260"/>
      <c r="CO64" s="3121"/>
      <c r="CP64" s="1287"/>
      <c r="CQ64" s="1287"/>
      <c r="CR64" s="1287"/>
      <c r="CS64" s="266" t="str">
        <f>CT63&amp;"-"&amp;CV63</f>
        <v>-</v>
      </c>
      <c r="CT64" s="3250"/>
      <c r="CU64" s="3250"/>
      <c r="CV64" s="3250"/>
      <c r="CW64" s="3250"/>
      <c r="CX64" s="1287"/>
      <c r="CY64" s="1287"/>
      <c r="CZ64" s="1287"/>
      <c r="DA64" s="266" t="str">
        <f>DB63&amp;"-"&amp;DD63</f>
        <v>-</v>
      </c>
      <c r="DB64" s="3250"/>
      <c r="DC64" s="3250"/>
      <c r="DD64" s="3250"/>
      <c r="DE64" s="3307"/>
      <c r="DF64" s="263"/>
      <c r="DG64" s="3279"/>
      <c r="DH64" s="1569"/>
      <c r="DI64" s="1551"/>
      <c r="DJ64" s="1551" t="str">
        <f t="shared" si="1"/>
        <v/>
      </c>
      <c r="DK64" s="1551"/>
      <c r="DL64" s="1551"/>
      <c r="DM64" s="1562">
        <v>0</v>
      </c>
    </row>
    <row r="65" spans="1:117" s="1775" customFormat="1" ht="15" customHeight="1">
      <c r="A65" s="1290"/>
      <c r="B65" s="1290"/>
      <c r="C65" s="1290"/>
      <c r="D65" s="1290"/>
      <c r="E65" s="3255">
        <v>1</v>
      </c>
      <c r="F65" s="3255"/>
      <c r="G65" s="3255"/>
      <c r="H65" s="3255"/>
      <c r="I65" s="3257"/>
      <c r="J65" s="3256"/>
      <c r="K65" s="1290"/>
      <c r="L65" s="1296"/>
      <c r="M65" s="1293"/>
      <c r="N65" s="1293"/>
      <c r="O65" s="1702"/>
      <c r="P65" s="3258"/>
      <c r="Q65" s="3258"/>
      <c r="R65" s="293"/>
      <c r="S65" s="2665"/>
      <c r="T65" s="2666" t="s">
        <v>419</v>
      </c>
      <c r="U65" s="2667"/>
      <c r="V65" s="2668"/>
      <c r="W65" s="2669"/>
      <c r="X65" s="2670"/>
      <c r="Y65" s="2671"/>
      <c r="Z65" s="2672"/>
      <c r="AA65" s="2673"/>
      <c r="AB65" s="2674"/>
      <c r="AC65" s="2675"/>
      <c r="AD65" s="2676"/>
      <c r="AE65" s="2677"/>
      <c r="AF65" s="2678"/>
      <c r="AG65" s="2679"/>
      <c r="AH65" s="2680"/>
      <c r="AI65" s="2681"/>
      <c r="AJ65" s="2682"/>
      <c r="AK65" s="2683"/>
      <c r="AL65" s="2684"/>
      <c r="AM65" s="2685"/>
      <c r="AN65" s="2686"/>
      <c r="AO65" s="2687"/>
      <c r="AP65" s="2688"/>
      <c r="AQ65" s="2689"/>
      <c r="AR65" s="2690"/>
      <c r="AS65" s="2691"/>
      <c r="AT65" s="2692"/>
      <c r="AU65" s="2693"/>
      <c r="AV65" s="2694"/>
      <c r="AW65" s="2695"/>
      <c r="AX65" s="2696"/>
      <c r="AY65" s="2697"/>
      <c r="AZ65" s="2698"/>
      <c r="BA65" s="2699"/>
      <c r="BB65" s="2700"/>
      <c r="BC65" s="2701"/>
      <c r="BD65" s="2702"/>
      <c r="BE65" s="2703"/>
      <c r="BF65" s="2704"/>
      <c r="BG65" s="2705"/>
      <c r="BH65" s="2706"/>
      <c r="BI65" s="2707"/>
      <c r="BJ65" s="2708"/>
      <c r="BK65" s="2709"/>
      <c r="BL65" s="2710"/>
      <c r="BM65" s="2711"/>
      <c r="BN65" s="2712"/>
      <c r="BO65" s="2713"/>
      <c r="BP65" s="2714"/>
      <c r="BQ65" s="2715"/>
      <c r="BR65" s="2716"/>
      <c r="BS65" s="2717"/>
      <c r="BT65" s="2718"/>
      <c r="BU65" s="2719"/>
      <c r="BV65" s="2720"/>
      <c r="BW65" s="2721"/>
      <c r="BX65" s="2722"/>
      <c r="BY65" s="2723"/>
      <c r="BZ65" s="2724"/>
      <c r="CA65" s="2725"/>
      <c r="CB65" s="2726"/>
      <c r="CC65" s="2727"/>
      <c r="CD65" s="2728"/>
      <c r="CE65" s="2729"/>
      <c r="CF65" s="2730"/>
      <c r="CG65" s="2731"/>
      <c r="CH65" s="2732"/>
      <c r="CI65" s="2733"/>
      <c r="CJ65" s="2734"/>
      <c r="CK65" s="2735"/>
      <c r="CL65" s="2736"/>
      <c r="CM65" s="2737"/>
      <c r="CN65" s="2738"/>
      <c r="CO65" s="2739"/>
      <c r="CP65" s="3029"/>
      <c r="CQ65" s="3030"/>
      <c r="CR65" s="3031"/>
      <c r="CS65" s="3032"/>
      <c r="CT65" s="3033"/>
      <c r="CU65" s="3034"/>
      <c r="CV65" s="3035"/>
      <c r="CW65" s="3036"/>
      <c r="CX65" s="3037"/>
      <c r="CY65" s="3038"/>
      <c r="CZ65" s="3039"/>
      <c r="DA65" s="3040"/>
      <c r="DB65" s="3041"/>
      <c r="DC65" s="3042"/>
      <c r="DD65" s="3043"/>
      <c r="DE65" s="2928"/>
      <c r="DF65" s="2740"/>
      <c r="DG65" s="3280"/>
      <c r="DH65" s="1569"/>
      <c r="DI65" s="1551"/>
      <c r="DJ65" s="1551" t="str">
        <f t="shared" si="1"/>
        <v>Добавить вид теплоносителя (параметры теплоносителя)</v>
      </c>
      <c r="DK65" s="1551"/>
      <c r="DL65" s="1551"/>
      <c r="DM65" s="1562">
        <v>0</v>
      </c>
    </row>
    <row r="66" spans="1:117" s="1775" customFormat="1" ht="15" customHeight="1">
      <c r="A66" s="1290"/>
      <c r="B66" s="1290"/>
      <c r="C66" s="1290"/>
      <c r="D66" s="1290"/>
      <c r="E66" s="3255">
        <v>1</v>
      </c>
      <c r="F66" s="3255"/>
      <c r="G66" s="3255"/>
      <c r="H66" s="3255"/>
      <c r="I66" s="3256"/>
      <c r="J66" s="1290"/>
      <c r="K66" s="1290"/>
      <c r="L66" s="1296"/>
      <c r="M66" s="1293"/>
      <c r="N66" s="1702"/>
      <c r="O66" s="1702"/>
      <c r="P66" s="3258"/>
      <c r="Q66" s="2014"/>
      <c r="R66" s="293"/>
      <c r="S66" s="2741"/>
      <c r="T66" s="2742" t="s">
        <v>420</v>
      </c>
      <c r="U66" s="2743"/>
      <c r="V66" s="2744"/>
      <c r="W66" s="2745"/>
      <c r="X66" s="2746"/>
      <c r="Y66" s="2747"/>
      <c r="Z66" s="2748"/>
      <c r="AA66" s="2749"/>
      <c r="AB66" s="2750"/>
      <c r="AC66" s="2751"/>
      <c r="AD66" s="2752"/>
      <c r="AE66" s="2753"/>
      <c r="AF66" s="2754"/>
      <c r="AG66" s="2755"/>
      <c r="AH66" s="2756"/>
      <c r="AI66" s="2757"/>
      <c r="AJ66" s="2758"/>
      <c r="AK66" s="2759"/>
      <c r="AL66" s="2760"/>
      <c r="AM66" s="2761"/>
      <c r="AN66" s="2762"/>
      <c r="AO66" s="2763"/>
      <c r="AP66" s="2764"/>
      <c r="AQ66" s="2765"/>
      <c r="AR66" s="2766"/>
      <c r="AS66" s="2767"/>
      <c r="AT66" s="2768"/>
      <c r="AU66" s="2769"/>
      <c r="AV66" s="2770"/>
      <c r="AW66" s="2771"/>
      <c r="AX66" s="2772"/>
      <c r="AY66" s="2773"/>
      <c r="AZ66" s="2774"/>
      <c r="BA66" s="2775"/>
      <c r="BB66" s="2776"/>
      <c r="BC66" s="2777"/>
      <c r="BD66" s="2778"/>
      <c r="BE66" s="2779"/>
      <c r="BF66" s="2780"/>
      <c r="BG66" s="2781"/>
      <c r="BH66" s="2782"/>
      <c r="BI66" s="2783"/>
      <c r="BJ66" s="2784"/>
      <c r="BK66" s="2785"/>
      <c r="BL66" s="2786"/>
      <c r="BM66" s="2787"/>
      <c r="BN66" s="2788"/>
      <c r="BO66" s="2789"/>
      <c r="BP66" s="2790"/>
      <c r="BQ66" s="2791"/>
      <c r="BR66" s="2792"/>
      <c r="BS66" s="2793"/>
      <c r="BT66" s="2794"/>
      <c r="BU66" s="2795"/>
      <c r="BV66" s="2796"/>
      <c r="BW66" s="2797"/>
      <c r="BX66" s="2798"/>
      <c r="BY66" s="2799"/>
      <c r="BZ66" s="2800"/>
      <c r="CA66" s="2801"/>
      <c r="CB66" s="2802"/>
      <c r="CC66" s="2803"/>
      <c r="CD66" s="2804"/>
      <c r="CE66" s="2805"/>
      <c r="CF66" s="2806"/>
      <c r="CG66" s="2807"/>
      <c r="CH66" s="2808"/>
      <c r="CI66" s="2809"/>
      <c r="CJ66" s="2810"/>
      <c r="CK66" s="2811"/>
      <c r="CL66" s="2812"/>
      <c r="CM66" s="2813"/>
      <c r="CN66" s="2814"/>
      <c r="CO66" s="2815"/>
      <c r="CP66" s="3044"/>
      <c r="CQ66" s="3045"/>
      <c r="CR66" s="3046"/>
      <c r="CS66" s="3047"/>
      <c r="CT66" s="3048"/>
      <c r="CU66" s="3049"/>
      <c r="CV66" s="3050"/>
      <c r="CW66" s="3051"/>
      <c r="CX66" s="3052"/>
      <c r="CY66" s="3053"/>
      <c r="CZ66" s="3054"/>
      <c r="DA66" s="3055"/>
      <c r="DB66" s="3056"/>
      <c r="DC66" s="3057"/>
      <c r="DD66" s="3058"/>
      <c r="DE66" s="2929"/>
      <c r="DF66" s="2816"/>
      <c r="DG66" s="2817"/>
      <c r="DH66" s="1569"/>
      <c r="DI66" s="1551"/>
      <c r="DJ66" s="1551" t="str">
        <f t="shared" si="1"/>
        <v>Добавить группу потребителей</v>
      </c>
      <c r="DK66" s="1551"/>
      <c r="DL66" s="1551"/>
      <c r="DM66" s="1562">
        <v>0</v>
      </c>
    </row>
    <row r="67" spans="1:117" s="1775" customFormat="1" ht="14.25" customHeight="1">
      <c r="A67" s="1290"/>
      <c r="B67" s="1290"/>
      <c r="C67" s="1290"/>
      <c r="D67" s="1290"/>
      <c r="E67" s="3255">
        <v>1</v>
      </c>
      <c r="F67" s="3255"/>
      <c r="G67" s="3255"/>
      <c r="H67" s="3254"/>
      <c r="I67" s="1290"/>
      <c r="J67" s="1290"/>
      <c r="K67" s="1290"/>
      <c r="L67" s="1296"/>
      <c r="M67" s="1292"/>
      <c r="N67" s="1292"/>
      <c r="O67" s="1293"/>
      <c r="P67" s="1748"/>
      <c r="Q67" s="312"/>
      <c r="R67" s="292"/>
      <c r="S67" s="2818"/>
      <c r="T67" s="2819" t="s">
        <v>421</v>
      </c>
      <c r="U67" s="2820"/>
      <c r="V67" s="2821"/>
      <c r="W67" s="2822"/>
      <c r="X67" s="2823"/>
      <c r="Y67" s="2824"/>
      <c r="Z67" s="2825"/>
      <c r="AA67" s="2826"/>
      <c r="AB67" s="2827"/>
      <c r="AC67" s="2828"/>
      <c r="AD67" s="2829"/>
      <c r="AE67" s="2830"/>
      <c r="AF67" s="2831"/>
      <c r="AG67" s="2832"/>
      <c r="AH67" s="2833"/>
      <c r="AI67" s="2834"/>
      <c r="AJ67" s="2835"/>
      <c r="AK67" s="2836"/>
      <c r="AL67" s="2837"/>
      <c r="AM67" s="2838"/>
      <c r="AN67" s="2839"/>
      <c r="AO67" s="2840"/>
      <c r="AP67" s="2841"/>
      <c r="AQ67" s="2842"/>
      <c r="AR67" s="2843"/>
      <c r="AS67" s="2844"/>
      <c r="AT67" s="2845"/>
      <c r="AU67" s="2846"/>
      <c r="AV67" s="2847"/>
      <c r="AW67" s="2848"/>
      <c r="AX67" s="2849"/>
      <c r="AY67" s="2850"/>
      <c r="AZ67" s="2851"/>
      <c r="BA67" s="2852"/>
      <c r="BB67" s="2853"/>
      <c r="BC67" s="2854"/>
      <c r="BD67" s="2855"/>
      <c r="BE67" s="2856"/>
      <c r="BF67" s="2857"/>
      <c r="BG67" s="2858"/>
      <c r="BH67" s="2859"/>
      <c r="BI67" s="2860"/>
      <c r="BJ67" s="2861"/>
      <c r="BK67" s="2862"/>
      <c r="BL67" s="2863"/>
      <c r="BM67" s="2864"/>
      <c r="BN67" s="2865"/>
      <c r="BO67" s="2866"/>
      <c r="BP67" s="2867"/>
      <c r="BQ67" s="2868"/>
      <c r="BR67" s="2869"/>
      <c r="BS67" s="2870"/>
      <c r="BT67" s="2871"/>
      <c r="BU67" s="2872"/>
      <c r="BV67" s="2873"/>
      <c r="BW67" s="2874"/>
      <c r="BX67" s="2875"/>
      <c r="BY67" s="2876"/>
      <c r="BZ67" s="2877"/>
      <c r="CA67" s="2878"/>
      <c r="CB67" s="2879"/>
      <c r="CC67" s="2880"/>
      <c r="CD67" s="2881"/>
      <c r="CE67" s="2882"/>
      <c r="CF67" s="2883"/>
      <c r="CG67" s="2884"/>
      <c r="CH67" s="2885"/>
      <c r="CI67" s="2886"/>
      <c r="CJ67" s="2887"/>
      <c r="CK67" s="2888"/>
      <c r="CL67" s="2889"/>
      <c r="CM67" s="2890"/>
      <c r="CN67" s="2891"/>
      <c r="CO67" s="2892"/>
      <c r="CP67" s="3059"/>
      <c r="CQ67" s="3060"/>
      <c r="CR67" s="3061"/>
      <c r="CS67" s="3062"/>
      <c r="CT67" s="3063"/>
      <c r="CU67" s="3064"/>
      <c r="CV67" s="3065"/>
      <c r="CW67" s="3066"/>
      <c r="CX67" s="3067"/>
      <c r="CY67" s="3068"/>
      <c r="CZ67" s="3069"/>
      <c r="DA67" s="3070"/>
      <c r="DB67" s="3071"/>
      <c r="DC67" s="3072"/>
      <c r="DD67" s="3073"/>
      <c r="DE67" s="2930"/>
      <c r="DF67" s="2893"/>
      <c r="DG67" s="2894"/>
      <c r="DH67" s="1569"/>
      <c r="DI67" s="1551"/>
      <c r="DJ67" s="1551" t="str">
        <f t="shared" si="1"/>
        <v>Добавить схему подключения</v>
      </c>
      <c r="DK67" s="1551"/>
      <c r="DL67" s="1551"/>
      <c r="DM67" s="1562">
        <v>0</v>
      </c>
    </row>
    <row r="68" spans="1:117" s="559" customFormat="1" ht="0.75" customHeight="1">
      <c r="A68" s="1270"/>
      <c r="B68" s="1270"/>
      <c r="C68" s="1270"/>
      <c r="D68" s="1270"/>
      <c r="E68" s="3255">
        <v>1</v>
      </c>
      <c r="F68" s="3255"/>
      <c r="G68" s="3254"/>
      <c r="H68" s="1270"/>
      <c r="I68" s="1270"/>
      <c r="J68" s="1270"/>
      <c r="K68" s="1270"/>
      <c r="L68" s="1472"/>
      <c r="M68" s="1242"/>
      <c r="N68" s="1242"/>
      <c r="O68" s="1569"/>
      <c r="P68" s="1243"/>
      <c r="Q68" s="1271"/>
      <c r="R68" s="1243"/>
      <c r="S68" s="1245"/>
      <c r="T68" s="1246" t="s">
        <v>166</v>
      </c>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2359"/>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c r="CB68" s="1247"/>
      <c r="CC68" s="1247"/>
      <c r="CD68" s="1247"/>
      <c r="CE68" s="1247"/>
      <c r="CF68" s="1247"/>
      <c r="CG68" s="1247"/>
      <c r="CH68" s="1247"/>
      <c r="CI68" s="1247"/>
      <c r="CJ68" s="1247"/>
      <c r="CK68" s="1247"/>
      <c r="CL68" s="1247"/>
      <c r="CM68" s="1247"/>
      <c r="CN68" s="1247"/>
      <c r="CO68" s="1247"/>
      <c r="CP68" s="1247"/>
      <c r="CQ68" s="1247"/>
      <c r="CR68" s="1247"/>
      <c r="CS68" s="1247"/>
      <c r="CT68" s="1247"/>
      <c r="CU68" s="1247"/>
      <c r="CV68" s="1247"/>
      <c r="CW68" s="1247"/>
      <c r="CX68" s="1247"/>
      <c r="CY68" s="1247"/>
      <c r="CZ68" s="1247"/>
      <c r="DA68" s="1247"/>
      <c r="DB68" s="1247"/>
      <c r="DC68" s="1247"/>
      <c r="DD68" s="1247"/>
      <c r="DE68" s="1247"/>
      <c r="DF68" s="1247"/>
      <c r="DG68" s="1247"/>
      <c r="DH68" s="1569"/>
      <c r="DI68" s="1551"/>
      <c r="DJ68" s="1551" t="str">
        <f t="shared" si="1"/>
        <v>Добавить источник для дифференциации</v>
      </c>
      <c r="DK68" s="1551"/>
      <c r="DL68" s="1551"/>
      <c r="DM68" s="1569">
        <v>0</v>
      </c>
    </row>
    <row r="69" spans="1:117" s="559" customFormat="1" ht="0.75" customHeight="1">
      <c r="A69" s="1270"/>
      <c r="B69" s="1270"/>
      <c r="C69" s="1270"/>
      <c r="D69" s="1270"/>
      <c r="E69" s="3255">
        <v>1</v>
      </c>
      <c r="F69" s="3254"/>
      <c r="G69" s="1270"/>
      <c r="H69" s="1270"/>
      <c r="I69" s="1270"/>
      <c r="J69" s="1270"/>
      <c r="K69" s="1270"/>
      <c r="L69" s="1472"/>
      <c r="M69" s="1248"/>
      <c r="N69" s="1248"/>
      <c r="O69" s="1569"/>
      <c r="P69" s="1243"/>
      <c r="Q69" s="1271"/>
      <c r="R69" s="1243"/>
      <c r="S69" s="1249"/>
      <c r="T69" s="1250" t="s">
        <v>167</v>
      </c>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2360"/>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c r="CB69" s="1251"/>
      <c r="CC69" s="1251"/>
      <c r="CD69" s="1251"/>
      <c r="CE69" s="1251"/>
      <c r="CF69" s="1251"/>
      <c r="CG69" s="1251"/>
      <c r="CH69" s="1251"/>
      <c r="CI69" s="1251"/>
      <c r="CJ69" s="1251"/>
      <c r="CK69" s="1251"/>
      <c r="CL69" s="1251"/>
      <c r="CM69" s="1251"/>
      <c r="CN69" s="1251"/>
      <c r="CO69" s="1251"/>
      <c r="CP69" s="1251"/>
      <c r="CQ69" s="1251"/>
      <c r="CR69" s="1251"/>
      <c r="CS69" s="1251"/>
      <c r="CT69" s="1251"/>
      <c r="CU69" s="1251"/>
      <c r="CV69" s="1251"/>
      <c r="CW69" s="1251"/>
      <c r="CX69" s="1251"/>
      <c r="CY69" s="1251"/>
      <c r="CZ69" s="1251"/>
      <c r="DA69" s="1251"/>
      <c r="DB69" s="1251"/>
      <c r="DC69" s="1251"/>
      <c r="DD69" s="1251"/>
      <c r="DE69" s="1251"/>
      <c r="DF69" s="1251"/>
      <c r="DG69" s="1251"/>
      <c r="DH69" s="1569"/>
      <c r="DI69" s="1551"/>
      <c r="DJ69" s="1551" t="str">
        <f t="shared" si="1"/>
        <v>Добавить централизованную систему для дифференциации</v>
      </c>
      <c r="DK69" s="1551"/>
      <c r="DL69" s="1551"/>
      <c r="DM69" s="1569">
        <v>0</v>
      </c>
    </row>
    <row r="70" spans="1:117" s="559" customFormat="1" ht="0.75" customHeight="1">
      <c r="A70" s="1270"/>
      <c r="B70" s="1270"/>
      <c r="C70" s="1270"/>
      <c r="D70" s="1270"/>
      <c r="E70" s="3254">
        <v>1</v>
      </c>
      <c r="F70" s="1270"/>
      <c r="G70" s="1270"/>
      <c r="H70" s="1270"/>
      <c r="I70" s="1270"/>
      <c r="J70" s="1270"/>
      <c r="K70" s="1270"/>
      <c r="L70" s="1472"/>
      <c r="M70" s="1248"/>
      <c r="N70" s="1248"/>
      <c r="O70" s="1569"/>
      <c r="P70" s="1243"/>
      <c r="Q70" s="1271"/>
      <c r="R70" s="1243"/>
      <c r="S70" s="1249"/>
      <c r="T70" s="1252" t="s">
        <v>168</v>
      </c>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2360"/>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c r="CB70" s="1251"/>
      <c r="CC70" s="1251"/>
      <c r="CD70" s="1251"/>
      <c r="CE70" s="1251"/>
      <c r="CF70" s="1251"/>
      <c r="CG70" s="1251"/>
      <c r="CH70" s="1251"/>
      <c r="CI70" s="1251"/>
      <c r="CJ70" s="1251"/>
      <c r="CK70" s="1251"/>
      <c r="CL70" s="1251"/>
      <c r="CM70" s="1251"/>
      <c r="CN70" s="1251"/>
      <c r="CO70" s="1251"/>
      <c r="CP70" s="1251"/>
      <c r="CQ70" s="1251"/>
      <c r="CR70" s="1251"/>
      <c r="CS70" s="1251"/>
      <c r="CT70" s="1251"/>
      <c r="CU70" s="1251"/>
      <c r="CV70" s="1251"/>
      <c r="CW70" s="1251"/>
      <c r="CX70" s="1251"/>
      <c r="CY70" s="1251"/>
      <c r="CZ70" s="1251"/>
      <c r="DA70" s="1251"/>
      <c r="DB70" s="1251"/>
      <c r="DC70" s="1251"/>
      <c r="DD70" s="1251"/>
      <c r="DE70" s="1251"/>
      <c r="DF70" s="1251"/>
      <c r="DG70" s="1251"/>
      <c r="DH70" s="1569"/>
      <c r="DI70" s="1551"/>
      <c r="DJ70" s="1551" t="str">
        <f t="shared" si="1"/>
        <v>Добавить территорию для дифференциации</v>
      </c>
      <c r="DK70" s="1551"/>
      <c r="DL70" s="1551"/>
      <c r="DM70" s="1569">
        <v>0</v>
      </c>
    </row>
    <row r="71" spans="1:117" s="1569" customFormat="1" ht="1.1499999999999999" customHeight="1">
      <c r="A71" s="1241"/>
      <c r="B71" s="1241"/>
      <c r="C71" s="1241"/>
      <c r="D71" s="1241"/>
      <c r="E71" s="1270"/>
      <c r="F71" s="1241"/>
      <c r="G71" s="1241"/>
      <c r="H71" s="1241"/>
      <c r="I71" s="1241"/>
      <c r="J71" s="1241"/>
      <c r="K71" s="1241"/>
      <c r="L71" s="1266"/>
      <c r="M71" s="1248"/>
      <c r="N71" s="1248"/>
      <c r="P71" s="1243"/>
      <c r="Q71" s="1244"/>
      <c r="R71" s="1243"/>
      <c r="S71" s="1249"/>
      <c r="T71" s="1252" t="s">
        <v>175</v>
      </c>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c r="CB71" s="1251"/>
      <c r="CC71" s="1251"/>
      <c r="CD71" s="1251"/>
      <c r="CE71" s="1251"/>
      <c r="CF71" s="1251"/>
      <c r="CG71" s="1251"/>
      <c r="CH71" s="1251"/>
      <c r="CI71" s="1251"/>
      <c r="CJ71" s="1251"/>
      <c r="CK71" s="1251"/>
      <c r="CL71" s="1251"/>
      <c r="CM71" s="1251"/>
      <c r="CN71" s="1251"/>
      <c r="CO71" s="1251"/>
      <c r="CP71" s="1251"/>
      <c r="CQ71" s="1251"/>
      <c r="CR71" s="1251"/>
      <c r="CS71" s="1251"/>
      <c r="CT71" s="1251"/>
      <c r="CU71" s="1251"/>
      <c r="CV71" s="1251"/>
      <c r="CW71" s="1251"/>
      <c r="CX71" s="1251"/>
      <c r="CY71" s="1251"/>
      <c r="CZ71" s="1251"/>
      <c r="DA71" s="1251"/>
      <c r="DB71" s="1251"/>
      <c r="DC71" s="1251"/>
      <c r="DD71" s="1251"/>
      <c r="DE71" s="1251"/>
      <c r="DF71" s="1251"/>
      <c r="DG71" s="1251"/>
      <c r="DI71" s="720"/>
      <c r="DJ71" s="720" t="str">
        <f t="shared" si="1"/>
        <v>Добавить наименование тарифа</v>
      </c>
      <c r="DK71" s="720"/>
      <c r="DL71" s="720"/>
      <c r="DM71" s="455">
        <v>1</v>
      </c>
    </row>
    <row r="72" spans="1:117" ht="11.45" customHeight="1">
      <c r="M72" s="1087"/>
      <c r="N72" s="1087"/>
      <c r="O72" s="474"/>
      <c r="P72" s="1082"/>
      <c r="Q72" s="1082"/>
      <c r="R72" s="1082"/>
      <c r="S72" s="1082"/>
      <c r="AL72" s="1562"/>
      <c r="AM72" s="1562"/>
      <c r="AN72" s="1562"/>
      <c r="AO72" s="1562"/>
      <c r="AP72" s="1562"/>
      <c r="AQ72" s="1562"/>
      <c r="AR72" s="1562"/>
      <c r="AS72" s="2355"/>
      <c r="AT72" s="1562"/>
      <c r="AU72" s="1562"/>
      <c r="AV72" s="1562"/>
      <c r="AW72" s="1562"/>
      <c r="AX72" s="1562"/>
      <c r="AY72" s="1562"/>
      <c r="AZ72" s="1562"/>
      <c r="BA72" s="1562"/>
      <c r="BB72" s="1562"/>
      <c r="BC72" s="1562"/>
      <c r="BD72" s="1562"/>
      <c r="BE72" s="1562"/>
      <c r="BF72" s="1562"/>
      <c r="BG72" s="1562"/>
      <c r="BH72" s="1562"/>
      <c r="BI72" s="1562"/>
      <c r="BJ72" s="1562"/>
      <c r="BK72" s="1562"/>
      <c r="BL72" s="1562"/>
      <c r="BM72" s="1562"/>
      <c r="BN72" s="1562"/>
      <c r="BO72" s="1562"/>
      <c r="BP72" s="1562"/>
      <c r="BQ72" s="1562"/>
      <c r="BR72" s="1562"/>
      <c r="BS72" s="1562"/>
      <c r="BT72" s="1562"/>
      <c r="BU72" s="1562"/>
      <c r="BV72" s="1562"/>
      <c r="BW72" s="1562"/>
      <c r="BX72" s="1562"/>
      <c r="BY72" s="1562"/>
      <c r="BZ72" s="1562"/>
      <c r="CA72" s="1562"/>
      <c r="CB72" s="1562"/>
      <c r="CC72" s="1562"/>
      <c r="CD72" s="1562"/>
      <c r="CE72" s="1562"/>
      <c r="CF72" s="1562"/>
      <c r="CG72" s="1562"/>
      <c r="CH72" s="1562"/>
      <c r="CI72" s="1562"/>
      <c r="CJ72" s="1562"/>
      <c r="CK72" s="1562"/>
      <c r="CL72" s="1562"/>
      <c r="CM72" s="1562"/>
      <c r="CN72" s="1562"/>
      <c r="CO72" s="1562"/>
      <c r="CP72" s="2355"/>
      <c r="CQ72" s="2355"/>
      <c r="CR72" s="2355"/>
      <c r="CS72" s="2355"/>
      <c r="CT72" s="2355"/>
      <c r="CU72" s="2355"/>
      <c r="CV72" s="2355"/>
      <c r="CW72" s="2355"/>
      <c r="CX72" s="2355"/>
      <c r="CY72" s="2355"/>
      <c r="CZ72" s="2355"/>
      <c r="DA72" s="2355"/>
      <c r="DB72" s="2355"/>
      <c r="DC72" s="2355"/>
      <c r="DD72" s="2355"/>
      <c r="DE72" s="2355"/>
      <c r="DH72" s="1082"/>
      <c r="DI72" s="1082"/>
      <c r="DJ72" s="1082"/>
      <c r="DK72" s="1082"/>
      <c r="DL72" s="1082"/>
      <c r="DM72" s="1082">
        <v>11</v>
      </c>
    </row>
    <row r="73" spans="1:117" ht="28.5" customHeight="1">
      <c r="O73" s="474"/>
      <c r="S73" s="1180"/>
      <c r="T73" s="3252"/>
      <c r="U73" s="3252"/>
      <c r="V73" s="3252"/>
      <c r="W73" s="3252"/>
      <c r="X73" s="3252"/>
      <c r="Y73" s="3252"/>
      <c r="Z73" s="3252"/>
      <c r="AA73" s="3252"/>
      <c r="AB73" s="3252"/>
      <c r="AC73" s="3252"/>
      <c r="AD73" s="3252"/>
      <c r="AE73" s="3252"/>
      <c r="AF73" s="3252"/>
      <c r="AG73" s="3252"/>
      <c r="AH73" s="3252"/>
      <c r="AI73" s="3252"/>
      <c r="AJ73" s="3252"/>
      <c r="AK73" s="3252"/>
      <c r="AL73" s="3252"/>
      <c r="AM73" s="3252"/>
      <c r="AN73" s="3252"/>
      <c r="AO73" s="3252"/>
      <c r="AP73" s="3252"/>
      <c r="AQ73" s="3252"/>
      <c r="AR73" s="3252"/>
      <c r="AS73" s="3253"/>
      <c r="AT73" s="3252"/>
      <c r="AU73" s="3252"/>
      <c r="AV73" s="3252"/>
      <c r="AW73" s="3252"/>
      <c r="AX73" s="3252"/>
      <c r="AY73" s="3252"/>
      <c r="AZ73" s="3252"/>
      <c r="BA73" s="3252"/>
      <c r="BB73" s="3252"/>
      <c r="BC73" s="3252"/>
      <c r="BD73" s="3252"/>
      <c r="BE73" s="3252"/>
      <c r="BF73" s="3252"/>
      <c r="BG73" s="3252"/>
      <c r="BH73" s="3252"/>
      <c r="BI73" s="3252"/>
      <c r="BJ73" s="3252"/>
      <c r="BK73" s="3252"/>
      <c r="BL73" s="3252"/>
      <c r="BM73" s="3252"/>
      <c r="BN73" s="3252"/>
      <c r="BO73" s="3252"/>
      <c r="BP73" s="3252"/>
      <c r="BQ73" s="3252"/>
      <c r="BR73" s="3252"/>
      <c r="BS73" s="3252"/>
      <c r="BT73" s="3252"/>
      <c r="BU73" s="3252"/>
      <c r="BV73" s="3252"/>
      <c r="BW73" s="3252"/>
      <c r="BX73" s="3252"/>
      <c r="BY73" s="3252"/>
      <c r="BZ73" s="3252"/>
      <c r="CA73" s="3252"/>
      <c r="CB73" s="3252"/>
      <c r="CC73" s="3252"/>
      <c r="CD73" s="3252"/>
      <c r="CE73" s="3252"/>
      <c r="CF73" s="3252"/>
      <c r="CG73" s="3252"/>
      <c r="CH73" s="3252"/>
      <c r="CI73" s="3252"/>
      <c r="CJ73" s="3252"/>
      <c r="CK73" s="3252"/>
      <c r="CL73" s="3252"/>
      <c r="CM73" s="3252"/>
      <c r="CN73" s="3252"/>
      <c r="CO73" s="3252"/>
      <c r="CP73" s="3253"/>
      <c r="CQ73" s="3253"/>
      <c r="CR73" s="3253"/>
      <c r="CS73" s="3253"/>
      <c r="CT73" s="3253"/>
      <c r="CU73" s="3253"/>
      <c r="CV73" s="3253"/>
      <c r="CW73" s="3253"/>
      <c r="CX73" s="3253"/>
      <c r="CY73" s="3253"/>
      <c r="CZ73" s="3253"/>
      <c r="DA73" s="3253"/>
      <c r="DB73" s="3253"/>
      <c r="DC73" s="3253"/>
      <c r="DD73" s="3253"/>
      <c r="DE73" s="3253"/>
      <c r="DF73" s="3252"/>
      <c r="DG73" s="3252"/>
      <c r="DM73" s="1082">
        <v>27</v>
      </c>
    </row>
    <row r="74" spans="1:117" ht="65.25" customHeight="1">
      <c r="O74" s="474"/>
      <c r="T74" s="3252"/>
      <c r="U74" s="3252"/>
      <c r="V74" s="3252"/>
      <c r="W74" s="3252"/>
      <c r="X74" s="3252"/>
      <c r="Y74" s="3252"/>
      <c r="Z74" s="3252"/>
      <c r="AA74" s="3252"/>
      <c r="AB74" s="3252"/>
      <c r="AC74" s="3252"/>
      <c r="AD74" s="3252"/>
      <c r="AE74" s="3252"/>
      <c r="AF74" s="3252"/>
      <c r="AG74" s="3252"/>
      <c r="AH74" s="3252"/>
      <c r="AI74" s="3252"/>
      <c r="AJ74" s="3252"/>
      <c r="AK74" s="3252"/>
      <c r="AL74" s="3252"/>
      <c r="AM74" s="3252"/>
      <c r="AN74" s="3252"/>
      <c r="AO74" s="3252"/>
      <c r="AP74" s="3252"/>
      <c r="AQ74" s="3252"/>
      <c r="AR74" s="3252"/>
      <c r="AS74" s="3253"/>
      <c r="AT74" s="3252"/>
      <c r="AU74" s="3252"/>
      <c r="AV74" s="3252"/>
      <c r="AW74" s="3252"/>
      <c r="AX74" s="3252"/>
      <c r="AY74" s="3252"/>
      <c r="AZ74" s="3252"/>
      <c r="BA74" s="3252"/>
      <c r="BB74" s="3252"/>
      <c r="BC74" s="3252"/>
      <c r="BD74" s="3252"/>
      <c r="BE74" s="3252"/>
      <c r="BF74" s="3252"/>
      <c r="BG74" s="3252"/>
      <c r="BH74" s="3252"/>
      <c r="BI74" s="3252"/>
      <c r="BJ74" s="3252"/>
      <c r="BK74" s="3252"/>
      <c r="BL74" s="3252"/>
      <c r="BM74" s="3252"/>
      <c r="BN74" s="3252"/>
      <c r="BO74" s="3252"/>
      <c r="BP74" s="3252"/>
      <c r="BQ74" s="3252"/>
      <c r="BR74" s="3252"/>
      <c r="BS74" s="3252"/>
      <c r="BT74" s="3252"/>
      <c r="BU74" s="3252"/>
      <c r="BV74" s="3252"/>
      <c r="BW74" s="3252"/>
      <c r="BX74" s="3252"/>
      <c r="BY74" s="3252"/>
      <c r="BZ74" s="3252"/>
      <c r="CA74" s="3252"/>
      <c r="CB74" s="3252"/>
      <c r="CC74" s="3252"/>
      <c r="CD74" s="3252"/>
      <c r="CE74" s="3252"/>
      <c r="CF74" s="3252"/>
      <c r="CG74" s="3252"/>
      <c r="CH74" s="3252"/>
      <c r="CI74" s="3252"/>
      <c r="CJ74" s="3252"/>
      <c r="CK74" s="3252"/>
      <c r="CL74" s="3252"/>
      <c r="CM74" s="3252"/>
      <c r="CN74" s="3252"/>
      <c r="CO74" s="3252"/>
      <c r="CP74" s="3253"/>
      <c r="CQ74" s="3253"/>
      <c r="CR74" s="3253"/>
      <c r="CS74" s="3253"/>
      <c r="CT74" s="3253"/>
      <c r="CU74" s="3253"/>
      <c r="CV74" s="3253"/>
      <c r="CW74" s="3253"/>
      <c r="CX74" s="3253"/>
      <c r="CY74" s="3253"/>
      <c r="CZ74" s="3253"/>
      <c r="DA74" s="3253"/>
      <c r="DB74" s="3253"/>
      <c r="DC74" s="3253"/>
      <c r="DD74" s="3253"/>
      <c r="DE74" s="3253"/>
      <c r="DF74" s="3252"/>
      <c r="DG74" s="3252"/>
      <c r="DM74" s="1082">
        <v>62</v>
      </c>
    </row>
    <row r="75" spans="1:117" ht="14.65" customHeight="1">
      <c r="O75" s="474"/>
      <c r="AL75" s="1562"/>
      <c r="AM75" s="1562"/>
      <c r="AN75" s="1562"/>
      <c r="AO75" s="1562"/>
      <c r="AP75" s="1562"/>
      <c r="AQ75" s="1562"/>
      <c r="AR75" s="1562"/>
      <c r="AS75" s="2355"/>
      <c r="AT75" s="1562"/>
      <c r="AU75" s="1562"/>
      <c r="AV75" s="1562"/>
      <c r="AW75" s="1562"/>
      <c r="AX75" s="1562"/>
      <c r="AY75" s="1562"/>
      <c r="AZ75" s="1562"/>
      <c r="BA75" s="1562"/>
      <c r="BB75" s="1562"/>
      <c r="BC75" s="1562"/>
      <c r="BD75" s="1562"/>
      <c r="BE75" s="1562"/>
      <c r="BF75" s="1562"/>
      <c r="BG75" s="1562"/>
      <c r="BH75" s="1562"/>
      <c r="BI75" s="1562"/>
      <c r="BJ75" s="1562"/>
      <c r="BK75" s="1562"/>
      <c r="BL75" s="1562"/>
      <c r="BM75" s="1562"/>
      <c r="BN75" s="1562"/>
      <c r="BO75" s="1562"/>
      <c r="BP75" s="1562"/>
      <c r="BQ75" s="1562"/>
      <c r="BR75" s="1562"/>
      <c r="BS75" s="1562"/>
      <c r="BT75" s="1562"/>
      <c r="BU75" s="1562"/>
      <c r="BV75" s="1562"/>
      <c r="BW75" s="1562"/>
      <c r="BX75" s="1562"/>
      <c r="BY75" s="1562"/>
      <c r="BZ75" s="1562"/>
      <c r="CA75" s="1562"/>
      <c r="CB75" s="1562"/>
      <c r="CC75" s="1562"/>
      <c r="CD75" s="1562"/>
      <c r="CE75" s="1562"/>
      <c r="CF75" s="1562"/>
      <c r="CG75" s="1562"/>
      <c r="CH75" s="1562"/>
      <c r="CI75" s="1562"/>
      <c r="CJ75" s="1562"/>
      <c r="CK75" s="1562"/>
      <c r="CL75" s="1562"/>
      <c r="CM75" s="1562"/>
      <c r="CN75" s="1562"/>
      <c r="CO75" s="1562"/>
      <c r="CP75" s="2355"/>
      <c r="CQ75" s="2355"/>
      <c r="CR75" s="2355"/>
      <c r="CS75" s="2355"/>
      <c r="CT75" s="2355"/>
      <c r="CU75" s="2355"/>
      <c r="CV75" s="2355"/>
      <c r="CW75" s="2355"/>
      <c r="CX75" s="2355"/>
      <c r="CY75" s="2355"/>
      <c r="CZ75" s="2355"/>
      <c r="DA75" s="2355"/>
      <c r="DB75" s="2355"/>
      <c r="DC75" s="2355"/>
      <c r="DD75" s="2355"/>
      <c r="DE75" s="2355"/>
      <c r="DM75" s="1082">
        <v>14</v>
      </c>
    </row>
    <row r="76" spans="1:117" ht="18.75" customHeight="1">
      <c r="O76" s="474"/>
      <c r="S76" s="1180"/>
      <c r="T76" s="3252"/>
      <c r="U76" s="3252"/>
      <c r="V76" s="3252"/>
      <c r="W76" s="3252"/>
      <c r="X76" s="3252"/>
      <c r="Y76" s="3252"/>
      <c r="Z76" s="3252"/>
      <c r="AA76" s="3252"/>
      <c r="AB76" s="3252"/>
      <c r="AC76" s="3252"/>
      <c r="AD76" s="3252"/>
      <c r="AE76" s="3252"/>
      <c r="AF76" s="3252"/>
      <c r="AG76" s="3252"/>
      <c r="AH76" s="3252"/>
      <c r="AI76" s="3252"/>
      <c r="AJ76" s="3252"/>
      <c r="AK76" s="3252"/>
      <c r="AL76" s="3252"/>
      <c r="AM76" s="3252"/>
      <c r="AN76" s="3252"/>
      <c r="AO76" s="3252"/>
      <c r="AP76" s="3252"/>
      <c r="AQ76" s="3252"/>
      <c r="AR76" s="3252"/>
      <c r="AS76" s="3253"/>
      <c r="AT76" s="3252"/>
      <c r="AU76" s="3252"/>
      <c r="AV76" s="3252"/>
      <c r="AW76" s="3252"/>
      <c r="AX76" s="3252"/>
      <c r="AY76" s="3252"/>
      <c r="AZ76" s="3252"/>
      <c r="BA76" s="3252"/>
      <c r="BB76" s="3252"/>
      <c r="BC76" s="3252"/>
      <c r="BD76" s="3252"/>
      <c r="BE76" s="3252"/>
      <c r="BF76" s="3252"/>
      <c r="BG76" s="3252"/>
      <c r="BH76" s="3252"/>
      <c r="BI76" s="3252"/>
      <c r="BJ76" s="3252"/>
      <c r="BK76" s="3252"/>
      <c r="BL76" s="3252"/>
      <c r="BM76" s="3252"/>
      <c r="BN76" s="3252"/>
      <c r="BO76" s="3252"/>
      <c r="BP76" s="3252"/>
      <c r="BQ76" s="3252"/>
      <c r="BR76" s="3252"/>
      <c r="BS76" s="3252"/>
      <c r="BT76" s="3252"/>
      <c r="BU76" s="3252"/>
      <c r="BV76" s="3252"/>
      <c r="BW76" s="3252"/>
      <c r="BX76" s="3252"/>
      <c r="BY76" s="3252"/>
      <c r="BZ76" s="3252"/>
      <c r="CA76" s="3252"/>
      <c r="CB76" s="3252"/>
      <c r="CC76" s="3252"/>
      <c r="CD76" s="3252"/>
      <c r="CE76" s="3252"/>
      <c r="CF76" s="3252"/>
      <c r="CG76" s="3252"/>
      <c r="CH76" s="3252"/>
      <c r="CI76" s="3252"/>
      <c r="CJ76" s="3252"/>
      <c r="CK76" s="3252"/>
      <c r="CL76" s="3252"/>
      <c r="CM76" s="3252"/>
      <c r="CN76" s="3252"/>
      <c r="CO76" s="3252"/>
      <c r="CP76" s="3253"/>
      <c r="CQ76" s="3253"/>
      <c r="CR76" s="3253"/>
      <c r="CS76" s="3253"/>
      <c r="CT76" s="3253"/>
      <c r="CU76" s="3253"/>
      <c r="CV76" s="3253"/>
      <c r="CW76" s="3253"/>
      <c r="CX76" s="3253"/>
      <c r="CY76" s="3253"/>
      <c r="CZ76" s="3253"/>
      <c r="DA76" s="3253"/>
      <c r="DB76" s="3253"/>
      <c r="DC76" s="3253"/>
      <c r="DD76" s="3253"/>
      <c r="DE76" s="3253"/>
      <c r="DF76" s="3252"/>
      <c r="DG76" s="3252"/>
      <c r="DM76" s="1082">
        <v>18</v>
      </c>
    </row>
    <row r="77" spans="1:117" ht="18.75" customHeight="1">
      <c r="O77" s="474"/>
      <c r="T77" s="3252"/>
      <c r="U77" s="3252"/>
      <c r="V77" s="3252"/>
      <c r="W77" s="3252"/>
      <c r="X77" s="3252"/>
      <c r="Y77" s="3252"/>
      <c r="Z77" s="3252"/>
      <c r="AA77" s="3252"/>
      <c r="AB77" s="3252"/>
      <c r="AC77" s="3252"/>
      <c r="AD77" s="3252"/>
      <c r="AE77" s="3252"/>
      <c r="AF77" s="3252"/>
      <c r="AG77" s="3252"/>
      <c r="AH77" s="3252"/>
      <c r="AI77" s="3252"/>
      <c r="AJ77" s="3252"/>
      <c r="AK77" s="3252"/>
      <c r="AL77" s="3252"/>
      <c r="AM77" s="3252"/>
      <c r="AN77" s="3252"/>
      <c r="AO77" s="3252"/>
      <c r="AP77" s="3252"/>
      <c r="AQ77" s="3252"/>
      <c r="AR77" s="3252"/>
      <c r="AS77" s="3253"/>
      <c r="AT77" s="3252"/>
      <c r="AU77" s="3252"/>
      <c r="AV77" s="3252"/>
      <c r="AW77" s="3252"/>
      <c r="AX77" s="3252"/>
      <c r="AY77" s="3252"/>
      <c r="AZ77" s="3252"/>
      <c r="BA77" s="3252"/>
      <c r="BB77" s="3252"/>
      <c r="BC77" s="3252"/>
      <c r="BD77" s="3252"/>
      <c r="BE77" s="3252"/>
      <c r="BF77" s="3252"/>
      <c r="BG77" s="3252"/>
      <c r="BH77" s="3252"/>
      <c r="BI77" s="3252"/>
      <c r="BJ77" s="3252"/>
      <c r="BK77" s="3252"/>
      <c r="BL77" s="3252"/>
      <c r="BM77" s="3252"/>
      <c r="BN77" s="3252"/>
      <c r="BO77" s="3252"/>
      <c r="BP77" s="3252"/>
      <c r="BQ77" s="3252"/>
      <c r="BR77" s="3252"/>
      <c r="BS77" s="3252"/>
      <c r="BT77" s="3252"/>
      <c r="BU77" s="3252"/>
      <c r="BV77" s="3252"/>
      <c r="BW77" s="3252"/>
      <c r="BX77" s="3252"/>
      <c r="BY77" s="3252"/>
      <c r="BZ77" s="3252"/>
      <c r="CA77" s="3252"/>
      <c r="CB77" s="3252"/>
      <c r="CC77" s="3252"/>
      <c r="CD77" s="3252"/>
      <c r="CE77" s="3252"/>
      <c r="CF77" s="3252"/>
      <c r="CG77" s="3252"/>
      <c r="CH77" s="3252"/>
      <c r="CI77" s="3252"/>
      <c r="CJ77" s="3252"/>
      <c r="CK77" s="3252"/>
      <c r="CL77" s="3252"/>
      <c r="CM77" s="3252"/>
      <c r="CN77" s="3252"/>
      <c r="CO77" s="3252"/>
      <c r="CP77" s="3253"/>
      <c r="CQ77" s="3253"/>
      <c r="CR77" s="3253"/>
      <c r="CS77" s="3253"/>
      <c r="CT77" s="3253"/>
      <c r="CU77" s="3253"/>
      <c r="CV77" s="3253"/>
      <c r="CW77" s="3253"/>
      <c r="CX77" s="3253"/>
      <c r="CY77" s="3253"/>
      <c r="CZ77" s="3253"/>
      <c r="DA77" s="3253"/>
      <c r="DB77" s="3253"/>
      <c r="DC77" s="3253"/>
      <c r="DD77" s="3253"/>
      <c r="DE77" s="3253"/>
      <c r="DF77" s="3252"/>
      <c r="DG77" s="3252"/>
      <c r="DM77" s="1082">
        <v>18</v>
      </c>
    </row>
    <row r="78" spans="1:117" ht="29.25" customHeight="1">
      <c r="O78" s="474"/>
      <c r="S78" s="1180"/>
      <c r="T78" s="3252"/>
      <c r="U78" s="3252"/>
      <c r="V78" s="3252"/>
      <c r="W78" s="3252"/>
      <c r="X78" s="3252"/>
      <c r="Y78" s="3252"/>
      <c r="Z78" s="3252"/>
      <c r="AA78" s="3252"/>
      <c r="AB78" s="3252"/>
      <c r="AC78" s="3252"/>
      <c r="AD78" s="3252"/>
      <c r="AE78" s="3252"/>
      <c r="AF78" s="3252"/>
      <c r="AG78" s="3252"/>
      <c r="AH78" s="3252"/>
      <c r="AI78" s="3252"/>
      <c r="AJ78" s="3252"/>
      <c r="AK78" s="3252"/>
      <c r="AL78" s="3252"/>
      <c r="AM78" s="3252"/>
      <c r="AN78" s="3252"/>
      <c r="AO78" s="3252"/>
      <c r="AP78" s="3252"/>
      <c r="AQ78" s="3252"/>
      <c r="AR78" s="3252"/>
      <c r="AS78" s="3253"/>
      <c r="AT78" s="3252"/>
      <c r="AU78" s="3252"/>
      <c r="AV78" s="3252"/>
      <c r="AW78" s="3252"/>
      <c r="AX78" s="3252"/>
      <c r="AY78" s="3252"/>
      <c r="AZ78" s="3252"/>
      <c r="BA78" s="3252"/>
      <c r="BB78" s="3252"/>
      <c r="BC78" s="3252"/>
      <c r="BD78" s="3252"/>
      <c r="BE78" s="3252"/>
      <c r="BF78" s="3252"/>
      <c r="BG78" s="3252"/>
      <c r="BH78" s="3252"/>
      <c r="BI78" s="3252"/>
      <c r="BJ78" s="3252"/>
      <c r="BK78" s="3252"/>
      <c r="BL78" s="3252"/>
      <c r="BM78" s="3252"/>
      <c r="BN78" s="3252"/>
      <c r="BO78" s="3252"/>
      <c r="BP78" s="3252"/>
      <c r="BQ78" s="3252"/>
      <c r="BR78" s="3252"/>
      <c r="BS78" s="3252"/>
      <c r="BT78" s="3252"/>
      <c r="BU78" s="3252"/>
      <c r="BV78" s="3252"/>
      <c r="BW78" s="3252"/>
      <c r="BX78" s="3252"/>
      <c r="BY78" s="3252"/>
      <c r="BZ78" s="3252"/>
      <c r="CA78" s="3252"/>
      <c r="CB78" s="3252"/>
      <c r="CC78" s="3252"/>
      <c r="CD78" s="3252"/>
      <c r="CE78" s="3252"/>
      <c r="CF78" s="3252"/>
      <c r="CG78" s="3252"/>
      <c r="CH78" s="3252"/>
      <c r="CI78" s="3252"/>
      <c r="CJ78" s="3252"/>
      <c r="CK78" s="3252"/>
      <c r="CL78" s="3252"/>
      <c r="CM78" s="3252"/>
      <c r="CN78" s="3252"/>
      <c r="CO78" s="3252"/>
      <c r="CP78" s="3253"/>
      <c r="CQ78" s="3253"/>
      <c r="CR78" s="3253"/>
      <c r="CS78" s="3253"/>
      <c r="CT78" s="3253"/>
      <c r="CU78" s="3253"/>
      <c r="CV78" s="3253"/>
      <c r="CW78" s="3253"/>
      <c r="CX78" s="3253"/>
      <c r="CY78" s="3253"/>
      <c r="CZ78" s="3253"/>
      <c r="DA78" s="3253"/>
      <c r="DB78" s="3253"/>
      <c r="DC78" s="3253"/>
      <c r="DD78" s="3253"/>
      <c r="DE78" s="3253"/>
      <c r="DF78" s="3252"/>
      <c r="DG78" s="3252"/>
      <c r="DM78" s="1082">
        <v>28</v>
      </c>
    </row>
    <row r="79" spans="1:117" ht="22.5" hidden="1" customHeight="1">
      <c r="A79" s="1087" t="s">
        <v>79</v>
      </c>
      <c r="B79" s="1087">
        <v>0</v>
      </c>
      <c r="C79" s="1087">
        <v>0</v>
      </c>
      <c r="D79" s="1087">
        <v>0</v>
      </c>
      <c r="E79" s="1087">
        <v>0</v>
      </c>
      <c r="F79" s="1087">
        <v>0</v>
      </c>
      <c r="G79" s="1087">
        <v>0</v>
      </c>
      <c r="H79" s="1087">
        <v>0</v>
      </c>
      <c r="I79" s="1087">
        <v>0</v>
      </c>
      <c r="J79" s="1087">
        <v>0</v>
      </c>
      <c r="K79" s="1087">
        <v>0</v>
      </c>
      <c r="L79" s="1256">
        <v>0</v>
      </c>
      <c r="M79" s="1289">
        <v>0</v>
      </c>
      <c r="N79" s="1289">
        <v>0</v>
      </c>
      <c r="O79" s="1289">
        <v>0</v>
      </c>
      <c r="P79" s="1255">
        <v>3</v>
      </c>
      <c r="Q79" s="282">
        <v>3</v>
      </c>
      <c r="R79" s="282">
        <v>3</v>
      </c>
      <c r="S79" s="518">
        <v>12</v>
      </c>
      <c r="T79" s="1082">
        <v>31</v>
      </c>
      <c r="U79" s="1082">
        <v>0</v>
      </c>
      <c r="V79" s="1082">
        <v>0</v>
      </c>
      <c r="W79" s="1082">
        <v>0</v>
      </c>
      <c r="X79" s="1082">
        <v>0</v>
      </c>
      <c r="Y79" s="1082">
        <v>0</v>
      </c>
      <c r="Z79" s="1082">
        <v>0</v>
      </c>
      <c r="AA79" s="1082">
        <v>0</v>
      </c>
      <c r="AB79" s="1082">
        <v>0</v>
      </c>
      <c r="AC79" s="1082">
        <v>0</v>
      </c>
      <c r="AD79" s="1082">
        <v>24</v>
      </c>
      <c r="AE79" s="1082">
        <v>0</v>
      </c>
      <c r="AF79" s="1082">
        <v>24</v>
      </c>
      <c r="AG79" s="1082">
        <v>24</v>
      </c>
      <c r="AH79" s="1082">
        <v>11</v>
      </c>
      <c r="AI79" s="1082">
        <v>3</v>
      </c>
      <c r="AJ79" s="1082">
        <v>11</v>
      </c>
      <c r="AK79" s="1082">
        <v>0</v>
      </c>
      <c r="AL79" s="1562">
        <v>0</v>
      </c>
      <c r="AM79" s="1562">
        <v>0</v>
      </c>
      <c r="AN79" s="1562">
        <v>0</v>
      </c>
      <c r="AO79" s="1562">
        <v>0</v>
      </c>
      <c r="AP79" s="1562">
        <v>0</v>
      </c>
      <c r="AQ79" s="1562">
        <v>0</v>
      </c>
      <c r="AR79" s="1562">
        <v>0</v>
      </c>
      <c r="AS79" s="2355">
        <v>0</v>
      </c>
      <c r="AT79" s="1562">
        <v>0</v>
      </c>
      <c r="AU79" s="1562">
        <v>0</v>
      </c>
      <c r="AV79" s="1562">
        <v>0</v>
      </c>
      <c r="AW79" s="1562">
        <v>0</v>
      </c>
      <c r="AX79" s="1562">
        <v>0</v>
      </c>
      <c r="AY79" s="1562">
        <v>0</v>
      </c>
      <c r="AZ79" s="1562">
        <v>0</v>
      </c>
      <c r="BA79" s="1562">
        <v>0</v>
      </c>
      <c r="BB79" s="1562">
        <v>0</v>
      </c>
      <c r="BC79" s="1562">
        <v>0</v>
      </c>
      <c r="BD79" s="1562">
        <v>0</v>
      </c>
      <c r="BE79" s="1562">
        <v>0</v>
      </c>
      <c r="BF79" s="1562">
        <v>0</v>
      </c>
      <c r="BG79" s="1562">
        <v>0</v>
      </c>
      <c r="BH79" s="1562">
        <v>0</v>
      </c>
      <c r="BI79" s="1562">
        <v>0</v>
      </c>
      <c r="BJ79" s="1562">
        <v>0</v>
      </c>
      <c r="BK79" s="1562">
        <v>0</v>
      </c>
      <c r="BL79" s="1562">
        <v>0</v>
      </c>
      <c r="BM79" s="1562">
        <v>0</v>
      </c>
      <c r="BN79" s="1562">
        <v>0</v>
      </c>
      <c r="BO79" s="1562">
        <v>0</v>
      </c>
      <c r="BP79" s="1562">
        <v>0</v>
      </c>
      <c r="BQ79" s="1562">
        <v>0</v>
      </c>
      <c r="BR79" s="1562">
        <v>0</v>
      </c>
      <c r="BS79" s="1562">
        <v>0</v>
      </c>
      <c r="BT79" s="1562">
        <v>0</v>
      </c>
      <c r="BU79" s="1562">
        <v>0</v>
      </c>
      <c r="BV79" s="1562">
        <v>0</v>
      </c>
      <c r="BW79" s="1562">
        <v>0</v>
      </c>
      <c r="BX79" s="1562">
        <v>0</v>
      </c>
      <c r="BY79" s="1562">
        <v>0</v>
      </c>
      <c r="BZ79" s="1562">
        <v>0</v>
      </c>
      <c r="CA79" s="1562">
        <v>0</v>
      </c>
      <c r="CB79" s="1562">
        <v>0</v>
      </c>
      <c r="CC79" s="1562">
        <v>0</v>
      </c>
      <c r="CD79" s="1562">
        <v>0</v>
      </c>
      <c r="CE79" s="1562">
        <v>0</v>
      </c>
      <c r="CF79" s="1562">
        <v>0</v>
      </c>
      <c r="CG79" s="1562">
        <v>0</v>
      </c>
      <c r="CH79" s="1562">
        <v>0</v>
      </c>
      <c r="CI79" s="1562">
        <v>0</v>
      </c>
      <c r="CJ79" s="1562">
        <v>0</v>
      </c>
      <c r="CK79" s="1562">
        <v>0</v>
      </c>
      <c r="CL79" s="1562">
        <v>0</v>
      </c>
      <c r="CM79" s="1562">
        <v>0</v>
      </c>
      <c r="CN79" s="1562">
        <v>0</v>
      </c>
      <c r="CO79" s="1562">
        <v>0</v>
      </c>
      <c r="CP79" s="2355">
        <v>0</v>
      </c>
      <c r="CQ79" s="2355">
        <v>0</v>
      </c>
      <c r="CR79" s="2355">
        <v>0</v>
      </c>
      <c r="CS79" s="2355">
        <v>0</v>
      </c>
      <c r="CT79" s="2355">
        <v>0</v>
      </c>
      <c r="CU79" s="2355">
        <v>0</v>
      </c>
      <c r="CV79" s="2355">
        <v>0</v>
      </c>
      <c r="CW79" s="2355">
        <v>0</v>
      </c>
      <c r="CX79" s="2355">
        <v>0</v>
      </c>
      <c r="CY79" s="2355">
        <v>0</v>
      </c>
      <c r="CZ79" s="2355">
        <v>0</v>
      </c>
      <c r="DA79" s="2355">
        <v>0</v>
      </c>
      <c r="DB79" s="2355">
        <v>0</v>
      </c>
      <c r="DC79" s="2355">
        <v>0</v>
      </c>
      <c r="DD79" s="2355">
        <v>0</v>
      </c>
      <c r="DE79" s="2355">
        <v>0</v>
      </c>
      <c r="DF79" s="1082">
        <v>4</v>
      </c>
      <c r="DG79" s="1082">
        <v>115</v>
      </c>
      <c r="DH79" s="448">
        <v>10</v>
      </c>
      <c r="DI79" s="448">
        <v>10</v>
      </c>
      <c r="DJ79" s="448">
        <v>10</v>
      </c>
      <c r="DK79" s="448">
        <v>10</v>
      </c>
      <c r="DL79" s="448">
        <v>10</v>
      </c>
      <c r="DM79" s="1082">
        <v>23</v>
      </c>
    </row>
  </sheetData>
  <sheetProtection formatColumns="0" formatRows="0" insertRows="0" deleteColumns="0" deleteRows="0" sort="0" autoFilter="0"/>
  <mergeCells count="385">
    <mergeCell ref="Z63:Z64"/>
    <mergeCell ref="AA63:AA64"/>
    <mergeCell ref="AB63:AB64"/>
    <mergeCell ref="AC63:AC64"/>
    <mergeCell ref="CT49:CT50"/>
    <mergeCell ref="CU49:CU50"/>
    <mergeCell ref="CV49:CV50"/>
    <mergeCell ref="CW49:CW50"/>
    <mergeCell ref="DB49:DB50"/>
    <mergeCell ref="Z49:Z50"/>
    <mergeCell ref="AA49:AA50"/>
    <mergeCell ref="AB49:AB50"/>
    <mergeCell ref="AC49:AC50"/>
    <mergeCell ref="DE39:DE41"/>
    <mergeCell ref="CX40:CX41"/>
    <mergeCell ref="CY40:CY41"/>
    <mergeCell ref="CZ40:DA40"/>
    <mergeCell ref="DB40:DD40"/>
    <mergeCell ref="DC41:DD41"/>
    <mergeCell ref="DC42:DD42"/>
    <mergeCell ref="CT63:CT64"/>
    <mergeCell ref="CU63:CU64"/>
    <mergeCell ref="CV63:CV64"/>
    <mergeCell ref="CW63:CW64"/>
    <mergeCell ref="DB63:DB64"/>
    <mergeCell ref="DC63:DC64"/>
    <mergeCell ref="DD63:DD64"/>
    <mergeCell ref="DE63:DE64"/>
    <mergeCell ref="DC49:DC50"/>
    <mergeCell ref="DD49:DD50"/>
    <mergeCell ref="DE49:DE50"/>
    <mergeCell ref="DD8:DD9"/>
    <mergeCell ref="DE8:DE9"/>
    <mergeCell ref="CX29:DD29"/>
    <mergeCell ref="CX30:DD30"/>
    <mergeCell ref="CX31:DD31"/>
    <mergeCell ref="CX32:DD32"/>
    <mergeCell ref="CX34:DD34"/>
    <mergeCell ref="CX35:DD35"/>
    <mergeCell ref="CX37:DE37"/>
    <mergeCell ref="CW39:CW41"/>
    <mergeCell ref="CP40:CP41"/>
    <mergeCell ref="CQ40:CQ41"/>
    <mergeCell ref="CR40:CS40"/>
    <mergeCell ref="CT40:CV40"/>
    <mergeCell ref="CU41:CV41"/>
    <mergeCell ref="CU42:CV42"/>
    <mergeCell ref="DB8:DB9"/>
    <mergeCell ref="DC8:DC9"/>
    <mergeCell ref="CX39:DD39"/>
    <mergeCell ref="CV8:CV9"/>
    <mergeCell ref="CW8:CW9"/>
    <mergeCell ref="CP29:CV29"/>
    <mergeCell ref="CP30:CV30"/>
    <mergeCell ref="CP31:CV31"/>
    <mergeCell ref="CP32:CV32"/>
    <mergeCell ref="CP34:CV34"/>
    <mergeCell ref="CP35:CV35"/>
    <mergeCell ref="CP37:CW37"/>
    <mergeCell ref="CM49:CM50"/>
    <mergeCell ref="CN49:CN50"/>
    <mergeCell ref="CO49:CO50"/>
    <mergeCell ref="CL63:CL64"/>
    <mergeCell ref="CM63:CM64"/>
    <mergeCell ref="CN63:CN64"/>
    <mergeCell ref="CO63:CO64"/>
    <mergeCell ref="CT8:CT9"/>
    <mergeCell ref="CU8:CU9"/>
    <mergeCell ref="CP39:CV3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D49:CD50"/>
    <mergeCell ref="CE49:CE50"/>
    <mergeCell ref="CF49:CF50"/>
    <mergeCell ref="CG49:CG50"/>
    <mergeCell ref="CD63:CD64"/>
    <mergeCell ref="CE63:CE64"/>
    <mergeCell ref="CF63:CF64"/>
    <mergeCell ref="CG63:CG64"/>
    <mergeCell ref="CL8:CL9"/>
    <mergeCell ref="CL49:CL50"/>
    <mergeCell ref="BV49:BV50"/>
    <mergeCell ref="BW49:BW50"/>
    <mergeCell ref="BX49:BX50"/>
    <mergeCell ref="BY49:BY50"/>
    <mergeCell ref="BV63:BV64"/>
    <mergeCell ref="BW63:BW64"/>
    <mergeCell ref="BX63:BX64"/>
    <mergeCell ref="BY63:BY64"/>
    <mergeCell ref="CD8:CD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BO49:BO50"/>
    <mergeCell ref="BP49:BP50"/>
    <mergeCell ref="BQ49:BQ50"/>
    <mergeCell ref="BN63:BN64"/>
    <mergeCell ref="BO63:BO64"/>
    <mergeCell ref="BP63:BP64"/>
    <mergeCell ref="BQ63:BQ64"/>
    <mergeCell ref="BV8:BV9"/>
    <mergeCell ref="BW8:BW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F63:BF64"/>
    <mergeCell ref="BG63:BG64"/>
    <mergeCell ref="BH63:BH64"/>
    <mergeCell ref="BI63:BI64"/>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A63:BA64"/>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V58:AC58"/>
    <mergeCell ref="AD58:DF58"/>
    <mergeCell ref="V59:AC59"/>
    <mergeCell ref="AD59:DF59"/>
    <mergeCell ref="V60:AC60"/>
    <mergeCell ref="AD60:DF60"/>
    <mergeCell ref="V61:AC61"/>
    <mergeCell ref="AD61:DF61"/>
    <mergeCell ref="E57:E70"/>
    <mergeCell ref="F58:F69"/>
    <mergeCell ref="G59:G68"/>
    <mergeCell ref="H60:H67"/>
    <mergeCell ref="I61:I66"/>
    <mergeCell ref="P61:P66"/>
    <mergeCell ref="J62:J65"/>
    <mergeCell ref="Q62:Q65"/>
    <mergeCell ref="K63:K64"/>
    <mergeCell ref="AP63:AP64"/>
    <mergeCell ref="AQ63:AQ64"/>
    <mergeCell ref="AR63:AR64"/>
    <mergeCell ref="AS63:AS64"/>
    <mergeCell ref="AX63:AX64"/>
    <mergeCell ref="AY63:AY64"/>
    <mergeCell ref="AZ63:AZ6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X8:BX9"/>
    <mergeCell ref="BY8:BY9"/>
    <mergeCell ref="CE8:CE9"/>
    <mergeCell ref="CF8:CF9"/>
    <mergeCell ref="CG8:CG9"/>
    <mergeCell ref="CM8:CM9"/>
    <mergeCell ref="CN8:CN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Q42:AR42"/>
    <mergeCell ref="AY42:AZ42"/>
    <mergeCell ref="CM42:CN42"/>
    <mergeCell ref="E43:E56"/>
    <mergeCell ref="V43:AC43"/>
    <mergeCell ref="AD43:DF43"/>
    <mergeCell ref="F44:F55"/>
    <mergeCell ref="V44:AC44"/>
    <mergeCell ref="AD44:DF44"/>
    <mergeCell ref="G45:G54"/>
    <mergeCell ref="V45:AC45"/>
    <mergeCell ref="AD45:DF45"/>
    <mergeCell ref="H46:H53"/>
    <mergeCell ref="V46:AC46"/>
    <mergeCell ref="AD46:DF46"/>
    <mergeCell ref="I47:I52"/>
    <mergeCell ref="P47:P52"/>
    <mergeCell ref="V47:AC47"/>
    <mergeCell ref="AD47:DF47"/>
    <mergeCell ref="AP49:AP50"/>
    <mergeCell ref="AQ49:AQ50"/>
    <mergeCell ref="AR49:AR50"/>
    <mergeCell ref="AS49:AS50"/>
    <mergeCell ref="AX49:AX50"/>
    <mergeCell ref="AY49:AY50"/>
    <mergeCell ref="AZ49:AZ50"/>
    <mergeCell ref="BA49:BA50"/>
    <mergeCell ref="T77:DG77"/>
    <mergeCell ref="T78:DG78"/>
    <mergeCell ref="T76:DG76"/>
    <mergeCell ref="DG49:DG51"/>
    <mergeCell ref="T73:DG73"/>
    <mergeCell ref="T74:DG74"/>
    <mergeCell ref="J48:J51"/>
    <mergeCell ref="Q48:Q51"/>
    <mergeCell ref="V48:AC48"/>
    <mergeCell ref="AD48:DF48"/>
    <mergeCell ref="K49:K50"/>
    <mergeCell ref="AH49:AH50"/>
    <mergeCell ref="AI49:AI50"/>
    <mergeCell ref="AJ49:AJ50"/>
    <mergeCell ref="AK49:AK50"/>
    <mergeCell ref="DG63:DG65"/>
    <mergeCell ref="AH63:AH64"/>
    <mergeCell ref="AI63:AI64"/>
    <mergeCell ref="AJ63:AJ64"/>
    <mergeCell ref="AK63:AK64"/>
    <mergeCell ref="V62:AC62"/>
    <mergeCell ref="AD62:DF62"/>
    <mergeCell ref="V57:AC57"/>
    <mergeCell ref="AD57:DF57"/>
  </mergeCells>
  <dataValidations count="8">
    <dataValidation allowBlank="1" promptTitle="checkPeriodRange" sqref="Y65600 Y131136 Y196672 Y262208 Y327744 Y393280 Y458816 Y524352 Y589888 Y655424 Y720960 Y786496 Y852032 Y917568 Y983104 Y9 AG65600 AG131136 AG196672 AG262208 AG327744 AG393280 AG458816 AG524352 AG589888 AG655424 AG720960 AG786496 AG852032 AG917568 AG983104 AG9 AG50 AG18 Y50 AO9 AO50 Y64 AG64 AO64 AW9 AW50 AW64 BE9 BE50 BE64 BM9 BM50 BM64 BU9 BU50 BU64 CC9 CC50 CC64 CK9 CK50 CK64 CS9 CS50 CS64 DA9 DA50 DA64" xr:uid="{00000000-0002-0000-0B00-000000000000}"/>
    <dataValidation allowBlank="1" showInputMessage="1" showErrorMessage="1" prompt="Для выбора выполните двойной щелчок левой клавиши мыши по соответствующей ячейке." sqref="AA65599 AA131135 AA196671 AA262207 AA327743 AA393279 AA458815 AA524351 AA589887 AA655423 AA720959 AA786495 AA852031 AA917567 AA983103 AC131135 AC458815 AC196671 AC262207 AC327743 AC393279 AC524351 AC589887 AC655423 AC720959 AC786495 AC852031 AC917567 AC983103 AC65599 AI65599 AI131135 AI196671 AI262207 AI327743 AI393279 AI458815 AI524351 AI589887 AI655423 AI720959 AI786495 AI852031 AI917567 AI983103 AK327743:DE327743 AK393279:DE393279 AK49 AQ49 AS49 AY49 BA49 BG49 BI49 BO49 BQ49 BW49 BY49 CE49 CG49 CM49 CO49 CU49 CW49 DC49 DE49 AK524351:DE524351 AK8 AQ8 AS8 AY8 BA8 BG8 BI8 BO8 BQ8 BW8 BY8 CE8 CG8 CM8 CO8 CU8 CW8 DC8 DE8 AK589887:DE589887 AK655423:DE655423 AK17 AK720959:DE720959 AK786495:DE786495 AK852031:DE852031 AK917567:DE917567 AK983103:DE983103 AK65599:DE65599 AK131135:DE131135 AI49 AK458815:DE458815 AI8 AC8 AA8 AI17 AK196671:DE196671 AA49 AC49 AK262207:DE262207 AA63 AC63 AI63 AK63 AQ63 AS63 AY63 BA63 BG63 BI63 BO63 BQ63 BW63 BY63 CE63 CG63 CM63 CO63 CU63 CW63 DC63 DE6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9 Z131135 Z196671 Z262207 Z327743 Z393279 Z458815 Z524351 Z589887 Z655423 Z720959 Z786495 Z852031 Z917567 Z983103 AB65599 AB131135 AB196671 AB262207 AB327743 AB393279 AB458815 AB524351 AB589887 AB655423 AB720959 AB786495 AB852031 AB917567 AB983103 Z8 AH65599 AH131135 AH196671 AH262207 AH327743 AH393279 AH458815 AH524351 AH589887 AH655423 AH720959 AH786495 AH852031 AH917567 AH983103 AJ65599 AJ131135 AJ196671 AJ262207 AJ327743 AJ393279 AJ458815 AJ524351 AJ589887 AJ655423 AJ720959 AJ786495 AJ852031 AJ917567 AJ983103 AJ49 AH49 AH8 AJ8 AB8 AH17 AJ17 Z49 AB49 AP8 AR8 AP49 AR49 Z63 AB63 AH63 AJ63 AP63 AR63 AX8 AZ8 AX49 AZ49 AX63 AZ63 BF8 BH8 BF49 BH49 BF63 BH63 BN8 BP8 BN49 BP49 BN63 BP63 BV8 BX8 BV49 BX49 BV63 BX63 CD8 CF8 CD49 CF49 CD63 CF63 CL8 CN8 CL49 CN49 CL63 CN63 CT8 CV8 CT49 CV49 CT63 CV63 DB8 DD8 DB49 DD49 DB63 DD63" xr:uid="{00000000-0002-0000-0B00-000002000000}"/>
    <dataValidation type="list" allowBlank="1" showInputMessage="1" showErrorMessage="1" errorTitle="Ошибка" error="Выберите значение из списка" sqref="T65599 T131135 T196671 T262207 T327743 T393279 T458815 T524351 T589887 T655423 T720959 T786495 T852031 T917567 T983103"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DG65593:DG65600 DG131129:DG131136 DG196665:DG196672 DG262201:DG262208 DG327737:DG327744 DG393273:DG393280 DG458809:DG458816 DG524345:DG524352 DG589881:DG589888 DG655417:DG655424 DG720953:DG720960 DG786489:DG786496 DG852025:DG852032 DG917561:DG917568 DG983097:DG983104" xr:uid="{00000000-0002-0000-0B00-000004000000}">
      <formula1>900</formula1>
    </dataValidation>
    <dataValidation type="list" allowBlank="1" showInputMessage="1" showErrorMessage="1" errorTitle="Ошибка" error="Выберите значение из списка" sqref="V983101:W983101 V65597:W65597 V131133:W131133 V196669:W196669 V262205:W262205 V327741:W327741 V393277:W393277 V458813:W458813 V524349:W524349 V589885:W589885 V655421:W655421 V720957:W720957 V786493:W786493 V852029:W852029 V917565:W917565 AD983101:AE983101 AD65597:AE65597 AD131133:AE131133 AD196669:AE196669 AD262205:AE262205 AD327741:AE327741 AD393277:AE393277 AD458813:AE458813 AD524349:AE524349 AD589885:AE589885 AD655421:AE655421 AD720957:AE720957 AD786493:AE786493 AD852029:AE852029 AD917565:AE917565" xr:uid="{00000000-0002-0000-0B00-000005000000}">
      <formula1>kind_of_scheme_in</formula1>
    </dataValidation>
    <dataValidation allowBlank="1" sqref="S131137:DG131143 S196673:DG196679 S262209:DG262215 S327745:DG327751 S393281:DG393287 S458817:DG458823 S524353:DG524359 S589889:DG589895 S655425:DG655431 S720961:DG720967 S786497:DG786503 S852033:DG852039 S917569:DG917575 S983105:DG983111 S65601:DG65607" xr:uid="{00000000-0002-0000-0B00-000006000000}"/>
    <dataValidation type="list" allowBlank="1" showInputMessage="1" errorTitle="Ошибка" error="Выберите значение из списка" prompt="Выберите значение из списка" sqref="V983102:DF983102 V65598:DF65598 V131134:DF131134 V196670:DF196670 V262206:DF262206 V327742:DF327742 V393278:DF393278 V458814:DF458814 V524350:DF524350 V589886:DF589886 V655422:DF655422 V720958:DF720958 V786494:DF786494 V852030:DF852030 V917566:DF917566"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1729-B833-3D91-C13E-AB81D3FF4D6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2" customWidth="1"/>
    <col min="19" max="19" width="12" style="201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3309">
        <v>1</v>
      </c>
      <c r="F2" s="1194"/>
      <c r="G2" s="1194"/>
      <c r="H2" s="1194"/>
      <c r="I2" s="1194"/>
      <c r="J2" s="1194"/>
      <c r="K2" s="1194"/>
      <c r="L2" s="1237"/>
      <c r="M2" s="1537"/>
      <c r="N2" s="1537"/>
      <c r="O2" s="1537"/>
      <c r="P2" s="1517"/>
      <c r="Q2" s="297"/>
      <c r="R2" s="292"/>
      <c r="S2" s="1880" t="e">
        <f>INDEX(PT_DIFFERENTIATION_NUM_NTAR,MATCH(A2,PT_DIFFERENTIATION_NTAR_ID,0))</f>
        <v>#N/A</v>
      </c>
      <c r="T2" s="1452"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8"/>
      <c r="AM2" s="1185" t="s">
        <v>404</v>
      </c>
      <c r="AO2" s="1551"/>
      <c r="AP2" s="1551" t="str">
        <f t="shared" ref="AP2:AP15" si="0">IF(T2="","",T2)</f>
        <v>Наименование тарифа</v>
      </c>
      <c r="AQ2" s="1551"/>
      <c r="AR2" s="1551"/>
      <c r="AS2" s="1558">
        <v>0</v>
      </c>
    </row>
    <row r="3" spans="1:45" ht="21" hidden="1" customHeight="1">
      <c r="A3" s="1194"/>
      <c r="B3" s="1194"/>
      <c r="C3" s="1194"/>
      <c r="D3" s="1194"/>
      <c r="E3" s="3310"/>
      <c r="F3" s="3309">
        <v>1</v>
      </c>
      <c r="G3" s="1194"/>
      <c r="H3" s="1194"/>
      <c r="I3" s="1194"/>
      <c r="J3" s="1194"/>
      <c r="K3" s="1194"/>
      <c r="L3" s="1237"/>
      <c r="M3" s="1537"/>
      <c r="N3" s="1537"/>
      <c r="O3" s="1537"/>
      <c r="P3" s="1862"/>
      <c r="Q3" s="289"/>
      <c r="R3" s="290"/>
      <c r="S3" s="1880" t="e">
        <f>INDEX(PT_DIFFERENTIATION_NUM_TER,MATCH(B3,PT_DIFFERENTIATION_TER_ID,0))</f>
        <v>#N/A</v>
      </c>
      <c r="T3" s="1449"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8"/>
      <c r="AM3" s="1185" t="s">
        <v>406</v>
      </c>
      <c r="AO3" s="1551"/>
      <c r="AP3" s="1551" t="str">
        <f t="shared" si="0"/>
        <v>Территория действия тарифа</v>
      </c>
      <c r="AQ3" s="1551"/>
      <c r="AR3" s="1551"/>
      <c r="AS3" s="1558">
        <v>0</v>
      </c>
    </row>
    <row r="4" spans="1:45" ht="23.25" hidden="1" customHeight="1">
      <c r="A4" s="1194"/>
      <c r="B4" s="1194"/>
      <c r="C4" s="1194"/>
      <c r="D4" s="1194"/>
      <c r="E4" s="3310"/>
      <c r="F4" s="3310"/>
      <c r="G4" s="3309">
        <v>1</v>
      </c>
      <c r="H4" s="1194"/>
      <c r="I4" s="1194"/>
      <c r="J4" s="1194"/>
      <c r="K4" s="1194"/>
      <c r="L4" s="1237"/>
      <c r="M4" s="1537"/>
      <c r="N4" s="1537"/>
      <c r="O4" s="1537"/>
      <c r="P4" s="291"/>
      <c r="Q4" s="289"/>
      <c r="R4" s="290"/>
      <c r="S4" s="1880" t="e">
        <f>INDEX(PT_DIFFERENTIATION_NUM_CS,MATCH(C4,PT_DIFFERENTIATION_CS_ID,0))</f>
        <v>#N/A</v>
      </c>
      <c r="T4" s="247" t="s">
        <v>407</v>
      </c>
      <c r="U4" s="238"/>
      <c r="V4" s="3246"/>
      <c r="W4" s="3247"/>
      <c r="X4" s="3247"/>
      <c r="Y4" s="3247"/>
      <c r="Z4" s="3247"/>
      <c r="AA4" s="3247"/>
      <c r="AB4" s="3247"/>
      <c r="AC4" s="3248"/>
      <c r="AD4" s="3246" t="e">
        <f>INDEX(PT_DIFFERENTIATION_CS,MATCH(C4,PT_DIFFERENTIATION_CS_ID,0))</f>
        <v>#N/A</v>
      </c>
      <c r="AE4" s="3247"/>
      <c r="AF4" s="3247"/>
      <c r="AG4" s="3247"/>
      <c r="AH4" s="3247"/>
      <c r="AI4" s="3247"/>
      <c r="AJ4" s="3247"/>
      <c r="AK4" s="3247"/>
      <c r="AL4" s="3248"/>
      <c r="AM4" s="1185" t="s">
        <v>408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310"/>
      <c r="F5" s="3310"/>
      <c r="G5" s="3310"/>
      <c r="H5" s="3309">
        <v>1</v>
      </c>
      <c r="I5" s="1194"/>
      <c r="J5" s="1194"/>
      <c r="K5" s="1194"/>
      <c r="L5" s="1237"/>
      <c r="M5" s="1537"/>
      <c r="N5" s="1537"/>
      <c r="O5" s="1537"/>
      <c r="P5" s="291"/>
      <c r="Q5" s="289"/>
      <c r="R5" s="290"/>
      <c r="S5" s="1880" t="e">
        <f>INDEX(PT_DIFFERENTIATION_NUM_IST_TE,MATCH(D5,PT_DIFFERENTIATION_IST_TE_ID,0))</f>
        <v>#N/A</v>
      </c>
      <c r="T5" s="248" t="s">
        <v>409</v>
      </c>
      <c r="U5" s="238"/>
      <c r="V5" s="3246"/>
      <c r="W5" s="3247"/>
      <c r="X5" s="3247"/>
      <c r="Y5" s="3247"/>
      <c r="Z5" s="3247"/>
      <c r="AA5" s="3247"/>
      <c r="AB5" s="3247"/>
      <c r="AC5" s="3248"/>
      <c r="AD5" s="3246" t="e">
        <f>INDEX(PT_DIFFERENTIATION_IST_TE,MATCH(D5,PT_DIFFERENTIATION_IST_TE_ID,0))</f>
        <v>#N/A</v>
      </c>
      <c r="AE5" s="3247"/>
      <c r="AF5" s="3247"/>
      <c r="AG5" s="3247"/>
      <c r="AH5" s="3247"/>
      <c r="AI5" s="3247"/>
      <c r="AJ5" s="3247"/>
      <c r="AK5" s="3247"/>
      <c r="AL5" s="3248"/>
      <c r="AM5" s="1185" t="s">
        <v>410</v>
      </c>
      <c r="AO5" s="1551"/>
      <c r="AP5" s="1551" t="str">
        <f t="shared" si="0"/>
        <v xml:space="preserve">Источник тепловой энергии  </v>
      </c>
      <c r="AQ5" s="1551"/>
      <c r="AR5" s="1551"/>
      <c r="AS5" s="1558">
        <v>0</v>
      </c>
    </row>
    <row r="6" spans="1:45" ht="47.25" hidden="1" customHeight="1">
      <c r="A6" s="1194"/>
      <c r="B6" s="1194"/>
      <c r="C6" s="1194"/>
      <c r="D6" s="1194"/>
      <c r="E6" s="3310"/>
      <c r="F6" s="3310"/>
      <c r="G6" s="3310"/>
      <c r="H6" s="3310"/>
      <c r="I6" s="3111" t="e">
        <f>S5&amp;".1"</f>
        <v>#N/A</v>
      </c>
      <c r="J6" s="1194"/>
      <c r="K6" s="1194"/>
      <c r="L6" s="1237" t="s">
        <v>411</v>
      </c>
      <c r="M6" s="1562"/>
      <c r="P6" s="3258">
        <v>1</v>
      </c>
      <c r="Q6" s="1876"/>
      <c r="R6" s="293"/>
      <c r="S6" s="1880" t="e">
        <f>$I6</f>
        <v>#N/A</v>
      </c>
      <c r="T6" s="223" t="s">
        <v>412</v>
      </c>
      <c r="U6" s="238"/>
      <c r="V6" s="3239"/>
      <c r="W6" s="3240"/>
      <c r="X6" s="3240"/>
      <c r="Y6" s="3240"/>
      <c r="Z6" s="3240"/>
      <c r="AA6" s="3240"/>
      <c r="AB6" s="3240"/>
      <c r="AC6" s="3241"/>
      <c r="AD6" s="3239"/>
      <c r="AE6" s="3240"/>
      <c r="AF6" s="3240"/>
      <c r="AG6" s="3240"/>
      <c r="AH6" s="3240"/>
      <c r="AI6" s="3240"/>
      <c r="AJ6" s="3240"/>
      <c r="AK6" s="3240"/>
      <c r="AL6" s="3241"/>
      <c r="AM6" s="1185" t="s">
        <v>413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310"/>
      <c r="F7" s="3310"/>
      <c r="G7" s="3310"/>
      <c r="H7" s="3310"/>
      <c r="I7" s="3093"/>
      <c r="J7" s="3111" t="e">
        <f>I6&amp;".1"</f>
        <v>#N/A</v>
      </c>
      <c r="K7" s="1194"/>
      <c r="L7" s="1237" t="s">
        <v>414</v>
      </c>
      <c r="M7" s="1562"/>
      <c r="N7" s="1558"/>
      <c r="P7" s="3258"/>
      <c r="Q7" s="3258">
        <v>1</v>
      </c>
      <c r="R7" s="294"/>
      <c r="S7" s="1880" t="e">
        <f>$J7</f>
        <v>#N/A</v>
      </c>
      <c r="T7" s="224" t="s">
        <v>415</v>
      </c>
      <c r="U7" s="238"/>
      <c r="V7" s="3239"/>
      <c r="W7" s="3240"/>
      <c r="X7" s="3240"/>
      <c r="Y7" s="3240"/>
      <c r="Z7" s="3240"/>
      <c r="AA7" s="3240"/>
      <c r="AB7" s="3240"/>
      <c r="AC7" s="3241"/>
      <c r="AD7" s="3239"/>
      <c r="AE7" s="3240"/>
      <c r="AF7" s="3240"/>
      <c r="AG7" s="3240"/>
      <c r="AH7" s="3240"/>
      <c r="AI7" s="3240"/>
      <c r="AJ7" s="3240"/>
      <c r="AK7" s="3240"/>
      <c r="AL7" s="3241"/>
      <c r="AM7" s="1185" t="s">
        <v>416</v>
      </c>
      <c r="AO7" s="1551"/>
      <c r="AP7" s="1551" t="str">
        <f t="shared" si="0"/>
        <v>Группа потребителей</v>
      </c>
      <c r="AQ7" s="1551"/>
      <c r="AR7" s="1551"/>
      <c r="AS7" s="1558">
        <v>0</v>
      </c>
    </row>
    <row r="8" spans="1:45" ht="21" hidden="1" customHeight="1">
      <c r="A8" s="1194"/>
      <c r="B8" s="1194"/>
      <c r="C8" s="1194"/>
      <c r="D8" s="1194"/>
      <c r="E8" s="3310"/>
      <c r="F8" s="3310"/>
      <c r="G8" s="3310"/>
      <c r="H8" s="3310"/>
      <c r="I8" s="3093"/>
      <c r="J8" s="3093"/>
      <c r="K8" s="3111" t="e">
        <f>J7&amp;".1"</f>
        <v>#N/A</v>
      </c>
      <c r="L8" s="1237" t="s">
        <v>417</v>
      </c>
      <c r="M8" s="1562"/>
      <c r="N8" s="1558"/>
      <c r="O8" s="1558"/>
      <c r="P8" s="3258"/>
      <c r="Q8" s="3258"/>
      <c r="R8" s="294">
        <v>1</v>
      </c>
      <c r="S8" s="1880" t="e">
        <f>$K8</f>
        <v>#N/A</v>
      </c>
      <c r="T8" s="1274"/>
      <c r="U8" s="238"/>
      <c r="V8" s="688"/>
      <c r="W8" s="263"/>
      <c r="X8" s="688"/>
      <c r="Y8" s="1184"/>
      <c r="Z8" s="3259"/>
      <c r="AA8" s="3121" t="s">
        <v>67</v>
      </c>
      <c r="AB8" s="3259"/>
      <c r="AC8" s="3121" t="s">
        <v>67</v>
      </c>
      <c r="AD8" s="688"/>
      <c r="AE8" s="263"/>
      <c r="AF8" s="688"/>
      <c r="AG8" s="1184"/>
      <c r="AH8" s="3259"/>
      <c r="AI8" s="3121" t="s">
        <v>67</v>
      </c>
      <c r="AJ8" s="3259"/>
      <c r="AK8" s="3121" t="s">
        <v>67</v>
      </c>
      <c r="AL8" s="263"/>
      <c r="AM8" s="3278" t="s">
        <v>418</v>
      </c>
      <c r="AN8" s="1563" t="e">
        <f ca="1">STRCHECKDATE(V9:AL9)</f>
        <v>#NAME?</v>
      </c>
      <c r="AO8" s="1551"/>
      <c r="AP8" s="1551" t="str">
        <f t="shared" si="0"/>
        <v/>
      </c>
      <c r="AQ8" s="1551"/>
      <c r="AR8" s="1551"/>
      <c r="AS8" s="1558">
        <v>0</v>
      </c>
    </row>
    <row r="9" spans="1:45" ht="0.75" hidden="1" customHeight="1">
      <c r="A9" s="1194"/>
      <c r="B9" s="1194"/>
      <c r="C9" s="1194"/>
      <c r="D9" s="1194"/>
      <c r="E9" s="3310"/>
      <c r="F9" s="3310"/>
      <c r="G9" s="3310"/>
      <c r="H9" s="3310"/>
      <c r="I9" s="3093"/>
      <c r="J9" s="3093"/>
      <c r="K9" s="3111"/>
      <c r="L9" s="1237"/>
      <c r="M9" s="1562"/>
      <c r="N9" s="1558"/>
      <c r="O9" s="1558"/>
      <c r="P9" s="3258"/>
      <c r="Q9" s="3258"/>
      <c r="R9" s="294"/>
      <c r="S9" s="1889"/>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3279"/>
      <c r="AO9" s="1551"/>
      <c r="AP9" s="1551" t="str">
        <f t="shared" si="0"/>
        <v/>
      </c>
      <c r="AQ9" s="1551"/>
      <c r="AR9" s="1551"/>
      <c r="AS9" s="1558">
        <v>0</v>
      </c>
    </row>
    <row r="10" spans="1:45" ht="15" hidden="1" customHeight="1">
      <c r="A10" s="1194"/>
      <c r="B10" s="1194"/>
      <c r="C10" s="1194"/>
      <c r="D10" s="1194"/>
      <c r="E10" s="3310"/>
      <c r="F10" s="3310"/>
      <c r="G10" s="3310"/>
      <c r="H10" s="3310"/>
      <c r="I10" s="3093"/>
      <c r="J10" s="3111"/>
      <c r="K10" s="1194"/>
      <c r="L10" s="1237"/>
      <c r="M10" s="1562"/>
      <c r="N10" s="1558"/>
      <c r="P10" s="3258"/>
      <c r="Q10" s="3258"/>
      <c r="R10" s="293"/>
      <c r="S10" s="1205"/>
      <c r="T10" s="226" t="s">
        <v>419</v>
      </c>
      <c r="U10" s="537"/>
      <c r="V10" s="537"/>
      <c r="W10" s="537"/>
      <c r="X10" s="537"/>
      <c r="Y10" s="537"/>
      <c r="Z10" s="537"/>
      <c r="AA10" s="537"/>
      <c r="AB10" s="537"/>
      <c r="AC10" s="537"/>
      <c r="AD10" s="537"/>
      <c r="AE10" s="537"/>
      <c r="AF10" s="537"/>
      <c r="AG10" s="537"/>
      <c r="AH10" s="537"/>
      <c r="AI10" s="537"/>
      <c r="AJ10" s="537"/>
      <c r="AK10" s="537"/>
      <c r="AL10" s="262"/>
      <c r="AM10" s="328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310"/>
      <c r="F11" s="3310"/>
      <c r="G11" s="3310"/>
      <c r="H11" s="3310"/>
      <c r="I11" s="3111"/>
      <c r="J11" s="1194"/>
      <c r="K11" s="1194"/>
      <c r="L11" s="1237"/>
      <c r="M11" s="1562"/>
      <c r="P11" s="3258"/>
      <c r="Q11" s="1876"/>
      <c r="R11" s="293"/>
      <c r="S11" s="1205"/>
      <c r="T11" s="225" t="s">
        <v>420</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3310"/>
      <c r="F12" s="3310"/>
      <c r="G12" s="3310"/>
      <c r="H12" s="3309"/>
      <c r="I12" s="1194"/>
      <c r="J12" s="1194"/>
      <c r="K12" s="1194"/>
      <c r="L12" s="1237"/>
      <c r="M12" s="1537"/>
      <c r="N12" s="1537"/>
      <c r="O12" s="1562"/>
      <c r="P12" s="297"/>
      <c r="Q12" s="312"/>
      <c r="R12" s="292"/>
      <c r="S12" s="1205"/>
      <c r="T12" s="302" t="s">
        <v>421</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3310"/>
      <c r="F13" s="3310"/>
      <c r="G13" s="3309"/>
      <c r="H13" s="1301"/>
      <c r="I13" s="1301"/>
      <c r="J13" s="1301"/>
      <c r="K13" s="1301"/>
      <c r="L13" s="1304"/>
      <c r="M13" s="1305"/>
      <c r="N13" s="1305"/>
      <c r="O13" s="288"/>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3310"/>
      <c r="F14" s="3309"/>
      <c r="G14" s="1301"/>
      <c r="H14" s="1301"/>
      <c r="I14" s="1301"/>
      <c r="J14" s="1301"/>
      <c r="K14" s="1301"/>
      <c r="L14" s="1304"/>
      <c r="M14" s="1306"/>
      <c r="N14" s="1306"/>
      <c r="O14" s="288"/>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3309"/>
      <c r="F15" s="1301"/>
      <c r="G15" s="1301"/>
      <c r="H15" s="1301"/>
      <c r="I15" s="1301"/>
      <c r="J15" s="1301"/>
      <c r="K15" s="1301"/>
      <c r="L15" s="1304"/>
      <c r="M15" s="1306"/>
      <c r="N15" s="1306"/>
      <c r="O15" s="288"/>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251"/>
      <c r="AI17" s="3250" t="s">
        <v>67</v>
      </c>
      <c r="AJ17" s="3251"/>
      <c r="AK17" s="3250" t="s">
        <v>67</v>
      </c>
      <c r="AS17" s="1558">
        <v>0</v>
      </c>
    </row>
    <row r="18" spans="1:45" ht="14.25" hidden="1" customHeight="1">
      <c r="AD18" s="1287"/>
      <c r="AE18" s="1287"/>
      <c r="AF18" s="1287"/>
      <c r="AG18" s="266" t="str">
        <f>AH17&amp;"-"&amp;AJ17</f>
        <v>-</v>
      </c>
      <c r="AH18" s="3250"/>
      <c r="AI18" s="3250"/>
      <c r="AJ18" s="3250"/>
      <c r="AK18" s="325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423</v>
      </c>
      <c r="P22" s="1289"/>
      <c r="Q22" s="1298"/>
      <c r="R22" s="1298"/>
      <c r="S22" s="666"/>
      <c r="T22" s="1293" t="s">
        <v>424</v>
      </c>
      <c r="AA22" s="532" t="s">
        <v>425</v>
      </c>
      <c r="AC22" s="532" t="s">
        <v>426</v>
      </c>
      <c r="AD22" s="1293" t="s">
        <v>424</v>
      </c>
      <c r="AI22" s="532" t="s">
        <v>427</v>
      </c>
      <c r="AK22" s="532" t="s">
        <v>426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3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2"/>
      <c r="U26" s="3232"/>
      <c r="V26" s="3232"/>
      <c r="W26" s="3232"/>
      <c r="X26" s="3232"/>
      <c r="Y26" s="3232"/>
      <c r="Z26" s="3232"/>
      <c r="AA26" s="3232"/>
      <c r="AB26" s="3232"/>
      <c r="AC26" s="3232"/>
      <c r="AD26" s="3232"/>
      <c r="AE26" s="3232"/>
      <c r="AF26" s="3232"/>
      <c r="AG26" s="3232"/>
      <c r="AH26" s="3232"/>
      <c r="AI26" s="3232"/>
      <c r="AJ26" s="3232"/>
      <c r="AK26" s="1170"/>
      <c r="AS26" s="1558">
        <v>14</v>
      </c>
    </row>
    <row r="27" spans="1:45"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243" t="s">
        <v>42</v>
      </c>
      <c r="T29" s="3243"/>
      <c r="U29" s="1299"/>
      <c r="V29" s="3245" t="str">
        <f>IF(TITLE_NAME_OR_PR_CHANGE="",IF(TITLE_NAME_OR_PR="","",TITLE_NAME_OR_PR),TITLE_NAME_OR_PR_CHANGE)</f>
        <v/>
      </c>
      <c r="W29" s="3245"/>
      <c r="X29" s="3245"/>
      <c r="Y29" s="3245"/>
      <c r="Z29" s="3245"/>
      <c r="AA29" s="3245"/>
      <c r="AB29" s="3245"/>
      <c r="AC29" s="1562"/>
      <c r="AD29" s="3245" t="str">
        <f>IF(TITLE_NAME_OR_PR_CHANGE="",IF(TITLE_NAME_OR_PR="","",TITLE_NAME_OR_PR),TITLE_NAME_OR_PR_CHANGE)</f>
        <v/>
      </c>
      <c r="AE29" s="3245"/>
      <c r="AF29" s="3245"/>
      <c r="AG29" s="3245"/>
      <c r="AH29" s="3245"/>
      <c r="AI29" s="3245"/>
      <c r="AJ29" s="3245"/>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243" t="s">
        <v>428</v>
      </c>
      <c r="T30" s="3243"/>
      <c r="U30" s="1299"/>
      <c r="V30" s="3244">
        <f>IF(TITLE_DATE_PR_CHANGE="",IF(TITLE_DATE_PR="","",TITLE_DATE_PR),TITLE_DATE_PR_CHANGE)</f>
        <v>45595.546053240738</v>
      </c>
      <c r="W30" s="3244"/>
      <c r="X30" s="3244"/>
      <c r="Y30" s="3244"/>
      <c r="Z30" s="3244"/>
      <c r="AA30" s="3244"/>
      <c r="AB30" s="3244"/>
      <c r="AC30" s="1562"/>
      <c r="AD30" s="3244">
        <f>IF(TITLE_DATE_PR_CHANGE="",IF(TITLE_DATE_PR="","",TITLE_DATE_PR),TITLE_DATE_PR_CHANGE)</f>
        <v>45595.546053240738</v>
      </c>
      <c r="AE30" s="3244"/>
      <c r="AF30" s="3244"/>
      <c r="AG30" s="3244"/>
      <c r="AH30" s="3244"/>
      <c r="AI30" s="3244"/>
      <c r="AJ30" s="3244"/>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243" t="s">
        <v>429</v>
      </c>
      <c r="T31" s="3243"/>
      <c r="U31" s="1299"/>
      <c r="V31" s="3245" t="str">
        <f>IF(TITLE_NUMBER_PR_CHANGE="",IF(TITLE_NUMBER_PR="","",TITLE_NUMBER_PR),TITLE_NUMBER_PR_CHANGE)</f>
        <v>03/3636</v>
      </c>
      <c r="W31" s="3245"/>
      <c r="X31" s="3245"/>
      <c r="Y31" s="3245"/>
      <c r="Z31" s="3245"/>
      <c r="AA31" s="3245"/>
      <c r="AB31" s="3245"/>
      <c r="AC31" s="1562"/>
      <c r="AD31" s="3245" t="str">
        <f>IF(TITLE_NUMBER_PR_CHANGE="",IF(TITLE_NUMBER_PR="","",TITLE_NUMBER_PR),TITLE_NUMBER_PR_CHANGE)</f>
        <v>03/3636</v>
      </c>
      <c r="AE31" s="3245"/>
      <c r="AF31" s="3245"/>
      <c r="AG31" s="3245"/>
      <c r="AH31" s="3245"/>
      <c r="AI31" s="3245"/>
      <c r="AJ31" s="3245"/>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243" t="s">
        <v>43</v>
      </c>
      <c r="T32" s="3243"/>
      <c r="U32" s="1299"/>
      <c r="V32" s="3245" t="str">
        <f>IF(TITLE_IST_PUB_CHANGE="",IF(TITLE_IST_PUB="","",TITLE_IST_PUB),TITLE_IST_PUB_CHANGE)</f>
        <v/>
      </c>
      <c r="W32" s="3245"/>
      <c r="X32" s="3245"/>
      <c r="Y32" s="3245"/>
      <c r="Z32" s="3245"/>
      <c r="AA32" s="3245"/>
      <c r="AB32" s="3245"/>
      <c r="AC32" s="1562"/>
      <c r="AD32" s="3245" t="str">
        <f>IF(TITLE_IST_PUB_CHANGE="",IF(TITLE_IST_PUB="","",TITLE_IST_PUB),TITLE_IST_PUB_CHANGE)</f>
        <v/>
      </c>
      <c r="AE32" s="3245"/>
      <c r="AF32" s="3245"/>
      <c r="AG32" s="3245"/>
      <c r="AH32" s="3245"/>
      <c r="AI32" s="3245"/>
      <c r="AJ32" s="3245"/>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243" t="s">
        <v>430</v>
      </c>
      <c r="T34" s="3243"/>
      <c r="U34" s="1299"/>
      <c r="V34" s="3244">
        <f>IF(TITLE_DATE_PR_CHANGE="",IF(TITLE_DATE_PR="","",TITLE_DATE_PR),TITLE_DATE_PR_CHANGE)</f>
        <v>45595.546053240738</v>
      </c>
      <c r="W34" s="3244"/>
      <c r="X34" s="3244"/>
      <c r="Y34" s="3244"/>
      <c r="Z34" s="3244"/>
      <c r="AA34" s="3244"/>
      <c r="AB34" s="3244"/>
      <c r="AC34" s="1562"/>
      <c r="AD34" s="3244">
        <f>IF(TITLE_DATE_PR_CHANGE="",IF(TITLE_DATE_PR="","",TITLE_DATE_PR),TITLE_DATE_PR_CHANGE)</f>
        <v>45595.546053240738</v>
      </c>
      <c r="AE34" s="3244"/>
      <c r="AF34" s="3244"/>
      <c r="AG34" s="3244"/>
      <c r="AH34" s="3244"/>
      <c r="AI34" s="3244"/>
      <c r="AJ34" s="3244"/>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243" t="s">
        <v>431</v>
      </c>
      <c r="T35" s="3243"/>
      <c r="U35" s="1299"/>
      <c r="V35" s="3245" t="str">
        <f>IF(TITLE_NUMBER_PR_CHANGE="",IF(TITLE_NUMBER_PR="","",TITLE_NUMBER_PR),TITLE_NUMBER_PR_CHANGE)</f>
        <v>03/3636</v>
      </c>
      <c r="W35" s="3245"/>
      <c r="X35" s="3245"/>
      <c r="Y35" s="3245"/>
      <c r="Z35" s="3245"/>
      <c r="AA35" s="3245"/>
      <c r="AB35" s="3245"/>
      <c r="AC35" s="1562"/>
      <c r="AD35" s="3245" t="str">
        <f>IF(TITLE_NUMBER_PR_CHANGE="",IF(TITLE_NUMBER_PR="","",TITLE_NUMBER_PR),TITLE_NUMBER_PR_CHANGE)</f>
        <v>03/3636</v>
      </c>
      <c r="AE35" s="3245"/>
      <c r="AF35" s="3245"/>
      <c r="AG35" s="3245"/>
      <c r="AH35" s="3245"/>
      <c r="AI35" s="3245"/>
      <c r="AJ35" s="3245"/>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432</v>
      </c>
      <c r="AD36" s="1562"/>
      <c r="AE36" s="1562"/>
      <c r="AF36" s="1562"/>
      <c r="AG36" s="1562"/>
      <c r="AH36" s="1562"/>
      <c r="AI36" s="1562"/>
      <c r="AJ36" s="1562"/>
      <c r="AK36" s="1569" t="s">
        <v>432</v>
      </c>
      <c r="AN36" s="305"/>
      <c r="AO36" s="305"/>
      <c r="AP36" s="305"/>
      <c r="AQ36" s="305"/>
      <c r="AR36" s="305"/>
      <c r="AS36" s="355">
        <v>0</v>
      </c>
    </row>
    <row r="37" spans="1:45" ht="14.65" customHeight="1">
      <c r="Q37" s="313"/>
      <c r="R37" s="313"/>
      <c r="S37" s="1202"/>
      <c r="T37" s="394"/>
      <c r="U37" s="1171"/>
      <c r="V37" s="3266"/>
      <c r="W37" s="3266"/>
      <c r="X37" s="3266"/>
      <c r="Y37" s="3266"/>
      <c r="Z37" s="3266"/>
      <c r="AA37" s="3266"/>
      <c r="AB37" s="3266"/>
      <c r="AC37" s="3266"/>
      <c r="AD37" s="3266"/>
      <c r="AE37" s="3266"/>
      <c r="AF37" s="3266"/>
      <c r="AG37" s="3266"/>
      <c r="AH37" s="3266"/>
      <c r="AI37" s="3266"/>
      <c r="AJ37" s="3266"/>
      <c r="AK37" s="3266"/>
      <c r="AS37" s="1558">
        <v>14</v>
      </c>
    </row>
    <row r="38" spans="1:45" ht="14.6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c r="AM38" s="3111" t="s">
        <v>309</v>
      </c>
      <c r="AS38" s="1558">
        <v>14</v>
      </c>
    </row>
    <row r="39" spans="1:45" ht="14.65" customHeight="1">
      <c r="Q39" s="313"/>
      <c r="R39" s="313"/>
      <c r="S39" s="3268" t="s">
        <v>85</v>
      </c>
      <c r="T39" s="3212" t="s">
        <v>433</v>
      </c>
      <c r="U39" s="275"/>
      <c r="V39" s="3269" t="s">
        <v>434</v>
      </c>
      <c r="W39" s="3270"/>
      <c r="X39" s="3270"/>
      <c r="Y39" s="3270"/>
      <c r="Z39" s="3270"/>
      <c r="AA39" s="3270"/>
      <c r="AB39" s="3271"/>
      <c r="AC39" s="3272" t="s">
        <v>435</v>
      </c>
      <c r="AD39" s="3269" t="s">
        <v>434</v>
      </c>
      <c r="AE39" s="3270"/>
      <c r="AF39" s="3270"/>
      <c r="AG39" s="3270"/>
      <c r="AH39" s="3270"/>
      <c r="AI39" s="3270"/>
      <c r="AJ39" s="3271"/>
      <c r="AK39" s="3272" t="s">
        <v>436</v>
      </c>
      <c r="AL39" s="3275" t="s">
        <v>437</v>
      </c>
      <c r="AM39" s="3111"/>
      <c r="AS39" s="1558">
        <v>14</v>
      </c>
    </row>
    <row r="40" spans="1:45" ht="35.65" customHeight="1">
      <c r="Q40" s="313"/>
      <c r="R40" s="313"/>
      <c r="S40" s="3268"/>
      <c r="T40" s="3212"/>
      <c r="U40" s="961"/>
      <c r="V40" s="3184" t="s">
        <v>438</v>
      </c>
      <c r="W40" s="3263" t="s">
        <v>439</v>
      </c>
      <c r="X40" s="3093" t="s">
        <v>440</v>
      </c>
      <c r="Y40" s="3092"/>
      <c r="Z40" s="3093" t="s">
        <v>456</v>
      </c>
      <c r="AA40" s="3098"/>
      <c r="AB40" s="3092"/>
      <c r="AC40" s="3273"/>
      <c r="AD40" s="3184" t="s">
        <v>438</v>
      </c>
      <c r="AE40" s="3263" t="s">
        <v>439</v>
      </c>
      <c r="AF40" s="3093" t="s">
        <v>440</v>
      </c>
      <c r="AG40" s="3092"/>
      <c r="AH40" s="3093" t="s">
        <v>441</v>
      </c>
      <c r="AI40" s="3098"/>
      <c r="AJ40" s="3092"/>
      <c r="AK40" s="3273"/>
      <c r="AL40" s="3276"/>
      <c r="AM40" s="3111"/>
      <c r="AS40" s="1558">
        <v>34</v>
      </c>
    </row>
    <row r="41" spans="1:45" ht="35.65" customHeight="1">
      <c r="A41" s="1193"/>
      <c r="B41" s="1193" t="s">
        <v>133</v>
      </c>
      <c r="C41" s="1193" t="s">
        <v>134</v>
      </c>
      <c r="D41" s="1193" t="s">
        <v>135</v>
      </c>
      <c r="E41" s="1237" t="s">
        <v>442</v>
      </c>
      <c r="F41" s="1237" t="s">
        <v>443</v>
      </c>
      <c r="G41" s="1237" t="s">
        <v>444</v>
      </c>
      <c r="H41" s="1237" t="s">
        <v>445</v>
      </c>
      <c r="I41" s="1237" t="s">
        <v>446</v>
      </c>
      <c r="J41" s="1237" t="s">
        <v>447</v>
      </c>
      <c r="K41" s="1237" t="s">
        <v>448</v>
      </c>
      <c r="L41" s="1237" t="s">
        <v>423</v>
      </c>
      <c r="Q41" s="313"/>
      <c r="R41" s="313"/>
      <c r="S41" s="3268"/>
      <c r="T41" s="3212"/>
      <c r="U41" s="240"/>
      <c r="V41" s="3237"/>
      <c r="W41" s="3264"/>
      <c r="X41" s="1860" t="s">
        <v>449</v>
      </c>
      <c r="Y41" s="1860" t="s">
        <v>450</v>
      </c>
      <c r="Z41" s="1860" t="s">
        <v>451</v>
      </c>
      <c r="AA41" s="3217" t="s">
        <v>452</v>
      </c>
      <c r="AB41" s="3231"/>
      <c r="AC41" s="3274"/>
      <c r="AD41" s="3237"/>
      <c r="AE41" s="3264"/>
      <c r="AF41" s="1860" t="s">
        <v>449</v>
      </c>
      <c r="AG41" s="1860" t="s">
        <v>450</v>
      </c>
      <c r="AH41" s="1860" t="s">
        <v>451</v>
      </c>
      <c r="AI41" s="3217" t="s">
        <v>452</v>
      </c>
      <c r="AJ41" s="3231"/>
      <c r="AK41" s="3274"/>
      <c r="AL41" s="3277"/>
      <c r="AM41" s="311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107</v>
      </c>
      <c r="T42" s="1182" t="s">
        <v>108</v>
      </c>
      <c r="U42" s="1172" t="str">
        <f ca="1">OFFSET(U42,0,-1)</f>
        <v>2</v>
      </c>
      <c r="V42" s="1878">
        <f ca="1">OFFSET(V42,0,-1)+1</f>
        <v>3</v>
      </c>
      <c r="W42" s="1878"/>
      <c r="X42" s="1878">
        <f ca="1">OFFSET(X42,0,-1)+1</f>
        <v>1</v>
      </c>
      <c r="Y42" s="1878">
        <f ca="1">OFFSET(Y42,0,-1)+1</f>
        <v>2</v>
      </c>
      <c r="Z42" s="1878">
        <f ca="1">OFFSET(Z42,0,-1)+1</f>
        <v>3</v>
      </c>
      <c r="AA42" s="3265">
        <f ca="1">OFFSET(AA42,0,-1)+1</f>
        <v>4</v>
      </c>
      <c r="AB42" s="3265"/>
      <c r="AC42" s="1878">
        <f ca="1">OFFSET(AC42,0,-2)+1</f>
        <v>5</v>
      </c>
      <c r="AD42" s="1878">
        <f ca="1">OFFSET(AD42,0,-1)+1</f>
        <v>6</v>
      </c>
      <c r="AE42" s="1878"/>
      <c r="AF42" s="1878">
        <f ca="1">OFFSET(AF42,0,-1)+1</f>
        <v>1</v>
      </c>
      <c r="AG42" s="1878">
        <f ca="1">OFFSET(AG42,0,-1)+1</f>
        <v>2</v>
      </c>
      <c r="AH42" s="1878">
        <f ca="1">OFFSET(AH42,0,-1)+1</f>
        <v>3</v>
      </c>
      <c r="AI42" s="3265">
        <f ca="1">OFFSET(AI42,0,-1)+1</f>
        <v>4</v>
      </c>
      <c r="AJ42" s="3265"/>
      <c r="AK42" s="1878">
        <f ca="1">OFFSET(AK42,0,-2)+1</f>
        <v>5</v>
      </c>
      <c r="AL42" s="1172">
        <f ca="1">OFFSET(AL42,0,-1)</f>
        <v>5</v>
      </c>
      <c r="AM42" s="1878">
        <f ca="1">OFFSET(AM42,0,-1)+1</f>
        <v>6</v>
      </c>
      <c r="AN42" s="1563"/>
      <c r="AO42" s="1563"/>
      <c r="AP42" s="1563"/>
      <c r="AQ42" s="1563"/>
      <c r="AR42" s="1563"/>
      <c r="AS42" s="1568">
        <v>0</v>
      </c>
    </row>
    <row r="43" spans="1:45" ht="21.95" customHeight="1">
      <c r="A43" s="1194" t="s">
        <v>220</v>
      </c>
      <c r="B43" s="1194"/>
      <c r="C43" s="1194"/>
      <c r="D43" s="1194"/>
      <c r="E43" s="330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121</v>
      </c>
      <c r="U43" s="238"/>
      <c r="V43" s="3246"/>
      <c r="W43" s="3247"/>
      <c r="X43" s="3247"/>
      <c r="Y43" s="3247"/>
      <c r="Z43" s="3247"/>
      <c r="AA43" s="3247"/>
      <c r="AB43" s="3247"/>
      <c r="AC43" s="3248"/>
      <c r="AD43" s="3246" t="str">
        <f>INDEX(PT_DIFFERENTIATION_NTAR,MATCH(A43,PT_DIFFERENTIATION_NTAR_ID,0))</f>
        <v/>
      </c>
      <c r="AE43" s="3247"/>
      <c r="AF43" s="3247"/>
      <c r="AG43" s="3247"/>
      <c r="AH43" s="3247"/>
      <c r="AI43" s="3247"/>
      <c r="AJ43" s="3247"/>
      <c r="AK43" s="3247"/>
      <c r="AL43" s="324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220</v>
      </c>
      <c r="B44" s="1194" t="s">
        <v>221</v>
      </c>
      <c r="C44" s="1194"/>
      <c r="D44" s="1194"/>
      <c r="E44" s="3310"/>
      <c r="F44" s="3309">
        <v>1</v>
      </c>
      <c r="G44" s="1194"/>
      <c r="H44" s="1194"/>
      <c r="I44" s="1194"/>
      <c r="J44" s="1194"/>
      <c r="K44" s="1194"/>
      <c r="L44" s="1237"/>
      <c r="M44" s="1537"/>
      <c r="N44" s="1537"/>
      <c r="O44" s="1537"/>
      <c r="P44" s="1862"/>
      <c r="Q44" s="289"/>
      <c r="R44" s="290"/>
      <c r="S44" s="1880" t="str">
        <f>INDEX(PT_DIFFERENTIATION_NUM_TER,MATCH(B44,PT_DIFFERENTIATION_TER_ID,0))</f>
        <v>.</v>
      </c>
      <c r="T44" s="1449" t="s">
        <v>405</v>
      </c>
      <c r="U44" s="238"/>
      <c r="V44" s="3246"/>
      <c r="W44" s="3247"/>
      <c r="X44" s="3247"/>
      <c r="Y44" s="3247"/>
      <c r="Z44" s="3247"/>
      <c r="AA44" s="3247"/>
      <c r="AB44" s="3247"/>
      <c r="AC44" s="3248"/>
      <c r="AD44" s="3246" t="str">
        <f>INDEX(PT_DIFFERENTIATION_TER,MATCH(B44,PT_DIFFERENTIATION_TER_ID,0))</f>
        <v/>
      </c>
      <c r="AE44" s="3247"/>
      <c r="AF44" s="3247"/>
      <c r="AG44" s="3247"/>
      <c r="AH44" s="3247"/>
      <c r="AI44" s="3247"/>
      <c r="AJ44" s="3247"/>
      <c r="AK44" s="3247"/>
      <c r="AL44" s="3248"/>
      <c r="AM44" s="1185" t="s">
        <v>406</v>
      </c>
      <c r="AO44" s="1551"/>
      <c r="AP44" s="1551" t="str">
        <f t="shared" si="1"/>
        <v>Территория действия тарифа</v>
      </c>
      <c r="AQ44" s="1551"/>
      <c r="AR44" s="1551"/>
      <c r="AS44" s="1558">
        <v>21</v>
      </c>
    </row>
    <row r="45" spans="1:45" ht="24" customHeight="1">
      <c r="A45" s="1194" t="s">
        <v>220</v>
      </c>
      <c r="B45" s="1194" t="s">
        <v>221</v>
      </c>
      <c r="C45" s="1194" t="s">
        <v>222</v>
      </c>
      <c r="D45" s="1194"/>
      <c r="E45" s="3310"/>
      <c r="F45" s="3310"/>
      <c r="G45" s="3309">
        <v>1</v>
      </c>
      <c r="H45" s="1194"/>
      <c r="I45" s="1194"/>
      <c r="J45" s="1194"/>
      <c r="K45" s="1194"/>
      <c r="L45" s="1237"/>
      <c r="M45" s="1537"/>
      <c r="N45" s="1537"/>
      <c r="O45" s="1537"/>
      <c r="P45" s="291"/>
      <c r="Q45" s="289"/>
      <c r="R45" s="290"/>
      <c r="S45" s="1880" t="str">
        <f>INDEX(PT_DIFFERENTIATION_NUM_CS,MATCH(C45,PT_DIFFERENTIATION_CS_ID,0))</f>
        <v>..</v>
      </c>
      <c r="T45" s="247" t="s">
        <v>407</v>
      </c>
      <c r="U45" s="238"/>
      <c r="V45" s="3246"/>
      <c r="W45" s="3247"/>
      <c r="X45" s="3247"/>
      <c r="Y45" s="3247"/>
      <c r="Z45" s="3247"/>
      <c r="AA45" s="3247"/>
      <c r="AB45" s="3247"/>
      <c r="AC45" s="3248"/>
      <c r="AD45" s="3246" t="str">
        <f>INDEX(PT_DIFFERENTIATION_CS,MATCH(C45,PT_DIFFERENTIATION_CS_ID,0))</f>
        <v/>
      </c>
      <c r="AE45" s="3247"/>
      <c r="AF45" s="3247"/>
      <c r="AG45" s="3247"/>
      <c r="AH45" s="3247"/>
      <c r="AI45" s="3247"/>
      <c r="AJ45" s="3247"/>
      <c r="AK45" s="3247"/>
      <c r="AL45" s="3248"/>
      <c r="AM45" s="1185" t="s">
        <v>408</v>
      </c>
      <c r="AO45" s="1551"/>
      <c r="AP45" s="1551" t="str">
        <f t="shared" si="1"/>
        <v xml:space="preserve">Наименование системы теплоснабжения </v>
      </c>
      <c r="AQ45" s="1551"/>
      <c r="AR45" s="1551"/>
      <c r="AS45" s="1558">
        <v>23</v>
      </c>
    </row>
    <row r="46" spans="1:45" ht="21.95" customHeight="1">
      <c r="A46" s="1194" t="s">
        <v>220</v>
      </c>
      <c r="B46" s="1194" t="s">
        <v>221</v>
      </c>
      <c r="C46" s="1194" t="s">
        <v>222</v>
      </c>
      <c r="D46" s="1194" t="s">
        <v>223</v>
      </c>
      <c r="E46" s="3310"/>
      <c r="F46" s="3310"/>
      <c r="G46" s="3310"/>
      <c r="H46" s="3309">
        <v>1</v>
      </c>
      <c r="I46" s="1194"/>
      <c r="J46" s="1194"/>
      <c r="K46" s="1194"/>
      <c r="L46" s="1237"/>
      <c r="M46" s="1537"/>
      <c r="N46" s="1537"/>
      <c r="O46" s="1537"/>
      <c r="P46" s="291"/>
      <c r="Q46" s="289"/>
      <c r="R46" s="290"/>
      <c r="S46" s="1880" t="str">
        <f>INDEX(PT_DIFFERENTIATION_NUM_IST_TE,MATCH(D46,PT_DIFFERENTIATION_IST_TE_ID,0))</f>
        <v>...</v>
      </c>
      <c r="T46" s="248" t="s">
        <v>409</v>
      </c>
      <c r="U46" s="238"/>
      <c r="V46" s="3246"/>
      <c r="W46" s="3247"/>
      <c r="X46" s="3247"/>
      <c r="Y46" s="3247"/>
      <c r="Z46" s="3247"/>
      <c r="AA46" s="3247"/>
      <c r="AB46" s="3247"/>
      <c r="AC46" s="3248"/>
      <c r="AD46" s="3246" t="str">
        <f>INDEX(PT_DIFFERENTIATION_IST_TE,MATCH(D46,PT_DIFFERENTIATION_IST_TE_ID,0))</f>
        <v/>
      </c>
      <c r="AE46" s="3247"/>
      <c r="AF46" s="3247"/>
      <c r="AG46" s="3247"/>
      <c r="AH46" s="3247"/>
      <c r="AI46" s="3247"/>
      <c r="AJ46" s="3247"/>
      <c r="AK46" s="3247"/>
      <c r="AL46" s="3248"/>
      <c r="AM46" s="1185" t="s">
        <v>410</v>
      </c>
      <c r="AO46" s="1551"/>
      <c r="AP46" s="1551" t="str">
        <f t="shared" si="1"/>
        <v xml:space="preserve">Источник тепловой энергии  </v>
      </c>
      <c r="AQ46" s="1551"/>
      <c r="AR46" s="1551"/>
      <c r="AS46" s="1558">
        <v>21</v>
      </c>
    </row>
    <row r="47" spans="1:45" ht="49.5" customHeight="1">
      <c r="A47" s="1194" t="s">
        <v>220</v>
      </c>
      <c r="B47" s="1194" t="s">
        <v>221</v>
      </c>
      <c r="C47" s="1194" t="s">
        <v>222</v>
      </c>
      <c r="D47" s="1194" t="s">
        <v>223</v>
      </c>
      <c r="E47" s="3310"/>
      <c r="F47" s="3310"/>
      <c r="G47" s="3310"/>
      <c r="H47" s="3310"/>
      <c r="I47" s="3111" t="str">
        <f>S46&amp;".1"</f>
        <v>....1</v>
      </c>
      <c r="J47" s="1194"/>
      <c r="K47" s="1194"/>
      <c r="L47" s="1237" t="s">
        <v>411</v>
      </c>
      <c r="P47" s="3258">
        <v>1</v>
      </c>
      <c r="Q47" s="1876"/>
      <c r="R47" s="293"/>
      <c r="S47" s="1880" t="str">
        <f>$I47</f>
        <v>....1</v>
      </c>
      <c r="T47" s="223" t="s">
        <v>412</v>
      </c>
      <c r="U47" s="238"/>
      <c r="V47" s="3239"/>
      <c r="W47" s="3240"/>
      <c r="X47" s="3240"/>
      <c r="Y47" s="3240"/>
      <c r="Z47" s="3240"/>
      <c r="AA47" s="3240"/>
      <c r="AB47" s="3240"/>
      <c r="AC47" s="3241"/>
      <c r="AD47" s="3239"/>
      <c r="AE47" s="3240"/>
      <c r="AF47" s="3240"/>
      <c r="AG47" s="3240"/>
      <c r="AH47" s="3240"/>
      <c r="AI47" s="3240"/>
      <c r="AJ47" s="3240"/>
      <c r="AK47" s="3240"/>
      <c r="AL47" s="3241"/>
      <c r="AM47" s="1185" t="s">
        <v>413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220</v>
      </c>
      <c r="B48" s="1194" t="s">
        <v>221</v>
      </c>
      <c r="C48" s="1194" t="s">
        <v>222</v>
      </c>
      <c r="D48" s="1194" t="s">
        <v>223</v>
      </c>
      <c r="E48" s="3310"/>
      <c r="F48" s="3310"/>
      <c r="G48" s="3310"/>
      <c r="H48" s="3310"/>
      <c r="I48" s="3093"/>
      <c r="J48" s="3111" t="str">
        <f>I47&amp;".1"</f>
        <v>....1.1</v>
      </c>
      <c r="K48" s="1194"/>
      <c r="L48" s="1237" t="s">
        <v>414</v>
      </c>
      <c r="P48" s="3258"/>
      <c r="Q48" s="3258">
        <v>1</v>
      </c>
      <c r="R48" s="294"/>
      <c r="S48" s="1880" t="str">
        <f>$J48</f>
        <v>....1.1</v>
      </c>
      <c r="T48" s="224" t="s">
        <v>415</v>
      </c>
      <c r="U48" s="238"/>
      <c r="V48" s="3239"/>
      <c r="W48" s="3240"/>
      <c r="X48" s="3240"/>
      <c r="Y48" s="3240"/>
      <c r="Z48" s="3240"/>
      <c r="AA48" s="3240"/>
      <c r="AB48" s="3240"/>
      <c r="AC48" s="3241"/>
      <c r="AD48" s="3239"/>
      <c r="AE48" s="3240"/>
      <c r="AF48" s="3240"/>
      <c r="AG48" s="3240"/>
      <c r="AH48" s="3240"/>
      <c r="AI48" s="3240"/>
      <c r="AJ48" s="3240"/>
      <c r="AK48" s="3240"/>
      <c r="AL48" s="3241"/>
      <c r="AM48" s="1185" t="s">
        <v>416</v>
      </c>
      <c r="AO48" s="1551"/>
      <c r="AP48" s="1551" t="str">
        <f t="shared" si="1"/>
        <v>Группа потребителей</v>
      </c>
      <c r="AQ48" s="1551"/>
      <c r="AR48" s="1551"/>
      <c r="AS48" s="1558">
        <v>21</v>
      </c>
    </row>
    <row r="49" spans="1:45" ht="21.95" customHeight="1">
      <c r="A49" s="1194" t="s">
        <v>220</v>
      </c>
      <c r="B49" s="1194" t="s">
        <v>221</v>
      </c>
      <c r="C49" s="1194" t="s">
        <v>222</v>
      </c>
      <c r="D49" s="1194" t="s">
        <v>223</v>
      </c>
      <c r="E49" s="3310"/>
      <c r="F49" s="3310"/>
      <c r="G49" s="3310"/>
      <c r="H49" s="3310"/>
      <c r="I49" s="3093"/>
      <c r="J49" s="3093"/>
      <c r="K49" s="3111" t="str">
        <f>J48&amp;".1"</f>
        <v>....1.1.1</v>
      </c>
      <c r="L49" s="1237" t="s">
        <v>417</v>
      </c>
      <c r="P49" s="3258"/>
      <c r="Q49" s="3258"/>
      <c r="R49" s="294">
        <v>1</v>
      </c>
      <c r="S49" s="1880" t="str">
        <f>$K49</f>
        <v>....1.1.1</v>
      </c>
      <c r="T49" s="1274"/>
      <c r="U49" s="238"/>
      <c r="V49" s="688"/>
      <c r="W49" s="263"/>
      <c r="X49" s="688"/>
      <c r="Y49" s="1184"/>
      <c r="Z49" s="3259"/>
      <c r="AA49" s="3121" t="s">
        <v>67</v>
      </c>
      <c r="AB49" s="3259"/>
      <c r="AC49" s="3121" t="s">
        <v>67</v>
      </c>
      <c r="AD49" s="688"/>
      <c r="AE49" s="263"/>
      <c r="AF49" s="688"/>
      <c r="AG49" s="1184"/>
      <c r="AH49" s="3259"/>
      <c r="AI49" s="3121" t="s">
        <v>67</v>
      </c>
      <c r="AJ49" s="3261"/>
      <c r="AK49" s="3121" t="s">
        <v>67</v>
      </c>
      <c r="AL49" s="1275"/>
      <c r="AM49" s="3278" t="s">
        <v>418</v>
      </c>
      <c r="AN49" s="1563" t="e">
        <f ca="1">STRCHECKDATE(V50:AL50)</f>
        <v>#NAME?</v>
      </c>
      <c r="AO49" s="1551"/>
      <c r="AP49" s="1551" t="str">
        <f t="shared" si="1"/>
        <v/>
      </c>
      <c r="AQ49" s="1551"/>
      <c r="AR49" s="1551"/>
      <c r="AS49" s="1558">
        <v>21</v>
      </c>
    </row>
    <row r="50" spans="1:45" ht="1.1499999999999999" customHeight="1">
      <c r="A50" s="1194" t="s">
        <v>220</v>
      </c>
      <c r="B50" s="1194" t="s">
        <v>221</v>
      </c>
      <c r="C50" s="1194" t="s">
        <v>222</v>
      </c>
      <c r="D50" s="1194" t="s">
        <v>223</v>
      </c>
      <c r="E50" s="3310"/>
      <c r="F50" s="3310"/>
      <c r="G50" s="3310"/>
      <c r="H50" s="3310"/>
      <c r="I50" s="3093"/>
      <c r="J50" s="3093"/>
      <c r="K50" s="3111"/>
      <c r="L50" s="1237"/>
      <c r="P50" s="3258"/>
      <c r="Q50" s="3258"/>
      <c r="R50" s="294"/>
      <c r="S50" s="1889"/>
      <c r="T50" s="238"/>
      <c r="U50" s="238"/>
      <c r="V50" s="263"/>
      <c r="W50" s="263"/>
      <c r="X50" s="263"/>
      <c r="Y50" s="266" t="str">
        <f>Z49&amp;"-"&amp;AB49</f>
        <v>-</v>
      </c>
      <c r="Z50" s="3260"/>
      <c r="AA50" s="3121"/>
      <c r="AB50" s="3260"/>
      <c r="AC50" s="3121"/>
      <c r="AD50" s="263"/>
      <c r="AE50" s="263"/>
      <c r="AF50" s="263"/>
      <c r="AG50" s="266" t="str">
        <f>AH49&amp;"-"&amp;AJ49</f>
        <v>-</v>
      </c>
      <c r="AH50" s="3260"/>
      <c r="AI50" s="3121"/>
      <c r="AJ50" s="3262"/>
      <c r="AK50" s="3121"/>
      <c r="AL50" s="1276"/>
      <c r="AM50" s="3279"/>
      <c r="AO50" s="1551"/>
      <c r="AP50" s="1551" t="str">
        <f t="shared" si="1"/>
        <v/>
      </c>
      <c r="AQ50" s="1551"/>
      <c r="AR50" s="1551"/>
      <c r="AS50" s="1558">
        <v>1</v>
      </c>
    </row>
    <row r="51" spans="1:45" ht="11.45" customHeight="1">
      <c r="A51" s="1194" t="s">
        <v>220</v>
      </c>
      <c r="B51" s="1194" t="s">
        <v>221</v>
      </c>
      <c r="C51" s="1194" t="s">
        <v>222</v>
      </c>
      <c r="D51" s="1194" t="s">
        <v>223</v>
      </c>
      <c r="E51" s="3310"/>
      <c r="F51" s="3310"/>
      <c r="G51" s="3310"/>
      <c r="H51" s="3310"/>
      <c r="I51" s="3093"/>
      <c r="J51" s="3111"/>
      <c r="K51" s="1194"/>
      <c r="L51" s="1237"/>
      <c r="P51" s="3258"/>
      <c r="Q51" s="3258"/>
      <c r="R51" s="293"/>
      <c r="S51" s="1205"/>
      <c r="T51" s="226" t="s">
        <v>419</v>
      </c>
      <c r="U51" s="537"/>
      <c r="V51" s="537"/>
      <c r="W51" s="537"/>
      <c r="X51" s="537"/>
      <c r="Y51" s="537"/>
      <c r="Z51" s="537"/>
      <c r="AA51" s="537"/>
      <c r="AB51" s="537"/>
      <c r="AC51" s="537"/>
      <c r="AD51" s="537"/>
      <c r="AE51" s="537"/>
      <c r="AF51" s="537"/>
      <c r="AG51" s="537"/>
      <c r="AH51" s="537"/>
      <c r="AI51" s="537"/>
      <c r="AJ51" s="537"/>
      <c r="AK51" s="537"/>
      <c r="AL51" s="262"/>
      <c r="AM51" s="3280"/>
      <c r="AO51" s="1551"/>
      <c r="AP51" s="1551" t="str">
        <f t="shared" si="1"/>
        <v>Добавить вид теплоносителя (параметры теплоносителя)</v>
      </c>
      <c r="AQ51" s="1551"/>
      <c r="AR51" s="1551"/>
      <c r="AS51" s="1558">
        <v>11</v>
      </c>
    </row>
    <row r="52" spans="1:45" ht="11.45" customHeight="1">
      <c r="A52" s="1194" t="s">
        <v>220</v>
      </c>
      <c r="B52" s="1194" t="s">
        <v>221</v>
      </c>
      <c r="C52" s="1194" t="s">
        <v>222</v>
      </c>
      <c r="D52" s="1194" t="s">
        <v>223</v>
      </c>
      <c r="E52" s="3310"/>
      <c r="F52" s="3310"/>
      <c r="G52" s="3310"/>
      <c r="H52" s="3310"/>
      <c r="I52" s="3111"/>
      <c r="J52" s="1194"/>
      <c r="K52" s="1194"/>
      <c r="L52" s="1237"/>
      <c r="P52" s="3258"/>
      <c r="Q52" s="1876"/>
      <c r="R52" s="293"/>
      <c r="S52" s="1205"/>
      <c r="T52" s="225" t="s">
        <v>420</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220</v>
      </c>
      <c r="B53" s="1194" t="s">
        <v>221</v>
      </c>
      <c r="C53" s="1194" t="s">
        <v>222</v>
      </c>
      <c r="D53" s="1194" t="s">
        <v>223</v>
      </c>
      <c r="E53" s="3310"/>
      <c r="F53" s="3310"/>
      <c r="G53" s="3310"/>
      <c r="H53" s="3309"/>
      <c r="I53" s="1194"/>
      <c r="J53" s="1194"/>
      <c r="K53" s="1194"/>
      <c r="L53" s="1237"/>
      <c r="M53" s="1537"/>
      <c r="N53" s="1537"/>
      <c r="O53" s="1562"/>
      <c r="P53" s="297"/>
      <c r="Q53" s="312"/>
      <c r="R53" s="292"/>
      <c r="S53" s="1205"/>
      <c r="T53" s="302" t="s">
        <v>421</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220</v>
      </c>
      <c r="B54" s="1302" t="s">
        <v>221</v>
      </c>
      <c r="C54" s="1302" t="s">
        <v>222</v>
      </c>
      <c r="D54" s="1301"/>
      <c r="E54" s="3310"/>
      <c r="F54" s="3310"/>
      <c r="G54" s="3309"/>
      <c r="H54" s="1301"/>
      <c r="I54" s="1301"/>
      <c r="J54" s="1301"/>
      <c r="K54" s="1301"/>
      <c r="L54" s="1304"/>
      <c r="M54" s="1305"/>
      <c r="N54" s="1305"/>
      <c r="O54" s="288"/>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220</v>
      </c>
      <c r="B55" s="1302" t="s">
        <v>221</v>
      </c>
      <c r="C55" s="1301"/>
      <c r="D55" s="1301"/>
      <c r="E55" s="3310"/>
      <c r="F55" s="3309"/>
      <c r="G55" s="1301"/>
      <c r="H55" s="1301"/>
      <c r="I55" s="1301"/>
      <c r="J55" s="1301"/>
      <c r="K55" s="1301"/>
      <c r="L55" s="1304"/>
      <c r="M55" s="1306"/>
      <c r="N55" s="1306"/>
      <c r="O55" s="288"/>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220</v>
      </c>
      <c r="B56" s="1302"/>
      <c r="C56" s="1302"/>
      <c r="D56" s="1302"/>
      <c r="E56" s="3309"/>
      <c r="F56" s="1302"/>
      <c r="G56" s="1302"/>
      <c r="H56" s="1302"/>
      <c r="I56" s="1302"/>
      <c r="J56" s="1302"/>
      <c r="K56" s="1302"/>
      <c r="L56" s="1308"/>
      <c r="M56" s="1306"/>
      <c r="N56" s="1306"/>
      <c r="O56" s="288"/>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3252"/>
      <c r="U59" s="3252"/>
      <c r="V59" s="3252"/>
      <c r="W59" s="3252"/>
      <c r="X59" s="3252"/>
      <c r="Y59" s="3252"/>
      <c r="Z59" s="3252"/>
      <c r="AA59" s="3252"/>
      <c r="AB59" s="3252"/>
      <c r="AC59" s="3252"/>
      <c r="AD59" s="3252"/>
      <c r="AE59" s="3252"/>
      <c r="AF59" s="3252"/>
      <c r="AG59" s="3252"/>
      <c r="AH59" s="3252"/>
      <c r="AI59" s="3252"/>
      <c r="AJ59" s="3252"/>
      <c r="AK59" s="3252"/>
      <c r="AL59" s="3252"/>
      <c r="AM59" s="3252"/>
      <c r="AS59" s="1558">
        <v>27</v>
      </c>
    </row>
    <row r="60" spans="1:45" ht="65.25" customHeight="1">
      <c r="O60" s="1562"/>
      <c r="T60" s="3252"/>
      <c r="U60" s="3252"/>
      <c r="V60" s="3252"/>
      <c r="W60" s="3252"/>
      <c r="X60" s="3252"/>
      <c r="Y60" s="3252"/>
      <c r="Z60" s="3252"/>
      <c r="AA60" s="3252"/>
      <c r="AB60" s="3252"/>
      <c r="AC60" s="3252"/>
      <c r="AD60" s="3252"/>
      <c r="AE60" s="3252"/>
      <c r="AF60" s="3252"/>
      <c r="AG60" s="3252"/>
      <c r="AH60" s="3252"/>
      <c r="AI60" s="3252"/>
      <c r="AJ60" s="3252"/>
      <c r="AK60" s="3252"/>
      <c r="AL60" s="3252"/>
      <c r="AM60" s="3252"/>
      <c r="AS60" s="1558">
        <v>62</v>
      </c>
    </row>
    <row r="61" spans="1:45" ht="14.65" customHeight="1">
      <c r="O61" s="1562"/>
      <c r="AS61" s="1558">
        <v>14</v>
      </c>
    </row>
    <row r="62" spans="1:45" ht="18.75" customHeight="1">
      <c r="O62" s="1562"/>
      <c r="S62" s="1180"/>
      <c r="T62" s="3252"/>
      <c r="U62" s="3252"/>
      <c r="V62" s="3252"/>
      <c r="W62" s="3252"/>
      <c r="X62" s="3252"/>
      <c r="Y62" s="3252"/>
      <c r="Z62" s="3252"/>
      <c r="AA62" s="3252"/>
      <c r="AB62" s="3252"/>
      <c r="AC62" s="3252"/>
      <c r="AD62" s="3252"/>
      <c r="AE62" s="3252"/>
      <c r="AF62" s="3252"/>
      <c r="AG62" s="3252"/>
      <c r="AH62" s="3252"/>
      <c r="AI62" s="3252"/>
      <c r="AJ62" s="3252"/>
      <c r="AK62" s="3252"/>
      <c r="AL62" s="3252"/>
      <c r="AM62" s="3252"/>
      <c r="AS62" s="1558">
        <v>18</v>
      </c>
    </row>
    <row r="63" spans="1:45" ht="18.75" customHeight="1">
      <c r="O63" s="1562"/>
      <c r="T63" s="3252"/>
      <c r="U63" s="3252"/>
      <c r="V63" s="3252"/>
      <c r="W63" s="3252"/>
      <c r="X63" s="3252"/>
      <c r="Y63" s="3252"/>
      <c r="Z63" s="3252"/>
      <c r="AA63" s="3252"/>
      <c r="AB63" s="3252"/>
      <c r="AC63" s="3252"/>
      <c r="AD63" s="3252"/>
      <c r="AE63" s="3252"/>
      <c r="AF63" s="3252"/>
      <c r="AG63" s="3252"/>
      <c r="AH63" s="3252"/>
      <c r="AI63" s="3252"/>
      <c r="AJ63" s="3252"/>
      <c r="AK63" s="3252"/>
      <c r="AL63" s="3252"/>
      <c r="AM63" s="3252"/>
      <c r="AS63" s="1558">
        <v>18</v>
      </c>
    </row>
    <row r="64" spans="1:45" ht="29.25" customHeight="1">
      <c r="O64" s="1562"/>
      <c r="S64" s="1180"/>
      <c r="T64" s="3252"/>
      <c r="U64" s="3252"/>
      <c r="V64" s="3252"/>
      <c r="W64" s="3252"/>
      <c r="X64" s="3252"/>
      <c r="Y64" s="3252"/>
      <c r="Z64" s="3252"/>
      <c r="AA64" s="3252"/>
      <c r="AB64" s="3252"/>
      <c r="AC64" s="3252"/>
      <c r="AD64" s="3252"/>
      <c r="AE64" s="3252"/>
      <c r="AF64" s="3252"/>
      <c r="AG64" s="3252"/>
      <c r="AH64" s="3252"/>
      <c r="AI64" s="3252"/>
      <c r="AJ64" s="3252"/>
      <c r="AK64" s="3252"/>
      <c r="AL64" s="3252"/>
      <c r="AM64" s="3252"/>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2E011-1334-F591-52F1-AAB1C4CA14A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2" customWidth="1"/>
    <col min="19" max="19" width="12" style="201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3309">
        <v>1</v>
      </c>
      <c r="F2" s="1194"/>
      <c r="G2" s="1194"/>
      <c r="H2" s="1194"/>
      <c r="I2" s="1194"/>
      <c r="J2" s="1194"/>
      <c r="K2" s="1194"/>
      <c r="L2" s="1237"/>
      <c r="M2" s="1537"/>
      <c r="N2" s="1537"/>
      <c r="O2" s="1537"/>
      <c r="P2" s="1517"/>
      <c r="Q2" s="297"/>
      <c r="R2" s="292"/>
      <c r="S2" s="1880" t="e">
        <f>INDEX(PT_DIFFERENTIATION_NUM_NTAR,MATCH(A2,PT_DIFFERENTIATION_NTAR_ID,0))</f>
        <v>#N/A</v>
      </c>
      <c r="T2" s="1452"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8"/>
      <c r="AM2" s="1185" t="s">
        <v>404</v>
      </c>
      <c r="AO2" s="1551"/>
      <c r="AP2" s="1551" t="str">
        <f t="shared" ref="AP2:AP15" si="0">IF(T2="","",T2)</f>
        <v>Наименование тарифа</v>
      </c>
      <c r="AQ2" s="1551"/>
      <c r="AR2" s="1551"/>
      <c r="AS2" s="1558">
        <v>0</v>
      </c>
    </row>
    <row r="3" spans="1:45" ht="21" hidden="1" customHeight="1">
      <c r="A3" s="1194"/>
      <c r="B3" s="1194"/>
      <c r="C3" s="1194"/>
      <c r="D3" s="1194"/>
      <c r="E3" s="3310"/>
      <c r="F3" s="3309">
        <v>1</v>
      </c>
      <c r="G3" s="1194"/>
      <c r="H3" s="1194"/>
      <c r="I3" s="1194"/>
      <c r="J3" s="1194"/>
      <c r="K3" s="1194"/>
      <c r="L3" s="1237"/>
      <c r="M3" s="1537"/>
      <c r="N3" s="1537"/>
      <c r="O3" s="1537"/>
      <c r="P3" s="1862"/>
      <c r="Q3" s="289"/>
      <c r="R3" s="290"/>
      <c r="S3" s="1880" t="e">
        <f>INDEX(PT_DIFFERENTIATION_NUM_TER,MATCH(B3,PT_DIFFERENTIATION_TER_ID,0))</f>
        <v>#N/A</v>
      </c>
      <c r="T3" s="1449"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8"/>
      <c r="AM3" s="1185" t="s">
        <v>406</v>
      </c>
      <c r="AO3" s="1551"/>
      <c r="AP3" s="1551" t="str">
        <f t="shared" si="0"/>
        <v>Территория действия тарифа</v>
      </c>
      <c r="AQ3" s="1551"/>
      <c r="AR3" s="1551"/>
      <c r="AS3" s="1558">
        <v>0</v>
      </c>
    </row>
    <row r="4" spans="1:45" ht="23.25" hidden="1" customHeight="1">
      <c r="A4" s="1194"/>
      <c r="B4" s="1194"/>
      <c r="C4" s="1194"/>
      <c r="D4" s="1194"/>
      <c r="E4" s="3310"/>
      <c r="F4" s="3310"/>
      <c r="G4" s="3309">
        <v>1</v>
      </c>
      <c r="H4" s="1194"/>
      <c r="I4" s="1194"/>
      <c r="J4" s="1194"/>
      <c r="K4" s="1194"/>
      <c r="L4" s="1237"/>
      <c r="M4" s="1537"/>
      <c r="N4" s="1537"/>
      <c r="O4" s="1537"/>
      <c r="P4" s="291"/>
      <c r="Q4" s="289"/>
      <c r="R4" s="290"/>
      <c r="S4" s="1880" t="e">
        <f>INDEX(PT_DIFFERENTIATION_NUM_CS,MATCH(C4,PT_DIFFERENTIATION_CS_ID,0))</f>
        <v>#N/A</v>
      </c>
      <c r="T4" s="247" t="s">
        <v>407</v>
      </c>
      <c r="U4" s="238"/>
      <c r="V4" s="3246"/>
      <c r="W4" s="3247"/>
      <c r="X4" s="3247"/>
      <c r="Y4" s="3247"/>
      <c r="Z4" s="3247"/>
      <c r="AA4" s="3247"/>
      <c r="AB4" s="3247"/>
      <c r="AC4" s="3248"/>
      <c r="AD4" s="3246" t="e">
        <f>INDEX(PT_DIFFERENTIATION_CS,MATCH(C4,PT_DIFFERENTIATION_CS_ID,0))</f>
        <v>#N/A</v>
      </c>
      <c r="AE4" s="3247"/>
      <c r="AF4" s="3247"/>
      <c r="AG4" s="3247"/>
      <c r="AH4" s="3247"/>
      <c r="AI4" s="3247"/>
      <c r="AJ4" s="3247"/>
      <c r="AK4" s="3247"/>
      <c r="AL4" s="3248"/>
      <c r="AM4" s="1185" t="s">
        <v>408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310"/>
      <c r="F5" s="3310"/>
      <c r="G5" s="3310"/>
      <c r="H5" s="3309">
        <v>1</v>
      </c>
      <c r="I5" s="1194"/>
      <c r="J5" s="1194"/>
      <c r="K5" s="1194"/>
      <c r="L5" s="1237"/>
      <c r="M5" s="1537"/>
      <c r="N5" s="1537"/>
      <c r="O5" s="1537"/>
      <c r="P5" s="291"/>
      <c r="Q5" s="289"/>
      <c r="R5" s="290"/>
      <c r="S5" s="1880" t="e">
        <f>INDEX(PT_DIFFERENTIATION_NUM_IST_TE,MATCH(D5,PT_DIFFERENTIATION_IST_TE_ID,0))</f>
        <v>#N/A</v>
      </c>
      <c r="T5" s="248" t="s">
        <v>409</v>
      </c>
      <c r="U5" s="238"/>
      <c r="V5" s="3246"/>
      <c r="W5" s="3247"/>
      <c r="X5" s="3247"/>
      <c r="Y5" s="3247"/>
      <c r="Z5" s="3247"/>
      <c r="AA5" s="3247"/>
      <c r="AB5" s="3247"/>
      <c r="AC5" s="3248"/>
      <c r="AD5" s="3246" t="e">
        <f>INDEX(PT_DIFFERENTIATION_IST_TE,MATCH(D5,PT_DIFFERENTIATION_IST_TE_ID,0))</f>
        <v>#N/A</v>
      </c>
      <c r="AE5" s="3247"/>
      <c r="AF5" s="3247"/>
      <c r="AG5" s="3247"/>
      <c r="AH5" s="3247"/>
      <c r="AI5" s="3247"/>
      <c r="AJ5" s="3247"/>
      <c r="AK5" s="3247"/>
      <c r="AL5" s="3248"/>
      <c r="AM5" s="1185" t="s">
        <v>410</v>
      </c>
      <c r="AO5" s="1551"/>
      <c r="AP5" s="1551" t="str">
        <f t="shared" si="0"/>
        <v xml:space="preserve">Источник тепловой энергии  </v>
      </c>
      <c r="AQ5" s="1551"/>
      <c r="AR5" s="1551"/>
      <c r="AS5" s="1558">
        <v>0</v>
      </c>
    </row>
    <row r="6" spans="1:45" ht="47.25" hidden="1" customHeight="1">
      <c r="A6" s="1194"/>
      <c r="B6" s="1194"/>
      <c r="C6" s="1194"/>
      <c r="D6" s="1194"/>
      <c r="E6" s="3310"/>
      <c r="F6" s="3310"/>
      <c r="G6" s="3310"/>
      <c r="H6" s="3310"/>
      <c r="I6" s="3111" t="e">
        <f>S5&amp;".1"</f>
        <v>#N/A</v>
      </c>
      <c r="J6" s="1194"/>
      <c r="K6" s="1194"/>
      <c r="L6" s="1237" t="s">
        <v>411</v>
      </c>
      <c r="M6" s="1562"/>
      <c r="P6" s="3258">
        <v>1</v>
      </c>
      <c r="Q6" s="1876"/>
      <c r="R6" s="293"/>
      <c r="S6" s="1880" t="e">
        <f>$I6</f>
        <v>#N/A</v>
      </c>
      <c r="T6" s="223" t="s">
        <v>412</v>
      </c>
      <c r="U6" s="238"/>
      <c r="V6" s="3239"/>
      <c r="W6" s="3240"/>
      <c r="X6" s="3240"/>
      <c r="Y6" s="3240"/>
      <c r="Z6" s="3240"/>
      <c r="AA6" s="3240"/>
      <c r="AB6" s="3240"/>
      <c r="AC6" s="3241"/>
      <c r="AD6" s="3239"/>
      <c r="AE6" s="3240"/>
      <c r="AF6" s="3240"/>
      <c r="AG6" s="3240"/>
      <c r="AH6" s="3240"/>
      <c r="AI6" s="3240"/>
      <c r="AJ6" s="3240"/>
      <c r="AK6" s="3240"/>
      <c r="AL6" s="3241"/>
      <c r="AM6" s="1185" t="s">
        <v>413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310"/>
      <c r="F7" s="3310"/>
      <c r="G7" s="3310"/>
      <c r="H7" s="3310"/>
      <c r="I7" s="3093"/>
      <c r="J7" s="3111" t="e">
        <f>I6&amp;".1"</f>
        <v>#N/A</v>
      </c>
      <c r="K7" s="1194"/>
      <c r="L7" s="1237" t="s">
        <v>414</v>
      </c>
      <c r="M7" s="1562"/>
      <c r="N7" s="1558"/>
      <c r="P7" s="3258"/>
      <c r="Q7" s="3258">
        <v>1</v>
      </c>
      <c r="R7" s="294"/>
      <c r="S7" s="1880" t="e">
        <f>$J7</f>
        <v>#N/A</v>
      </c>
      <c r="T7" s="224" t="s">
        <v>415</v>
      </c>
      <c r="U7" s="238"/>
      <c r="V7" s="3239"/>
      <c r="W7" s="3240"/>
      <c r="X7" s="3240"/>
      <c r="Y7" s="3240"/>
      <c r="Z7" s="3240"/>
      <c r="AA7" s="3240"/>
      <c r="AB7" s="3240"/>
      <c r="AC7" s="3241"/>
      <c r="AD7" s="3239"/>
      <c r="AE7" s="3240"/>
      <c r="AF7" s="3240"/>
      <c r="AG7" s="3240"/>
      <c r="AH7" s="3240"/>
      <c r="AI7" s="3240"/>
      <c r="AJ7" s="3240"/>
      <c r="AK7" s="3240"/>
      <c r="AL7" s="3241"/>
      <c r="AM7" s="1185" t="s">
        <v>416</v>
      </c>
      <c r="AO7" s="1551"/>
      <c r="AP7" s="1551" t="str">
        <f t="shared" si="0"/>
        <v>Группа потребителей</v>
      </c>
      <c r="AQ7" s="1551"/>
      <c r="AR7" s="1551"/>
      <c r="AS7" s="1558">
        <v>0</v>
      </c>
    </row>
    <row r="8" spans="1:45" ht="21" hidden="1" customHeight="1">
      <c r="A8" s="1194"/>
      <c r="B8" s="1194"/>
      <c r="C8" s="1194"/>
      <c r="D8" s="1194"/>
      <c r="E8" s="3310"/>
      <c r="F8" s="3310"/>
      <c r="G8" s="3310"/>
      <c r="H8" s="3310"/>
      <c r="I8" s="3093"/>
      <c r="J8" s="3093"/>
      <c r="K8" s="3111" t="e">
        <f>J7&amp;".1"</f>
        <v>#N/A</v>
      </c>
      <c r="L8" s="1237" t="s">
        <v>417</v>
      </c>
      <c r="M8" s="1562"/>
      <c r="N8" s="1558"/>
      <c r="O8" s="1558"/>
      <c r="P8" s="3258"/>
      <c r="Q8" s="3258"/>
      <c r="R8" s="294">
        <v>1</v>
      </c>
      <c r="S8" s="1880" t="e">
        <f>$K8</f>
        <v>#N/A</v>
      </c>
      <c r="T8" s="1274"/>
      <c r="U8" s="238"/>
      <c r="V8" s="688"/>
      <c r="W8" s="263"/>
      <c r="X8" s="688"/>
      <c r="Y8" s="1184"/>
      <c r="Z8" s="3259"/>
      <c r="AA8" s="3121" t="s">
        <v>67</v>
      </c>
      <c r="AB8" s="3259"/>
      <c r="AC8" s="3121" t="s">
        <v>67</v>
      </c>
      <c r="AD8" s="688"/>
      <c r="AE8" s="263"/>
      <c r="AF8" s="688"/>
      <c r="AG8" s="1184"/>
      <c r="AH8" s="3259"/>
      <c r="AI8" s="3121" t="s">
        <v>67</v>
      </c>
      <c r="AJ8" s="3259"/>
      <c r="AK8" s="3121" t="s">
        <v>67</v>
      </c>
      <c r="AL8" s="263"/>
      <c r="AM8" s="3278" t="s">
        <v>418</v>
      </c>
      <c r="AN8" s="1563" t="e">
        <f ca="1">STRCHECKDATE(V9:AL9)</f>
        <v>#NAME?</v>
      </c>
      <c r="AO8" s="1551"/>
      <c r="AP8" s="1551" t="str">
        <f t="shared" si="0"/>
        <v/>
      </c>
      <c r="AQ8" s="1551"/>
      <c r="AR8" s="1551"/>
      <c r="AS8" s="1558">
        <v>0</v>
      </c>
    </row>
    <row r="9" spans="1:45" ht="0.75" hidden="1" customHeight="1">
      <c r="A9" s="1194"/>
      <c r="B9" s="1194"/>
      <c r="C9" s="1194"/>
      <c r="D9" s="1194"/>
      <c r="E9" s="3310"/>
      <c r="F9" s="3310"/>
      <c r="G9" s="3310"/>
      <c r="H9" s="3310"/>
      <c r="I9" s="3093"/>
      <c r="J9" s="3093"/>
      <c r="K9" s="3111"/>
      <c r="L9" s="1237"/>
      <c r="M9" s="1562"/>
      <c r="N9" s="1558"/>
      <c r="O9" s="1558"/>
      <c r="P9" s="3258"/>
      <c r="Q9" s="3258"/>
      <c r="R9" s="294"/>
      <c r="S9" s="1889"/>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3279"/>
      <c r="AO9" s="1551"/>
      <c r="AP9" s="1551" t="str">
        <f t="shared" si="0"/>
        <v/>
      </c>
      <c r="AQ9" s="1551"/>
      <c r="AR9" s="1551"/>
      <c r="AS9" s="1558">
        <v>0</v>
      </c>
    </row>
    <row r="10" spans="1:45" ht="15" hidden="1" customHeight="1">
      <c r="A10" s="1194"/>
      <c r="B10" s="1194"/>
      <c r="C10" s="1194"/>
      <c r="D10" s="1194"/>
      <c r="E10" s="3310"/>
      <c r="F10" s="3310"/>
      <c r="G10" s="3310"/>
      <c r="H10" s="3310"/>
      <c r="I10" s="3093"/>
      <c r="J10" s="3111"/>
      <c r="K10" s="1194"/>
      <c r="L10" s="1237"/>
      <c r="M10" s="1562"/>
      <c r="N10" s="1558"/>
      <c r="P10" s="3258"/>
      <c r="Q10" s="3258"/>
      <c r="R10" s="293"/>
      <c r="S10" s="1205"/>
      <c r="T10" s="226" t="s">
        <v>419</v>
      </c>
      <c r="U10" s="537"/>
      <c r="V10" s="537"/>
      <c r="W10" s="537"/>
      <c r="X10" s="537"/>
      <c r="Y10" s="537"/>
      <c r="Z10" s="537"/>
      <c r="AA10" s="537"/>
      <c r="AB10" s="537"/>
      <c r="AC10" s="537"/>
      <c r="AD10" s="537"/>
      <c r="AE10" s="537"/>
      <c r="AF10" s="537"/>
      <c r="AG10" s="537"/>
      <c r="AH10" s="537"/>
      <c r="AI10" s="537"/>
      <c r="AJ10" s="537"/>
      <c r="AK10" s="537"/>
      <c r="AL10" s="262"/>
      <c r="AM10" s="328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310"/>
      <c r="F11" s="3310"/>
      <c r="G11" s="3310"/>
      <c r="H11" s="3310"/>
      <c r="I11" s="3111"/>
      <c r="J11" s="1194"/>
      <c r="K11" s="1194"/>
      <c r="L11" s="1237"/>
      <c r="M11" s="1562"/>
      <c r="P11" s="3258"/>
      <c r="Q11" s="1876"/>
      <c r="R11" s="293"/>
      <c r="S11" s="1205"/>
      <c r="T11" s="225" t="s">
        <v>420</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3310"/>
      <c r="F12" s="3310"/>
      <c r="G12" s="3310"/>
      <c r="H12" s="3309"/>
      <c r="I12" s="1194"/>
      <c r="J12" s="1194"/>
      <c r="K12" s="1194"/>
      <c r="L12" s="1237"/>
      <c r="M12" s="1537"/>
      <c r="N12" s="1537"/>
      <c r="O12" s="1562"/>
      <c r="P12" s="297"/>
      <c r="Q12" s="312"/>
      <c r="R12" s="292"/>
      <c r="S12" s="1205"/>
      <c r="T12" s="302" t="s">
        <v>421</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3310"/>
      <c r="F13" s="3310"/>
      <c r="G13" s="3309"/>
      <c r="H13" s="1896"/>
      <c r="I13" s="1896"/>
      <c r="J13" s="1896"/>
      <c r="K13" s="1896"/>
      <c r="L13" s="1307"/>
      <c r="M13" s="1537"/>
      <c r="N13" s="1537"/>
      <c r="O13" s="1562"/>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3310"/>
      <c r="F14" s="3309"/>
      <c r="G14" s="1896"/>
      <c r="H14" s="1896"/>
      <c r="I14" s="1896"/>
      <c r="J14" s="1896"/>
      <c r="K14" s="1896"/>
      <c r="L14" s="1307"/>
      <c r="M14" s="1897"/>
      <c r="N14" s="1897"/>
      <c r="O14" s="1562"/>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3309"/>
      <c r="F15" s="1896"/>
      <c r="G15" s="1896"/>
      <c r="H15" s="1896"/>
      <c r="I15" s="1896"/>
      <c r="J15" s="1896"/>
      <c r="K15" s="1896"/>
      <c r="L15" s="1307"/>
      <c r="M15" s="1897"/>
      <c r="N15" s="1897"/>
      <c r="O15" s="1562"/>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251"/>
      <c r="AI17" s="3250" t="s">
        <v>67</v>
      </c>
      <c r="AJ17" s="3251"/>
      <c r="AK17" s="3250" t="s">
        <v>67</v>
      </c>
      <c r="AS17" s="1558">
        <v>0</v>
      </c>
    </row>
    <row r="18" spans="1:45" ht="14.25" hidden="1" customHeight="1">
      <c r="AD18" s="1287"/>
      <c r="AE18" s="1287"/>
      <c r="AF18" s="1287"/>
      <c r="AG18" s="266" t="str">
        <f>AH17&amp;"-"&amp;AJ17</f>
        <v>-</v>
      </c>
      <c r="AH18" s="3250"/>
      <c r="AI18" s="3250"/>
      <c r="AJ18" s="3250"/>
      <c r="AK18" s="325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423</v>
      </c>
      <c r="P22" s="1289"/>
      <c r="Q22" s="1298"/>
      <c r="R22" s="1298"/>
      <c r="S22" s="666"/>
      <c r="T22" s="1293" t="s">
        <v>424</v>
      </c>
      <c r="AA22" s="532" t="s">
        <v>425</v>
      </c>
      <c r="AC22" s="532" t="s">
        <v>426</v>
      </c>
      <c r="AD22" s="1293" t="s">
        <v>424</v>
      </c>
      <c r="AI22" s="532" t="s">
        <v>427</v>
      </c>
      <c r="AK22" s="532" t="s">
        <v>426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3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2"/>
      <c r="U26" s="3232"/>
      <c r="V26" s="3232"/>
      <c r="W26" s="3232"/>
      <c r="X26" s="3232"/>
      <c r="Y26" s="3232"/>
      <c r="Z26" s="3232"/>
      <c r="AA26" s="3232"/>
      <c r="AB26" s="3232"/>
      <c r="AC26" s="3232"/>
      <c r="AD26" s="3232"/>
      <c r="AE26" s="3232"/>
      <c r="AF26" s="3232"/>
      <c r="AG26" s="3232"/>
      <c r="AH26" s="3232"/>
      <c r="AI26" s="3232"/>
      <c r="AJ26" s="3232"/>
      <c r="AK26" s="1170"/>
      <c r="AS26" s="1558">
        <v>14</v>
      </c>
    </row>
    <row r="27" spans="1:45"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243" t="s">
        <v>42</v>
      </c>
      <c r="T29" s="3243"/>
      <c r="U29" s="1299"/>
      <c r="V29" s="3245" t="str">
        <f>IF(TITLE_NAME_OR_PR_CHANGE="",IF(TITLE_NAME_OR_PR="","",TITLE_NAME_OR_PR),TITLE_NAME_OR_PR_CHANGE)</f>
        <v/>
      </c>
      <c r="W29" s="3245"/>
      <c r="X29" s="3245"/>
      <c r="Y29" s="3245"/>
      <c r="Z29" s="3245"/>
      <c r="AA29" s="3245"/>
      <c r="AB29" s="3245"/>
      <c r="AC29" s="1562"/>
      <c r="AD29" s="3245" t="str">
        <f>IF(TITLE_NAME_OR_PR_CHANGE="",IF(TITLE_NAME_OR_PR="","",TITLE_NAME_OR_PR),TITLE_NAME_OR_PR_CHANGE)</f>
        <v/>
      </c>
      <c r="AE29" s="3245"/>
      <c r="AF29" s="3245"/>
      <c r="AG29" s="3245"/>
      <c r="AH29" s="3245"/>
      <c r="AI29" s="3245"/>
      <c r="AJ29" s="3245"/>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243" t="s">
        <v>428</v>
      </c>
      <c r="T30" s="3243"/>
      <c r="U30" s="1299"/>
      <c r="V30" s="3244">
        <f>IF(TITLE_DATE_PR_CHANGE="",IF(TITLE_DATE_PR="","",TITLE_DATE_PR),TITLE_DATE_PR_CHANGE)</f>
        <v>45595.546053240738</v>
      </c>
      <c r="W30" s="3244"/>
      <c r="X30" s="3244"/>
      <c r="Y30" s="3244"/>
      <c r="Z30" s="3244"/>
      <c r="AA30" s="3244"/>
      <c r="AB30" s="3244"/>
      <c r="AC30" s="1562"/>
      <c r="AD30" s="3244">
        <f>IF(TITLE_DATE_PR_CHANGE="",IF(TITLE_DATE_PR="","",TITLE_DATE_PR),TITLE_DATE_PR_CHANGE)</f>
        <v>45595.546053240738</v>
      </c>
      <c r="AE30" s="3244"/>
      <c r="AF30" s="3244"/>
      <c r="AG30" s="3244"/>
      <c r="AH30" s="3244"/>
      <c r="AI30" s="3244"/>
      <c r="AJ30" s="3244"/>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243" t="s">
        <v>429</v>
      </c>
      <c r="T31" s="3243"/>
      <c r="U31" s="1299"/>
      <c r="V31" s="3245" t="str">
        <f>IF(TITLE_NUMBER_PR_CHANGE="",IF(TITLE_NUMBER_PR="","",TITLE_NUMBER_PR),TITLE_NUMBER_PR_CHANGE)</f>
        <v>03/3636</v>
      </c>
      <c r="W31" s="3245"/>
      <c r="X31" s="3245"/>
      <c r="Y31" s="3245"/>
      <c r="Z31" s="3245"/>
      <c r="AA31" s="3245"/>
      <c r="AB31" s="3245"/>
      <c r="AC31" s="1562"/>
      <c r="AD31" s="3245" t="str">
        <f>IF(TITLE_NUMBER_PR_CHANGE="",IF(TITLE_NUMBER_PR="","",TITLE_NUMBER_PR),TITLE_NUMBER_PR_CHANGE)</f>
        <v>03/3636</v>
      </c>
      <c r="AE31" s="3245"/>
      <c r="AF31" s="3245"/>
      <c r="AG31" s="3245"/>
      <c r="AH31" s="3245"/>
      <c r="AI31" s="3245"/>
      <c r="AJ31" s="3245"/>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243" t="s">
        <v>43</v>
      </c>
      <c r="T32" s="3243"/>
      <c r="U32" s="1299"/>
      <c r="V32" s="3245" t="str">
        <f>IF(TITLE_IST_PUB_CHANGE="",IF(TITLE_IST_PUB="","",TITLE_IST_PUB),TITLE_IST_PUB_CHANGE)</f>
        <v/>
      </c>
      <c r="W32" s="3245"/>
      <c r="X32" s="3245"/>
      <c r="Y32" s="3245"/>
      <c r="Z32" s="3245"/>
      <c r="AA32" s="3245"/>
      <c r="AB32" s="3245"/>
      <c r="AC32" s="1562"/>
      <c r="AD32" s="3245" t="str">
        <f>IF(TITLE_IST_PUB_CHANGE="",IF(TITLE_IST_PUB="","",TITLE_IST_PUB),TITLE_IST_PUB_CHANGE)</f>
        <v/>
      </c>
      <c r="AE32" s="3245"/>
      <c r="AF32" s="3245"/>
      <c r="AG32" s="3245"/>
      <c r="AH32" s="3245"/>
      <c r="AI32" s="3245"/>
      <c r="AJ32" s="3245"/>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243" t="s">
        <v>430</v>
      </c>
      <c r="T34" s="3243"/>
      <c r="U34" s="1299"/>
      <c r="V34" s="3244">
        <f>IF(TITLE_DATE_PR_CHANGE="",IF(TITLE_DATE_PR="","",TITLE_DATE_PR),TITLE_DATE_PR_CHANGE)</f>
        <v>45595.546053240738</v>
      </c>
      <c r="W34" s="3244"/>
      <c r="X34" s="3244"/>
      <c r="Y34" s="3244"/>
      <c r="Z34" s="3244"/>
      <c r="AA34" s="3244"/>
      <c r="AB34" s="3244"/>
      <c r="AC34" s="1562"/>
      <c r="AD34" s="3244">
        <f>IF(TITLE_DATE_PR_CHANGE="",IF(TITLE_DATE_PR="","",TITLE_DATE_PR),TITLE_DATE_PR_CHANGE)</f>
        <v>45595.546053240738</v>
      </c>
      <c r="AE34" s="3244"/>
      <c r="AF34" s="3244"/>
      <c r="AG34" s="3244"/>
      <c r="AH34" s="3244"/>
      <c r="AI34" s="3244"/>
      <c r="AJ34" s="3244"/>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243" t="s">
        <v>431</v>
      </c>
      <c r="T35" s="3243"/>
      <c r="U35" s="1299"/>
      <c r="V35" s="3245" t="str">
        <f>IF(TITLE_NUMBER_PR_CHANGE="",IF(TITLE_NUMBER_PR="","",TITLE_NUMBER_PR),TITLE_NUMBER_PR_CHANGE)</f>
        <v>03/3636</v>
      </c>
      <c r="W35" s="3245"/>
      <c r="X35" s="3245"/>
      <c r="Y35" s="3245"/>
      <c r="Z35" s="3245"/>
      <c r="AA35" s="3245"/>
      <c r="AB35" s="3245"/>
      <c r="AC35" s="1562"/>
      <c r="AD35" s="3245" t="str">
        <f>IF(TITLE_NUMBER_PR_CHANGE="",IF(TITLE_NUMBER_PR="","",TITLE_NUMBER_PR),TITLE_NUMBER_PR_CHANGE)</f>
        <v>03/3636</v>
      </c>
      <c r="AE35" s="3245"/>
      <c r="AF35" s="3245"/>
      <c r="AG35" s="3245"/>
      <c r="AH35" s="3245"/>
      <c r="AI35" s="3245"/>
      <c r="AJ35" s="3245"/>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432</v>
      </c>
      <c r="AD36" s="1562"/>
      <c r="AE36" s="1562"/>
      <c r="AF36" s="1562"/>
      <c r="AG36" s="1562"/>
      <c r="AH36" s="1562"/>
      <c r="AI36" s="1562"/>
      <c r="AJ36" s="1562"/>
      <c r="AK36" s="1569" t="s">
        <v>432</v>
      </c>
      <c r="AN36" s="305"/>
      <c r="AO36" s="305"/>
      <c r="AP36" s="305"/>
      <c r="AQ36" s="305"/>
      <c r="AR36" s="305"/>
      <c r="AS36" s="355">
        <v>0</v>
      </c>
    </row>
    <row r="37" spans="1:45" ht="14.65" customHeight="1">
      <c r="Q37" s="313"/>
      <c r="R37" s="313"/>
      <c r="S37" s="1202"/>
      <c r="T37" s="394"/>
      <c r="U37" s="1171"/>
      <c r="V37" s="3266"/>
      <c r="W37" s="3266"/>
      <c r="X37" s="3266"/>
      <c r="Y37" s="3266"/>
      <c r="Z37" s="3266"/>
      <c r="AA37" s="3266"/>
      <c r="AB37" s="3266"/>
      <c r="AC37" s="3266"/>
      <c r="AD37" s="3266"/>
      <c r="AE37" s="3266"/>
      <c r="AF37" s="3266"/>
      <c r="AG37" s="3266"/>
      <c r="AH37" s="3266"/>
      <c r="AI37" s="3266"/>
      <c r="AJ37" s="3266"/>
      <c r="AK37" s="3266"/>
      <c r="AS37" s="1558">
        <v>14</v>
      </c>
    </row>
    <row r="38" spans="1:45" ht="14.6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c r="AM38" s="3111" t="s">
        <v>309</v>
      </c>
      <c r="AS38" s="1558">
        <v>14</v>
      </c>
    </row>
    <row r="39" spans="1:45" ht="14.65" customHeight="1">
      <c r="Q39" s="313"/>
      <c r="R39" s="313"/>
      <c r="S39" s="3268" t="s">
        <v>85</v>
      </c>
      <c r="T39" s="3212" t="s">
        <v>433</v>
      </c>
      <c r="U39" s="275"/>
      <c r="V39" s="3269" t="s">
        <v>434</v>
      </c>
      <c r="W39" s="3270"/>
      <c r="X39" s="3270"/>
      <c r="Y39" s="3270"/>
      <c r="Z39" s="3270"/>
      <c r="AA39" s="3270"/>
      <c r="AB39" s="3271"/>
      <c r="AC39" s="3272" t="s">
        <v>435</v>
      </c>
      <c r="AD39" s="3269" t="s">
        <v>434</v>
      </c>
      <c r="AE39" s="3270"/>
      <c r="AF39" s="3270"/>
      <c r="AG39" s="3270"/>
      <c r="AH39" s="3270"/>
      <c r="AI39" s="3270"/>
      <c r="AJ39" s="3271"/>
      <c r="AK39" s="3272" t="s">
        <v>436</v>
      </c>
      <c r="AL39" s="3275" t="s">
        <v>437</v>
      </c>
      <c r="AM39" s="3111"/>
      <c r="AS39" s="1558">
        <v>14</v>
      </c>
    </row>
    <row r="40" spans="1:45" ht="35.65" customHeight="1">
      <c r="Q40" s="313"/>
      <c r="R40" s="313"/>
      <c r="S40" s="3268"/>
      <c r="T40" s="3212"/>
      <c r="U40" s="961"/>
      <c r="V40" s="3184" t="s">
        <v>438</v>
      </c>
      <c r="W40" s="3263" t="s">
        <v>439</v>
      </c>
      <c r="X40" s="3093" t="s">
        <v>440</v>
      </c>
      <c r="Y40" s="3092"/>
      <c r="Z40" s="3093" t="s">
        <v>456</v>
      </c>
      <c r="AA40" s="3098"/>
      <c r="AB40" s="3092"/>
      <c r="AC40" s="3273"/>
      <c r="AD40" s="3184" t="s">
        <v>438</v>
      </c>
      <c r="AE40" s="3263" t="s">
        <v>439</v>
      </c>
      <c r="AF40" s="3093" t="s">
        <v>440</v>
      </c>
      <c r="AG40" s="3092"/>
      <c r="AH40" s="3093" t="s">
        <v>441</v>
      </c>
      <c r="AI40" s="3098"/>
      <c r="AJ40" s="3092"/>
      <c r="AK40" s="3273"/>
      <c r="AL40" s="3276"/>
      <c r="AM40" s="3111"/>
      <c r="AS40" s="1558">
        <v>34</v>
      </c>
    </row>
    <row r="41" spans="1:45" ht="35.65" customHeight="1">
      <c r="A41" s="1193"/>
      <c r="B41" s="1193" t="s">
        <v>133</v>
      </c>
      <c r="C41" s="1193" t="s">
        <v>134</v>
      </c>
      <c r="D41" s="1193" t="s">
        <v>135</v>
      </c>
      <c r="E41" s="1237" t="s">
        <v>442</v>
      </c>
      <c r="F41" s="1237" t="s">
        <v>443</v>
      </c>
      <c r="G41" s="1237" t="s">
        <v>444</v>
      </c>
      <c r="H41" s="1237" t="s">
        <v>445</v>
      </c>
      <c r="I41" s="1237" t="s">
        <v>446</v>
      </c>
      <c r="J41" s="1237" t="s">
        <v>447</v>
      </c>
      <c r="K41" s="1237" t="s">
        <v>448</v>
      </c>
      <c r="L41" s="1237" t="s">
        <v>423</v>
      </c>
      <c r="Q41" s="313"/>
      <c r="R41" s="313"/>
      <c r="S41" s="3268"/>
      <c r="T41" s="3212"/>
      <c r="U41" s="240"/>
      <c r="V41" s="3237"/>
      <c r="W41" s="3264"/>
      <c r="X41" s="1860" t="s">
        <v>449</v>
      </c>
      <c r="Y41" s="1860" t="s">
        <v>450</v>
      </c>
      <c r="Z41" s="1860" t="s">
        <v>451</v>
      </c>
      <c r="AA41" s="3217" t="s">
        <v>452</v>
      </c>
      <c r="AB41" s="3231"/>
      <c r="AC41" s="3274"/>
      <c r="AD41" s="3237"/>
      <c r="AE41" s="3264"/>
      <c r="AF41" s="1860" t="s">
        <v>449</v>
      </c>
      <c r="AG41" s="1860" t="s">
        <v>450</v>
      </c>
      <c r="AH41" s="1860" t="s">
        <v>451</v>
      </c>
      <c r="AI41" s="3217" t="s">
        <v>452</v>
      </c>
      <c r="AJ41" s="3231"/>
      <c r="AK41" s="3274"/>
      <c r="AL41" s="3277"/>
      <c r="AM41" s="311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107</v>
      </c>
      <c r="T42" s="1182" t="s">
        <v>108</v>
      </c>
      <c r="U42" s="1172" t="str">
        <f ca="1">OFFSET(U42,0,-1)</f>
        <v>2</v>
      </c>
      <c r="V42" s="1878">
        <f ca="1">OFFSET(V42,0,-1)+1</f>
        <v>3</v>
      </c>
      <c r="W42" s="1878"/>
      <c r="X42" s="1878">
        <f ca="1">OFFSET(X42,0,-1)+1</f>
        <v>1</v>
      </c>
      <c r="Y42" s="1878">
        <f ca="1">OFFSET(Y42,0,-1)+1</f>
        <v>2</v>
      </c>
      <c r="Z42" s="1878">
        <f ca="1">OFFSET(Z42,0,-1)+1</f>
        <v>3</v>
      </c>
      <c r="AA42" s="3265">
        <f ca="1">OFFSET(AA42,0,-1)+1</f>
        <v>4</v>
      </c>
      <c r="AB42" s="3265"/>
      <c r="AC42" s="1878">
        <f ca="1">OFFSET(AC42,0,-2)+1</f>
        <v>5</v>
      </c>
      <c r="AD42" s="1878">
        <f ca="1">OFFSET(AD42,0,-1)+1</f>
        <v>6</v>
      </c>
      <c r="AE42" s="1878"/>
      <c r="AF42" s="1878">
        <f ca="1">OFFSET(AF42,0,-1)+1</f>
        <v>1</v>
      </c>
      <c r="AG42" s="1878">
        <f ca="1">OFFSET(AG42,0,-1)+1</f>
        <v>2</v>
      </c>
      <c r="AH42" s="1878">
        <f ca="1">OFFSET(AH42,0,-1)+1</f>
        <v>3</v>
      </c>
      <c r="AI42" s="3265">
        <f ca="1">OFFSET(AI42,0,-1)+1</f>
        <v>4</v>
      </c>
      <c r="AJ42" s="3265"/>
      <c r="AK42" s="1878">
        <f ca="1">OFFSET(AK42,0,-2)+1</f>
        <v>5</v>
      </c>
      <c r="AL42" s="1172">
        <f ca="1">OFFSET(AL42,0,-1)</f>
        <v>5</v>
      </c>
      <c r="AM42" s="1878">
        <f ca="1">OFFSET(AM42,0,-1)+1</f>
        <v>6</v>
      </c>
      <c r="AN42" s="1563"/>
      <c r="AO42" s="1563"/>
      <c r="AP42" s="1563"/>
      <c r="AQ42" s="1563"/>
      <c r="AR42" s="1563"/>
      <c r="AS42" s="1568">
        <v>0</v>
      </c>
    </row>
    <row r="43" spans="1:45" ht="21.95" customHeight="1">
      <c r="A43" s="1194" t="s">
        <v>220</v>
      </c>
      <c r="B43" s="1194"/>
      <c r="C43" s="1194"/>
      <c r="D43" s="1194"/>
      <c r="E43" s="330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121</v>
      </c>
      <c r="U43" s="238"/>
      <c r="V43" s="3246"/>
      <c r="W43" s="3247"/>
      <c r="X43" s="3247"/>
      <c r="Y43" s="3247"/>
      <c r="Z43" s="3247"/>
      <c r="AA43" s="3247"/>
      <c r="AB43" s="3247"/>
      <c r="AC43" s="3248"/>
      <c r="AD43" s="3246" t="str">
        <f>INDEX(PT_DIFFERENTIATION_NTAR,MATCH(A43,PT_DIFFERENTIATION_NTAR_ID,0))</f>
        <v/>
      </c>
      <c r="AE43" s="3247"/>
      <c r="AF43" s="3247"/>
      <c r="AG43" s="3247"/>
      <c r="AH43" s="3247"/>
      <c r="AI43" s="3247"/>
      <c r="AJ43" s="3247"/>
      <c r="AK43" s="3247"/>
      <c r="AL43" s="324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220</v>
      </c>
      <c r="B44" s="1194" t="s">
        <v>221</v>
      </c>
      <c r="C44" s="1194"/>
      <c r="D44" s="1194"/>
      <c r="E44" s="3310"/>
      <c r="F44" s="3309">
        <v>1</v>
      </c>
      <c r="G44" s="1194"/>
      <c r="H44" s="1194"/>
      <c r="I44" s="1194"/>
      <c r="J44" s="1194"/>
      <c r="K44" s="1194"/>
      <c r="L44" s="1237"/>
      <c r="M44" s="1537"/>
      <c r="N44" s="1537"/>
      <c r="O44" s="1537"/>
      <c r="P44" s="1862"/>
      <c r="Q44" s="289"/>
      <c r="R44" s="290"/>
      <c r="S44" s="1880" t="str">
        <f>INDEX(PT_DIFFERENTIATION_NUM_TER,MATCH(B44,PT_DIFFERENTIATION_TER_ID,0))</f>
        <v>.</v>
      </c>
      <c r="T44" s="1449" t="s">
        <v>405</v>
      </c>
      <c r="U44" s="238"/>
      <c r="V44" s="3246"/>
      <c r="W44" s="3247"/>
      <c r="X44" s="3247"/>
      <c r="Y44" s="3247"/>
      <c r="Z44" s="3247"/>
      <c r="AA44" s="3247"/>
      <c r="AB44" s="3247"/>
      <c r="AC44" s="3248"/>
      <c r="AD44" s="3246" t="str">
        <f>INDEX(PT_DIFFERENTIATION_TER,MATCH(B44,PT_DIFFERENTIATION_TER_ID,0))</f>
        <v/>
      </c>
      <c r="AE44" s="3247"/>
      <c r="AF44" s="3247"/>
      <c r="AG44" s="3247"/>
      <c r="AH44" s="3247"/>
      <c r="AI44" s="3247"/>
      <c r="AJ44" s="3247"/>
      <c r="AK44" s="3247"/>
      <c r="AL44" s="3248"/>
      <c r="AM44" s="1185" t="s">
        <v>406</v>
      </c>
      <c r="AO44" s="1551"/>
      <c r="AP44" s="1551" t="str">
        <f t="shared" si="1"/>
        <v>Территория действия тарифа</v>
      </c>
      <c r="AQ44" s="1551"/>
      <c r="AR44" s="1551"/>
      <c r="AS44" s="1558">
        <v>21</v>
      </c>
    </row>
    <row r="45" spans="1:45" ht="24" customHeight="1">
      <c r="A45" s="1194" t="s">
        <v>220</v>
      </c>
      <c r="B45" s="1194" t="s">
        <v>221</v>
      </c>
      <c r="C45" s="1194" t="s">
        <v>222</v>
      </c>
      <c r="D45" s="1194"/>
      <c r="E45" s="3310"/>
      <c r="F45" s="3310"/>
      <c r="G45" s="3309">
        <v>1</v>
      </c>
      <c r="H45" s="1194"/>
      <c r="I45" s="1194"/>
      <c r="J45" s="1194"/>
      <c r="K45" s="1194"/>
      <c r="L45" s="1237"/>
      <c r="M45" s="1537"/>
      <c r="N45" s="1537"/>
      <c r="O45" s="1537"/>
      <c r="P45" s="291"/>
      <c r="Q45" s="289"/>
      <c r="R45" s="290"/>
      <c r="S45" s="1880" t="str">
        <f>INDEX(PT_DIFFERENTIATION_NUM_CS,MATCH(C45,PT_DIFFERENTIATION_CS_ID,0))</f>
        <v>..</v>
      </c>
      <c r="T45" s="247" t="s">
        <v>407</v>
      </c>
      <c r="U45" s="238"/>
      <c r="V45" s="3246"/>
      <c r="W45" s="3247"/>
      <c r="X45" s="3247"/>
      <c r="Y45" s="3247"/>
      <c r="Z45" s="3247"/>
      <c r="AA45" s="3247"/>
      <c r="AB45" s="3247"/>
      <c r="AC45" s="3248"/>
      <c r="AD45" s="3246" t="str">
        <f>INDEX(PT_DIFFERENTIATION_CS,MATCH(C45,PT_DIFFERENTIATION_CS_ID,0))</f>
        <v/>
      </c>
      <c r="AE45" s="3247"/>
      <c r="AF45" s="3247"/>
      <c r="AG45" s="3247"/>
      <c r="AH45" s="3247"/>
      <c r="AI45" s="3247"/>
      <c r="AJ45" s="3247"/>
      <c r="AK45" s="3247"/>
      <c r="AL45" s="3248"/>
      <c r="AM45" s="1185" t="s">
        <v>408</v>
      </c>
      <c r="AO45" s="1551"/>
      <c r="AP45" s="1551" t="str">
        <f t="shared" si="1"/>
        <v xml:space="preserve">Наименование системы теплоснабжения </v>
      </c>
      <c r="AQ45" s="1551"/>
      <c r="AR45" s="1551"/>
      <c r="AS45" s="1558">
        <v>23</v>
      </c>
    </row>
    <row r="46" spans="1:45" ht="21.95" customHeight="1">
      <c r="A46" s="1194" t="s">
        <v>220</v>
      </c>
      <c r="B46" s="1194" t="s">
        <v>221</v>
      </c>
      <c r="C46" s="1194" t="s">
        <v>222</v>
      </c>
      <c r="D46" s="1194" t="s">
        <v>223</v>
      </c>
      <c r="E46" s="3310"/>
      <c r="F46" s="3310"/>
      <c r="G46" s="3310"/>
      <c r="H46" s="3309">
        <v>1</v>
      </c>
      <c r="I46" s="1194"/>
      <c r="J46" s="1194"/>
      <c r="K46" s="1194"/>
      <c r="L46" s="1237"/>
      <c r="M46" s="1537"/>
      <c r="N46" s="1537"/>
      <c r="O46" s="1537"/>
      <c r="P46" s="291"/>
      <c r="Q46" s="289"/>
      <c r="R46" s="290"/>
      <c r="S46" s="1880" t="str">
        <f>INDEX(PT_DIFFERENTIATION_NUM_IST_TE,MATCH(D46,PT_DIFFERENTIATION_IST_TE_ID,0))</f>
        <v>...</v>
      </c>
      <c r="T46" s="248" t="s">
        <v>409</v>
      </c>
      <c r="U46" s="238"/>
      <c r="V46" s="3246"/>
      <c r="W46" s="3247"/>
      <c r="X46" s="3247"/>
      <c r="Y46" s="3247"/>
      <c r="Z46" s="3247"/>
      <c r="AA46" s="3247"/>
      <c r="AB46" s="3247"/>
      <c r="AC46" s="3248"/>
      <c r="AD46" s="3246" t="str">
        <f>INDEX(PT_DIFFERENTIATION_IST_TE,MATCH(D46,PT_DIFFERENTIATION_IST_TE_ID,0))</f>
        <v/>
      </c>
      <c r="AE46" s="3247"/>
      <c r="AF46" s="3247"/>
      <c r="AG46" s="3247"/>
      <c r="AH46" s="3247"/>
      <c r="AI46" s="3247"/>
      <c r="AJ46" s="3247"/>
      <c r="AK46" s="3247"/>
      <c r="AL46" s="3248"/>
      <c r="AM46" s="1185" t="s">
        <v>410</v>
      </c>
      <c r="AO46" s="1551"/>
      <c r="AP46" s="1551" t="str">
        <f t="shared" si="1"/>
        <v xml:space="preserve">Источник тепловой энергии  </v>
      </c>
      <c r="AQ46" s="1551"/>
      <c r="AR46" s="1551"/>
      <c r="AS46" s="1558">
        <v>21</v>
      </c>
    </row>
    <row r="47" spans="1:45" ht="49.5" customHeight="1">
      <c r="A47" s="1194" t="s">
        <v>220</v>
      </c>
      <c r="B47" s="1194" t="s">
        <v>221</v>
      </c>
      <c r="C47" s="1194" t="s">
        <v>222</v>
      </c>
      <c r="D47" s="1194" t="s">
        <v>223</v>
      </c>
      <c r="E47" s="3310"/>
      <c r="F47" s="3310"/>
      <c r="G47" s="3310"/>
      <c r="H47" s="3310"/>
      <c r="I47" s="3111" t="str">
        <f>S46&amp;".1"</f>
        <v>....1</v>
      </c>
      <c r="J47" s="1194"/>
      <c r="K47" s="1194"/>
      <c r="L47" s="1237" t="s">
        <v>411</v>
      </c>
      <c r="P47" s="3258">
        <v>1</v>
      </c>
      <c r="Q47" s="1876"/>
      <c r="R47" s="293"/>
      <c r="S47" s="1880" t="str">
        <f>$I47</f>
        <v>....1</v>
      </c>
      <c r="T47" s="223" t="s">
        <v>412</v>
      </c>
      <c r="U47" s="238"/>
      <c r="V47" s="3239"/>
      <c r="W47" s="3240"/>
      <c r="X47" s="3240"/>
      <c r="Y47" s="3240"/>
      <c r="Z47" s="3240"/>
      <c r="AA47" s="3240"/>
      <c r="AB47" s="3240"/>
      <c r="AC47" s="3241"/>
      <c r="AD47" s="3239"/>
      <c r="AE47" s="3240"/>
      <c r="AF47" s="3240"/>
      <c r="AG47" s="3240"/>
      <c r="AH47" s="3240"/>
      <c r="AI47" s="3240"/>
      <c r="AJ47" s="3240"/>
      <c r="AK47" s="3240"/>
      <c r="AL47" s="3241"/>
      <c r="AM47" s="1185" t="s">
        <v>413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220</v>
      </c>
      <c r="B48" s="1194" t="s">
        <v>221</v>
      </c>
      <c r="C48" s="1194" t="s">
        <v>222</v>
      </c>
      <c r="D48" s="1194" t="s">
        <v>223</v>
      </c>
      <c r="E48" s="3310"/>
      <c r="F48" s="3310"/>
      <c r="G48" s="3310"/>
      <c r="H48" s="3310"/>
      <c r="I48" s="3093"/>
      <c r="J48" s="3111" t="str">
        <f>I47&amp;".1"</f>
        <v>....1.1</v>
      </c>
      <c r="K48" s="1194"/>
      <c r="L48" s="1237" t="s">
        <v>414</v>
      </c>
      <c r="P48" s="3258"/>
      <c r="Q48" s="3258">
        <v>1</v>
      </c>
      <c r="R48" s="294"/>
      <c r="S48" s="1880" t="str">
        <f>$J48</f>
        <v>....1.1</v>
      </c>
      <c r="T48" s="224" t="s">
        <v>415</v>
      </c>
      <c r="U48" s="238"/>
      <c r="V48" s="3239"/>
      <c r="W48" s="3240"/>
      <c r="X48" s="3240"/>
      <c r="Y48" s="3240"/>
      <c r="Z48" s="3240"/>
      <c r="AA48" s="3240"/>
      <c r="AB48" s="3240"/>
      <c r="AC48" s="3241"/>
      <c r="AD48" s="3239"/>
      <c r="AE48" s="3240"/>
      <c r="AF48" s="3240"/>
      <c r="AG48" s="3240"/>
      <c r="AH48" s="3240"/>
      <c r="AI48" s="3240"/>
      <c r="AJ48" s="3240"/>
      <c r="AK48" s="3240"/>
      <c r="AL48" s="3241"/>
      <c r="AM48" s="1185" t="s">
        <v>416</v>
      </c>
      <c r="AO48" s="1551"/>
      <c r="AP48" s="1551" t="str">
        <f t="shared" si="1"/>
        <v>Группа потребителей</v>
      </c>
      <c r="AQ48" s="1551"/>
      <c r="AR48" s="1551"/>
      <c r="AS48" s="1558">
        <v>21</v>
      </c>
    </row>
    <row r="49" spans="1:45" ht="21.95" customHeight="1">
      <c r="A49" s="1194" t="s">
        <v>220</v>
      </c>
      <c r="B49" s="1194" t="s">
        <v>221</v>
      </c>
      <c r="C49" s="1194" t="s">
        <v>222</v>
      </c>
      <c r="D49" s="1194" t="s">
        <v>223</v>
      </c>
      <c r="E49" s="3310"/>
      <c r="F49" s="3310"/>
      <c r="G49" s="3310"/>
      <c r="H49" s="3310"/>
      <c r="I49" s="3093"/>
      <c r="J49" s="3093"/>
      <c r="K49" s="3111" t="str">
        <f>J48&amp;".1"</f>
        <v>....1.1.1</v>
      </c>
      <c r="L49" s="1237" t="s">
        <v>417</v>
      </c>
      <c r="P49" s="3258"/>
      <c r="Q49" s="3258"/>
      <c r="R49" s="294">
        <v>1</v>
      </c>
      <c r="S49" s="1880" t="str">
        <f>$K49</f>
        <v>....1.1.1</v>
      </c>
      <c r="T49" s="1274"/>
      <c r="U49" s="238"/>
      <c r="V49" s="688"/>
      <c r="W49" s="263"/>
      <c r="X49" s="688"/>
      <c r="Y49" s="1184"/>
      <c r="Z49" s="3259"/>
      <c r="AA49" s="3121" t="s">
        <v>67</v>
      </c>
      <c r="AB49" s="3259"/>
      <c r="AC49" s="3121" t="s">
        <v>67</v>
      </c>
      <c r="AD49" s="688"/>
      <c r="AE49" s="263"/>
      <c r="AF49" s="688"/>
      <c r="AG49" s="1184"/>
      <c r="AH49" s="3259"/>
      <c r="AI49" s="3121" t="s">
        <v>67</v>
      </c>
      <c r="AJ49" s="3261"/>
      <c r="AK49" s="3121" t="s">
        <v>67</v>
      </c>
      <c r="AL49" s="1275"/>
      <c r="AM49" s="3278" t="s">
        <v>418</v>
      </c>
      <c r="AN49" s="1563" t="e">
        <f ca="1">STRCHECKDATE(V50:AL50)</f>
        <v>#NAME?</v>
      </c>
      <c r="AO49" s="1551"/>
      <c r="AP49" s="1551" t="str">
        <f t="shared" si="1"/>
        <v/>
      </c>
      <c r="AQ49" s="1551"/>
      <c r="AR49" s="1551"/>
      <c r="AS49" s="1558">
        <v>21</v>
      </c>
    </row>
    <row r="50" spans="1:45" ht="1.1499999999999999" customHeight="1">
      <c r="A50" s="1194" t="s">
        <v>220</v>
      </c>
      <c r="B50" s="1194" t="s">
        <v>221</v>
      </c>
      <c r="C50" s="1194" t="s">
        <v>222</v>
      </c>
      <c r="D50" s="1194" t="s">
        <v>223</v>
      </c>
      <c r="E50" s="3310"/>
      <c r="F50" s="3310"/>
      <c r="G50" s="3310"/>
      <c r="H50" s="3310"/>
      <c r="I50" s="3093"/>
      <c r="J50" s="3093"/>
      <c r="K50" s="3111"/>
      <c r="L50" s="1237"/>
      <c r="P50" s="3258"/>
      <c r="Q50" s="3258"/>
      <c r="R50" s="294"/>
      <c r="S50" s="1889"/>
      <c r="T50" s="238"/>
      <c r="U50" s="238"/>
      <c r="V50" s="263"/>
      <c r="W50" s="263"/>
      <c r="X50" s="263"/>
      <c r="Y50" s="266" t="str">
        <f>Z49&amp;"-"&amp;AB49</f>
        <v>-</v>
      </c>
      <c r="Z50" s="3260"/>
      <c r="AA50" s="3121"/>
      <c r="AB50" s="3260"/>
      <c r="AC50" s="3121"/>
      <c r="AD50" s="263"/>
      <c r="AE50" s="263"/>
      <c r="AF50" s="263"/>
      <c r="AG50" s="266" t="str">
        <f>AH49&amp;"-"&amp;AJ49</f>
        <v>-</v>
      </c>
      <c r="AH50" s="3260"/>
      <c r="AI50" s="3121"/>
      <c r="AJ50" s="3262"/>
      <c r="AK50" s="3121"/>
      <c r="AL50" s="1276"/>
      <c r="AM50" s="3279"/>
      <c r="AO50" s="1551"/>
      <c r="AP50" s="1551" t="str">
        <f t="shared" si="1"/>
        <v/>
      </c>
      <c r="AQ50" s="1551"/>
      <c r="AR50" s="1551"/>
      <c r="AS50" s="1558">
        <v>1</v>
      </c>
    </row>
    <row r="51" spans="1:45" ht="11.45" customHeight="1">
      <c r="A51" s="1194" t="s">
        <v>220</v>
      </c>
      <c r="B51" s="1194" t="s">
        <v>221</v>
      </c>
      <c r="C51" s="1194" t="s">
        <v>222</v>
      </c>
      <c r="D51" s="1194" t="s">
        <v>223</v>
      </c>
      <c r="E51" s="3310"/>
      <c r="F51" s="3310"/>
      <c r="G51" s="3310"/>
      <c r="H51" s="3310"/>
      <c r="I51" s="3093"/>
      <c r="J51" s="3111"/>
      <c r="K51" s="1194"/>
      <c r="L51" s="1237"/>
      <c r="P51" s="3258"/>
      <c r="Q51" s="3258"/>
      <c r="R51" s="293"/>
      <c r="S51" s="1205"/>
      <c r="T51" s="226" t="s">
        <v>419</v>
      </c>
      <c r="U51" s="537"/>
      <c r="V51" s="537"/>
      <c r="W51" s="537"/>
      <c r="X51" s="537"/>
      <c r="Y51" s="537"/>
      <c r="Z51" s="537"/>
      <c r="AA51" s="537"/>
      <c r="AB51" s="537"/>
      <c r="AC51" s="537"/>
      <c r="AD51" s="537"/>
      <c r="AE51" s="537"/>
      <c r="AF51" s="537"/>
      <c r="AG51" s="537"/>
      <c r="AH51" s="537"/>
      <c r="AI51" s="537"/>
      <c r="AJ51" s="537"/>
      <c r="AK51" s="537"/>
      <c r="AL51" s="262"/>
      <c r="AM51" s="3280"/>
      <c r="AO51" s="1551"/>
      <c r="AP51" s="1551" t="str">
        <f t="shared" si="1"/>
        <v>Добавить вид теплоносителя (параметры теплоносителя)</v>
      </c>
      <c r="AQ51" s="1551"/>
      <c r="AR51" s="1551"/>
      <c r="AS51" s="1558">
        <v>11</v>
      </c>
    </row>
    <row r="52" spans="1:45" ht="11.45" customHeight="1">
      <c r="A52" s="1194" t="s">
        <v>220</v>
      </c>
      <c r="B52" s="1194" t="s">
        <v>221</v>
      </c>
      <c r="C52" s="1194" t="s">
        <v>222</v>
      </c>
      <c r="D52" s="1194" t="s">
        <v>223</v>
      </c>
      <c r="E52" s="3310"/>
      <c r="F52" s="3310"/>
      <c r="G52" s="3310"/>
      <c r="H52" s="3310"/>
      <c r="I52" s="3111"/>
      <c r="J52" s="1194"/>
      <c r="K52" s="1194"/>
      <c r="L52" s="1237"/>
      <c r="P52" s="3258"/>
      <c r="Q52" s="1876"/>
      <c r="R52" s="293"/>
      <c r="S52" s="1205"/>
      <c r="T52" s="225" t="s">
        <v>420</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220</v>
      </c>
      <c r="B53" s="1194" t="s">
        <v>221</v>
      </c>
      <c r="C53" s="1194" t="s">
        <v>222</v>
      </c>
      <c r="D53" s="1194" t="s">
        <v>223</v>
      </c>
      <c r="E53" s="3310"/>
      <c r="F53" s="3310"/>
      <c r="G53" s="3310"/>
      <c r="H53" s="3309"/>
      <c r="I53" s="1194"/>
      <c r="J53" s="1194"/>
      <c r="K53" s="1194"/>
      <c r="L53" s="1237"/>
      <c r="M53" s="1537"/>
      <c r="N53" s="1537"/>
      <c r="O53" s="1562"/>
      <c r="P53" s="297"/>
      <c r="Q53" s="312"/>
      <c r="R53" s="292"/>
      <c r="S53" s="1205"/>
      <c r="T53" s="302" t="s">
        <v>421</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220</v>
      </c>
      <c r="B54" s="1194" t="s">
        <v>221</v>
      </c>
      <c r="C54" s="1194" t="s">
        <v>222</v>
      </c>
      <c r="D54" s="1896"/>
      <c r="E54" s="3310"/>
      <c r="F54" s="3310"/>
      <c r="G54" s="3309"/>
      <c r="H54" s="1896"/>
      <c r="I54" s="1896"/>
      <c r="J54" s="1896"/>
      <c r="K54" s="1896"/>
      <c r="L54" s="1307"/>
      <c r="M54" s="1537"/>
      <c r="N54" s="1537"/>
      <c r="O54" s="1562"/>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220</v>
      </c>
      <c r="B55" s="1194" t="s">
        <v>221</v>
      </c>
      <c r="C55" s="1896"/>
      <c r="D55" s="1896"/>
      <c r="E55" s="3310"/>
      <c r="F55" s="3309"/>
      <c r="G55" s="1896"/>
      <c r="H55" s="1896"/>
      <c r="I55" s="1896"/>
      <c r="J55" s="1896"/>
      <c r="K55" s="1896"/>
      <c r="L55" s="1307"/>
      <c r="M55" s="1897"/>
      <c r="N55" s="1897"/>
      <c r="O55" s="1562"/>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220</v>
      </c>
      <c r="B56" s="1194"/>
      <c r="C56" s="1194"/>
      <c r="D56" s="1194"/>
      <c r="E56" s="3309"/>
      <c r="F56" s="1194"/>
      <c r="G56" s="1194"/>
      <c r="H56" s="1194"/>
      <c r="I56" s="1194"/>
      <c r="J56" s="1194"/>
      <c r="K56" s="1194"/>
      <c r="L56" s="1237"/>
      <c r="M56" s="1897"/>
      <c r="N56" s="1897"/>
      <c r="O56" s="1562"/>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3252"/>
      <c r="U59" s="3252"/>
      <c r="V59" s="3252"/>
      <c r="W59" s="3252"/>
      <c r="X59" s="3252"/>
      <c r="Y59" s="3252"/>
      <c r="Z59" s="3252"/>
      <c r="AA59" s="3252"/>
      <c r="AB59" s="3252"/>
      <c r="AC59" s="3252"/>
      <c r="AD59" s="3252"/>
      <c r="AE59" s="3252"/>
      <c r="AF59" s="3252"/>
      <c r="AG59" s="3252"/>
      <c r="AH59" s="3252"/>
      <c r="AI59" s="3252"/>
      <c r="AJ59" s="3252"/>
      <c r="AK59" s="3252"/>
      <c r="AL59" s="3252"/>
      <c r="AM59" s="3252"/>
      <c r="AS59" s="1558">
        <v>27</v>
      </c>
    </row>
    <row r="60" spans="1:45" ht="65.25" customHeight="1">
      <c r="O60" s="1562"/>
      <c r="T60" s="3252"/>
      <c r="U60" s="3252"/>
      <c r="V60" s="3252"/>
      <c r="W60" s="3252"/>
      <c r="X60" s="3252"/>
      <c r="Y60" s="3252"/>
      <c r="Z60" s="3252"/>
      <c r="AA60" s="3252"/>
      <c r="AB60" s="3252"/>
      <c r="AC60" s="3252"/>
      <c r="AD60" s="3252"/>
      <c r="AE60" s="3252"/>
      <c r="AF60" s="3252"/>
      <c r="AG60" s="3252"/>
      <c r="AH60" s="3252"/>
      <c r="AI60" s="3252"/>
      <c r="AJ60" s="3252"/>
      <c r="AK60" s="3252"/>
      <c r="AL60" s="3252"/>
      <c r="AM60" s="3252"/>
      <c r="AS60" s="1558">
        <v>62</v>
      </c>
    </row>
    <row r="61" spans="1:45" ht="14.65" customHeight="1">
      <c r="O61" s="1562"/>
      <c r="AS61" s="1558">
        <v>14</v>
      </c>
    </row>
    <row r="62" spans="1:45" ht="18.75" customHeight="1">
      <c r="O62" s="1562"/>
      <c r="S62" s="1180"/>
      <c r="T62" s="3252"/>
      <c r="U62" s="3252"/>
      <c r="V62" s="3252"/>
      <c r="W62" s="3252"/>
      <c r="X62" s="3252"/>
      <c r="Y62" s="3252"/>
      <c r="Z62" s="3252"/>
      <c r="AA62" s="3252"/>
      <c r="AB62" s="3252"/>
      <c r="AC62" s="3252"/>
      <c r="AD62" s="3252"/>
      <c r="AE62" s="3252"/>
      <c r="AF62" s="3252"/>
      <c r="AG62" s="3252"/>
      <c r="AH62" s="3252"/>
      <c r="AI62" s="3252"/>
      <c r="AJ62" s="3252"/>
      <c r="AK62" s="3252"/>
      <c r="AL62" s="3252"/>
      <c r="AM62" s="3252"/>
      <c r="AS62" s="1558">
        <v>18</v>
      </c>
    </row>
    <row r="63" spans="1:45" ht="18.75" customHeight="1">
      <c r="O63" s="1562"/>
      <c r="T63" s="3252"/>
      <c r="U63" s="3252"/>
      <c r="V63" s="3252"/>
      <c r="W63" s="3252"/>
      <c r="X63" s="3252"/>
      <c r="Y63" s="3252"/>
      <c r="Z63" s="3252"/>
      <c r="AA63" s="3252"/>
      <c r="AB63" s="3252"/>
      <c r="AC63" s="3252"/>
      <c r="AD63" s="3252"/>
      <c r="AE63" s="3252"/>
      <c r="AF63" s="3252"/>
      <c r="AG63" s="3252"/>
      <c r="AH63" s="3252"/>
      <c r="AI63" s="3252"/>
      <c r="AJ63" s="3252"/>
      <c r="AK63" s="3252"/>
      <c r="AL63" s="3252"/>
      <c r="AM63" s="3252"/>
      <c r="AS63" s="1558">
        <v>18</v>
      </c>
    </row>
    <row r="64" spans="1:45" ht="29.25" customHeight="1">
      <c r="O64" s="1562"/>
      <c r="S64" s="1180"/>
      <c r="T64" s="3252"/>
      <c r="U64" s="3252"/>
      <c r="V64" s="3252"/>
      <c r="W64" s="3252"/>
      <c r="X64" s="3252"/>
      <c r="Y64" s="3252"/>
      <c r="Z64" s="3252"/>
      <c r="AA64" s="3252"/>
      <c r="AB64" s="3252"/>
      <c r="AC64" s="3252"/>
      <c r="AD64" s="3252"/>
      <c r="AE64" s="3252"/>
      <c r="AF64" s="3252"/>
      <c r="AG64" s="3252"/>
      <c r="AH64" s="3252"/>
      <c r="AI64" s="3252"/>
      <c r="AJ64" s="3252"/>
      <c r="AK64" s="3252"/>
      <c r="AL64" s="3252"/>
      <c r="AM64" s="3252"/>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5321B-7A01-9652-2BD6-AE200C9EB03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3254">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8"/>
      <c r="AM2" s="1185" t="s">
        <v>404</v>
      </c>
      <c r="AO2" s="437"/>
      <c r="AP2" s="437" t="str">
        <f t="shared" ref="AP2:AP15" si="0">IF(T2="","",T2)</f>
        <v>Наименование тарифа</v>
      </c>
      <c r="AQ2" s="437"/>
      <c r="AR2" s="437"/>
      <c r="AS2" s="1082">
        <v>0</v>
      </c>
    </row>
    <row r="3" spans="1:45" ht="21" hidden="1" customHeight="1">
      <c r="A3" s="1290"/>
      <c r="B3" s="1290"/>
      <c r="C3" s="1290"/>
      <c r="D3" s="1290"/>
      <c r="E3" s="3255"/>
      <c r="F3" s="3254">
        <v>1</v>
      </c>
      <c r="G3" s="1290"/>
      <c r="H3" s="1290"/>
      <c r="I3" s="1290"/>
      <c r="J3" s="1290"/>
      <c r="K3" s="1290"/>
      <c r="L3" s="1291"/>
      <c r="M3" s="1292"/>
      <c r="N3" s="1292"/>
      <c r="O3" s="1292"/>
      <c r="P3" s="1259"/>
      <c r="Q3" s="289"/>
      <c r="R3" s="290"/>
      <c r="S3" s="1263" t="e">
        <f>INDEX(PT_DIFFERENTIATION_NUM_TER,MATCH(B3,PT_DIFFERENTIATION_TER_ID,0))</f>
        <v>#N/A</v>
      </c>
      <c r="T3" s="246"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8"/>
      <c r="AM3" s="1185" t="s">
        <v>406</v>
      </c>
      <c r="AO3" s="437"/>
      <c r="AP3" s="437" t="str">
        <f t="shared" si="0"/>
        <v>Территория действия тарифа</v>
      </c>
      <c r="AQ3" s="437"/>
      <c r="AR3" s="437"/>
      <c r="AS3" s="1082">
        <v>0</v>
      </c>
    </row>
    <row r="4" spans="1:45" ht="23.25" hidden="1" customHeight="1">
      <c r="A4" s="1290"/>
      <c r="B4" s="1290"/>
      <c r="C4" s="1290"/>
      <c r="D4" s="1290"/>
      <c r="E4" s="3255"/>
      <c r="F4" s="3255"/>
      <c r="G4" s="3254">
        <v>1</v>
      </c>
      <c r="H4" s="1290"/>
      <c r="I4" s="1290"/>
      <c r="J4" s="1290"/>
      <c r="K4" s="1290"/>
      <c r="L4" s="1291"/>
      <c r="M4" s="1292"/>
      <c r="N4" s="1292"/>
      <c r="O4" s="1292"/>
      <c r="P4" s="291"/>
      <c r="Q4" s="289"/>
      <c r="R4" s="290"/>
      <c r="S4" s="1263" t="e">
        <f>INDEX(PT_DIFFERENTIATION_NUM_CS,MATCH(C4,PT_DIFFERENTIATION_CS_ID,0))</f>
        <v>#N/A</v>
      </c>
      <c r="T4" s="247" t="s">
        <v>407</v>
      </c>
      <c r="U4" s="238"/>
      <c r="V4" s="3246"/>
      <c r="W4" s="3247"/>
      <c r="X4" s="3247"/>
      <c r="Y4" s="3247"/>
      <c r="Z4" s="3247"/>
      <c r="AA4" s="3247"/>
      <c r="AB4" s="3247"/>
      <c r="AC4" s="3248"/>
      <c r="AD4" s="3246" t="e">
        <f>INDEX(PT_DIFFERENTIATION_CS,MATCH(C4,PT_DIFFERENTIATION_CS_ID,0))</f>
        <v>#N/A</v>
      </c>
      <c r="AE4" s="3247"/>
      <c r="AF4" s="3247"/>
      <c r="AG4" s="3247"/>
      <c r="AH4" s="3247"/>
      <c r="AI4" s="3247"/>
      <c r="AJ4" s="3247"/>
      <c r="AK4" s="3247"/>
      <c r="AL4" s="3248"/>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255"/>
      <c r="F5" s="3255"/>
      <c r="G5" s="3255"/>
      <c r="H5" s="3254">
        <v>1</v>
      </c>
      <c r="I5" s="1290"/>
      <c r="J5" s="1290"/>
      <c r="K5" s="1290"/>
      <c r="L5" s="1291"/>
      <c r="M5" s="1292"/>
      <c r="N5" s="1292"/>
      <c r="O5" s="1292"/>
      <c r="P5" s="291"/>
      <c r="Q5" s="289"/>
      <c r="R5" s="290"/>
      <c r="S5" s="1263" t="e">
        <f>INDEX(PT_DIFFERENTIATION_NUM_IST_TE,MATCH(D5,PT_DIFFERENTIATION_IST_TE_ID,0))</f>
        <v>#N/A</v>
      </c>
      <c r="T5" s="248" t="s">
        <v>409</v>
      </c>
      <c r="U5" s="238"/>
      <c r="V5" s="3246"/>
      <c r="W5" s="3247"/>
      <c r="X5" s="3247"/>
      <c r="Y5" s="3247"/>
      <c r="Z5" s="3247"/>
      <c r="AA5" s="3247"/>
      <c r="AB5" s="3247"/>
      <c r="AC5" s="3248"/>
      <c r="AD5" s="3246" t="e">
        <f>INDEX(PT_DIFFERENTIATION_IST_TE,MATCH(D5,PT_DIFFERENTIATION_IST_TE_ID,0))</f>
        <v>#N/A</v>
      </c>
      <c r="AE5" s="3247"/>
      <c r="AF5" s="3247"/>
      <c r="AG5" s="3247"/>
      <c r="AH5" s="3247"/>
      <c r="AI5" s="3247"/>
      <c r="AJ5" s="3247"/>
      <c r="AK5" s="3247"/>
      <c r="AL5" s="3248"/>
      <c r="AM5" s="1185" t="s">
        <v>410</v>
      </c>
      <c r="AO5" s="437"/>
      <c r="AP5" s="437" t="str">
        <f t="shared" si="0"/>
        <v xml:space="preserve">Источник тепловой энергии  </v>
      </c>
      <c r="AQ5" s="437"/>
      <c r="AR5" s="437"/>
      <c r="AS5" s="1082">
        <v>0</v>
      </c>
    </row>
    <row r="6" spans="1:45" ht="47.25" hidden="1" customHeight="1">
      <c r="A6" s="1290"/>
      <c r="B6" s="1290"/>
      <c r="C6" s="1290"/>
      <c r="D6" s="1290"/>
      <c r="E6" s="3255"/>
      <c r="F6" s="3255"/>
      <c r="G6" s="3255"/>
      <c r="H6" s="3255"/>
      <c r="I6" s="3256" t="e">
        <f>S5&amp;".1"</f>
        <v>#N/A</v>
      </c>
      <c r="J6" s="1290"/>
      <c r="K6" s="1290"/>
      <c r="L6" s="1291" t="s">
        <v>411</v>
      </c>
      <c r="M6" s="474"/>
      <c r="P6" s="3258">
        <v>1</v>
      </c>
      <c r="Q6" s="1258"/>
      <c r="R6" s="293"/>
      <c r="S6" s="1263" t="e">
        <f>$I6</f>
        <v>#N/A</v>
      </c>
      <c r="T6" s="223" t="s">
        <v>412</v>
      </c>
      <c r="U6" s="238"/>
      <c r="V6" s="3239"/>
      <c r="W6" s="3240"/>
      <c r="X6" s="3240"/>
      <c r="Y6" s="3240"/>
      <c r="Z6" s="3240"/>
      <c r="AA6" s="3240"/>
      <c r="AB6" s="3240"/>
      <c r="AC6" s="3241"/>
      <c r="AD6" s="3239"/>
      <c r="AE6" s="3240"/>
      <c r="AF6" s="3240"/>
      <c r="AG6" s="3240"/>
      <c r="AH6" s="3240"/>
      <c r="AI6" s="3240"/>
      <c r="AJ6" s="3240"/>
      <c r="AK6" s="3240"/>
      <c r="AL6" s="3241"/>
      <c r="AM6" s="1185" t="s">
        <v>413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255"/>
      <c r="F7" s="3255"/>
      <c r="G7" s="3255"/>
      <c r="H7" s="3255"/>
      <c r="I7" s="3257"/>
      <c r="J7" s="3256" t="e">
        <f>I6&amp;".1"</f>
        <v>#N/A</v>
      </c>
      <c r="K7" s="1290"/>
      <c r="L7" s="1291" t="s">
        <v>414</v>
      </c>
      <c r="M7" s="474"/>
      <c r="N7" s="1293"/>
      <c r="P7" s="3258"/>
      <c r="Q7" s="3258">
        <v>1</v>
      </c>
      <c r="R7" s="294"/>
      <c r="S7" s="1263" t="e">
        <f>$J7</f>
        <v>#N/A</v>
      </c>
      <c r="T7" s="224" t="s">
        <v>415</v>
      </c>
      <c r="U7" s="238"/>
      <c r="V7" s="3239"/>
      <c r="W7" s="3240"/>
      <c r="X7" s="3240"/>
      <c r="Y7" s="3240"/>
      <c r="Z7" s="3240"/>
      <c r="AA7" s="3240"/>
      <c r="AB7" s="3240"/>
      <c r="AC7" s="3241"/>
      <c r="AD7" s="3239"/>
      <c r="AE7" s="3240"/>
      <c r="AF7" s="3240"/>
      <c r="AG7" s="3240"/>
      <c r="AH7" s="3240"/>
      <c r="AI7" s="3240"/>
      <c r="AJ7" s="3240"/>
      <c r="AK7" s="3240"/>
      <c r="AL7" s="3241"/>
      <c r="AM7" s="1185" t="s">
        <v>416</v>
      </c>
      <c r="AO7" s="437"/>
      <c r="AP7" s="437" t="str">
        <f t="shared" si="0"/>
        <v>Группа потребителей</v>
      </c>
      <c r="AQ7" s="437"/>
      <c r="AR7" s="437"/>
      <c r="AS7" s="1082">
        <v>0</v>
      </c>
    </row>
    <row r="8" spans="1:45" ht="21" hidden="1" customHeight="1">
      <c r="A8" s="1290"/>
      <c r="B8" s="1290"/>
      <c r="C8" s="1290"/>
      <c r="D8" s="1290"/>
      <c r="E8" s="3255"/>
      <c r="F8" s="3255"/>
      <c r="G8" s="3255"/>
      <c r="H8" s="3255"/>
      <c r="I8" s="3257"/>
      <c r="J8" s="3257"/>
      <c r="K8" s="3256" t="e">
        <f>J7&amp;".1"</f>
        <v>#N/A</v>
      </c>
      <c r="L8" s="1291" t="s">
        <v>417</v>
      </c>
      <c r="M8" s="474"/>
      <c r="N8" s="1293"/>
      <c r="O8" s="1293"/>
      <c r="P8" s="3258"/>
      <c r="Q8" s="3258"/>
      <c r="R8" s="294">
        <v>1</v>
      </c>
      <c r="S8" s="1263" t="e">
        <f>$K8</f>
        <v>#N/A</v>
      </c>
      <c r="T8" s="1274"/>
      <c r="U8" s="238"/>
      <c r="V8" s="263"/>
      <c r="W8" s="688"/>
      <c r="X8" s="263"/>
      <c r="Y8" s="321"/>
      <c r="Z8" s="3259"/>
      <c r="AA8" s="3121" t="s">
        <v>67</v>
      </c>
      <c r="AB8" s="3259"/>
      <c r="AC8" s="3121" t="s">
        <v>67</v>
      </c>
      <c r="AD8" s="263"/>
      <c r="AE8" s="688"/>
      <c r="AF8" s="263"/>
      <c r="AG8" s="321"/>
      <c r="AH8" s="3259"/>
      <c r="AI8" s="3121" t="s">
        <v>67</v>
      </c>
      <c r="AJ8" s="3259"/>
      <c r="AK8" s="3121" t="s">
        <v>67</v>
      </c>
      <c r="AL8" s="263"/>
      <c r="AM8" s="3278" t="s">
        <v>418</v>
      </c>
      <c r="AN8" s="448" t="e">
        <f ca="1">STRCHECKDATE(V9:AL9)</f>
        <v>#NAME?</v>
      </c>
      <c r="AO8" s="437"/>
      <c r="AP8" s="437" t="str">
        <f t="shared" si="0"/>
        <v/>
      </c>
      <c r="AQ8" s="437"/>
      <c r="AR8" s="437"/>
      <c r="AS8" s="1082">
        <v>0</v>
      </c>
    </row>
    <row r="9" spans="1:45" ht="0.75" hidden="1" customHeight="1">
      <c r="A9" s="1290"/>
      <c r="B9" s="1290"/>
      <c r="C9" s="1290"/>
      <c r="D9" s="1290"/>
      <c r="E9" s="3255"/>
      <c r="F9" s="3255"/>
      <c r="G9" s="3255"/>
      <c r="H9" s="3255"/>
      <c r="I9" s="3257"/>
      <c r="J9" s="3257"/>
      <c r="K9" s="3256"/>
      <c r="L9" s="1291"/>
      <c r="M9" s="474"/>
      <c r="N9" s="1293"/>
      <c r="O9" s="1293"/>
      <c r="P9" s="3258"/>
      <c r="Q9" s="3258"/>
      <c r="R9" s="294"/>
      <c r="S9" s="1269"/>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3279"/>
      <c r="AO9" s="437"/>
      <c r="AP9" s="437" t="str">
        <f t="shared" si="0"/>
        <v/>
      </c>
      <c r="AQ9" s="437"/>
      <c r="AR9" s="437"/>
      <c r="AS9" s="1082">
        <v>0</v>
      </c>
    </row>
    <row r="10" spans="1:45" ht="15" hidden="1" customHeight="1">
      <c r="A10" s="1290"/>
      <c r="B10" s="1290"/>
      <c r="C10" s="1290"/>
      <c r="D10" s="1290"/>
      <c r="E10" s="3255"/>
      <c r="F10" s="3255"/>
      <c r="G10" s="3255"/>
      <c r="H10" s="3255"/>
      <c r="I10" s="3257"/>
      <c r="J10" s="3256"/>
      <c r="K10" s="1290"/>
      <c r="L10" s="1291"/>
      <c r="M10" s="474"/>
      <c r="N10" s="1293"/>
      <c r="P10" s="3258"/>
      <c r="Q10" s="3258"/>
      <c r="R10" s="293"/>
      <c r="S10" s="1205"/>
      <c r="T10" s="226" t="s">
        <v>419</v>
      </c>
      <c r="U10" s="304"/>
      <c r="V10" s="304"/>
      <c r="W10" s="304"/>
      <c r="X10" s="304"/>
      <c r="Y10" s="304"/>
      <c r="Z10" s="304"/>
      <c r="AA10" s="304"/>
      <c r="AB10" s="304"/>
      <c r="AC10" s="304"/>
      <c r="AD10" s="304"/>
      <c r="AE10" s="304"/>
      <c r="AF10" s="304"/>
      <c r="AG10" s="304"/>
      <c r="AH10" s="304"/>
      <c r="AI10" s="304"/>
      <c r="AJ10" s="304"/>
      <c r="AK10" s="304"/>
      <c r="AL10" s="262"/>
      <c r="AM10" s="328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255"/>
      <c r="F11" s="3255"/>
      <c r="G11" s="3255"/>
      <c r="H11" s="3255"/>
      <c r="I11" s="3256"/>
      <c r="J11" s="1290"/>
      <c r="K11" s="1290"/>
      <c r="L11" s="1291"/>
      <c r="M11" s="474"/>
      <c r="P11" s="3258"/>
      <c r="Q11" s="1258"/>
      <c r="R11" s="293"/>
      <c r="S11" s="1205"/>
      <c r="T11" s="225" t="s">
        <v>420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3255"/>
      <c r="F12" s="3255"/>
      <c r="G12" s="3255"/>
      <c r="H12" s="3254"/>
      <c r="I12" s="1290"/>
      <c r="J12" s="1290"/>
      <c r="K12" s="1290"/>
      <c r="L12" s="1291"/>
      <c r="M12" s="1292"/>
      <c r="N12" s="1292"/>
      <c r="O12" s="474"/>
      <c r="P12" s="297"/>
      <c r="Q12" s="312"/>
      <c r="R12" s="292"/>
      <c r="S12" s="1205"/>
      <c r="T12" s="302" t="s">
        <v>421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3255"/>
      <c r="F13" s="3255"/>
      <c r="G13" s="3254"/>
      <c r="H13" s="1241"/>
      <c r="I13" s="1241"/>
      <c r="J13" s="1241"/>
      <c r="K13" s="1241"/>
      <c r="L13" s="1266"/>
      <c r="M13" s="1242"/>
      <c r="N13" s="1242"/>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255"/>
      <c r="F14" s="3254"/>
      <c r="G14" s="1241"/>
      <c r="H14" s="1241"/>
      <c r="I14" s="1241"/>
      <c r="J14" s="1241"/>
      <c r="K14" s="1241"/>
      <c r="L14" s="1266"/>
      <c r="M14" s="1248"/>
      <c r="N14" s="1248"/>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254"/>
      <c r="F15" s="1241"/>
      <c r="G15" s="1241"/>
      <c r="H15" s="1241"/>
      <c r="I15" s="1241"/>
      <c r="J15" s="1241"/>
      <c r="K15" s="1241"/>
      <c r="L15" s="1266"/>
      <c r="M15" s="1248"/>
      <c r="N15" s="1248"/>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3251"/>
      <c r="AI17" s="3250" t="s">
        <v>67</v>
      </c>
      <c r="AJ17" s="3251"/>
      <c r="AK17" s="3250" t="s">
        <v>67</v>
      </c>
      <c r="AS17" s="1082">
        <v>0</v>
      </c>
    </row>
    <row r="18" spans="1:45" ht="14.25" hidden="1" customHeight="1">
      <c r="AD18" s="1287"/>
      <c r="AE18" s="1287"/>
      <c r="AF18" s="1287"/>
      <c r="AG18" s="266" t="str">
        <f>AH17&amp;"-"&amp;AJ17</f>
        <v>-</v>
      </c>
      <c r="AH18" s="3250"/>
      <c r="AI18" s="3250"/>
      <c r="AJ18" s="3250"/>
      <c r="AK18" s="3250"/>
      <c r="AS18" s="1082">
        <v>0</v>
      </c>
    </row>
    <row r="19" spans="1:45" ht="14.25" hidden="1" customHeight="1">
      <c r="AK19" s="265"/>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3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2"/>
      <c r="U26" s="3232"/>
      <c r="V26" s="3232"/>
      <c r="W26" s="3232"/>
      <c r="X26" s="3232"/>
      <c r="Y26" s="3232"/>
      <c r="Z26" s="3232"/>
      <c r="AA26" s="3232"/>
      <c r="AB26" s="3232"/>
      <c r="AC26" s="3232"/>
      <c r="AD26" s="3232"/>
      <c r="AE26" s="3232"/>
      <c r="AF26" s="3232"/>
      <c r="AG26" s="3232"/>
      <c r="AH26" s="3232"/>
      <c r="AI26" s="3232"/>
      <c r="AJ26" s="3232"/>
      <c r="AK26" s="1170"/>
      <c r="AS26" s="1082">
        <v>28</v>
      </c>
    </row>
    <row r="27" spans="1:45"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243" t="s">
        <v>42</v>
      </c>
      <c r="T29" s="3243"/>
      <c r="U29" s="1299"/>
      <c r="V29" s="3245" t="str">
        <f>IF(TITLE_NAME_OR_PR_CHANGE="",IF(TITLE_NAME_OR_PR="","",TITLE_NAME_OR_PR),TITLE_NAME_OR_PR_CHANGE)</f>
        <v/>
      </c>
      <c r="W29" s="3245"/>
      <c r="X29" s="3245"/>
      <c r="Y29" s="3245"/>
      <c r="Z29" s="3245"/>
      <c r="AA29" s="3245"/>
      <c r="AB29" s="3245"/>
      <c r="AC29" s="264"/>
      <c r="AD29" s="3245" t="str">
        <f>IF(TITLE_NAME_OR_PR_CHANGE="",IF(TITLE_NAME_OR_PR="","",TITLE_NAME_OR_PR),TITLE_NAME_OR_PR_CHANGE)</f>
        <v/>
      </c>
      <c r="AE29" s="3245"/>
      <c r="AF29" s="3245"/>
      <c r="AG29" s="3245"/>
      <c r="AH29" s="3245"/>
      <c r="AI29" s="3245"/>
      <c r="AJ29" s="324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243" t="s">
        <v>428</v>
      </c>
      <c r="T30" s="3243"/>
      <c r="U30" s="1299"/>
      <c r="V30" s="3244">
        <f>IF(TITLE_DATE_PR_CHANGE="",IF(TITLE_DATE_PR="","",TITLE_DATE_PR),TITLE_DATE_PR_CHANGE)</f>
        <v>45595.546053240738</v>
      </c>
      <c r="W30" s="3244"/>
      <c r="X30" s="3244"/>
      <c r="Y30" s="3244"/>
      <c r="Z30" s="3244"/>
      <c r="AA30" s="3244"/>
      <c r="AB30" s="3244"/>
      <c r="AC30" s="264"/>
      <c r="AD30" s="3244">
        <f>IF(TITLE_DATE_PR_CHANGE="",IF(TITLE_DATE_PR="","",TITLE_DATE_PR),TITLE_DATE_PR_CHANGE)</f>
        <v>45595.546053240738</v>
      </c>
      <c r="AE30" s="3244"/>
      <c r="AF30" s="3244"/>
      <c r="AG30" s="3244"/>
      <c r="AH30" s="3244"/>
      <c r="AI30" s="3244"/>
      <c r="AJ30" s="324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243" t="s">
        <v>429</v>
      </c>
      <c r="T31" s="3243"/>
      <c r="U31" s="1299"/>
      <c r="V31" s="3245" t="str">
        <f>IF(TITLE_NUMBER_PR_CHANGE="",IF(TITLE_NUMBER_PR="","",TITLE_NUMBER_PR),TITLE_NUMBER_PR_CHANGE)</f>
        <v>03/3636</v>
      </c>
      <c r="W31" s="3245"/>
      <c r="X31" s="3245"/>
      <c r="Y31" s="3245"/>
      <c r="Z31" s="3245"/>
      <c r="AA31" s="3245"/>
      <c r="AB31" s="3245"/>
      <c r="AC31" s="264"/>
      <c r="AD31" s="3245" t="str">
        <f>IF(TITLE_NUMBER_PR_CHANGE="",IF(TITLE_NUMBER_PR="","",TITLE_NUMBER_PR),TITLE_NUMBER_PR_CHANGE)</f>
        <v>03/3636</v>
      </c>
      <c r="AE31" s="3245"/>
      <c r="AF31" s="3245"/>
      <c r="AG31" s="3245"/>
      <c r="AH31" s="3245"/>
      <c r="AI31" s="3245"/>
      <c r="AJ31" s="324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243" t="s">
        <v>43</v>
      </c>
      <c r="T32" s="3243"/>
      <c r="U32" s="1299"/>
      <c r="V32" s="3245" t="str">
        <f>IF(TITLE_IST_PUB_CHANGE="",IF(TITLE_IST_PUB="","",TITLE_IST_PUB),TITLE_IST_PUB_CHANGE)</f>
        <v/>
      </c>
      <c r="W32" s="3245"/>
      <c r="X32" s="3245"/>
      <c r="Y32" s="3245"/>
      <c r="Z32" s="3245"/>
      <c r="AA32" s="3245"/>
      <c r="AB32" s="3245"/>
      <c r="AC32" s="264"/>
      <c r="AD32" s="3245" t="str">
        <f>IF(TITLE_IST_PUB_CHANGE="",IF(TITLE_IST_PUB="","",TITLE_IST_PUB),TITLE_IST_PUB_CHANGE)</f>
        <v/>
      </c>
      <c r="AE32" s="3245"/>
      <c r="AF32" s="3245"/>
      <c r="AG32" s="3245"/>
      <c r="AH32" s="3245"/>
      <c r="AI32" s="3245"/>
      <c r="AJ32" s="324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243" t="s">
        <v>430</v>
      </c>
      <c r="T34" s="3243"/>
      <c r="U34" s="1299"/>
      <c r="V34" s="3244">
        <f>IF(TITLE_DATE_PR_CHANGE="",IF(TITLE_DATE_PR="","",TITLE_DATE_PR),TITLE_DATE_PR_CHANGE)</f>
        <v>45595.546053240738</v>
      </c>
      <c r="W34" s="3244"/>
      <c r="X34" s="3244"/>
      <c r="Y34" s="3244"/>
      <c r="Z34" s="3244"/>
      <c r="AA34" s="3244"/>
      <c r="AB34" s="3244"/>
      <c r="AC34" s="264"/>
      <c r="AD34" s="3244">
        <f>IF(TITLE_DATE_PR_CHANGE="",IF(TITLE_DATE_PR="","",TITLE_DATE_PR),TITLE_DATE_PR_CHANGE)</f>
        <v>45595.546053240738</v>
      </c>
      <c r="AE34" s="3244"/>
      <c r="AF34" s="3244"/>
      <c r="AG34" s="3244"/>
      <c r="AH34" s="3244"/>
      <c r="AI34" s="3244"/>
      <c r="AJ34" s="324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243" t="s">
        <v>431</v>
      </c>
      <c r="T35" s="3243"/>
      <c r="U35" s="1299"/>
      <c r="V35" s="3245" t="str">
        <f>IF(TITLE_NUMBER_PR_CHANGE="",IF(TITLE_NUMBER_PR="","",TITLE_NUMBER_PR),TITLE_NUMBER_PR_CHANGE)</f>
        <v>03/3636</v>
      </c>
      <c r="W35" s="3245"/>
      <c r="X35" s="3245"/>
      <c r="Y35" s="3245"/>
      <c r="Z35" s="3245"/>
      <c r="AA35" s="3245"/>
      <c r="AB35" s="3245"/>
      <c r="AC35" s="264"/>
      <c r="AD35" s="3245" t="str">
        <f>IF(TITLE_NUMBER_PR_CHANGE="",IF(TITLE_NUMBER_PR="","",TITLE_NUMBER_PR),TITLE_NUMBER_PR_CHANGE)</f>
        <v>03/3636</v>
      </c>
      <c r="AE35" s="3245"/>
      <c r="AF35" s="3245"/>
      <c r="AG35" s="3245"/>
      <c r="AH35" s="3245"/>
      <c r="AI35" s="3245"/>
      <c r="AJ35" s="324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432</v>
      </c>
      <c r="AD36" s="264"/>
      <c r="AE36" s="264"/>
      <c r="AF36" s="264"/>
      <c r="AG36" s="264"/>
      <c r="AH36" s="264"/>
      <c r="AI36" s="264"/>
      <c r="AJ36" s="264"/>
      <c r="AK36" s="216" t="s">
        <v>432</v>
      </c>
      <c r="AN36" s="305"/>
      <c r="AO36" s="305"/>
      <c r="AP36" s="305"/>
      <c r="AQ36" s="305"/>
      <c r="AR36" s="305"/>
      <c r="AS36" s="355">
        <v>0</v>
      </c>
    </row>
    <row r="37" spans="1:45" ht="14.65" customHeight="1">
      <c r="Q37" s="313"/>
      <c r="R37" s="313"/>
      <c r="S37" s="1202"/>
      <c r="T37" s="300"/>
      <c r="U37" s="1171"/>
      <c r="V37" s="3266"/>
      <c r="W37" s="3266"/>
      <c r="X37" s="3266"/>
      <c r="Y37" s="3266"/>
      <c r="Z37" s="3266"/>
      <c r="AA37" s="3266"/>
      <c r="AB37" s="3266"/>
      <c r="AC37" s="3266"/>
      <c r="AD37" s="3266"/>
      <c r="AE37" s="3266"/>
      <c r="AF37" s="3266"/>
      <c r="AG37" s="3266"/>
      <c r="AH37" s="3266"/>
      <c r="AI37" s="3266"/>
      <c r="AJ37" s="3266"/>
      <c r="AK37" s="3266"/>
      <c r="AS37" s="1082">
        <v>14</v>
      </c>
    </row>
    <row r="38" spans="1:45" ht="14.6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c r="AM38" s="3111" t="s">
        <v>309</v>
      </c>
      <c r="AS38" s="1082">
        <v>14</v>
      </c>
    </row>
    <row r="39" spans="1:45" ht="14.65" customHeight="1">
      <c r="Q39" s="313"/>
      <c r="R39" s="313"/>
      <c r="S39" s="3268" t="s">
        <v>85</v>
      </c>
      <c r="T39" s="3212" t="s">
        <v>433</v>
      </c>
      <c r="U39" s="239"/>
      <c r="V39" s="3269" t="s">
        <v>434</v>
      </c>
      <c r="W39" s="3270"/>
      <c r="X39" s="3313"/>
      <c r="Y39" s="3313"/>
      <c r="Z39" s="3270"/>
      <c r="AA39" s="3270"/>
      <c r="AB39" s="3271"/>
      <c r="AC39" s="3272" t="s">
        <v>435</v>
      </c>
      <c r="AD39" s="3269" t="s">
        <v>434</v>
      </c>
      <c r="AE39" s="3270"/>
      <c r="AF39" s="3313"/>
      <c r="AG39" s="3313"/>
      <c r="AH39" s="3270"/>
      <c r="AI39" s="3270"/>
      <c r="AJ39" s="3271"/>
      <c r="AK39" s="3272" t="s">
        <v>436</v>
      </c>
      <c r="AL39" s="3275" t="s">
        <v>437</v>
      </c>
      <c r="AM39" s="3111"/>
      <c r="AS39" s="1082">
        <v>14</v>
      </c>
    </row>
    <row r="40" spans="1:45" ht="24" customHeight="1">
      <c r="Q40" s="313"/>
      <c r="R40" s="313"/>
      <c r="S40" s="3268"/>
      <c r="T40" s="3212"/>
      <c r="U40" s="961"/>
      <c r="V40" s="3311" t="s">
        <v>438</v>
      </c>
      <c r="W40" s="3185" t="s">
        <v>439</v>
      </c>
      <c r="X40" s="1303" t="s">
        <v>440</v>
      </c>
      <c r="Y40" s="1303"/>
      <c r="Z40" s="3098" t="s">
        <v>441</v>
      </c>
      <c r="AA40" s="3098"/>
      <c r="AB40" s="3092"/>
      <c r="AC40" s="3273"/>
      <c r="AD40" s="3311" t="s">
        <v>438</v>
      </c>
      <c r="AE40" s="3185" t="s">
        <v>439</v>
      </c>
      <c r="AF40" s="1303" t="s">
        <v>440</v>
      </c>
      <c r="AG40" s="1303"/>
      <c r="AH40" s="3098" t="s">
        <v>441</v>
      </c>
      <c r="AI40" s="3098"/>
      <c r="AJ40" s="3092"/>
      <c r="AK40" s="3273"/>
      <c r="AL40" s="3276"/>
      <c r="AM40" s="3111"/>
      <c r="AS40" s="1082">
        <v>23</v>
      </c>
    </row>
    <row r="41" spans="1:45" s="1193" customFormat="1" ht="24" customHeight="1">
      <c r="A41" s="1297"/>
      <c r="B41" s="1297" t="s">
        <v>133</v>
      </c>
      <c r="C41" s="1297" t="s">
        <v>134</v>
      </c>
      <c r="D41" s="1297" t="s">
        <v>135</v>
      </c>
      <c r="E41" s="1291" t="s">
        <v>442</v>
      </c>
      <c r="F41" s="1291" t="s">
        <v>443</v>
      </c>
      <c r="G41" s="1291" t="s">
        <v>444</v>
      </c>
      <c r="H41" s="1291" t="s">
        <v>445</v>
      </c>
      <c r="I41" s="1291" t="s">
        <v>446</v>
      </c>
      <c r="J41" s="1291" t="s">
        <v>447</v>
      </c>
      <c r="K41" s="1291" t="s">
        <v>448</v>
      </c>
      <c r="L41" s="1291" t="s">
        <v>423</v>
      </c>
      <c r="M41" s="1289"/>
      <c r="N41" s="1289"/>
      <c r="O41" s="1289"/>
      <c r="P41" s="1255"/>
      <c r="Q41" s="313"/>
      <c r="R41" s="313"/>
      <c r="S41" s="3268"/>
      <c r="T41" s="3212"/>
      <c r="U41" s="240"/>
      <c r="V41" s="3312"/>
      <c r="W41" s="3190"/>
      <c r="X41" s="1300" t="s">
        <v>449</v>
      </c>
      <c r="Y41" s="1300" t="s">
        <v>450</v>
      </c>
      <c r="Z41" s="1261" t="s">
        <v>451</v>
      </c>
      <c r="AA41" s="3217" t="s">
        <v>452</v>
      </c>
      <c r="AB41" s="3231"/>
      <c r="AC41" s="3274"/>
      <c r="AD41" s="3312"/>
      <c r="AE41" s="3190"/>
      <c r="AF41" s="1300" t="s">
        <v>449</v>
      </c>
      <c r="AG41" s="1300" t="s">
        <v>450</v>
      </c>
      <c r="AH41" s="1261" t="s">
        <v>451</v>
      </c>
      <c r="AI41" s="3217" t="s">
        <v>452</v>
      </c>
      <c r="AJ41" s="3231"/>
      <c r="AK41" s="3274"/>
      <c r="AL41" s="3277"/>
      <c r="AM41" s="311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8">
        <f ca="1">OFFSET(X42,0,-1)+1</f>
        <v>1</v>
      </c>
      <c r="Y42" s="1268">
        <f ca="1">OFFSET(Y42,0,-1)+1</f>
        <v>2</v>
      </c>
      <c r="Z42" s="1262">
        <f ca="1">OFFSET(Z42,0,-1)+1</f>
        <v>3</v>
      </c>
      <c r="AA42" s="3265">
        <f ca="1">OFFSET(AA42,0,-1)+1</f>
        <v>4</v>
      </c>
      <c r="AB42" s="3265"/>
      <c r="AC42" s="1262">
        <f ca="1">OFFSET(AC42,0,-2)+1</f>
        <v>5</v>
      </c>
      <c r="AD42" s="1262">
        <f ca="1">OFFSET(AD42,0,-1)+1</f>
        <v>6</v>
      </c>
      <c r="AE42" s="1262"/>
      <c r="AF42" s="1268">
        <f ca="1">OFFSET(AF42,0,-1)+1</f>
        <v>1</v>
      </c>
      <c r="AG42" s="1268">
        <f ca="1">OFFSET(AG42,0,-1)+1</f>
        <v>2</v>
      </c>
      <c r="AH42" s="1262">
        <f ca="1">OFFSET(AH42,0,-1)+1</f>
        <v>3</v>
      </c>
      <c r="AI42" s="3265">
        <f ca="1">OFFSET(AI42,0,-1)+1</f>
        <v>4</v>
      </c>
      <c r="AJ42" s="3265"/>
      <c r="AK42" s="1262">
        <f ca="1">OFFSET(AK42,0,-2)+1</f>
        <v>5</v>
      </c>
      <c r="AL42" s="1172">
        <f ca="1">OFFSET(AL42,0,-1)</f>
        <v>5</v>
      </c>
      <c r="AM42" s="1262">
        <f ca="1">OFFSET(AM42,0,-1)+1</f>
        <v>6</v>
      </c>
      <c r="AN42" s="448"/>
      <c r="AO42" s="448"/>
      <c r="AP42" s="448"/>
      <c r="AQ42" s="448"/>
      <c r="AR42" s="448"/>
      <c r="AS42" s="433">
        <v>0</v>
      </c>
    </row>
    <row r="43" spans="1:45" ht="21.95" customHeight="1">
      <c r="A43" s="1290" t="s">
        <v>202</v>
      </c>
      <c r="B43" s="1290"/>
      <c r="C43" s="1290"/>
      <c r="D43" s="1290"/>
      <c r="E43" s="325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3246"/>
      <c r="W43" s="3247"/>
      <c r="X43" s="3247"/>
      <c r="Y43" s="3247"/>
      <c r="Z43" s="3247"/>
      <c r="AA43" s="3247"/>
      <c r="AB43" s="3247"/>
      <c r="AC43" s="3248"/>
      <c r="AD43" s="3246" t="str">
        <f>INDEX(PT_DIFFERENTIATION_NTAR,MATCH(A43,PT_DIFFERENTIATION_NTAR_ID,0))</f>
        <v/>
      </c>
      <c r="AE43" s="3247"/>
      <c r="AF43" s="3247"/>
      <c r="AG43" s="3247"/>
      <c r="AH43" s="3247"/>
      <c r="AI43" s="3247"/>
      <c r="AJ43" s="3247"/>
      <c r="AK43" s="3247"/>
      <c r="AL43" s="324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202</v>
      </c>
      <c r="B44" s="1290" t="s">
        <v>203</v>
      </c>
      <c r="C44" s="1290"/>
      <c r="D44" s="1290"/>
      <c r="E44" s="3255"/>
      <c r="F44" s="3254">
        <v>1</v>
      </c>
      <c r="G44" s="1290"/>
      <c r="H44" s="1290"/>
      <c r="I44" s="1290"/>
      <c r="J44" s="1290"/>
      <c r="K44" s="1290"/>
      <c r="L44" s="1291"/>
      <c r="M44" s="1292"/>
      <c r="N44" s="1292"/>
      <c r="O44" s="1292"/>
      <c r="P44" s="1259"/>
      <c r="Q44" s="289"/>
      <c r="R44" s="290"/>
      <c r="S44" s="1263" t="str">
        <f>INDEX(PT_DIFFERENTIATION_NUM_TER,MATCH(B44,PT_DIFFERENTIATION_TER_ID,0))</f>
        <v>.</v>
      </c>
      <c r="T44" s="246" t="s">
        <v>405</v>
      </c>
      <c r="U44" s="238"/>
      <c r="V44" s="3246"/>
      <c r="W44" s="3247"/>
      <c r="X44" s="3247"/>
      <c r="Y44" s="3247"/>
      <c r="Z44" s="3247"/>
      <c r="AA44" s="3247"/>
      <c r="AB44" s="3247"/>
      <c r="AC44" s="3248"/>
      <c r="AD44" s="3246" t="str">
        <f>INDEX(PT_DIFFERENTIATION_TER,MATCH(B44,PT_DIFFERENTIATION_TER_ID,0))</f>
        <v/>
      </c>
      <c r="AE44" s="3247"/>
      <c r="AF44" s="3247"/>
      <c r="AG44" s="3247"/>
      <c r="AH44" s="3247"/>
      <c r="AI44" s="3247"/>
      <c r="AJ44" s="3247"/>
      <c r="AK44" s="3247"/>
      <c r="AL44" s="3248"/>
      <c r="AM44" s="1185" t="s">
        <v>406</v>
      </c>
      <c r="AO44" s="437"/>
      <c r="AP44" s="437" t="str">
        <f t="shared" si="1"/>
        <v>Территория действия тарифа</v>
      </c>
      <c r="AQ44" s="437"/>
      <c r="AR44" s="437"/>
      <c r="AS44" s="1082">
        <v>21</v>
      </c>
    </row>
    <row r="45" spans="1:45" ht="24" customHeight="1">
      <c r="A45" s="1290" t="s">
        <v>202</v>
      </c>
      <c r="B45" s="1290" t="s">
        <v>203</v>
      </c>
      <c r="C45" s="1290" t="s">
        <v>204</v>
      </c>
      <c r="D45" s="1290"/>
      <c r="E45" s="3255"/>
      <c r="F45" s="3255"/>
      <c r="G45" s="3254">
        <v>1</v>
      </c>
      <c r="H45" s="1290"/>
      <c r="I45" s="1290"/>
      <c r="J45" s="1290"/>
      <c r="K45" s="1290"/>
      <c r="L45" s="1291"/>
      <c r="M45" s="1292"/>
      <c r="N45" s="1292"/>
      <c r="O45" s="1292"/>
      <c r="P45" s="291"/>
      <c r="Q45" s="289"/>
      <c r="R45" s="290"/>
      <c r="S45" s="1263" t="str">
        <f>INDEX(PT_DIFFERENTIATION_NUM_CS,MATCH(C45,PT_DIFFERENTIATION_CS_ID,0))</f>
        <v>..</v>
      </c>
      <c r="T45" s="247" t="s">
        <v>407</v>
      </c>
      <c r="U45" s="238"/>
      <c r="V45" s="3246"/>
      <c r="W45" s="3247"/>
      <c r="X45" s="3247"/>
      <c r="Y45" s="3247"/>
      <c r="Z45" s="3247"/>
      <c r="AA45" s="3247"/>
      <c r="AB45" s="3247"/>
      <c r="AC45" s="3248"/>
      <c r="AD45" s="3246" t="str">
        <f>INDEX(PT_DIFFERENTIATION_CS,MATCH(C45,PT_DIFFERENTIATION_CS_ID,0))</f>
        <v/>
      </c>
      <c r="AE45" s="3247"/>
      <c r="AF45" s="3247"/>
      <c r="AG45" s="3247"/>
      <c r="AH45" s="3247"/>
      <c r="AI45" s="3247"/>
      <c r="AJ45" s="3247"/>
      <c r="AK45" s="3247"/>
      <c r="AL45" s="3248"/>
      <c r="AM45" s="1185" t="s">
        <v>408</v>
      </c>
      <c r="AO45" s="437"/>
      <c r="AP45" s="437" t="str">
        <f t="shared" si="1"/>
        <v xml:space="preserve">Наименование системы теплоснабжения </v>
      </c>
      <c r="AQ45" s="437"/>
      <c r="AR45" s="437"/>
      <c r="AS45" s="1082">
        <v>23</v>
      </c>
    </row>
    <row r="46" spans="1:45" ht="21.95" customHeight="1">
      <c r="A46" s="1290" t="s">
        <v>202</v>
      </c>
      <c r="B46" s="1290" t="s">
        <v>203</v>
      </c>
      <c r="C46" s="1290" t="s">
        <v>204</v>
      </c>
      <c r="D46" s="1290" t="s">
        <v>205</v>
      </c>
      <c r="E46" s="3255"/>
      <c r="F46" s="3255"/>
      <c r="G46" s="3255"/>
      <c r="H46" s="3254">
        <v>1</v>
      </c>
      <c r="I46" s="1290"/>
      <c r="J46" s="1290"/>
      <c r="K46" s="1290"/>
      <c r="L46" s="1291"/>
      <c r="M46" s="1292"/>
      <c r="N46" s="1292"/>
      <c r="O46" s="1292"/>
      <c r="P46" s="291"/>
      <c r="Q46" s="289"/>
      <c r="R46" s="290"/>
      <c r="S46" s="1263" t="str">
        <f>INDEX(PT_DIFFERENTIATION_NUM_IST_TE,MATCH(D46,PT_DIFFERENTIATION_IST_TE_ID,0))</f>
        <v>...</v>
      </c>
      <c r="T46" s="248" t="s">
        <v>409</v>
      </c>
      <c r="U46" s="238"/>
      <c r="V46" s="3246"/>
      <c r="W46" s="3247"/>
      <c r="X46" s="3247"/>
      <c r="Y46" s="3247"/>
      <c r="Z46" s="3247"/>
      <c r="AA46" s="3247"/>
      <c r="AB46" s="3247"/>
      <c r="AC46" s="3248"/>
      <c r="AD46" s="3246" t="str">
        <f>INDEX(PT_DIFFERENTIATION_IST_TE,MATCH(D46,PT_DIFFERENTIATION_IST_TE_ID,0))</f>
        <v/>
      </c>
      <c r="AE46" s="3247"/>
      <c r="AF46" s="3247"/>
      <c r="AG46" s="3247"/>
      <c r="AH46" s="3247"/>
      <c r="AI46" s="3247"/>
      <c r="AJ46" s="3247"/>
      <c r="AK46" s="3247"/>
      <c r="AL46" s="3248"/>
      <c r="AM46" s="1185" t="s">
        <v>410</v>
      </c>
      <c r="AO46" s="437"/>
      <c r="AP46" s="437" t="str">
        <f t="shared" si="1"/>
        <v xml:space="preserve">Источник тепловой энергии  </v>
      </c>
      <c r="AQ46" s="437"/>
      <c r="AR46" s="437"/>
      <c r="AS46" s="1082">
        <v>21</v>
      </c>
    </row>
    <row r="47" spans="1:45" ht="49.5" customHeight="1">
      <c r="A47" s="1290" t="s">
        <v>202</v>
      </c>
      <c r="B47" s="1290" t="s">
        <v>203</v>
      </c>
      <c r="C47" s="1290" t="s">
        <v>204</v>
      </c>
      <c r="D47" s="1290" t="s">
        <v>205</v>
      </c>
      <c r="E47" s="3255"/>
      <c r="F47" s="3255"/>
      <c r="G47" s="3255"/>
      <c r="H47" s="3255"/>
      <c r="I47" s="3256" t="str">
        <f>S46&amp;".1"</f>
        <v>....1</v>
      </c>
      <c r="J47" s="1290"/>
      <c r="K47" s="1290"/>
      <c r="L47" s="1291" t="s">
        <v>411</v>
      </c>
      <c r="P47" s="3258">
        <v>1</v>
      </c>
      <c r="Q47" s="1258"/>
      <c r="R47" s="293"/>
      <c r="S47" s="1263" t="str">
        <f>$I47</f>
        <v>....1</v>
      </c>
      <c r="T47" s="223" t="s">
        <v>412</v>
      </c>
      <c r="U47" s="238"/>
      <c r="V47" s="3239"/>
      <c r="W47" s="3240"/>
      <c r="X47" s="3240"/>
      <c r="Y47" s="3240"/>
      <c r="Z47" s="3240"/>
      <c r="AA47" s="3240"/>
      <c r="AB47" s="3240"/>
      <c r="AC47" s="3241"/>
      <c r="AD47" s="3239"/>
      <c r="AE47" s="3240"/>
      <c r="AF47" s="3240"/>
      <c r="AG47" s="3240"/>
      <c r="AH47" s="3240"/>
      <c r="AI47" s="3240"/>
      <c r="AJ47" s="3240"/>
      <c r="AK47" s="3240"/>
      <c r="AL47" s="3241"/>
      <c r="AM47" s="1185" t="s">
        <v>413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202</v>
      </c>
      <c r="B48" s="1290" t="s">
        <v>203</v>
      </c>
      <c r="C48" s="1290" t="s">
        <v>204</v>
      </c>
      <c r="D48" s="1290" t="s">
        <v>205</v>
      </c>
      <c r="E48" s="3255"/>
      <c r="F48" s="3255"/>
      <c r="G48" s="3255"/>
      <c r="H48" s="3255"/>
      <c r="I48" s="3257"/>
      <c r="J48" s="3256" t="str">
        <f>I47&amp;".1"</f>
        <v>....1.1</v>
      </c>
      <c r="K48" s="1290"/>
      <c r="L48" s="1291" t="s">
        <v>414</v>
      </c>
      <c r="P48" s="3258"/>
      <c r="Q48" s="3258">
        <v>1</v>
      </c>
      <c r="R48" s="294"/>
      <c r="S48" s="1263" t="str">
        <f>$J48</f>
        <v>....1.1</v>
      </c>
      <c r="T48" s="224" t="s">
        <v>415</v>
      </c>
      <c r="U48" s="238"/>
      <c r="V48" s="3239"/>
      <c r="W48" s="3240"/>
      <c r="X48" s="3240"/>
      <c r="Y48" s="3240"/>
      <c r="Z48" s="3240"/>
      <c r="AA48" s="3240"/>
      <c r="AB48" s="3240"/>
      <c r="AC48" s="3241"/>
      <c r="AD48" s="3239"/>
      <c r="AE48" s="3240"/>
      <c r="AF48" s="3240"/>
      <c r="AG48" s="3240"/>
      <c r="AH48" s="3240"/>
      <c r="AI48" s="3240"/>
      <c r="AJ48" s="3240"/>
      <c r="AK48" s="3240"/>
      <c r="AL48" s="3241"/>
      <c r="AM48" s="1185" t="s">
        <v>416</v>
      </c>
      <c r="AO48" s="437"/>
      <c r="AP48" s="437" t="str">
        <f t="shared" si="1"/>
        <v>Группа потребителей</v>
      </c>
      <c r="AQ48" s="437"/>
      <c r="AR48" s="437"/>
      <c r="AS48" s="1082">
        <v>21</v>
      </c>
    </row>
    <row r="49" spans="1:45" ht="21.95" customHeight="1">
      <c r="A49" s="1290" t="s">
        <v>202</v>
      </c>
      <c r="B49" s="1290" t="s">
        <v>203</v>
      </c>
      <c r="C49" s="1290" t="s">
        <v>204</v>
      </c>
      <c r="D49" s="1290" t="s">
        <v>205</v>
      </c>
      <c r="E49" s="3255"/>
      <c r="F49" s="3255"/>
      <c r="G49" s="3255"/>
      <c r="H49" s="3255"/>
      <c r="I49" s="3257"/>
      <c r="J49" s="3257"/>
      <c r="K49" s="3256" t="str">
        <f>J48&amp;".1"</f>
        <v>....1.1.1</v>
      </c>
      <c r="L49" s="1291" t="s">
        <v>417</v>
      </c>
      <c r="P49" s="3258"/>
      <c r="Q49" s="3258"/>
      <c r="R49" s="294">
        <v>1</v>
      </c>
      <c r="S49" s="1263" t="str">
        <f>$K49</f>
        <v>....1.1.1</v>
      </c>
      <c r="T49" s="1274"/>
      <c r="U49" s="238"/>
      <c r="V49" s="263"/>
      <c r="W49" s="688"/>
      <c r="X49" s="263"/>
      <c r="Y49" s="321"/>
      <c r="Z49" s="3259"/>
      <c r="AA49" s="3121" t="s">
        <v>67</v>
      </c>
      <c r="AB49" s="3259"/>
      <c r="AC49" s="3121" t="s">
        <v>67</v>
      </c>
      <c r="AD49" s="263"/>
      <c r="AE49" s="688"/>
      <c r="AF49" s="263"/>
      <c r="AG49" s="321"/>
      <c r="AH49" s="3259"/>
      <c r="AI49" s="3121" t="s">
        <v>67</v>
      </c>
      <c r="AJ49" s="3261"/>
      <c r="AK49" s="3121" t="s">
        <v>67</v>
      </c>
      <c r="AL49" s="1275"/>
      <c r="AM49" s="3278" t="s">
        <v>418</v>
      </c>
      <c r="AN49" s="448" t="e">
        <f ca="1">STRCHECKDATE(V50:AL50)</f>
        <v>#NAME?</v>
      </c>
      <c r="AO49" s="437"/>
      <c r="AP49" s="437" t="str">
        <f t="shared" si="1"/>
        <v/>
      </c>
      <c r="AQ49" s="437"/>
      <c r="AR49" s="437"/>
      <c r="AS49" s="1082">
        <v>21</v>
      </c>
    </row>
    <row r="50" spans="1:45" ht="1.1499999999999999" customHeight="1">
      <c r="A50" s="1290" t="s">
        <v>202</v>
      </c>
      <c r="B50" s="1290" t="s">
        <v>203</v>
      </c>
      <c r="C50" s="1290" t="s">
        <v>204</v>
      </c>
      <c r="D50" s="1290" t="s">
        <v>205</v>
      </c>
      <c r="E50" s="3255"/>
      <c r="F50" s="3255"/>
      <c r="G50" s="3255"/>
      <c r="H50" s="3255"/>
      <c r="I50" s="3257"/>
      <c r="J50" s="3257"/>
      <c r="K50" s="3256"/>
      <c r="L50" s="1291"/>
      <c r="P50" s="3258"/>
      <c r="Q50" s="3258"/>
      <c r="R50" s="294"/>
      <c r="S50" s="1269"/>
      <c r="T50" s="238"/>
      <c r="U50" s="238"/>
      <c r="V50" s="263"/>
      <c r="W50" s="263"/>
      <c r="X50" s="263"/>
      <c r="Y50" s="266" t="str">
        <f>Z49&amp;"-"&amp;AB49</f>
        <v>-</v>
      </c>
      <c r="Z50" s="3260"/>
      <c r="AA50" s="3121"/>
      <c r="AB50" s="3260"/>
      <c r="AC50" s="3121"/>
      <c r="AD50" s="263"/>
      <c r="AE50" s="263"/>
      <c r="AF50" s="263"/>
      <c r="AG50" s="266" t="str">
        <f>AH49&amp;"-"&amp;AJ49</f>
        <v>-</v>
      </c>
      <c r="AH50" s="3260"/>
      <c r="AI50" s="3121"/>
      <c r="AJ50" s="3262"/>
      <c r="AK50" s="3121"/>
      <c r="AL50" s="1276"/>
      <c r="AM50" s="3279"/>
      <c r="AO50" s="437"/>
      <c r="AP50" s="437" t="str">
        <f t="shared" si="1"/>
        <v/>
      </c>
      <c r="AQ50" s="437"/>
      <c r="AR50" s="437"/>
      <c r="AS50" s="1082">
        <v>1</v>
      </c>
    </row>
    <row r="51" spans="1:45" ht="11.45" customHeight="1">
      <c r="A51" s="1290" t="s">
        <v>202</v>
      </c>
      <c r="B51" s="1290" t="s">
        <v>203</v>
      </c>
      <c r="C51" s="1290" t="s">
        <v>204</v>
      </c>
      <c r="D51" s="1290" t="s">
        <v>205</v>
      </c>
      <c r="E51" s="3255"/>
      <c r="F51" s="3255"/>
      <c r="G51" s="3255"/>
      <c r="H51" s="3255"/>
      <c r="I51" s="3257"/>
      <c r="J51" s="3256"/>
      <c r="K51" s="1290"/>
      <c r="L51" s="1291"/>
      <c r="P51" s="3258"/>
      <c r="Q51" s="3258"/>
      <c r="R51" s="293"/>
      <c r="S51" s="1205"/>
      <c r="T51" s="226" t="s">
        <v>419</v>
      </c>
      <c r="U51" s="304"/>
      <c r="V51" s="304"/>
      <c r="W51" s="304"/>
      <c r="X51" s="304"/>
      <c r="Y51" s="304"/>
      <c r="Z51" s="304"/>
      <c r="AA51" s="304"/>
      <c r="AB51" s="304"/>
      <c r="AC51" s="304"/>
      <c r="AD51" s="304"/>
      <c r="AE51" s="304"/>
      <c r="AF51" s="304"/>
      <c r="AG51" s="304"/>
      <c r="AH51" s="304"/>
      <c r="AI51" s="304"/>
      <c r="AJ51" s="304"/>
      <c r="AK51" s="304"/>
      <c r="AL51" s="262"/>
      <c r="AM51" s="3280"/>
      <c r="AO51" s="437"/>
      <c r="AP51" s="437" t="str">
        <f t="shared" si="1"/>
        <v>Добавить вид теплоносителя (параметры теплоносителя)</v>
      </c>
      <c r="AQ51" s="437"/>
      <c r="AR51" s="437"/>
      <c r="AS51" s="1082">
        <v>11</v>
      </c>
    </row>
    <row r="52" spans="1:45" ht="11.45" customHeight="1">
      <c r="A52" s="1290" t="s">
        <v>202</v>
      </c>
      <c r="B52" s="1290" t="s">
        <v>203</v>
      </c>
      <c r="C52" s="1290" t="s">
        <v>204</v>
      </c>
      <c r="D52" s="1290" t="s">
        <v>205</v>
      </c>
      <c r="E52" s="3255"/>
      <c r="F52" s="3255"/>
      <c r="G52" s="3255"/>
      <c r="H52" s="3255"/>
      <c r="I52" s="3256"/>
      <c r="J52" s="1290"/>
      <c r="K52" s="1290"/>
      <c r="L52" s="1291"/>
      <c r="P52" s="3258"/>
      <c r="Q52" s="1258"/>
      <c r="R52" s="293"/>
      <c r="S52" s="1205"/>
      <c r="T52" s="225" t="s">
        <v>420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202</v>
      </c>
      <c r="B53" s="1290" t="s">
        <v>203</v>
      </c>
      <c r="C53" s="1290" t="s">
        <v>204</v>
      </c>
      <c r="D53" s="1290" t="s">
        <v>205</v>
      </c>
      <c r="E53" s="3255"/>
      <c r="F53" s="3255"/>
      <c r="G53" s="3255"/>
      <c r="H53" s="3254"/>
      <c r="I53" s="1290"/>
      <c r="J53" s="1290"/>
      <c r="K53" s="1290"/>
      <c r="L53" s="1291"/>
      <c r="M53" s="1292"/>
      <c r="N53" s="1292"/>
      <c r="O53" s="474"/>
      <c r="P53" s="297"/>
      <c r="Q53" s="312"/>
      <c r="R53" s="292"/>
      <c r="S53" s="1205"/>
      <c r="T53" s="302" t="s">
        <v>421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202</v>
      </c>
      <c r="B54" s="1270" t="s">
        <v>203</v>
      </c>
      <c r="C54" s="1270" t="s">
        <v>204</v>
      </c>
      <c r="D54" s="1241"/>
      <c r="E54" s="3255"/>
      <c r="F54" s="3255"/>
      <c r="G54" s="3254"/>
      <c r="H54" s="1241"/>
      <c r="I54" s="1241"/>
      <c r="J54" s="1241"/>
      <c r="K54" s="1241"/>
      <c r="L54" s="1266"/>
      <c r="M54" s="1242"/>
      <c r="N54" s="1242"/>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202</v>
      </c>
      <c r="B55" s="1270" t="s">
        <v>203</v>
      </c>
      <c r="C55" s="1241"/>
      <c r="D55" s="1241"/>
      <c r="E55" s="3255"/>
      <c r="F55" s="3254"/>
      <c r="G55" s="1241"/>
      <c r="H55" s="1241"/>
      <c r="I55" s="1241"/>
      <c r="J55" s="1241"/>
      <c r="K55" s="1241"/>
      <c r="L55" s="1266"/>
      <c r="M55" s="1248"/>
      <c r="N55" s="1248"/>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202</v>
      </c>
      <c r="B56" s="1270"/>
      <c r="C56" s="1270"/>
      <c r="D56" s="1270"/>
      <c r="E56" s="3254"/>
      <c r="F56" s="1270"/>
      <c r="G56" s="1270"/>
      <c r="H56" s="1270"/>
      <c r="I56" s="1270"/>
      <c r="J56" s="1270"/>
      <c r="K56" s="1270"/>
      <c r="L56" s="1273"/>
      <c r="M56" s="1248"/>
      <c r="N56" s="1248"/>
      <c r="O56" s="455"/>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3252"/>
      <c r="U59" s="3252"/>
      <c r="V59" s="3252"/>
      <c r="W59" s="3252"/>
      <c r="X59" s="3252"/>
      <c r="Y59" s="3252"/>
      <c r="Z59" s="3252"/>
      <c r="AA59" s="3252"/>
      <c r="AB59" s="3252"/>
      <c r="AC59" s="3252"/>
      <c r="AD59" s="3252"/>
      <c r="AE59" s="3252"/>
      <c r="AF59" s="3252"/>
      <c r="AG59" s="3252"/>
      <c r="AH59" s="3252"/>
      <c r="AI59" s="3252"/>
      <c r="AJ59" s="3252"/>
      <c r="AK59" s="3252"/>
      <c r="AL59" s="3252"/>
      <c r="AM59" s="3252"/>
      <c r="AS59" s="1082">
        <v>27</v>
      </c>
    </row>
    <row r="60" spans="1:45" ht="78.75" customHeight="1">
      <c r="O60" s="474"/>
      <c r="T60" s="3252"/>
      <c r="U60" s="3252"/>
      <c r="V60" s="3252"/>
      <c r="W60" s="3252"/>
      <c r="X60" s="3252"/>
      <c r="Y60" s="3252"/>
      <c r="Z60" s="3252"/>
      <c r="AA60" s="3252"/>
      <c r="AB60" s="3252"/>
      <c r="AC60" s="3252"/>
      <c r="AD60" s="3252"/>
      <c r="AE60" s="3252"/>
      <c r="AF60" s="3252"/>
      <c r="AG60" s="3252"/>
      <c r="AH60" s="3252"/>
      <c r="AI60" s="3252"/>
      <c r="AJ60" s="3252"/>
      <c r="AK60" s="3252"/>
      <c r="AL60" s="3252"/>
      <c r="AM60" s="3252"/>
      <c r="AS60" s="1082">
        <v>75</v>
      </c>
    </row>
    <row r="61" spans="1:45" ht="14.65" customHeight="1">
      <c r="O61" s="474"/>
      <c r="AS61" s="1082">
        <v>14</v>
      </c>
    </row>
    <row r="62" spans="1:45" ht="18.75" customHeight="1">
      <c r="O62" s="474"/>
      <c r="S62" s="1180"/>
      <c r="T62" s="3252"/>
      <c r="U62" s="3252"/>
      <c r="V62" s="3252"/>
      <c r="W62" s="3252"/>
      <c r="X62" s="3252"/>
      <c r="Y62" s="3252"/>
      <c r="Z62" s="3252"/>
      <c r="AA62" s="3252"/>
      <c r="AB62" s="3252"/>
      <c r="AC62" s="3252"/>
      <c r="AD62" s="3252"/>
      <c r="AE62" s="3252"/>
      <c r="AF62" s="3252"/>
      <c r="AG62" s="3252"/>
      <c r="AH62" s="3252"/>
      <c r="AI62" s="3252"/>
      <c r="AJ62" s="3252"/>
      <c r="AK62" s="3252"/>
      <c r="AL62" s="3252"/>
      <c r="AM62" s="3252"/>
      <c r="AS62" s="1082">
        <v>18</v>
      </c>
    </row>
    <row r="63" spans="1:45" ht="18.75" customHeight="1">
      <c r="O63" s="474"/>
      <c r="T63" s="3252"/>
      <c r="U63" s="3252"/>
      <c r="V63" s="3252"/>
      <c r="W63" s="3252"/>
      <c r="X63" s="3252"/>
      <c r="Y63" s="3252"/>
      <c r="Z63" s="3252"/>
      <c r="AA63" s="3252"/>
      <c r="AB63" s="3252"/>
      <c r="AC63" s="3252"/>
      <c r="AD63" s="3252"/>
      <c r="AE63" s="3252"/>
      <c r="AF63" s="3252"/>
      <c r="AG63" s="3252"/>
      <c r="AH63" s="3252"/>
      <c r="AI63" s="3252"/>
      <c r="AJ63" s="3252"/>
      <c r="AK63" s="3252"/>
      <c r="AL63" s="3252"/>
      <c r="AM63" s="3252"/>
      <c r="AS63" s="1082">
        <v>18</v>
      </c>
    </row>
    <row r="64" spans="1:45" ht="39.75" customHeight="1">
      <c r="O64" s="474"/>
      <c r="S64" s="1180"/>
      <c r="T64" s="3252"/>
      <c r="U64" s="3252"/>
      <c r="V64" s="3252"/>
      <c r="W64" s="3252"/>
      <c r="X64" s="3252"/>
      <c r="Y64" s="3252"/>
      <c r="Z64" s="3252"/>
      <c r="AA64" s="3252"/>
      <c r="AB64" s="3252"/>
      <c r="AC64" s="3252"/>
      <c r="AD64" s="3252"/>
      <c r="AE64" s="3252"/>
      <c r="AF64" s="3252"/>
      <c r="AG64" s="3252"/>
      <c r="AH64" s="3252"/>
      <c r="AI64" s="3252"/>
      <c r="AJ64" s="3252"/>
      <c r="AK64" s="3252"/>
      <c r="AL64" s="3252"/>
      <c r="AM64" s="3252"/>
      <c r="AS64" s="1082">
        <v>38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E30D-7874-C512-3B47-DF5EBBEEC89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5" hidden="1" customWidth="1"/>
    <col min="17" max="18" width="3" style="282" customWidth="1"/>
    <col min="19" max="19" width="12" style="201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3254">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8"/>
      <c r="AM2" s="1185" t="s">
        <v>404</v>
      </c>
      <c r="AO2" s="437"/>
      <c r="AP2" s="437" t="str">
        <f t="shared" ref="AP2:AP15" si="0">IF(T2="","",T2)</f>
        <v>Наименование тарифа</v>
      </c>
      <c r="AQ2" s="437"/>
      <c r="AR2" s="437"/>
      <c r="AS2" s="1082">
        <v>0</v>
      </c>
    </row>
    <row r="3" spans="1:45" ht="21" hidden="1" customHeight="1">
      <c r="A3" s="1290"/>
      <c r="B3" s="1290"/>
      <c r="C3" s="1290"/>
      <c r="D3" s="1290"/>
      <c r="E3" s="3255"/>
      <c r="F3" s="3254">
        <v>1</v>
      </c>
      <c r="G3" s="1290"/>
      <c r="H3" s="1290"/>
      <c r="I3" s="1290"/>
      <c r="J3" s="1290"/>
      <c r="K3" s="1290"/>
      <c r="L3" s="1291"/>
      <c r="M3" s="1292"/>
      <c r="N3" s="1292"/>
      <c r="O3" s="1292"/>
      <c r="P3" s="1259"/>
      <c r="Q3" s="289"/>
      <c r="R3" s="290"/>
      <c r="S3" s="1263" t="e">
        <f>INDEX(PT_DIFFERENTIATION_NUM_TER,MATCH(B3,PT_DIFFERENTIATION_TER_ID,0))</f>
        <v>#N/A</v>
      </c>
      <c r="T3" s="246"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8"/>
      <c r="AM3" s="1185" t="s">
        <v>406</v>
      </c>
      <c r="AO3" s="437"/>
      <c r="AP3" s="437" t="str">
        <f t="shared" si="0"/>
        <v>Территория действия тарифа</v>
      </c>
      <c r="AQ3" s="437"/>
      <c r="AR3" s="437"/>
      <c r="AS3" s="1082">
        <v>0</v>
      </c>
    </row>
    <row r="4" spans="1:45" ht="23.25" hidden="1" customHeight="1">
      <c r="A4" s="1290"/>
      <c r="B4" s="1290"/>
      <c r="C4" s="1290"/>
      <c r="D4" s="1290"/>
      <c r="E4" s="3255"/>
      <c r="F4" s="3255"/>
      <c r="G4" s="3254">
        <v>1</v>
      </c>
      <c r="H4" s="1290"/>
      <c r="I4" s="1290"/>
      <c r="J4" s="1290"/>
      <c r="K4" s="1290"/>
      <c r="L4" s="1291"/>
      <c r="M4" s="1292"/>
      <c r="N4" s="1292"/>
      <c r="O4" s="1292"/>
      <c r="P4" s="291"/>
      <c r="Q4" s="289"/>
      <c r="R4" s="290"/>
      <c r="S4" s="1263" t="e">
        <f>INDEX(PT_DIFFERENTIATION_NUM_CS,MATCH(C4,PT_DIFFERENTIATION_CS_ID,0))</f>
        <v>#N/A</v>
      </c>
      <c r="T4" s="247" t="s">
        <v>407</v>
      </c>
      <c r="U4" s="238"/>
      <c r="V4" s="3246"/>
      <c r="W4" s="3247"/>
      <c r="X4" s="3247"/>
      <c r="Y4" s="3247"/>
      <c r="Z4" s="3247"/>
      <c r="AA4" s="3247"/>
      <c r="AB4" s="3247"/>
      <c r="AC4" s="3248"/>
      <c r="AD4" s="3246" t="e">
        <f>INDEX(PT_DIFFERENTIATION_CS,MATCH(C4,PT_DIFFERENTIATION_CS_ID,0))</f>
        <v>#N/A</v>
      </c>
      <c r="AE4" s="3247"/>
      <c r="AF4" s="3247"/>
      <c r="AG4" s="3247"/>
      <c r="AH4" s="3247"/>
      <c r="AI4" s="3247"/>
      <c r="AJ4" s="3247"/>
      <c r="AK4" s="3247"/>
      <c r="AL4" s="3248"/>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255"/>
      <c r="F5" s="3255"/>
      <c r="G5" s="3255"/>
      <c r="H5" s="3254">
        <v>1</v>
      </c>
      <c r="I5" s="1290"/>
      <c r="J5" s="1290"/>
      <c r="K5" s="1290"/>
      <c r="L5" s="1291"/>
      <c r="M5" s="1292"/>
      <c r="N5" s="1292"/>
      <c r="O5" s="1292"/>
      <c r="P5" s="291"/>
      <c r="Q5" s="289"/>
      <c r="R5" s="290"/>
      <c r="S5" s="1263" t="e">
        <f>INDEX(PT_DIFFERENTIATION_NUM_IST_TE,MATCH(D5,PT_DIFFERENTIATION_IST_TE_ID,0))</f>
        <v>#N/A</v>
      </c>
      <c r="T5" s="248" t="s">
        <v>409</v>
      </c>
      <c r="U5" s="238"/>
      <c r="V5" s="3246"/>
      <c r="W5" s="3247"/>
      <c r="X5" s="3247"/>
      <c r="Y5" s="3247"/>
      <c r="Z5" s="3247"/>
      <c r="AA5" s="3247"/>
      <c r="AB5" s="3247"/>
      <c r="AC5" s="3248"/>
      <c r="AD5" s="3246" t="e">
        <f>INDEX(PT_DIFFERENTIATION_IST_TE,MATCH(D5,PT_DIFFERENTIATION_IST_TE_ID,0))</f>
        <v>#N/A</v>
      </c>
      <c r="AE5" s="3247"/>
      <c r="AF5" s="3247"/>
      <c r="AG5" s="3247"/>
      <c r="AH5" s="3247"/>
      <c r="AI5" s="3247"/>
      <c r="AJ5" s="3247"/>
      <c r="AK5" s="3247"/>
      <c r="AL5" s="3248"/>
      <c r="AM5" s="1185" t="s">
        <v>410</v>
      </c>
      <c r="AO5" s="437"/>
      <c r="AP5" s="437" t="str">
        <f t="shared" si="0"/>
        <v xml:space="preserve">Источник тепловой энергии  </v>
      </c>
      <c r="AQ5" s="437"/>
      <c r="AR5" s="437"/>
      <c r="AS5" s="1082">
        <v>0</v>
      </c>
    </row>
    <row r="6" spans="1:45" ht="14.25" hidden="1" customHeight="1">
      <c r="A6" s="1290"/>
      <c r="B6" s="1290"/>
      <c r="C6" s="1290"/>
      <c r="D6" s="1290"/>
      <c r="E6" s="3255"/>
      <c r="F6" s="3255"/>
      <c r="G6" s="3255"/>
      <c r="H6" s="3255"/>
      <c r="I6" s="3256" t="e">
        <f>S5&amp;".1"</f>
        <v>#N/A</v>
      </c>
      <c r="J6" s="1290"/>
      <c r="K6" s="1290"/>
      <c r="L6" s="1291" t="s">
        <v>411</v>
      </c>
      <c r="M6" s="474"/>
      <c r="P6" s="3258">
        <v>1</v>
      </c>
      <c r="Q6" s="1258"/>
      <c r="R6" s="293"/>
      <c r="S6" s="972"/>
      <c r="T6" s="1310"/>
      <c r="U6" s="1311"/>
      <c r="V6" s="3314"/>
      <c r="W6" s="3315"/>
      <c r="X6" s="3315"/>
      <c r="Y6" s="3315"/>
      <c r="Z6" s="3315"/>
      <c r="AA6" s="3315"/>
      <c r="AB6" s="3315"/>
      <c r="AC6" s="3316"/>
      <c r="AD6" s="3314"/>
      <c r="AE6" s="3315"/>
      <c r="AF6" s="3315"/>
      <c r="AG6" s="3315"/>
      <c r="AH6" s="3315"/>
      <c r="AI6" s="3315"/>
      <c r="AJ6" s="3315"/>
      <c r="AK6" s="3315"/>
      <c r="AL6" s="3316"/>
      <c r="AM6" s="1312"/>
      <c r="AO6" s="437"/>
      <c r="AP6" s="437" t="str">
        <f t="shared" si="0"/>
        <v/>
      </c>
      <c r="AQ6" s="437"/>
      <c r="AR6" s="437"/>
      <c r="AS6" s="1082">
        <v>0</v>
      </c>
    </row>
    <row r="7" spans="1:45" ht="21" hidden="1" customHeight="1">
      <c r="A7" s="1290"/>
      <c r="B7" s="1290"/>
      <c r="C7" s="1290"/>
      <c r="D7" s="1290"/>
      <c r="E7" s="3255"/>
      <c r="F7" s="3255"/>
      <c r="G7" s="3255"/>
      <c r="H7" s="3255"/>
      <c r="I7" s="3257"/>
      <c r="J7" s="3256" t="e">
        <f>I6&amp;".1"</f>
        <v>#N/A</v>
      </c>
      <c r="K7" s="1290"/>
      <c r="L7" s="1291" t="s">
        <v>414</v>
      </c>
      <c r="M7" s="474"/>
      <c r="N7" s="1293"/>
      <c r="P7" s="3258"/>
      <c r="Q7" s="3258">
        <v>1</v>
      </c>
      <c r="R7" s="294"/>
      <c r="S7" s="1263" t="e">
        <f>$J7</f>
        <v>#N/A</v>
      </c>
      <c r="T7" s="224" t="s">
        <v>415</v>
      </c>
      <c r="U7" s="238"/>
      <c r="V7" s="3239"/>
      <c r="W7" s="3240"/>
      <c r="X7" s="3240"/>
      <c r="Y7" s="3240"/>
      <c r="Z7" s="3240"/>
      <c r="AA7" s="3240"/>
      <c r="AB7" s="3240"/>
      <c r="AC7" s="3241"/>
      <c r="AD7" s="3239"/>
      <c r="AE7" s="3240"/>
      <c r="AF7" s="3240"/>
      <c r="AG7" s="3240"/>
      <c r="AH7" s="3240"/>
      <c r="AI7" s="3240"/>
      <c r="AJ7" s="3240"/>
      <c r="AK7" s="3240"/>
      <c r="AL7" s="3241"/>
      <c r="AM7" s="1185" t="s">
        <v>416</v>
      </c>
      <c r="AO7" s="437"/>
      <c r="AP7" s="437" t="str">
        <f t="shared" si="0"/>
        <v>Группа потребителей</v>
      </c>
      <c r="AQ7" s="437"/>
      <c r="AR7" s="437"/>
      <c r="AS7" s="1082">
        <v>0</v>
      </c>
    </row>
    <row r="8" spans="1:45" ht="21" hidden="1" customHeight="1">
      <c r="A8" s="1290"/>
      <c r="B8" s="1290"/>
      <c r="C8" s="1290"/>
      <c r="D8" s="1290"/>
      <c r="E8" s="3255"/>
      <c r="F8" s="3255"/>
      <c r="G8" s="3255"/>
      <c r="H8" s="3255"/>
      <c r="I8" s="3257"/>
      <c r="J8" s="3257"/>
      <c r="K8" s="3256" t="e">
        <f>J7&amp;".1"</f>
        <v>#N/A</v>
      </c>
      <c r="L8" s="1291" t="s">
        <v>417</v>
      </c>
      <c r="M8" s="474"/>
      <c r="N8" s="1293"/>
      <c r="O8" s="1293"/>
      <c r="P8" s="3258"/>
      <c r="Q8" s="3258"/>
      <c r="R8" s="294">
        <v>1</v>
      </c>
      <c r="S8" s="1263" t="e">
        <f>$K8</f>
        <v>#N/A</v>
      </c>
      <c r="T8" s="1274"/>
      <c r="U8" s="238"/>
      <c r="V8" s="688"/>
      <c r="W8" s="263"/>
      <c r="X8" s="688"/>
      <c r="Y8" s="1184"/>
      <c r="Z8" s="3259"/>
      <c r="AA8" s="3121" t="s">
        <v>67</v>
      </c>
      <c r="AB8" s="3259"/>
      <c r="AC8" s="3121" t="s">
        <v>67</v>
      </c>
      <c r="AD8" s="688"/>
      <c r="AE8" s="263"/>
      <c r="AF8" s="688"/>
      <c r="AG8" s="1184"/>
      <c r="AH8" s="3259"/>
      <c r="AI8" s="3121" t="s">
        <v>67</v>
      </c>
      <c r="AJ8" s="3259"/>
      <c r="AK8" s="3121" t="s">
        <v>67</v>
      </c>
      <c r="AL8" s="263"/>
      <c r="AM8" s="3278" t="s">
        <v>418</v>
      </c>
      <c r="AN8" s="448" t="e">
        <f ca="1">STRCHECKDATE(V9:AL9)</f>
        <v>#NAME?</v>
      </c>
      <c r="AO8" s="437"/>
      <c r="AP8" s="437" t="str">
        <f t="shared" si="0"/>
        <v/>
      </c>
      <c r="AQ8" s="437"/>
      <c r="AR8" s="437"/>
      <c r="AS8" s="1082">
        <v>0</v>
      </c>
    </row>
    <row r="9" spans="1:45" ht="0.75" hidden="1" customHeight="1">
      <c r="A9" s="1290"/>
      <c r="B9" s="1290"/>
      <c r="C9" s="1290"/>
      <c r="D9" s="1290"/>
      <c r="E9" s="3255"/>
      <c r="F9" s="3255"/>
      <c r="G9" s="3255"/>
      <c r="H9" s="3255"/>
      <c r="I9" s="3257"/>
      <c r="J9" s="3257"/>
      <c r="K9" s="3256"/>
      <c r="L9" s="1291"/>
      <c r="M9" s="474"/>
      <c r="N9" s="1293"/>
      <c r="O9" s="1293"/>
      <c r="P9" s="3258"/>
      <c r="Q9" s="3258"/>
      <c r="R9" s="294"/>
      <c r="S9" s="1269"/>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3279"/>
      <c r="AO9" s="437"/>
      <c r="AP9" s="437" t="str">
        <f t="shared" si="0"/>
        <v/>
      </c>
      <c r="AQ9" s="437"/>
      <c r="AR9" s="437"/>
      <c r="AS9" s="1082">
        <v>0</v>
      </c>
    </row>
    <row r="10" spans="1:45" ht="15" hidden="1" customHeight="1">
      <c r="A10" s="1290"/>
      <c r="B10" s="1290"/>
      <c r="C10" s="1290"/>
      <c r="D10" s="1290"/>
      <c r="E10" s="3255"/>
      <c r="F10" s="3255"/>
      <c r="G10" s="3255"/>
      <c r="H10" s="3255"/>
      <c r="I10" s="3257"/>
      <c r="J10" s="3256"/>
      <c r="K10" s="1290"/>
      <c r="L10" s="1291"/>
      <c r="M10" s="474"/>
      <c r="N10" s="1293"/>
      <c r="P10" s="3258"/>
      <c r="Q10" s="3258"/>
      <c r="R10" s="293"/>
      <c r="S10" s="1205"/>
      <c r="T10" s="225" t="s">
        <v>419</v>
      </c>
      <c r="U10" s="304"/>
      <c r="V10" s="304"/>
      <c r="W10" s="304"/>
      <c r="X10" s="304"/>
      <c r="Y10" s="304"/>
      <c r="Z10" s="304"/>
      <c r="AA10" s="304"/>
      <c r="AB10" s="304"/>
      <c r="AC10" s="304"/>
      <c r="AD10" s="304"/>
      <c r="AE10" s="304"/>
      <c r="AF10" s="304"/>
      <c r="AG10" s="304"/>
      <c r="AH10" s="304"/>
      <c r="AI10" s="304"/>
      <c r="AJ10" s="304"/>
      <c r="AK10" s="304"/>
      <c r="AL10" s="262"/>
      <c r="AM10" s="328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255"/>
      <c r="F11" s="3255"/>
      <c r="G11" s="3255"/>
      <c r="H11" s="3255"/>
      <c r="I11" s="3256"/>
      <c r="J11" s="1290"/>
      <c r="K11" s="1290"/>
      <c r="L11" s="1291"/>
      <c r="M11" s="474"/>
      <c r="P11" s="3258"/>
      <c r="Q11" s="1258"/>
      <c r="R11" s="293"/>
      <c r="S11" s="1205"/>
      <c r="T11" s="302" t="s">
        <v>420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3255"/>
      <c r="F12" s="3255"/>
      <c r="G12" s="3255"/>
      <c r="H12" s="325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255"/>
      <c r="F13" s="3255"/>
      <c r="G13" s="3254"/>
      <c r="H13" s="1241"/>
      <c r="I13" s="1241"/>
      <c r="J13" s="1241"/>
      <c r="K13" s="1241"/>
      <c r="L13" s="1266"/>
      <c r="M13" s="1242"/>
      <c r="N13" s="1242"/>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255"/>
      <c r="F14" s="3254"/>
      <c r="G14" s="1241"/>
      <c r="H14" s="1241"/>
      <c r="I14" s="1241"/>
      <c r="J14" s="1241"/>
      <c r="K14" s="1241"/>
      <c r="L14" s="1266"/>
      <c r="M14" s="1248"/>
      <c r="N14" s="1248"/>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254"/>
      <c r="F15" s="1241"/>
      <c r="G15" s="1241"/>
      <c r="H15" s="1241"/>
      <c r="I15" s="1241"/>
      <c r="J15" s="1241"/>
      <c r="K15" s="1241"/>
      <c r="L15" s="1266"/>
      <c r="M15" s="1248"/>
      <c r="N15" s="1248"/>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3251"/>
      <c r="AI17" s="3250" t="s">
        <v>67</v>
      </c>
      <c r="AJ17" s="3251"/>
      <c r="AK17" s="3250" t="s">
        <v>67</v>
      </c>
      <c r="AS17" s="1082">
        <v>0</v>
      </c>
    </row>
    <row r="18" spans="1:45" ht="14.25" hidden="1" customHeight="1">
      <c r="AD18" s="1287"/>
      <c r="AE18" s="1287"/>
      <c r="AF18" s="1287"/>
      <c r="AG18" s="266" t="str">
        <f>AH17&amp;"-"&amp;AJ17</f>
        <v>-</v>
      </c>
      <c r="AH18" s="3250"/>
      <c r="AI18" s="3250"/>
      <c r="AJ18" s="3250"/>
      <c r="AK18" s="3250"/>
      <c r="AS18" s="1082">
        <v>0</v>
      </c>
    </row>
    <row r="19" spans="1:45" ht="14.25" hidden="1" customHeight="1">
      <c r="AK19" s="265"/>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3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32"/>
      <c r="U26" s="3232"/>
      <c r="V26" s="3232"/>
      <c r="W26" s="3232"/>
      <c r="X26" s="3232"/>
      <c r="Y26" s="3232"/>
      <c r="Z26" s="3232"/>
      <c r="AA26" s="3232"/>
      <c r="AB26" s="3232"/>
      <c r="AC26" s="3232"/>
      <c r="AD26" s="3232"/>
      <c r="AE26" s="3232"/>
      <c r="AF26" s="3232"/>
      <c r="AG26" s="3232"/>
      <c r="AH26" s="3232"/>
      <c r="AI26" s="3232"/>
      <c r="AJ26" s="3232"/>
      <c r="AK26" s="1170"/>
      <c r="AS26" s="1082">
        <v>60</v>
      </c>
    </row>
    <row r="27" spans="1:45"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243" t="s">
        <v>42</v>
      </c>
      <c r="T29" s="3243"/>
      <c r="U29" s="1299"/>
      <c r="V29" s="3245" t="str">
        <f>IF(TITLE_NAME_OR_PR_CHANGE="",IF(TITLE_NAME_OR_PR="","",TITLE_NAME_OR_PR),TITLE_NAME_OR_PR_CHANGE)</f>
        <v/>
      </c>
      <c r="W29" s="3245"/>
      <c r="X29" s="3245"/>
      <c r="Y29" s="3245"/>
      <c r="Z29" s="3245"/>
      <c r="AA29" s="3245"/>
      <c r="AB29" s="3245"/>
      <c r="AC29" s="264"/>
      <c r="AD29" s="3245" t="str">
        <f>IF(TITLE_NAME_OR_PR_CHANGE="",IF(TITLE_NAME_OR_PR="","",TITLE_NAME_OR_PR),TITLE_NAME_OR_PR_CHANGE)</f>
        <v/>
      </c>
      <c r="AE29" s="3245"/>
      <c r="AF29" s="3245"/>
      <c r="AG29" s="3245"/>
      <c r="AH29" s="3245"/>
      <c r="AI29" s="3245"/>
      <c r="AJ29" s="324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243" t="s">
        <v>428</v>
      </c>
      <c r="T30" s="3243"/>
      <c r="U30" s="1299"/>
      <c r="V30" s="3244">
        <f>IF(TITLE_DATE_PR_CHANGE="",IF(TITLE_DATE_PR="","",TITLE_DATE_PR),TITLE_DATE_PR_CHANGE)</f>
        <v>45595.546053240738</v>
      </c>
      <c r="W30" s="3244"/>
      <c r="X30" s="3244"/>
      <c r="Y30" s="3244"/>
      <c r="Z30" s="3244"/>
      <c r="AA30" s="3244"/>
      <c r="AB30" s="3244"/>
      <c r="AC30" s="264"/>
      <c r="AD30" s="3244">
        <f>IF(TITLE_DATE_PR_CHANGE="",IF(TITLE_DATE_PR="","",TITLE_DATE_PR),TITLE_DATE_PR_CHANGE)</f>
        <v>45595.546053240738</v>
      </c>
      <c r="AE30" s="3244"/>
      <c r="AF30" s="3244"/>
      <c r="AG30" s="3244"/>
      <c r="AH30" s="3244"/>
      <c r="AI30" s="3244"/>
      <c r="AJ30" s="324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243" t="s">
        <v>429</v>
      </c>
      <c r="T31" s="3243"/>
      <c r="U31" s="1299"/>
      <c r="V31" s="3245" t="str">
        <f>IF(TITLE_NUMBER_PR_CHANGE="",IF(TITLE_NUMBER_PR="","",TITLE_NUMBER_PR),TITLE_NUMBER_PR_CHANGE)</f>
        <v>03/3636</v>
      </c>
      <c r="W31" s="3245"/>
      <c r="X31" s="3245"/>
      <c r="Y31" s="3245"/>
      <c r="Z31" s="3245"/>
      <c r="AA31" s="3245"/>
      <c r="AB31" s="3245"/>
      <c r="AC31" s="264"/>
      <c r="AD31" s="3245" t="str">
        <f>IF(TITLE_NUMBER_PR_CHANGE="",IF(TITLE_NUMBER_PR="","",TITLE_NUMBER_PR),TITLE_NUMBER_PR_CHANGE)</f>
        <v>03/3636</v>
      </c>
      <c r="AE31" s="3245"/>
      <c r="AF31" s="3245"/>
      <c r="AG31" s="3245"/>
      <c r="AH31" s="3245"/>
      <c r="AI31" s="3245"/>
      <c r="AJ31" s="324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243" t="s">
        <v>43</v>
      </c>
      <c r="T32" s="3243"/>
      <c r="U32" s="1299"/>
      <c r="V32" s="3245" t="str">
        <f>IF(TITLE_IST_PUB_CHANGE="",IF(TITLE_IST_PUB="","",TITLE_IST_PUB),TITLE_IST_PUB_CHANGE)</f>
        <v/>
      </c>
      <c r="W32" s="3245"/>
      <c r="X32" s="3245"/>
      <c r="Y32" s="3245"/>
      <c r="Z32" s="3245"/>
      <c r="AA32" s="3245"/>
      <c r="AB32" s="3245"/>
      <c r="AC32" s="264"/>
      <c r="AD32" s="3245" t="str">
        <f>IF(TITLE_IST_PUB_CHANGE="",IF(TITLE_IST_PUB="","",TITLE_IST_PUB),TITLE_IST_PUB_CHANGE)</f>
        <v/>
      </c>
      <c r="AE32" s="3245"/>
      <c r="AF32" s="3245"/>
      <c r="AG32" s="3245"/>
      <c r="AH32" s="3245"/>
      <c r="AI32" s="3245"/>
      <c r="AJ32" s="324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243" t="s">
        <v>430</v>
      </c>
      <c r="T34" s="3243"/>
      <c r="U34" s="1299"/>
      <c r="V34" s="3244">
        <f>IF(TITLE_DATE_PR_CHANGE="",IF(TITLE_DATE_PR="","",TITLE_DATE_PR),TITLE_DATE_PR_CHANGE)</f>
        <v>45595.546053240738</v>
      </c>
      <c r="W34" s="3244"/>
      <c r="X34" s="3244"/>
      <c r="Y34" s="3244"/>
      <c r="Z34" s="3244"/>
      <c r="AA34" s="3244"/>
      <c r="AB34" s="3244"/>
      <c r="AC34" s="264"/>
      <c r="AD34" s="3244">
        <f>IF(TITLE_DATE_PR_CHANGE="",IF(TITLE_DATE_PR="","",TITLE_DATE_PR),TITLE_DATE_PR_CHANGE)</f>
        <v>45595.546053240738</v>
      </c>
      <c r="AE34" s="3244"/>
      <c r="AF34" s="3244"/>
      <c r="AG34" s="3244"/>
      <c r="AH34" s="3244"/>
      <c r="AI34" s="3244"/>
      <c r="AJ34" s="324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243" t="s">
        <v>431</v>
      </c>
      <c r="T35" s="3243"/>
      <c r="U35" s="1299"/>
      <c r="V35" s="3245" t="str">
        <f>IF(TITLE_NUMBER_PR_CHANGE="",IF(TITLE_NUMBER_PR="","",TITLE_NUMBER_PR),TITLE_NUMBER_PR_CHANGE)</f>
        <v>03/3636</v>
      </c>
      <c r="W35" s="3245"/>
      <c r="X35" s="3245"/>
      <c r="Y35" s="3245"/>
      <c r="Z35" s="3245"/>
      <c r="AA35" s="3245"/>
      <c r="AB35" s="3245"/>
      <c r="AC35" s="264"/>
      <c r="AD35" s="3245" t="str">
        <f>IF(TITLE_NUMBER_PR_CHANGE="",IF(TITLE_NUMBER_PR="","",TITLE_NUMBER_PR),TITLE_NUMBER_PR_CHANGE)</f>
        <v>03/3636</v>
      </c>
      <c r="AE35" s="3245"/>
      <c r="AF35" s="3245"/>
      <c r="AG35" s="3245"/>
      <c r="AH35" s="3245"/>
      <c r="AI35" s="3245"/>
      <c r="AJ35" s="324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432</v>
      </c>
      <c r="AD36" s="264"/>
      <c r="AE36" s="264"/>
      <c r="AF36" s="264"/>
      <c r="AG36" s="264"/>
      <c r="AH36" s="264"/>
      <c r="AI36" s="264"/>
      <c r="AJ36" s="264"/>
      <c r="AK36" s="216" t="s">
        <v>432</v>
      </c>
      <c r="AN36" s="305"/>
      <c r="AO36" s="305"/>
      <c r="AP36" s="305"/>
      <c r="AQ36" s="305"/>
      <c r="AR36" s="305"/>
      <c r="AS36" s="355">
        <v>0</v>
      </c>
    </row>
    <row r="37" spans="1:45" ht="14.65" customHeight="1">
      <c r="Q37" s="313"/>
      <c r="R37" s="313"/>
      <c r="S37" s="1202"/>
      <c r="T37" s="300"/>
      <c r="U37" s="1171"/>
      <c r="V37" s="3266"/>
      <c r="W37" s="3266"/>
      <c r="X37" s="3266"/>
      <c r="Y37" s="3266"/>
      <c r="Z37" s="3266"/>
      <c r="AA37" s="3266"/>
      <c r="AB37" s="3266"/>
      <c r="AC37" s="3266"/>
      <c r="AD37" s="3266"/>
      <c r="AE37" s="3266"/>
      <c r="AF37" s="3266"/>
      <c r="AG37" s="3266"/>
      <c r="AH37" s="3266"/>
      <c r="AI37" s="3266"/>
      <c r="AJ37" s="3266"/>
      <c r="AK37" s="3266"/>
      <c r="AS37" s="1082">
        <v>14</v>
      </c>
    </row>
    <row r="38" spans="1:45" ht="14.6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c r="AM38" s="3111" t="s">
        <v>309</v>
      </c>
      <c r="AS38" s="1082">
        <v>14</v>
      </c>
    </row>
    <row r="39" spans="1:45" ht="14.65" customHeight="1">
      <c r="Q39" s="313"/>
      <c r="R39" s="313"/>
      <c r="S39" s="3268" t="s">
        <v>85</v>
      </c>
      <c r="T39" s="3212" t="s">
        <v>433</v>
      </c>
      <c r="U39" s="239"/>
      <c r="V39" s="3269" t="s">
        <v>434</v>
      </c>
      <c r="W39" s="3270"/>
      <c r="X39" s="3270"/>
      <c r="Y39" s="3270"/>
      <c r="Z39" s="3270"/>
      <c r="AA39" s="3270"/>
      <c r="AB39" s="3271"/>
      <c r="AC39" s="3272" t="s">
        <v>435</v>
      </c>
      <c r="AD39" s="3269" t="s">
        <v>434</v>
      </c>
      <c r="AE39" s="3270"/>
      <c r="AF39" s="3270"/>
      <c r="AG39" s="3270"/>
      <c r="AH39" s="3270"/>
      <c r="AI39" s="3270"/>
      <c r="AJ39" s="3271"/>
      <c r="AK39" s="3272" t="s">
        <v>436</v>
      </c>
      <c r="AL39" s="3275" t="s">
        <v>437</v>
      </c>
      <c r="AM39" s="3111"/>
      <c r="AS39" s="1082">
        <v>14</v>
      </c>
    </row>
    <row r="40" spans="1:45" ht="35.65" customHeight="1">
      <c r="Q40" s="313"/>
      <c r="R40" s="313"/>
      <c r="S40" s="3268"/>
      <c r="T40" s="3212"/>
      <c r="U40" s="961"/>
      <c r="V40" s="3184" t="s">
        <v>438</v>
      </c>
      <c r="W40" s="3263"/>
      <c r="X40" s="3093" t="s">
        <v>440</v>
      </c>
      <c r="Y40" s="3092"/>
      <c r="Z40" s="3093" t="s">
        <v>441</v>
      </c>
      <c r="AA40" s="3098"/>
      <c r="AB40" s="3092"/>
      <c r="AC40" s="3273"/>
      <c r="AD40" s="3184" t="s">
        <v>457</v>
      </c>
      <c r="AE40" s="3263"/>
      <c r="AF40" s="3093" t="s">
        <v>440</v>
      </c>
      <c r="AG40" s="3092"/>
      <c r="AH40" s="3093" t="s">
        <v>441</v>
      </c>
      <c r="AI40" s="3098"/>
      <c r="AJ40" s="3092"/>
      <c r="AK40" s="3273"/>
      <c r="AL40" s="3276"/>
      <c r="AM40" s="3111"/>
      <c r="AS40" s="1082">
        <v>34</v>
      </c>
    </row>
    <row r="41" spans="1:45" ht="35.65" customHeight="1">
      <c r="A41" s="1297"/>
      <c r="B41" s="1297" t="s">
        <v>133</v>
      </c>
      <c r="C41" s="1297" t="s">
        <v>134</v>
      </c>
      <c r="D41" s="1297" t="s">
        <v>135</v>
      </c>
      <c r="E41" s="1291" t="s">
        <v>442</v>
      </c>
      <c r="F41" s="1291" t="s">
        <v>443</v>
      </c>
      <c r="G41" s="1291" t="s">
        <v>444</v>
      </c>
      <c r="H41" s="1291" t="s">
        <v>445</v>
      </c>
      <c r="I41" s="1291" t="s">
        <v>446</v>
      </c>
      <c r="J41" s="1291" t="s">
        <v>447</v>
      </c>
      <c r="K41" s="1291" t="s">
        <v>448</v>
      </c>
      <c r="L41" s="1291" t="s">
        <v>423</v>
      </c>
      <c r="Q41" s="313"/>
      <c r="R41" s="313"/>
      <c r="S41" s="3268"/>
      <c r="T41" s="3212"/>
      <c r="U41" s="240"/>
      <c r="V41" s="3237"/>
      <c r="W41" s="3264"/>
      <c r="X41" s="1149" t="s">
        <v>449</v>
      </c>
      <c r="Y41" s="1149" t="s">
        <v>450</v>
      </c>
      <c r="Z41" s="1265" t="s">
        <v>451</v>
      </c>
      <c r="AA41" s="3217" t="s">
        <v>452</v>
      </c>
      <c r="AB41" s="3231"/>
      <c r="AC41" s="3274"/>
      <c r="AD41" s="3237"/>
      <c r="AE41" s="3264"/>
      <c r="AF41" s="1149" t="s">
        <v>449</v>
      </c>
      <c r="AG41" s="1149" t="s">
        <v>450</v>
      </c>
      <c r="AH41" s="1265" t="s">
        <v>451</v>
      </c>
      <c r="AI41" s="3217" t="s">
        <v>452</v>
      </c>
      <c r="AJ41" s="3231"/>
      <c r="AK41" s="3274"/>
      <c r="AL41" s="3277"/>
      <c r="AM41" s="31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3265">
        <f ca="1">OFFSET(AA42,0,-1)+1</f>
        <v>4</v>
      </c>
      <c r="AB42" s="3265"/>
      <c r="AC42" s="1262">
        <f ca="1">OFFSET(AC42,0,-2)+1</f>
        <v>5</v>
      </c>
      <c r="AD42" s="1262">
        <f ca="1">OFFSET(AD42,0,-1)+1</f>
        <v>6</v>
      </c>
      <c r="AE42" s="1262"/>
      <c r="AF42" s="1262">
        <f ca="1">OFFSET(AF42,0,-1)+1</f>
        <v>1</v>
      </c>
      <c r="AG42" s="1262">
        <f ca="1">OFFSET(AG42,0,-1)+1</f>
        <v>2</v>
      </c>
      <c r="AH42" s="1262">
        <f ca="1">OFFSET(AH42,0,-1)+1</f>
        <v>3</v>
      </c>
      <c r="AI42" s="3265">
        <f ca="1">OFFSET(AI42,0,-1)+1</f>
        <v>4</v>
      </c>
      <c r="AJ42" s="3265"/>
      <c r="AK42" s="1262">
        <f ca="1">OFFSET(AK42,0,-2)+1</f>
        <v>5</v>
      </c>
      <c r="AL42" s="1172">
        <f ca="1">OFFSET(AL42,0,-1)</f>
        <v>5</v>
      </c>
      <c r="AM42" s="1262">
        <f ca="1">OFFSET(AM42,0,-1)+1</f>
        <v>6</v>
      </c>
      <c r="AN42" s="448"/>
      <c r="AO42" s="448"/>
      <c r="AP42" s="448"/>
      <c r="AQ42" s="448"/>
      <c r="AR42" s="448"/>
      <c r="AS42" s="433">
        <v>0</v>
      </c>
    </row>
    <row r="43" spans="1:45" ht="21.95" customHeight="1">
      <c r="A43" s="1290" t="s">
        <v>178</v>
      </c>
      <c r="B43" s="1290"/>
      <c r="C43" s="1290"/>
      <c r="D43" s="1290"/>
      <c r="E43" s="325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3246"/>
      <c r="W43" s="3247"/>
      <c r="X43" s="3247"/>
      <c r="Y43" s="3247"/>
      <c r="Z43" s="3247"/>
      <c r="AA43" s="3247"/>
      <c r="AB43" s="3247"/>
      <c r="AC43" s="3248"/>
      <c r="AD43" s="3246" t="str">
        <f>INDEX(PT_DIFFERENTIATION_NTAR,MATCH(A43,PT_DIFFERENTIATION_NTAR_ID,0))</f>
        <v/>
      </c>
      <c r="AE43" s="3247"/>
      <c r="AF43" s="3247"/>
      <c r="AG43" s="3247"/>
      <c r="AH43" s="3247"/>
      <c r="AI43" s="3247"/>
      <c r="AJ43" s="3247"/>
      <c r="AK43" s="3247"/>
      <c r="AL43" s="324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178</v>
      </c>
      <c r="B44" s="1290" t="s">
        <v>179</v>
      </c>
      <c r="C44" s="1290"/>
      <c r="D44" s="1290"/>
      <c r="E44" s="3255"/>
      <c r="F44" s="3254">
        <v>1</v>
      </c>
      <c r="G44" s="1290"/>
      <c r="H44" s="1290"/>
      <c r="I44" s="1290"/>
      <c r="J44" s="1290"/>
      <c r="K44" s="1290"/>
      <c r="L44" s="1291"/>
      <c r="M44" s="1292"/>
      <c r="N44" s="1292"/>
      <c r="O44" s="1292"/>
      <c r="P44" s="1259"/>
      <c r="Q44" s="289"/>
      <c r="R44" s="290"/>
      <c r="S44" s="1263" t="str">
        <f>INDEX(PT_DIFFERENTIATION_NUM_TER,MATCH(B44,PT_DIFFERENTIATION_TER_ID,0))</f>
        <v>.</v>
      </c>
      <c r="T44" s="246" t="s">
        <v>405</v>
      </c>
      <c r="U44" s="238"/>
      <c r="V44" s="3246"/>
      <c r="W44" s="3247"/>
      <c r="X44" s="3247"/>
      <c r="Y44" s="3247"/>
      <c r="Z44" s="3247"/>
      <c r="AA44" s="3247"/>
      <c r="AB44" s="3247"/>
      <c r="AC44" s="3248"/>
      <c r="AD44" s="3246" t="str">
        <f>INDEX(PT_DIFFERENTIATION_TER,MATCH(B44,PT_DIFFERENTIATION_TER_ID,0))</f>
        <v/>
      </c>
      <c r="AE44" s="3247"/>
      <c r="AF44" s="3247"/>
      <c r="AG44" s="3247"/>
      <c r="AH44" s="3247"/>
      <c r="AI44" s="3247"/>
      <c r="AJ44" s="3247"/>
      <c r="AK44" s="3247"/>
      <c r="AL44" s="3248"/>
      <c r="AM44" s="1185" t="s">
        <v>406</v>
      </c>
      <c r="AO44" s="437"/>
      <c r="AP44" s="437" t="str">
        <f t="shared" si="1"/>
        <v>Территория действия тарифа</v>
      </c>
      <c r="AQ44" s="437"/>
      <c r="AR44" s="437"/>
      <c r="AS44" s="1082">
        <v>21</v>
      </c>
    </row>
    <row r="45" spans="1:45" ht="24" customHeight="1">
      <c r="A45" s="1290" t="s">
        <v>178</v>
      </c>
      <c r="B45" s="1290" t="s">
        <v>179</v>
      </c>
      <c r="C45" s="1290" t="s">
        <v>180</v>
      </c>
      <c r="D45" s="1290"/>
      <c r="E45" s="3255"/>
      <c r="F45" s="3255"/>
      <c r="G45" s="3254">
        <v>1</v>
      </c>
      <c r="H45" s="1290"/>
      <c r="I45" s="1290"/>
      <c r="J45" s="1290"/>
      <c r="K45" s="1290"/>
      <c r="L45" s="1291"/>
      <c r="M45" s="1292"/>
      <c r="N45" s="1292"/>
      <c r="O45" s="1292"/>
      <c r="P45" s="291"/>
      <c r="Q45" s="289"/>
      <c r="R45" s="290"/>
      <c r="S45" s="1263" t="str">
        <f>INDEX(PT_DIFFERENTIATION_NUM_CS,MATCH(C45,PT_DIFFERENTIATION_CS_ID,0))</f>
        <v>..</v>
      </c>
      <c r="T45" s="247" t="s">
        <v>407</v>
      </c>
      <c r="U45" s="238"/>
      <c r="V45" s="3246"/>
      <c r="W45" s="3247"/>
      <c r="X45" s="3247"/>
      <c r="Y45" s="3247"/>
      <c r="Z45" s="3247"/>
      <c r="AA45" s="3247"/>
      <c r="AB45" s="3247"/>
      <c r="AC45" s="3248"/>
      <c r="AD45" s="3246" t="str">
        <f>INDEX(PT_DIFFERENTIATION_CS,MATCH(C45,PT_DIFFERENTIATION_CS_ID,0))</f>
        <v/>
      </c>
      <c r="AE45" s="3247"/>
      <c r="AF45" s="3247"/>
      <c r="AG45" s="3247"/>
      <c r="AH45" s="3247"/>
      <c r="AI45" s="3247"/>
      <c r="AJ45" s="3247"/>
      <c r="AK45" s="3247"/>
      <c r="AL45" s="3248"/>
      <c r="AM45" s="1185" t="s">
        <v>408</v>
      </c>
      <c r="AO45" s="437"/>
      <c r="AP45" s="437" t="str">
        <f t="shared" si="1"/>
        <v xml:space="preserve">Наименование системы теплоснабжения </v>
      </c>
      <c r="AQ45" s="437"/>
      <c r="AR45" s="437"/>
      <c r="AS45" s="1082">
        <v>23</v>
      </c>
    </row>
    <row r="46" spans="1:45" ht="21.95" customHeight="1">
      <c r="A46" s="1290" t="s">
        <v>178</v>
      </c>
      <c r="B46" s="1290" t="s">
        <v>179</v>
      </c>
      <c r="C46" s="1290" t="s">
        <v>180</v>
      </c>
      <c r="D46" s="1290" t="s">
        <v>181</v>
      </c>
      <c r="E46" s="3255"/>
      <c r="F46" s="3255"/>
      <c r="G46" s="3255"/>
      <c r="H46" s="3254">
        <v>1</v>
      </c>
      <c r="I46" s="1290"/>
      <c r="J46" s="1290"/>
      <c r="K46" s="1290"/>
      <c r="L46" s="1291"/>
      <c r="M46" s="1292"/>
      <c r="N46" s="1292"/>
      <c r="O46" s="1292"/>
      <c r="P46" s="291"/>
      <c r="Q46" s="289"/>
      <c r="R46" s="290"/>
      <c r="S46" s="1263" t="str">
        <f>INDEX(PT_DIFFERENTIATION_NUM_IST_TE,MATCH(D46,PT_DIFFERENTIATION_IST_TE_ID,0))</f>
        <v>...</v>
      </c>
      <c r="T46" s="248" t="s">
        <v>409</v>
      </c>
      <c r="U46" s="238"/>
      <c r="V46" s="3246"/>
      <c r="W46" s="3247"/>
      <c r="X46" s="3247"/>
      <c r="Y46" s="3247"/>
      <c r="Z46" s="3247"/>
      <c r="AA46" s="3247"/>
      <c r="AB46" s="3247"/>
      <c r="AC46" s="3248"/>
      <c r="AD46" s="3246" t="str">
        <f>INDEX(PT_DIFFERENTIATION_IST_TE,MATCH(D46,PT_DIFFERENTIATION_IST_TE_ID,0))</f>
        <v/>
      </c>
      <c r="AE46" s="3247"/>
      <c r="AF46" s="3247"/>
      <c r="AG46" s="3247"/>
      <c r="AH46" s="3247"/>
      <c r="AI46" s="3247"/>
      <c r="AJ46" s="3247"/>
      <c r="AK46" s="3247"/>
      <c r="AL46" s="3248"/>
      <c r="AM46" s="1185" t="s">
        <v>410</v>
      </c>
      <c r="AO46" s="437"/>
      <c r="AP46" s="437" t="str">
        <f t="shared" si="1"/>
        <v xml:space="preserve">Источник тепловой энергии  </v>
      </c>
      <c r="AQ46" s="437"/>
      <c r="AR46" s="437"/>
      <c r="AS46" s="1082">
        <v>21</v>
      </c>
    </row>
    <row r="47" spans="1:45" s="1569" customFormat="1" ht="0" hidden="1" customHeight="1">
      <c r="A47" s="1270" t="s">
        <v>178</v>
      </c>
      <c r="B47" s="1270" t="s">
        <v>179</v>
      </c>
      <c r="C47" s="1270" t="s">
        <v>180</v>
      </c>
      <c r="D47" s="1270" t="s">
        <v>181</v>
      </c>
      <c r="E47" s="3255"/>
      <c r="F47" s="3255"/>
      <c r="G47" s="3255"/>
      <c r="H47" s="3255"/>
      <c r="I47" s="3256" t="str">
        <f>S46&amp;".1"</f>
        <v>....1</v>
      </c>
      <c r="J47" s="1270"/>
      <c r="K47" s="1270"/>
      <c r="L47" s="1273" t="s">
        <v>411</v>
      </c>
      <c r="M47" s="447"/>
      <c r="N47" s="447"/>
      <c r="O47" s="447"/>
      <c r="P47" s="3258">
        <v>1</v>
      </c>
      <c r="Q47" s="1258"/>
      <c r="R47" s="293"/>
      <c r="S47" s="972"/>
      <c r="T47" s="1310"/>
      <c r="U47" s="1311"/>
      <c r="V47" s="3314"/>
      <c r="W47" s="3315"/>
      <c r="X47" s="3315"/>
      <c r="Y47" s="3315"/>
      <c r="Z47" s="3315"/>
      <c r="AA47" s="3315"/>
      <c r="AB47" s="3315"/>
      <c r="AC47" s="3316"/>
      <c r="AD47" s="3314"/>
      <c r="AE47" s="3315"/>
      <c r="AF47" s="3315"/>
      <c r="AG47" s="3315"/>
      <c r="AH47" s="3315"/>
      <c r="AI47" s="3315"/>
      <c r="AJ47" s="3315"/>
      <c r="AK47" s="3315"/>
      <c r="AL47" s="3316"/>
      <c r="AM47" s="1312"/>
      <c r="AO47" s="437"/>
      <c r="AP47" s="437" t="str">
        <f t="shared" si="1"/>
        <v/>
      </c>
      <c r="AQ47" s="437"/>
      <c r="AR47" s="437"/>
      <c r="AS47" s="448">
        <v>0</v>
      </c>
    </row>
    <row r="48" spans="1:45" ht="21.95" customHeight="1">
      <c r="A48" s="1290" t="s">
        <v>178</v>
      </c>
      <c r="B48" s="1290" t="s">
        <v>179</v>
      </c>
      <c r="C48" s="1290" t="s">
        <v>180</v>
      </c>
      <c r="D48" s="1290" t="s">
        <v>181</v>
      </c>
      <c r="E48" s="3255"/>
      <c r="F48" s="3255"/>
      <c r="G48" s="3255"/>
      <c r="H48" s="3255"/>
      <c r="I48" s="3257"/>
      <c r="J48" s="3256" t="str">
        <f>S46&amp;".1"</f>
        <v>....1</v>
      </c>
      <c r="K48" s="1290"/>
      <c r="L48" s="1291" t="s">
        <v>414</v>
      </c>
      <c r="P48" s="3258"/>
      <c r="Q48" s="3258">
        <v>1</v>
      </c>
      <c r="R48" s="294"/>
      <c r="S48" s="1263" t="str">
        <f>$J48</f>
        <v>....1</v>
      </c>
      <c r="T48" s="224" t="s">
        <v>415</v>
      </c>
      <c r="U48" s="238"/>
      <c r="V48" s="3239"/>
      <c r="W48" s="3240"/>
      <c r="X48" s="3240"/>
      <c r="Y48" s="3240"/>
      <c r="Z48" s="3240"/>
      <c r="AA48" s="3240"/>
      <c r="AB48" s="3240"/>
      <c r="AC48" s="3241"/>
      <c r="AD48" s="3239"/>
      <c r="AE48" s="3240"/>
      <c r="AF48" s="3240"/>
      <c r="AG48" s="3240"/>
      <c r="AH48" s="3240"/>
      <c r="AI48" s="3240"/>
      <c r="AJ48" s="3240"/>
      <c r="AK48" s="3240"/>
      <c r="AL48" s="3241"/>
      <c r="AM48" s="1185" t="s">
        <v>416</v>
      </c>
      <c r="AO48" s="437"/>
      <c r="AP48" s="437" t="str">
        <f t="shared" si="1"/>
        <v>Группа потребителей</v>
      </c>
      <c r="AQ48" s="437"/>
      <c r="AR48" s="437"/>
      <c r="AS48" s="1082">
        <v>21</v>
      </c>
    </row>
    <row r="49" spans="1:45" ht="21.95" customHeight="1">
      <c r="A49" s="1290" t="s">
        <v>178</v>
      </c>
      <c r="B49" s="1290" t="s">
        <v>179</v>
      </c>
      <c r="C49" s="1290" t="s">
        <v>180</v>
      </c>
      <c r="D49" s="1290" t="s">
        <v>181</v>
      </c>
      <c r="E49" s="3255"/>
      <c r="F49" s="3255"/>
      <c r="G49" s="3255"/>
      <c r="H49" s="3255"/>
      <c r="I49" s="3257"/>
      <c r="J49" s="3257"/>
      <c r="K49" s="3256" t="str">
        <f>J48&amp;".1"</f>
        <v>....1.1</v>
      </c>
      <c r="L49" s="1291" t="s">
        <v>417</v>
      </c>
      <c r="P49" s="3258"/>
      <c r="Q49" s="3258"/>
      <c r="R49" s="294">
        <v>1</v>
      </c>
      <c r="S49" s="1263" t="str">
        <f>$K49</f>
        <v>....1.1</v>
      </c>
      <c r="T49" s="1274"/>
      <c r="U49" s="238"/>
      <c r="V49" s="688"/>
      <c r="W49" s="263"/>
      <c r="X49" s="688"/>
      <c r="Y49" s="1184"/>
      <c r="Z49" s="3259"/>
      <c r="AA49" s="3121" t="s">
        <v>67</v>
      </c>
      <c r="AB49" s="3259"/>
      <c r="AC49" s="3121" t="s">
        <v>67</v>
      </c>
      <c r="AD49" s="688"/>
      <c r="AE49" s="263"/>
      <c r="AF49" s="688"/>
      <c r="AG49" s="1184"/>
      <c r="AH49" s="3259"/>
      <c r="AI49" s="3121" t="s">
        <v>67</v>
      </c>
      <c r="AJ49" s="3261"/>
      <c r="AK49" s="3121" t="s">
        <v>67</v>
      </c>
      <c r="AL49" s="1275"/>
      <c r="AM49" s="3278" t="s">
        <v>458</v>
      </c>
      <c r="AN49" s="448" t="e">
        <f ca="1">STRCHECKDATE(V50:AL50)</f>
        <v>#NAME?</v>
      </c>
      <c r="AO49" s="437"/>
      <c r="AP49" s="437" t="str">
        <f t="shared" si="1"/>
        <v/>
      </c>
      <c r="AQ49" s="437"/>
      <c r="AR49" s="437"/>
      <c r="AS49" s="1082">
        <v>21</v>
      </c>
    </row>
    <row r="50" spans="1:45" ht="1.1499999999999999" customHeight="1">
      <c r="A50" s="1290" t="s">
        <v>178</v>
      </c>
      <c r="B50" s="1290" t="s">
        <v>179</v>
      </c>
      <c r="C50" s="1290" t="s">
        <v>180</v>
      </c>
      <c r="D50" s="1290" t="s">
        <v>181</v>
      </c>
      <c r="E50" s="3255"/>
      <c r="F50" s="3255"/>
      <c r="G50" s="3255"/>
      <c r="H50" s="3255"/>
      <c r="I50" s="3257"/>
      <c r="J50" s="3257"/>
      <c r="K50" s="3256"/>
      <c r="L50" s="1291"/>
      <c r="P50" s="3258"/>
      <c r="Q50" s="3258"/>
      <c r="R50" s="294"/>
      <c r="S50" s="1269"/>
      <c r="T50" s="238"/>
      <c r="U50" s="238"/>
      <c r="V50" s="263"/>
      <c r="W50" s="263"/>
      <c r="X50" s="263"/>
      <c r="Y50" s="266" t="str">
        <f>Z49&amp;"-"&amp;AB49</f>
        <v>-</v>
      </c>
      <c r="Z50" s="3260"/>
      <c r="AA50" s="3121"/>
      <c r="AB50" s="3260"/>
      <c r="AC50" s="3121"/>
      <c r="AD50" s="263"/>
      <c r="AE50" s="263"/>
      <c r="AF50" s="263"/>
      <c r="AG50" s="266" t="str">
        <f>AH49&amp;"-"&amp;AJ49</f>
        <v>-</v>
      </c>
      <c r="AH50" s="3260"/>
      <c r="AI50" s="3121"/>
      <c r="AJ50" s="3262"/>
      <c r="AK50" s="3121"/>
      <c r="AL50" s="1276"/>
      <c r="AM50" s="3279"/>
      <c r="AO50" s="437"/>
      <c r="AP50" s="437" t="str">
        <f t="shared" si="1"/>
        <v/>
      </c>
      <c r="AQ50" s="437"/>
      <c r="AR50" s="437"/>
      <c r="AS50" s="1082">
        <v>1</v>
      </c>
    </row>
    <row r="51" spans="1:45" ht="11.45" customHeight="1">
      <c r="A51" s="1290" t="s">
        <v>178</v>
      </c>
      <c r="B51" s="1290" t="s">
        <v>179</v>
      </c>
      <c r="C51" s="1290" t="s">
        <v>180</v>
      </c>
      <c r="D51" s="1290" t="s">
        <v>181</v>
      </c>
      <c r="E51" s="3255"/>
      <c r="F51" s="3255"/>
      <c r="G51" s="3255"/>
      <c r="H51" s="3255"/>
      <c r="I51" s="3257"/>
      <c r="J51" s="3256"/>
      <c r="K51" s="1290"/>
      <c r="L51" s="1291"/>
      <c r="P51" s="3258"/>
      <c r="Q51" s="3258"/>
      <c r="R51" s="293"/>
      <c r="S51" s="1205"/>
      <c r="T51" s="225" t="s">
        <v>419</v>
      </c>
      <c r="U51" s="304"/>
      <c r="V51" s="304"/>
      <c r="W51" s="304"/>
      <c r="X51" s="304"/>
      <c r="Y51" s="304"/>
      <c r="Z51" s="304"/>
      <c r="AA51" s="304"/>
      <c r="AB51" s="304"/>
      <c r="AC51" s="304"/>
      <c r="AD51" s="304"/>
      <c r="AE51" s="304"/>
      <c r="AF51" s="304"/>
      <c r="AG51" s="304"/>
      <c r="AH51" s="304"/>
      <c r="AI51" s="304"/>
      <c r="AJ51" s="304"/>
      <c r="AK51" s="304"/>
      <c r="AL51" s="262"/>
      <c r="AM51" s="3280"/>
      <c r="AO51" s="437"/>
      <c r="AP51" s="437" t="str">
        <f t="shared" si="1"/>
        <v>Добавить вид теплоносителя (параметры теплоносителя)</v>
      </c>
      <c r="AQ51" s="437"/>
      <c r="AR51" s="437"/>
      <c r="AS51" s="1082">
        <v>11</v>
      </c>
    </row>
    <row r="52" spans="1:45" ht="11.45" customHeight="1">
      <c r="A52" s="1290" t="s">
        <v>178</v>
      </c>
      <c r="B52" s="1290" t="s">
        <v>179</v>
      </c>
      <c r="C52" s="1290" t="s">
        <v>180</v>
      </c>
      <c r="D52" s="1290" t="s">
        <v>181</v>
      </c>
      <c r="E52" s="3255"/>
      <c r="F52" s="3255"/>
      <c r="G52" s="3255"/>
      <c r="H52" s="3255"/>
      <c r="I52" s="3256"/>
      <c r="J52" s="1290"/>
      <c r="K52" s="1290"/>
      <c r="L52" s="1291"/>
      <c r="P52" s="3258"/>
      <c r="Q52" s="1258"/>
      <c r="R52" s="293"/>
      <c r="S52" s="1205"/>
      <c r="T52" s="302" t="s">
        <v>420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178</v>
      </c>
      <c r="B53" s="1290" t="s">
        <v>179</v>
      </c>
      <c r="C53" s="1290" t="s">
        <v>180</v>
      </c>
      <c r="D53" s="1290" t="s">
        <v>181</v>
      </c>
      <c r="E53" s="3255"/>
      <c r="F53" s="3255"/>
      <c r="G53" s="3255"/>
      <c r="H53" s="325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178</v>
      </c>
      <c r="B54" s="1270" t="s">
        <v>179</v>
      </c>
      <c r="C54" s="1270" t="s">
        <v>180</v>
      </c>
      <c r="D54" s="1241"/>
      <c r="E54" s="3255"/>
      <c r="F54" s="3255"/>
      <c r="G54" s="3254"/>
      <c r="H54" s="1241"/>
      <c r="I54" s="1241"/>
      <c r="J54" s="1241"/>
      <c r="K54" s="1241"/>
      <c r="L54" s="1266"/>
      <c r="M54" s="1242"/>
      <c r="N54" s="1242"/>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178</v>
      </c>
      <c r="B55" s="1270" t="s">
        <v>179</v>
      </c>
      <c r="C55" s="1241"/>
      <c r="D55" s="1241"/>
      <c r="E55" s="3255"/>
      <c r="F55" s="3254"/>
      <c r="G55" s="1241"/>
      <c r="H55" s="1241"/>
      <c r="I55" s="1241"/>
      <c r="J55" s="1241"/>
      <c r="K55" s="1241"/>
      <c r="L55" s="1266"/>
      <c r="M55" s="1248"/>
      <c r="N55" s="1248"/>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178</v>
      </c>
      <c r="B56" s="1270"/>
      <c r="C56" s="1270"/>
      <c r="D56" s="1270"/>
      <c r="E56" s="3254"/>
      <c r="F56" s="1270"/>
      <c r="G56" s="1270"/>
      <c r="H56" s="1270"/>
      <c r="I56" s="1270"/>
      <c r="J56" s="1270"/>
      <c r="K56" s="1270"/>
      <c r="L56" s="1273"/>
      <c r="M56" s="1248"/>
      <c r="N56" s="1248"/>
      <c r="O56" s="455"/>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3252"/>
      <c r="U59" s="3252"/>
      <c r="V59" s="3252"/>
      <c r="W59" s="3252"/>
      <c r="X59" s="3252"/>
      <c r="Y59" s="3252"/>
      <c r="Z59" s="3252"/>
      <c r="AA59" s="3252"/>
      <c r="AB59" s="3252"/>
      <c r="AC59" s="3252"/>
      <c r="AD59" s="3252"/>
      <c r="AE59" s="3252"/>
      <c r="AF59" s="3252"/>
      <c r="AG59" s="3252"/>
      <c r="AH59" s="3252"/>
      <c r="AI59" s="3252"/>
      <c r="AJ59" s="3252"/>
      <c r="AK59" s="3252"/>
      <c r="AL59" s="3252"/>
      <c r="AM59" s="3252"/>
      <c r="AS59" s="1082">
        <v>19</v>
      </c>
    </row>
    <row r="60" spans="1:45" ht="29.25" customHeight="1">
      <c r="O60" s="474"/>
      <c r="T60" s="3252"/>
      <c r="U60" s="3252"/>
      <c r="V60" s="3252"/>
      <c r="W60" s="3252"/>
      <c r="X60" s="3252"/>
      <c r="Y60" s="3252"/>
      <c r="Z60" s="3252"/>
      <c r="AA60" s="3252"/>
      <c r="AB60" s="3252"/>
      <c r="AC60" s="3252"/>
      <c r="AD60" s="3252"/>
      <c r="AE60" s="3252"/>
      <c r="AF60" s="3252"/>
      <c r="AG60" s="3252"/>
      <c r="AH60" s="3252"/>
      <c r="AI60" s="3252"/>
      <c r="AJ60" s="3252"/>
      <c r="AK60" s="3252"/>
      <c r="AL60" s="3252"/>
      <c r="AM60" s="3252"/>
      <c r="AS60" s="1082">
        <v>28</v>
      </c>
    </row>
    <row r="61" spans="1:45" ht="42" customHeight="1">
      <c r="O61" s="474"/>
      <c r="T61" s="3252"/>
      <c r="U61" s="3252"/>
      <c r="V61" s="3252"/>
      <c r="W61" s="3252"/>
      <c r="X61" s="3252"/>
      <c r="Y61" s="3252"/>
      <c r="Z61" s="3252"/>
      <c r="AA61" s="3252"/>
      <c r="AB61" s="3252"/>
      <c r="AC61" s="3252"/>
      <c r="AD61" s="3252"/>
      <c r="AE61" s="3252"/>
      <c r="AF61" s="3252"/>
      <c r="AG61" s="3252"/>
      <c r="AH61" s="3252"/>
      <c r="AI61" s="3252"/>
      <c r="AJ61" s="3252"/>
      <c r="AK61" s="3252"/>
      <c r="AL61" s="3252"/>
      <c r="AM61" s="3252"/>
      <c r="AS61" s="1082">
        <v>40</v>
      </c>
    </row>
    <row r="62" spans="1:45" ht="14.65" customHeight="1">
      <c r="O62" s="474"/>
      <c r="AS62" s="1082">
        <v>14</v>
      </c>
    </row>
    <row r="63" spans="1:45" ht="21" customHeight="1">
      <c r="O63" s="474"/>
      <c r="S63" s="1180"/>
      <c r="T63" s="3151"/>
      <c r="U63" s="3252"/>
      <c r="V63" s="3252"/>
      <c r="W63" s="3252"/>
      <c r="X63" s="3252"/>
      <c r="Y63" s="3252"/>
      <c r="Z63" s="3252"/>
      <c r="AA63" s="3252"/>
      <c r="AB63" s="3252"/>
      <c r="AC63" s="3252"/>
      <c r="AD63" s="3252"/>
      <c r="AE63" s="3252"/>
      <c r="AF63" s="3252"/>
      <c r="AG63" s="3252"/>
      <c r="AH63" s="3252"/>
      <c r="AI63" s="3252"/>
      <c r="AJ63" s="3252"/>
      <c r="AK63" s="3252"/>
      <c r="AL63" s="3252"/>
      <c r="AM63" s="3252"/>
      <c r="AS63" s="1082">
        <v>20</v>
      </c>
    </row>
    <row r="64" spans="1:45" ht="29.25" customHeight="1">
      <c r="O64" s="474"/>
      <c r="T64" s="3252"/>
      <c r="U64" s="3252"/>
      <c r="V64" s="3252"/>
      <c r="W64" s="3252"/>
      <c r="X64" s="3252"/>
      <c r="Y64" s="3252"/>
      <c r="Z64" s="3252"/>
      <c r="AA64" s="3252"/>
      <c r="AB64" s="3252"/>
      <c r="AC64" s="3252"/>
      <c r="AD64" s="3252"/>
      <c r="AE64" s="3252"/>
      <c r="AF64" s="3252"/>
      <c r="AG64" s="3252"/>
      <c r="AH64" s="3252"/>
      <c r="AI64" s="3252"/>
      <c r="AJ64" s="3252"/>
      <c r="AK64" s="3252"/>
      <c r="AL64" s="3252"/>
      <c r="AM64" s="3252"/>
      <c r="AS64" s="1082">
        <v>28</v>
      </c>
    </row>
    <row r="65" spans="1:45" ht="35.65" customHeight="1">
      <c r="T65" s="3252"/>
      <c r="U65" s="3252"/>
      <c r="V65" s="3252"/>
      <c r="W65" s="3252"/>
      <c r="X65" s="3252"/>
      <c r="Y65" s="3252"/>
      <c r="Z65" s="3252"/>
      <c r="AA65" s="3252"/>
      <c r="AB65" s="3252"/>
      <c r="AC65" s="3252"/>
      <c r="AD65" s="3252"/>
      <c r="AE65" s="3252"/>
      <c r="AF65" s="3252"/>
      <c r="AG65" s="3252"/>
      <c r="AH65" s="3252"/>
      <c r="AI65" s="3252"/>
      <c r="AJ65" s="3252"/>
      <c r="AK65" s="3252"/>
      <c r="AL65" s="3252"/>
      <c r="AM65" s="3252"/>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78983-228B-0307-3095-48BF4DDB28B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5" hidden="1" customWidth="1"/>
    <col min="17" max="18" width="3" style="282" customWidth="1"/>
    <col min="19" max="19" width="12" style="201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3254">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8"/>
      <c r="AM2" s="1185" t="s">
        <v>404</v>
      </c>
      <c r="AO2" s="437"/>
      <c r="AP2" s="437" t="str">
        <f t="shared" ref="AP2:AP15" si="0">IF(T2="","",T2)</f>
        <v>Наименование тарифа</v>
      </c>
      <c r="AQ2" s="437"/>
      <c r="AR2" s="437"/>
      <c r="AS2" s="1082">
        <v>0</v>
      </c>
    </row>
    <row r="3" spans="1:45" ht="21" hidden="1" customHeight="1">
      <c r="A3" s="1290"/>
      <c r="B3" s="1290"/>
      <c r="C3" s="1290"/>
      <c r="D3" s="1290"/>
      <c r="E3" s="3255"/>
      <c r="F3" s="3254">
        <v>1</v>
      </c>
      <c r="G3" s="1290"/>
      <c r="H3" s="1290"/>
      <c r="I3" s="1290"/>
      <c r="J3" s="1290"/>
      <c r="K3" s="1290"/>
      <c r="L3" s="1291"/>
      <c r="M3" s="1292"/>
      <c r="N3" s="1292"/>
      <c r="O3" s="1292"/>
      <c r="P3" s="1259"/>
      <c r="Q3" s="289"/>
      <c r="R3" s="290"/>
      <c r="S3" s="1263" t="e">
        <f>INDEX(PT_DIFFERENTIATION_NUM_TER,MATCH(B3,PT_DIFFERENTIATION_TER_ID,0))</f>
        <v>#N/A</v>
      </c>
      <c r="T3" s="246"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8"/>
      <c r="AM3" s="1185" t="s">
        <v>406</v>
      </c>
      <c r="AO3" s="437"/>
      <c r="AP3" s="437" t="str">
        <f t="shared" si="0"/>
        <v>Территория действия тарифа</v>
      </c>
      <c r="AQ3" s="437"/>
      <c r="AR3" s="437"/>
      <c r="AS3" s="1082">
        <v>0</v>
      </c>
    </row>
    <row r="4" spans="1:45" ht="23.25" hidden="1" customHeight="1">
      <c r="A4" s="1290"/>
      <c r="B4" s="1290"/>
      <c r="C4" s="1290"/>
      <c r="D4" s="1290"/>
      <c r="E4" s="3255"/>
      <c r="F4" s="3255"/>
      <c r="G4" s="3254">
        <v>1</v>
      </c>
      <c r="H4" s="1290"/>
      <c r="I4" s="1290"/>
      <c r="J4" s="1290"/>
      <c r="K4" s="1290"/>
      <c r="L4" s="1291"/>
      <c r="M4" s="1292"/>
      <c r="N4" s="1292"/>
      <c r="O4" s="1292"/>
      <c r="P4" s="291"/>
      <c r="Q4" s="289"/>
      <c r="R4" s="290"/>
      <c r="S4" s="1930" t="e">
        <f>INDEX(PT_DIFFERENTIATION_NUM_CS,MATCH(C4,PT_DIFFERENTIATION_CS_ID,0))</f>
        <v>#N/A</v>
      </c>
      <c r="T4" s="1934" t="s">
        <v>407</v>
      </c>
      <c r="U4" s="1935"/>
      <c r="V4" s="3319"/>
      <c r="W4" s="3320"/>
      <c r="X4" s="3320"/>
      <c r="Y4" s="3320"/>
      <c r="Z4" s="3320"/>
      <c r="AA4" s="3320"/>
      <c r="AB4" s="3320"/>
      <c r="AC4" s="3321"/>
      <c r="AD4" s="3319" t="e">
        <f>INDEX(PT_DIFFERENTIATION_CS,MATCH(C4,PT_DIFFERENTIATION_CS_ID,0))</f>
        <v>#N/A</v>
      </c>
      <c r="AE4" s="3320"/>
      <c r="AF4" s="3320"/>
      <c r="AG4" s="3320"/>
      <c r="AH4" s="3320"/>
      <c r="AI4" s="3320"/>
      <c r="AJ4" s="3320"/>
      <c r="AK4" s="3320"/>
      <c r="AL4" s="3321"/>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255"/>
      <c r="F5" s="3255"/>
      <c r="G5" s="3255"/>
      <c r="H5" s="3254">
        <v>1</v>
      </c>
      <c r="I5" s="1290"/>
      <c r="J5" s="1290"/>
      <c r="K5" s="1290"/>
      <c r="L5" s="1291"/>
      <c r="M5" s="1292"/>
      <c r="N5" s="1292"/>
      <c r="O5" s="1292"/>
      <c r="P5" s="291"/>
      <c r="Q5" s="289"/>
      <c r="R5" s="1562"/>
      <c r="S5" s="1929" t="e">
        <f>INDEX(PT_DIFFERENTIATION_NUM_IST_TE,MATCH(D5,PT_DIFFERENTIATION_IST_TE_ID,0))</f>
        <v>#N/A</v>
      </c>
      <c r="T5" s="248" t="s">
        <v>409</v>
      </c>
      <c r="U5" s="238"/>
      <c r="V5" s="3322"/>
      <c r="W5" s="3322"/>
      <c r="X5" s="3322"/>
      <c r="Y5" s="3322"/>
      <c r="Z5" s="3322"/>
      <c r="AA5" s="3322"/>
      <c r="AB5" s="3322"/>
      <c r="AC5" s="3322"/>
      <c r="AD5" s="3322" t="e">
        <f>INDEX(PT_DIFFERENTIATION_IST_TE,MATCH(D5,PT_DIFFERENTIATION_IST_TE_ID,0))</f>
        <v>#N/A</v>
      </c>
      <c r="AE5" s="3322"/>
      <c r="AF5" s="3322"/>
      <c r="AG5" s="3322"/>
      <c r="AH5" s="3322"/>
      <c r="AI5" s="3322"/>
      <c r="AJ5" s="3322"/>
      <c r="AK5" s="3322"/>
      <c r="AL5" s="3322"/>
      <c r="AM5" s="1932" t="s">
        <v>410</v>
      </c>
      <c r="AO5" s="437"/>
      <c r="AP5" s="437" t="str">
        <f t="shared" si="0"/>
        <v xml:space="preserve">Источник тепловой энергии  </v>
      </c>
      <c r="AQ5" s="437"/>
      <c r="AR5" s="437"/>
      <c r="AS5" s="1082">
        <v>0</v>
      </c>
    </row>
    <row r="6" spans="1:45" ht="0.75" hidden="1" customHeight="1">
      <c r="A6" s="1290"/>
      <c r="B6" s="1290"/>
      <c r="C6" s="1290"/>
      <c r="D6" s="1290"/>
      <c r="E6" s="3255"/>
      <c r="F6" s="3255"/>
      <c r="G6" s="3255"/>
      <c r="H6" s="3255"/>
      <c r="I6" s="3256" t="e">
        <f>S5&amp;".1"</f>
        <v>#N/A</v>
      </c>
      <c r="J6" s="1290"/>
      <c r="K6" s="1290"/>
      <c r="L6" s="1291" t="s">
        <v>411</v>
      </c>
      <c r="M6" s="474"/>
      <c r="P6" s="3258">
        <v>1</v>
      </c>
      <c r="Q6" s="1258"/>
      <c r="R6" s="1928"/>
      <c r="S6" s="972"/>
      <c r="T6" s="1310"/>
      <c r="U6" s="1311"/>
      <c r="V6" s="3323"/>
      <c r="W6" s="3323"/>
      <c r="X6" s="3323"/>
      <c r="Y6" s="3323"/>
      <c r="Z6" s="3323"/>
      <c r="AA6" s="3323"/>
      <c r="AB6" s="3323"/>
      <c r="AC6" s="3323"/>
      <c r="AD6" s="3323"/>
      <c r="AE6" s="3323"/>
      <c r="AF6" s="3323"/>
      <c r="AG6" s="3323"/>
      <c r="AH6" s="3323"/>
      <c r="AI6" s="3323"/>
      <c r="AJ6" s="3323"/>
      <c r="AK6" s="3323"/>
      <c r="AL6" s="3323"/>
      <c r="AM6" s="1933"/>
      <c r="AO6" s="437"/>
      <c r="AP6" s="437" t="str">
        <f t="shared" si="0"/>
        <v/>
      </c>
      <c r="AQ6" s="437"/>
      <c r="AR6" s="437"/>
      <c r="AS6" s="1082">
        <v>0</v>
      </c>
    </row>
    <row r="7" spans="1:45" ht="84" hidden="1" customHeight="1">
      <c r="A7" s="1290"/>
      <c r="B7" s="1290"/>
      <c r="C7" s="1290"/>
      <c r="D7" s="1290"/>
      <c r="E7" s="3255"/>
      <c r="F7" s="3255"/>
      <c r="G7" s="3255"/>
      <c r="H7" s="3255"/>
      <c r="I7" s="3257"/>
      <c r="J7" s="3256" t="e">
        <f>I6&amp;".1"</f>
        <v>#N/A</v>
      </c>
      <c r="K7" s="1290"/>
      <c r="L7" s="1291" t="s">
        <v>414</v>
      </c>
      <c r="M7" s="474"/>
      <c r="N7" s="1293"/>
      <c r="P7" s="3258"/>
      <c r="Q7" s="3258">
        <v>1</v>
      </c>
      <c r="R7" s="1569"/>
      <c r="S7" s="1929" t="e">
        <f>$J7</f>
        <v>#N/A</v>
      </c>
      <c r="T7" s="224" t="s">
        <v>415</v>
      </c>
      <c r="U7" s="238"/>
      <c r="V7" s="3317"/>
      <c r="W7" s="3317"/>
      <c r="X7" s="3317"/>
      <c r="Y7" s="3317"/>
      <c r="Z7" s="3317"/>
      <c r="AA7" s="3317"/>
      <c r="AB7" s="3317"/>
      <c r="AC7" s="3317"/>
      <c r="AD7" s="3317"/>
      <c r="AE7" s="3317"/>
      <c r="AF7" s="3317"/>
      <c r="AG7" s="3317"/>
      <c r="AH7" s="3317"/>
      <c r="AI7" s="3317"/>
      <c r="AJ7" s="3317"/>
      <c r="AK7" s="3317"/>
      <c r="AL7" s="3317"/>
      <c r="AM7" s="1932" t="s">
        <v>416</v>
      </c>
      <c r="AO7" s="437"/>
      <c r="AP7" s="437" t="str">
        <f t="shared" si="0"/>
        <v>Группа потребителей</v>
      </c>
      <c r="AQ7" s="437"/>
      <c r="AR7" s="437"/>
      <c r="AS7" s="1082">
        <v>0</v>
      </c>
    </row>
    <row r="8" spans="1:45" ht="11.25" hidden="1" customHeight="1">
      <c r="A8" s="1290"/>
      <c r="B8" s="1290"/>
      <c r="C8" s="1290"/>
      <c r="D8" s="1290"/>
      <c r="E8" s="3255"/>
      <c r="F8" s="3255"/>
      <c r="G8" s="3255"/>
      <c r="H8" s="3255"/>
      <c r="I8" s="3257"/>
      <c r="J8" s="3257"/>
      <c r="K8" s="3256" t="e">
        <f>J7&amp;".1"</f>
        <v>#N/A</v>
      </c>
      <c r="L8" s="1291" t="s">
        <v>417</v>
      </c>
      <c r="M8" s="474"/>
      <c r="N8" s="1293"/>
      <c r="O8" s="1293"/>
      <c r="P8" s="3258"/>
      <c r="Q8" s="3258"/>
      <c r="R8" s="294">
        <v>1</v>
      </c>
      <c r="S8" s="1931" t="e">
        <f>$K8</f>
        <v>#N/A</v>
      </c>
      <c r="T8" s="1936"/>
      <c r="U8" s="1937"/>
      <c r="V8" s="1938"/>
      <c r="W8" s="1276"/>
      <c r="X8" s="1938"/>
      <c r="Y8" s="1939"/>
      <c r="Z8" s="3318"/>
      <c r="AA8" s="3126" t="s">
        <v>67</v>
      </c>
      <c r="AB8" s="3318"/>
      <c r="AC8" s="3126" t="s">
        <v>67</v>
      </c>
      <c r="AD8" s="1938"/>
      <c r="AE8" s="1276"/>
      <c r="AF8" s="1938"/>
      <c r="AG8" s="1939"/>
      <c r="AH8" s="3318"/>
      <c r="AI8" s="3126" t="s">
        <v>67</v>
      </c>
      <c r="AJ8" s="3318"/>
      <c r="AK8" s="3126" t="s">
        <v>67</v>
      </c>
      <c r="AL8" s="1276"/>
      <c r="AM8" s="3278" t="s">
        <v>418</v>
      </c>
      <c r="AN8" s="448" t="e">
        <f ca="1">STRCHECKDATE(V9:AL9)</f>
        <v>#NAME?</v>
      </c>
      <c r="AO8" s="437"/>
      <c r="AP8" s="437" t="str">
        <f t="shared" si="0"/>
        <v/>
      </c>
      <c r="AQ8" s="437"/>
      <c r="AR8" s="437"/>
      <c r="AS8" s="1082">
        <v>0</v>
      </c>
    </row>
    <row r="9" spans="1:45" ht="0.75" hidden="1" customHeight="1">
      <c r="A9" s="1290"/>
      <c r="B9" s="1290"/>
      <c r="C9" s="1290"/>
      <c r="D9" s="1290"/>
      <c r="E9" s="3255"/>
      <c r="F9" s="3255"/>
      <c r="G9" s="3255"/>
      <c r="H9" s="3255"/>
      <c r="I9" s="3257"/>
      <c r="J9" s="3257"/>
      <c r="K9" s="3256"/>
      <c r="L9" s="1291"/>
      <c r="M9" s="474"/>
      <c r="N9" s="1293"/>
      <c r="O9" s="1293"/>
      <c r="P9" s="3258"/>
      <c r="Q9" s="3258"/>
      <c r="R9" s="294"/>
      <c r="S9" s="1269"/>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3279"/>
      <c r="AO9" s="437"/>
      <c r="AP9" s="437" t="str">
        <f t="shared" si="0"/>
        <v/>
      </c>
      <c r="AQ9" s="437"/>
      <c r="AR9" s="437"/>
      <c r="AS9" s="1082">
        <v>0</v>
      </c>
    </row>
    <row r="10" spans="1:45" ht="11.25" hidden="1" customHeight="1">
      <c r="A10" s="1290"/>
      <c r="B10" s="1290"/>
      <c r="C10" s="1290"/>
      <c r="D10" s="1290"/>
      <c r="E10" s="3255"/>
      <c r="F10" s="3255"/>
      <c r="G10" s="3255"/>
      <c r="H10" s="3255"/>
      <c r="I10" s="3257"/>
      <c r="J10" s="3256"/>
      <c r="K10" s="1290"/>
      <c r="L10" s="1291"/>
      <c r="M10" s="474"/>
      <c r="N10" s="1293"/>
      <c r="P10" s="3258"/>
      <c r="Q10" s="3258"/>
      <c r="R10" s="293"/>
      <c r="S10" s="1205"/>
      <c r="T10" s="225" t="s">
        <v>419</v>
      </c>
      <c r="U10" s="304"/>
      <c r="V10" s="304"/>
      <c r="W10" s="304"/>
      <c r="X10" s="304"/>
      <c r="Y10" s="304"/>
      <c r="Z10" s="304"/>
      <c r="AA10" s="304"/>
      <c r="AB10" s="304"/>
      <c r="AC10" s="304"/>
      <c r="AD10" s="304"/>
      <c r="AE10" s="304"/>
      <c r="AF10" s="304"/>
      <c r="AG10" s="304"/>
      <c r="AH10" s="304"/>
      <c r="AI10" s="304"/>
      <c r="AJ10" s="304"/>
      <c r="AK10" s="304"/>
      <c r="AL10" s="262"/>
      <c r="AM10" s="328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255"/>
      <c r="F11" s="3255"/>
      <c r="G11" s="3255"/>
      <c r="H11" s="3255"/>
      <c r="I11" s="3256"/>
      <c r="J11" s="1290"/>
      <c r="K11" s="1290"/>
      <c r="L11" s="1291"/>
      <c r="M11" s="474"/>
      <c r="P11" s="3258"/>
      <c r="Q11" s="1258"/>
      <c r="R11" s="293"/>
      <c r="S11" s="1205"/>
      <c r="T11" s="302" t="s">
        <v>420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3255"/>
      <c r="F12" s="3255"/>
      <c r="G12" s="3255"/>
      <c r="H12" s="325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255"/>
      <c r="F13" s="3255"/>
      <c r="G13" s="3254"/>
      <c r="H13" s="1241"/>
      <c r="I13" s="1241"/>
      <c r="J13" s="1241"/>
      <c r="K13" s="1241"/>
      <c r="L13" s="1266"/>
      <c r="M13" s="1242"/>
      <c r="N13" s="1242"/>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255"/>
      <c r="F14" s="3254"/>
      <c r="G14" s="1241"/>
      <c r="H14" s="1241"/>
      <c r="I14" s="1241"/>
      <c r="J14" s="1241"/>
      <c r="K14" s="1241"/>
      <c r="L14" s="1266"/>
      <c r="M14" s="1248"/>
      <c r="N14" s="1248"/>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254"/>
      <c r="F15" s="1241"/>
      <c r="G15" s="1241"/>
      <c r="H15" s="1241"/>
      <c r="I15" s="1241"/>
      <c r="J15" s="1241"/>
      <c r="K15" s="1241"/>
      <c r="L15" s="1266"/>
      <c r="M15" s="1248"/>
      <c r="N15" s="1248"/>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3251"/>
      <c r="AI17" s="3250" t="s">
        <v>67</v>
      </c>
      <c r="AJ17" s="3251"/>
      <c r="AK17" s="3250" t="s">
        <v>67</v>
      </c>
      <c r="AS17" s="1082">
        <v>0</v>
      </c>
    </row>
    <row r="18" spans="1:45" ht="14.25" hidden="1" customHeight="1">
      <c r="AD18" s="1287"/>
      <c r="AE18" s="1287"/>
      <c r="AF18" s="1287"/>
      <c r="AG18" s="266" t="str">
        <f>AH17&amp;"-"&amp;AJ17</f>
        <v>-</v>
      </c>
      <c r="AH18" s="3250"/>
      <c r="AI18" s="3250"/>
      <c r="AJ18" s="3250"/>
      <c r="AK18" s="3250"/>
      <c r="AS18" s="1082">
        <v>0</v>
      </c>
    </row>
    <row r="19" spans="1:45" ht="14.25" hidden="1" customHeight="1">
      <c r="AK19" s="265"/>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3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83"/>
      <c r="U26" s="3183"/>
      <c r="V26" s="3183"/>
      <c r="W26" s="3183"/>
      <c r="X26" s="3183"/>
      <c r="Y26" s="3183"/>
      <c r="Z26" s="3183"/>
      <c r="AA26" s="3183"/>
      <c r="AB26" s="3183"/>
      <c r="AC26" s="3183"/>
      <c r="AD26" s="3183"/>
      <c r="AE26" s="3183"/>
      <c r="AF26" s="3183"/>
      <c r="AG26" s="3183"/>
      <c r="AH26" s="3183"/>
      <c r="AI26" s="3183"/>
      <c r="AJ26" s="3183"/>
      <c r="AK26" s="1170"/>
      <c r="AS26" s="1082">
        <v>52</v>
      </c>
    </row>
    <row r="27" spans="1:45"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243" t="s">
        <v>42</v>
      </c>
      <c r="T29" s="3243"/>
      <c r="U29" s="1299"/>
      <c r="V29" s="3245" t="str">
        <f>IF(TITLE_NAME_OR_PR_CHANGE="",IF(TITLE_NAME_OR_PR="","",TITLE_NAME_OR_PR),TITLE_NAME_OR_PR_CHANGE)</f>
        <v/>
      </c>
      <c r="W29" s="3245"/>
      <c r="X29" s="3245"/>
      <c r="Y29" s="3245"/>
      <c r="Z29" s="3245"/>
      <c r="AA29" s="3245"/>
      <c r="AB29" s="3245"/>
      <c r="AC29" s="264"/>
      <c r="AD29" s="3245" t="str">
        <f>IF(TITLE_NAME_OR_PR_CHANGE="",IF(TITLE_NAME_OR_PR="","",TITLE_NAME_OR_PR),TITLE_NAME_OR_PR_CHANGE)</f>
        <v/>
      </c>
      <c r="AE29" s="3245"/>
      <c r="AF29" s="3245"/>
      <c r="AG29" s="3245"/>
      <c r="AH29" s="3245"/>
      <c r="AI29" s="3245"/>
      <c r="AJ29" s="324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243" t="s">
        <v>428</v>
      </c>
      <c r="T30" s="3243"/>
      <c r="U30" s="1299"/>
      <c r="V30" s="3244">
        <f>IF(TITLE_DATE_PR_CHANGE="",IF(TITLE_DATE_PR="","",TITLE_DATE_PR),TITLE_DATE_PR_CHANGE)</f>
        <v>45595.546053240738</v>
      </c>
      <c r="W30" s="3244"/>
      <c r="X30" s="3244"/>
      <c r="Y30" s="3244"/>
      <c r="Z30" s="3244"/>
      <c r="AA30" s="3244"/>
      <c r="AB30" s="3244"/>
      <c r="AC30" s="264"/>
      <c r="AD30" s="3244">
        <f>IF(TITLE_DATE_PR_CHANGE="",IF(TITLE_DATE_PR="","",TITLE_DATE_PR),TITLE_DATE_PR_CHANGE)</f>
        <v>45595.546053240738</v>
      </c>
      <c r="AE30" s="3244"/>
      <c r="AF30" s="3244"/>
      <c r="AG30" s="3244"/>
      <c r="AH30" s="3244"/>
      <c r="AI30" s="3244"/>
      <c r="AJ30" s="324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243" t="s">
        <v>429</v>
      </c>
      <c r="T31" s="3243"/>
      <c r="U31" s="1299"/>
      <c r="V31" s="3245" t="str">
        <f>IF(TITLE_NUMBER_PR_CHANGE="",IF(TITLE_NUMBER_PR="","",TITLE_NUMBER_PR),TITLE_NUMBER_PR_CHANGE)</f>
        <v>03/3636</v>
      </c>
      <c r="W31" s="3245"/>
      <c r="X31" s="3245"/>
      <c r="Y31" s="3245"/>
      <c r="Z31" s="3245"/>
      <c r="AA31" s="3245"/>
      <c r="AB31" s="3245"/>
      <c r="AC31" s="264"/>
      <c r="AD31" s="3245" t="str">
        <f>IF(TITLE_NUMBER_PR_CHANGE="",IF(TITLE_NUMBER_PR="","",TITLE_NUMBER_PR),TITLE_NUMBER_PR_CHANGE)</f>
        <v>03/3636</v>
      </c>
      <c r="AE31" s="3245"/>
      <c r="AF31" s="3245"/>
      <c r="AG31" s="3245"/>
      <c r="AH31" s="3245"/>
      <c r="AI31" s="3245"/>
      <c r="AJ31" s="324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243" t="s">
        <v>43</v>
      </c>
      <c r="T32" s="3243"/>
      <c r="U32" s="1299"/>
      <c r="V32" s="3245" t="str">
        <f>IF(TITLE_IST_PUB_CHANGE="",IF(TITLE_IST_PUB="","",TITLE_IST_PUB),TITLE_IST_PUB_CHANGE)</f>
        <v/>
      </c>
      <c r="W32" s="3245"/>
      <c r="X32" s="3245"/>
      <c r="Y32" s="3245"/>
      <c r="Z32" s="3245"/>
      <c r="AA32" s="3245"/>
      <c r="AB32" s="3245"/>
      <c r="AC32" s="264"/>
      <c r="AD32" s="3245" t="str">
        <f>IF(TITLE_IST_PUB_CHANGE="",IF(TITLE_IST_PUB="","",TITLE_IST_PUB),TITLE_IST_PUB_CHANGE)</f>
        <v/>
      </c>
      <c r="AE32" s="3245"/>
      <c r="AF32" s="3245"/>
      <c r="AG32" s="3245"/>
      <c r="AH32" s="3245"/>
      <c r="AI32" s="3245"/>
      <c r="AJ32" s="324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243" t="s">
        <v>430</v>
      </c>
      <c r="T34" s="3243"/>
      <c r="U34" s="1299"/>
      <c r="V34" s="3244">
        <f>IF(TITLE_DATE_PR_CHANGE="",IF(TITLE_DATE_PR="","",TITLE_DATE_PR),TITLE_DATE_PR_CHANGE)</f>
        <v>45595.546053240738</v>
      </c>
      <c r="W34" s="3244"/>
      <c r="X34" s="3244"/>
      <c r="Y34" s="3244"/>
      <c r="Z34" s="3244"/>
      <c r="AA34" s="3244"/>
      <c r="AB34" s="3244"/>
      <c r="AC34" s="264"/>
      <c r="AD34" s="3244">
        <f>IF(TITLE_DATE_PR_CHANGE="",IF(TITLE_DATE_PR="","",TITLE_DATE_PR),TITLE_DATE_PR_CHANGE)</f>
        <v>45595.546053240738</v>
      </c>
      <c r="AE34" s="3244"/>
      <c r="AF34" s="3244"/>
      <c r="AG34" s="3244"/>
      <c r="AH34" s="3244"/>
      <c r="AI34" s="3244"/>
      <c r="AJ34" s="324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3243" t="s">
        <v>431</v>
      </c>
      <c r="T35" s="3243"/>
      <c r="U35" s="1299"/>
      <c r="V35" s="3245" t="str">
        <f>IF(TITLE_NUMBER_PR_CHANGE="",IF(TITLE_NUMBER_PR="","",TITLE_NUMBER_PR),TITLE_NUMBER_PR_CHANGE)</f>
        <v>03/3636</v>
      </c>
      <c r="W35" s="3245"/>
      <c r="X35" s="3245"/>
      <c r="Y35" s="3245"/>
      <c r="Z35" s="3245"/>
      <c r="AA35" s="3245"/>
      <c r="AB35" s="3245"/>
      <c r="AC35" s="264"/>
      <c r="AD35" s="3245" t="str">
        <f>IF(TITLE_NUMBER_PR_CHANGE="",IF(TITLE_NUMBER_PR="","",TITLE_NUMBER_PR),TITLE_NUMBER_PR_CHANGE)</f>
        <v>03/3636</v>
      </c>
      <c r="AE35" s="3245"/>
      <c r="AF35" s="3245"/>
      <c r="AG35" s="3245"/>
      <c r="AH35" s="3245"/>
      <c r="AI35" s="3245"/>
      <c r="AJ35" s="324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432</v>
      </c>
      <c r="AD36" s="264"/>
      <c r="AE36" s="264"/>
      <c r="AF36" s="264"/>
      <c r="AG36" s="264"/>
      <c r="AH36" s="264"/>
      <c r="AI36" s="264"/>
      <c r="AJ36" s="264"/>
      <c r="AK36" s="216" t="s">
        <v>432</v>
      </c>
      <c r="AN36" s="305"/>
      <c r="AO36" s="305"/>
      <c r="AP36" s="305"/>
      <c r="AQ36" s="305"/>
      <c r="AR36" s="305"/>
      <c r="AS36" s="355">
        <v>0</v>
      </c>
    </row>
    <row r="37" spans="1:45" ht="14.65" customHeight="1">
      <c r="Q37" s="313"/>
      <c r="R37" s="313"/>
      <c r="S37" s="1202"/>
      <c r="T37" s="300"/>
      <c r="U37" s="1171"/>
      <c r="V37" s="3266"/>
      <c r="W37" s="3266"/>
      <c r="X37" s="3266"/>
      <c r="Y37" s="3266"/>
      <c r="Z37" s="3266"/>
      <c r="AA37" s="3266"/>
      <c r="AB37" s="3266"/>
      <c r="AC37" s="3266"/>
      <c r="AD37" s="3266"/>
      <c r="AE37" s="3266"/>
      <c r="AF37" s="3266"/>
      <c r="AG37" s="3266"/>
      <c r="AH37" s="3266"/>
      <c r="AI37" s="3266"/>
      <c r="AJ37" s="3266"/>
      <c r="AK37" s="3266"/>
      <c r="AS37" s="1082">
        <v>14</v>
      </c>
    </row>
    <row r="38" spans="1:45" ht="14.6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c r="AM38" s="3111" t="s">
        <v>309</v>
      </c>
      <c r="AS38" s="1082">
        <v>14</v>
      </c>
    </row>
    <row r="39" spans="1:45" ht="14.65" customHeight="1">
      <c r="Q39" s="313"/>
      <c r="R39" s="313"/>
      <c r="S39" s="3268" t="s">
        <v>85</v>
      </c>
      <c r="T39" s="3212" t="s">
        <v>433</v>
      </c>
      <c r="U39" s="239"/>
      <c r="V39" s="3269" t="s">
        <v>434</v>
      </c>
      <c r="W39" s="3270"/>
      <c r="X39" s="3270"/>
      <c r="Y39" s="3270"/>
      <c r="Z39" s="3270"/>
      <c r="AA39" s="3270"/>
      <c r="AB39" s="3271"/>
      <c r="AC39" s="3272" t="s">
        <v>435</v>
      </c>
      <c r="AD39" s="3269" t="s">
        <v>434</v>
      </c>
      <c r="AE39" s="3270"/>
      <c r="AF39" s="3270"/>
      <c r="AG39" s="3270"/>
      <c r="AH39" s="3270"/>
      <c r="AI39" s="3270"/>
      <c r="AJ39" s="3271"/>
      <c r="AK39" s="3272" t="s">
        <v>436</v>
      </c>
      <c r="AL39" s="3275" t="s">
        <v>437</v>
      </c>
      <c r="AM39" s="3111"/>
      <c r="AS39" s="1082">
        <v>14</v>
      </c>
    </row>
    <row r="40" spans="1:45" ht="35.65" customHeight="1">
      <c r="Q40" s="313"/>
      <c r="R40" s="313"/>
      <c r="S40" s="3268"/>
      <c r="T40" s="3212"/>
      <c r="U40" s="961"/>
      <c r="V40" s="3184" t="s">
        <v>438</v>
      </c>
      <c r="W40" s="3263"/>
      <c r="X40" s="3093" t="s">
        <v>440</v>
      </c>
      <c r="Y40" s="3092"/>
      <c r="Z40" s="3093" t="s">
        <v>441</v>
      </c>
      <c r="AA40" s="3098"/>
      <c r="AB40" s="3092"/>
      <c r="AC40" s="3273"/>
      <c r="AD40" s="3184" t="s">
        <v>457</v>
      </c>
      <c r="AE40" s="3263"/>
      <c r="AF40" s="3093" t="s">
        <v>440</v>
      </c>
      <c r="AG40" s="3092"/>
      <c r="AH40" s="3093" t="s">
        <v>441</v>
      </c>
      <c r="AI40" s="3098"/>
      <c r="AJ40" s="3092"/>
      <c r="AK40" s="3273"/>
      <c r="AL40" s="3276"/>
      <c r="AM40" s="3111"/>
      <c r="AS40" s="1082">
        <v>34</v>
      </c>
    </row>
    <row r="41" spans="1:45" ht="35.65" customHeight="1">
      <c r="A41" s="1297"/>
      <c r="B41" s="1297" t="s">
        <v>133</v>
      </c>
      <c r="C41" s="1297" t="s">
        <v>134</v>
      </c>
      <c r="D41" s="1297" t="s">
        <v>135</v>
      </c>
      <c r="E41" s="1291" t="s">
        <v>442</v>
      </c>
      <c r="F41" s="1291" t="s">
        <v>443</v>
      </c>
      <c r="G41" s="1291" t="s">
        <v>444</v>
      </c>
      <c r="H41" s="1291" t="s">
        <v>445</v>
      </c>
      <c r="I41" s="1291" t="s">
        <v>446</v>
      </c>
      <c r="J41" s="1291" t="s">
        <v>447</v>
      </c>
      <c r="K41" s="1291" t="s">
        <v>448</v>
      </c>
      <c r="L41" s="1291" t="s">
        <v>423</v>
      </c>
      <c r="Q41" s="313"/>
      <c r="R41" s="313"/>
      <c r="S41" s="3268"/>
      <c r="T41" s="3212"/>
      <c r="U41" s="240"/>
      <c r="V41" s="3237"/>
      <c r="W41" s="3264"/>
      <c r="X41" s="1149" t="s">
        <v>449</v>
      </c>
      <c r="Y41" s="1149" t="s">
        <v>450</v>
      </c>
      <c r="Z41" s="1265" t="s">
        <v>451</v>
      </c>
      <c r="AA41" s="3217" t="s">
        <v>452</v>
      </c>
      <c r="AB41" s="3231"/>
      <c r="AC41" s="3274"/>
      <c r="AD41" s="3237"/>
      <c r="AE41" s="3264"/>
      <c r="AF41" s="1149" t="s">
        <v>449</v>
      </c>
      <c r="AG41" s="1149" t="s">
        <v>450</v>
      </c>
      <c r="AH41" s="1265" t="s">
        <v>451</v>
      </c>
      <c r="AI41" s="3217" t="s">
        <v>452</v>
      </c>
      <c r="AJ41" s="3231"/>
      <c r="AK41" s="3274"/>
      <c r="AL41" s="3277"/>
      <c r="AM41" s="31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3265">
        <f ca="1">OFFSET(AA42,0,-1)+1</f>
        <v>4</v>
      </c>
      <c r="AB42" s="3265"/>
      <c r="AC42" s="1262">
        <f ca="1">OFFSET(AC42,0,-2)+1</f>
        <v>5</v>
      </c>
      <c r="AD42" s="1262">
        <f ca="1">OFFSET(AD42,0,-1)+1</f>
        <v>6</v>
      </c>
      <c r="AE42" s="1262"/>
      <c r="AF42" s="1262">
        <f ca="1">OFFSET(AF42,0,-1)+1</f>
        <v>1</v>
      </c>
      <c r="AG42" s="1262">
        <f ca="1">OFFSET(AG42,0,-1)+1</f>
        <v>2</v>
      </c>
      <c r="AH42" s="1262">
        <f ca="1">OFFSET(AH42,0,-1)+1</f>
        <v>3</v>
      </c>
      <c r="AI42" s="3265">
        <f ca="1">OFFSET(AI42,0,-1)+1</f>
        <v>4</v>
      </c>
      <c r="AJ42" s="3265"/>
      <c r="AK42" s="1262">
        <f ca="1">OFFSET(AK42,0,-2)+1</f>
        <v>5</v>
      </c>
      <c r="AL42" s="1172">
        <f ca="1">OFFSET(AL42,0,-1)</f>
        <v>5</v>
      </c>
      <c r="AM42" s="1262">
        <f ca="1">OFFSET(AM42,0,-1)+1</f>
        <v>6</v>
      </c>
      <c r="AN42" s="448"/>
      <c r="AO42" s="448"/>
      <c r="AP42" s="448"/>
      <c r="AQ42" s="448"/>
      <c r="AR42" s="448"/>
      <c r="AS42" s="433">
        <v>0</v>
      </c>
    </row>
    <row r="43" spans="1:45" ht="21.95" customHeight="1">
      <c r="A43" s="1290" t="s">
        <v>190</v>
      </c>
      <c r="B43" s="1290"/>
      <c r="C43" s="1290"/>
      <c r="D43" s="1290"/>
      <c r="E43" s="325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3246"/>
      <c r="W43" s="3247"/>
      <c r="X43" s="3247"/>
      <c r="Y43" s="3247"/>
      <c r="Z43" s="3247"/>
      <c r="AA43" s="3247"/>
      <c r="AB43" s="3247"/>
      <c r="AC43" s="3248"/>
      <c r="AD43" s="3246" t="str">
        <f>INDEX(PT_DIFFERENTIATION_NTAR,MATCH(A43,PT_DIFFERENTIATION_NTAR_ID,0))</f>
        <v/>
      </c>
      <c r="AE43" s="3247"/>
      <c r="AF43" s="3247"/>
      <c r="AG43" s="3247"/>
      <c r="AH43" s="3247"/>
      <c r="AI43" s="3247"/>
      <c r="AJ43" s="3247"/>
      <c r="AK43" s="3247"/>
      <c r="AL43" s="324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190</v>
      </c>
      <c r="B44" s="1290" t="s">
        <v>191</v>
      </c>
      <c r="C44" s="1290"/>
      <c r="D44" s="1290"/>
      <c r="E44" s="3255"/>
      <c r="F44" s="3254">
        <v>1</v>
      </c>
      <c r="G44" s="1290"/>
      <c r="H44" s="1290"/>
      <c r="I44" s="1290"/>
      <c r="J44" s="1290"/>
      <c r="K44" s="1290"/>
      <c r="L44" s="1291"/>
      <c r="M44" s="1292"/>
      <c r="N44" s="1292"/>
      <c r="O44" s="1292"/>
      <c r="P44" s="1259"/>
      <c r="Q44" s="289"/>
      <c r="R44" s="290"/>
      <c r="S44" s="1263" t="str">
        <f>INDEX(PT_DIFFERENTIATION_NUM_TER,MATCH(B44,PT_DIFFERENTIATION_TER_ID,0))</f>
        <v>.</v>
      </c>
      <c r="T44" s="246" t="s">
        <v>405</v>
      </c>
      <c r="U44" s="238"/>
      <c r="V44" s="3246"/>
      <c r="W44" s="3247"/>
      <c r="X44" s="3247"/>
      <c r="Y44" s="3247"/>
      <c r="Z44" s="3247"/>
      <c r="AA44" s="3247"/>
      <c r="AB44" s="3247"/>
      <c r="AC44" s="3248"/>
      <c r="AD44" s="3246" t="str">
        <f>INDEX(PT_DIFFERENTIATION_TER,MATCH(B44,PT_DIFFERENTIATION_TER_ID,0))</f>
        <v/>
      </c>
      <c r="AE44" s="3247"/>
      <c r="AF44" s="3247"/>
      <c r="AG44" s="3247"/>
      <c r="AH44" s="3247"/>
      <c r="AI44" s="3247"/>
      <c r="AJ44" s="3247"/>
      <c r="AK44" s="3247"/>
      <c r="AL44" s="3248"/>
      <c r="AM44" s="1185" t="s">
        <v>406</v>
      </c>
      <c r="AO44" s="437"/>
      <c r="AP44" s="437" t="str">
        <f t="shared" si="1"/>
        <v>Территория действия тарифа</v>
      </c>
      <c r="AQ44" s="437"/>
      <c r="AR44" s="437"/>
      <c r="AS44" s="1082">
        <v>21</v>
      </c>
    </row>
    <row r="45" spans="1:45" ht="24" customHeight="1">
      <c r="A45" s="1290" t="s">
        <v>190</v>
      </c>
      <c r="B45" s="1290" t="s">
        <v>191</v>
      </c>
      <c r="C45" s="1290" t="s">
        <v>192</v>
      </c>
      <c r="D45" s="1290"/>
      <c r="E45" s="3255"/>
      <c r="F45" s="3255"/>
      <c r="G45" s="3254">
        <v>1</v>
      </c>
      <c r="H45" s="1290"/>
      <c r="I45" s="1290"/>
      <c r="J45" s="1290"/>
      <c r="K45" s="1290"/>
      <c r="L45" s="1291"/>
      <c r="M45" s="1292"/>
      <c r="N45" s="1292"/>
      <c r="O45" s="1292"/>
      <c r="P45" s="291"/>
      <c r="Q45" s="289"/>
      <c r="R45" s="290"/>
      <c r="S45" s="1263" t="str">
        <f>INDEX(PT_DIFFERENTIATION_NUM_CS,MATCH(C45,PT_DIFFERENTIATION_CS_ID,0))</f>
        <v>..</v>
      </c>
      <c r="T45" s="247" t="s">
        <v>407</v>
      </c>
      <c r="U45" s="238"/>
      <c r="V45" s="3246"/>
      <c r="W45" s="3247"/>
      <c r="X45" s="3247"/>
      <c r="Y45" s="3247"/>
      <c r="Z45" s="3247"/>
      <c r="AA45" s="3247"/>
      <c r="AB45" s="3247"/>
      <c r="AC45" s="3248"/>
      <c r="AD45" s="3246" t="str">
        <f>INDEX(PT_DIFFERENTIATION_CS,MATCH(C45,PT_DIFFERENTIATION_CS_ID,0))</f>
        <v/>
      </c>
      <c r="AE45" s="3247"/>
      <c r="AF45" s="3247"/>
      <c r="AG45" s="3247"/>
      <c r="AH45" s="3247"/>
      <c r="AI45" s="3247"/>
      <c r="AJ45" s="3247"/>
      <c r="AK45" s="3247"/>
      <c r="AL45" s="3248"/>
      <c r="AM45" s="1185" t="s">
        <v>408</v>
      </c>
      <c r="AO45" s="437"/>
      <c r="AP45" s="437" t="str">
        <f t="shared" si="1"/>
        <v xml:space="preserve">Наименование системы теплоснабжения </v>
      </c>
      <c r="AQ45" s="437"/>
      <c r="AR45" s="437"/>
      <c r="AS45" s="1082">
        <v>23</v>
      </c>
    </row>
    <row r="46" spans="1:45" ht="21.95" customHeight="1">
      <c r="A46" s="1290" t="s">
        <v>190</v>
      </c>
      <c r="B46" s="1290" t="s">
        <v>191</v>
      </c>
      <c r="C46" s="1290" t="s">
        <v>192</v>
      </c>
      <c r="D46" s="1290" t="s">
        <v>193</v>
      </c>
      <c r="E46" s="3255"/>
      <c r="F46" s="3255"/>
      <c r="G46" s="3255"/>
      <c r="H46" s="3254">
        <v>1</v>
      </c>
      <c r="I46" s="1290"/>
      <c r="J46" s="1290"/>
      <c r="K46" s="1290"/>
      <c r="L46" s="1291"/>
      <c r="M46" s="1292"/>
      <c r="N46" s="1292"/>
      <c r="O46" s="1292"/>
      <c r="P46" s="291"/>
      <c r="Q46" s="289"/>
      <c r="R46" s="290"/>
      <c r="S46" s="1263" t="str">
        <f>INDEX(PT_DIFFERENTIATION_NUM_IST_TE,MATCH(D46,PT_DIFFERENTIATION_IST_TE_ID,0))</f>
        <v>...</v>
      </c>
      <c r="T46" s="248" t="s">
        <v>409</v>
      </c>
      <c r="U46" s="238"/>
      <c r="V46" s="3246"/>
      <c r="W46" s="3247"/>
      <c r="X46" s="3247"/>
      <c r="Y46" s="3247"/>
      <c r="Z46" s="3247"/>
      <c r="AA46" s="3247"/>
      <c r="AB46" s="3247"/>
      <c r="AC46" s="3248"/>
      <c r="AD46" s="3246" t="str">
        <f>INDEX(PT_DIFFERENTIATION_IST_TE,MATCH(D46,PT_DIFFERENTIATION_IST_TE_ID,0))</f>
        <v/>
      </c>
      <c r="AE46" s="3247"/>
      <c r="AF46" s="3247"/>
      <c r="AG46" s="3247"/>
      <c r="AH46" s="3247"/>
      <c r="AI46" s="3247"/>
      <c r="AJ46" s="3247"/>
      <c r="AK46" s="3247"/>
      <c r="AL46" s="3248"/>
      <c r="AM46" s="1185" t="s">
        <v>410</v>
      </c>
      <c r="AO46" s="437"/>
      <c r="AP46" s="437" t="str">
        <f t="shared" si="1"/>
        <v xml:space="preserve">Источник тепловой энергии  </v>
      </c>
      <c r="AQ46" s="437"/>
      <c r="AR46" s="437"/>
      <c r="AS46" s="1082">
        <v>21</v>
      </c>
    </row>
    <row r="47" spans="1:45" s="1569" customFormat="1" ht="0" hidden="1" customHeight="1">
      <c r="A47" s="1270" t="s">
        <v>190</v>
      </c>
      <c r="B47" s="1270" t="s">
        <v>191</v>
      </c>
      <c r="C47" s="1270" t="s">
        <v>192</v>
      </c>
      <c r="D47" s="1270" t="s">
        <v>193</v>
      </c>
      <c r="E47" s="3255"/>
      <c r="F47" s="3255"/>
      <c r="G47" s="3255"/>
      <c r="H47" s="3255"/>
      <c r="I47" s="3256" t="str">
        <f>S46&amp;".1"</f>
        <v>....1</v>
      </c>
      <c r="J47" s="1270"/>
      <c r="K47" s="1270"/>
      <c r="L47" s="1273" t="s">
        <v>411</v>
      </c>
      <c r="M47" s="447"/>
      <c r="N47" s="447"/>
      <c r="O47" s="447"/>
      <c r="P47" s="3258">
        <v>1</v>
      </c>
      <c r="Q47" s="1258"/>
      <c r="R47" s="293"/>
      <c r="S47" s="972"/>
      <c r="T47" s="1310"/>
      <c r="U47" s="1311"/>
      <c r="V47" s="3314"/>
      <c r="W47" s="3315"/>
      <c r="X47" s="3315"/>
      <c r="Y47" s="3315"/>
      <c r="Z47" s="3315"/>
      <c r="AA47" s="3315"/>
      <c r="AB47" s="3315"/>
      <c r="AC47" s="3316"/>
      <c r="AD47" s="3314"/>
      <c r="AE47" s="3315"/>
      <c r="AF47" s="3315"/>
      <c r="AG47" s="3315"/>
      <c r="AH47" s="3315"/>
      <c r="AI47" s="3315"/>
      <c r="AJ47" s="3315"/>
      <c r="AK47" s="3315"/>
      <c r="AL47" s="3316"/>
      <c r="AM47" s="1312"/>
      <c r="AO47" s="437"/>
      <c r="AP47" s="437" t="str">
        <f t="shared" si="1"/>
        <v/>
      </c>
      <c r="AQ47" s="437"/>
      <c r="AR47" s="437"/>
      <c r="AS47" s="448">
        <v>0</v>
      </c>
    </row>
    <row r="48" spans="1:45" ht="21.95" customHeight="1">
      <c r="A48" s="1290" t="s">
        <v>190</v>
      </c>
      <c r="B48" s="1290" t="s">
        <v>191</v>
      </c>
      <c r="C48" s="1290" t="s">
        <v>192</v>
      </c>
      <c r="D48" s="1290" t="s">
        <v>193</v>
      </c>
      <c r="E48" s="3255"/>
      <c r="F48" s="3255"/>
      <c r="G48" s="3255"/>
      <c r="H48" s="3255"/>
      <c r="I48" s="3257"/>
      <c r="J48" s="3256" t="str">
        <f>S46&amp;".1"</f>
        <v>....1</v>
      </c>
      <c r="K48" s="1290"/>
      <c r="L48" s="1291" t="s">
        <v>414</v>
      </c>
      <c r="P48" s="3258"/>
      <c r="Q48" s="3258">
        <v>1</v>
      </c>
      <c r="R48" s="294"/>
      <c r="S48" s="1263" t="str">
        <f>$J48</f>
        <v>....1</v>
      </c>
      <c r="T48" s="224" t="s">
        <v>415</v>
      </c>
      <c r="U48" s="238"/>
      <c r="V48" s="3239"/>
      <c r="W48" s="3240"/>
      <c r="X48" s="3240"/>
      <c r="Y48" s="3240"/>
      <c r="Z48" s="3240"/>
      <c r="AA48" s="3240"/>
      <c r="AB48" s="3240"/>
      <c r="AC48" s="3241"/>
      <c r="AD48" s="3239"/>
      <c r="AE48" s="3240"/>
      <c r="AF48" s="3240"/>
      <c r="AG48" s="3240"/>
      <c r="AH48" s="3240"/>
      <c r="AI48" s="3240"/>
      <c r="AJ48" s="3240"/>
      <c r="AK48" s="3240"/>
      <c r="AL48" s="3241"/>
      <c r="AM48" s="1185" t="s">
        <v>416</v>
      </c>
      <c r="AO48" s="437"/>
      <c r="AP48" s="437" t="str">
        <f t="shared" si="1"/>
        <v>Группа потребителей</v>
      </c>
      <c r="AQ48" s="437"/>
      <c r="AR48" s="437"/>
      <c r="AS48" s="1082">
        <v>21</v>
      </c>
    </row>
    <row r="49" spans="1:45" ht="21.95" customHeight="1">
      <c r="A49" s="1290" t="s">
        <v>190</v>
      </c>
      <c r="B49" s="1290" t="s">
        <v>191</v>
      </c>
      <c r="C49" s="1290" t="s">
        <v>192</v>
      </c>
      <c r="D49" s="1290" t="s">
        <v>193</v>
      </c>
      <c r="E49" s="3255"/>
      <c r="F49" s="3255"/>
      <c r="G49" s="3255"/>
      <c r="H49" s="3255"/>
      <c r="I49" s="3257"/>
      <c r="J49" s="3257"/>
      <c r="K49" s="3256" t="str">
        <f>J48&amp;".1"</f>
        <v>....1.1</v>
      </c>
      <c r="L49" s="1291" t="s">
        <v>417</v>
      </c>
      <c r="P49" s="3258"/>
      <c r="Q49" s="3258"/>
      <c r="R49" s="294">
        <v>1</v>
      </c>
      <c r="S49" s="1263" t="str">
        <f>$K49</f>
        <v>....1.1</v>
      </c>
      <c r="T49" s="1274"/>
      <c r="U49" s="238"/>
      <c r="V49" s="688"/>
      <c r="W49" s="263"/>
      <c r="X49" s="688"/>
      <c r="Y49" s="1184"/>
      <c r="Z49" s="3259"/>
      <c r="AA49" s="3121" t="s">
        <v>67</v>
      </c>
      <c r="AB49" s="3259"/>
      <c r="AC49" s="3121" t="s">
        <v>67</v>
      </c>
      <c r="AD49" s="688"/>
      <c r="AE49" s="263"/>
      <c r="AF49" s="688"/>
      <c r="AG49" s="1184"/>
      <c r="AH49" s="3259"/>
      <c r="AI49" s="3121" t="s">
        <v>67</v>
      </c>
      <c r="AJ49" s="3261"/>
      <c r="AK49" s="3121" t="s">
        <v>67</v>
      </c>
      <c r="AL49" s="1275"/>
      <c r="AM49" s="3278" t="s">
        <v>458</v>
      </c>
      <c r="AN49" s="448" t="e">
        <f ca="1">STRCHECKDATE(V50:AL50)</f>
        <v>#NAME?</v>
      </c>
      <c r="AO49" s="437"/>
      <c r="AP49" s="437" t="str">
        <f t="shared" si="1"/>
        <v/>
      </c>
      <c r="AQ49" s="437"/>
      <c r="AR49" s="437"/>
      <c r="AS49" s="1082">
        <v>21</v>
      </c>
    </row>
    <row r="50" spans="1:45" ht="1.1499999999999999" customHeight="1">
      <c r="A50" s="1290" t="s">
        <v>190</v>
      </c>
      <c r="B50" s="1290" t="s">
        <v>191</v>
      </c>
      <c r="C50" s="1290" t="s">
        <v>192</v>
      </c>
      <c r="D50" s="1290" t="s">
        <v>193</v>
      </c>
      <c r="E50" s="3255"/>
      <c r="F50" s="3255"/>
      <c r="G50" s="3255"/>
      <c r="H50" s="3255"/>
      <c r="I50" s="3257"/>
      <c r="J50" s="3257"/>
      <c r="K50" s="3256"/>
      <c r="L50" s="1291"/>
      <c r="P50" s="3258"/>
      <c r="Q50" s="3258"/>
      <c r="R50" s="294"/>
      <c r="S50" s="1269"/>
      <c r="T50" s="238"/>
      <c r="U50" s="238"/>
      <c r="V50" s="263"/>
      <c r="W50" s="263"/>
      <c r="X50" s="263"/>
      <c r="Y50" s="266" t="str">
        <f>Z49&amp;"-"&amp;AB49</f>
        <v>-</v>
      </c>
      <c r="Z50" s="3260"/>
      <c r="AA50" s="3121"/>
      <c r="AB50" s="3260"/>
      <c r="AC50" s="3121"/>
      <c r="AD50" s="263"/>
      <c r="AE50" s="263"/>
      <c r="AF50" s="263"/>
      <c r="AG50" s="266" t="str">
        <f>AH49&amp;"-"&amp;AJ49</f>
        <v>-</v>
      </c>
      <c r="AH50" s="3260"/>
      <c r="AI50" s="3121"/>
      <c r="AJ50" s="3262"/>
      <c r="AK50" s="3121"/>
      <c r="AL50" s="1276"/>
      <c r="AM50" s="3279"/>
      <c r="AO50" s="437"/>
      <c r="AP50" s="437" t="str">
        <f t="shared" si="1"/>
        <v/>
      </c>
      <c r="AQ50" s="437"/>
      <c r="AR50" s="437"/>
      <c r="AS50" s="1082">
        <v>1</v>
      </c>
    </row>
    <row r="51" spans="1:45" ht="11.45" customHeight="1">
      <c r="A51" s="1290" t="s">
        <v>190</v>
      </c>
      <c r="B51" s="1290" t="s">
        <v>191</v>
      </c>
      <c r="C51" s="1290" t="s">
        <v>192</v>
      </c>
      <c r="D51" s="1290" t="s">
        <v>193</v>
      </c>
      <c r="E51" s="3255"/>
      <c r="F51" s="3255"/>
      <c r="G51" s="3255"/>
      <c r="H51" s="3255"/>
      <c r="I51" s="3257"/>
      <c r="J51" s="3256"/>
      <c r="K51" s="1290"/>
      <c r="L51" s="1291"/>
      <c r="P51" s="3258"/>
      <c r="Q51" s="3258"/>
      <c r="R51" s="293"/>
      <c r="S51" s="1205"/>
      <c r="T51" s="225" t="s">
        <v>419</v>
      </c>
      <c r="U51" s="304"/>
      <c r="V51" s="304"/>
      <c r="W51" s="304"/>
      <c r="X51" s="304"/>
      <c r="Y51" s="304"/>
      <c r="Z51" s="304"/>
      <c r="AA51" s="304"/>
      <c r="AB51" s="304"/>
      <c r="AC51" s="304"/>
      <c r="AD51" s="304"/>
      <c r="AE51" s="304"/>
      <c r="AF51" s="304"/>
      <c r="AG51" s="304"/>
      <c r="AH51" s="304"/>
      <c r="AI51" s="304"/>
      <c r="AJ51" s="304"/>
      <c r="AK51" s="304"/>
      <c r="AL51" s="262"/>
      <c r="AM51" s="3280"/>
      <c r="AO51" s="437"/>
      <c r="AP51" s="437" t="str">
        <f t="shared" si="1"/>
        <v>Добавить вид теплоносителя (параметры теплоносителя)</v>
      </c>
      <c r="AQ51" s="437"/>
      <c r="AR51" s="437"/>
      <c r="AS51" s="1082">
        <v>11</v>
      </c>
    </row>
    <row r="52" spans="1:45" ht="11.45" customHeight="1">
      <c r="A52" s="1290" t="s">
        <v>190</v>
      </c>
      <c r="B52" s="1290" t="s">
        <v>191</v>
      </c>
      <c r="C52" s="1290" t="s">
        <v>192</v>
      </c>
      <c r="D52" s="1290" t="s">
        <v>193</v>
      </c>
      <c r="E52" s="3255"/>
      <c r="F52" s="3255"/>
      <c r="G52" s="3255"/>
      <c r="H52" s="3255"/>
      <c r="I52" s="3256"/>
      <c r="J52" s="1290"/>
      <c r="K52" s="1290"/>
      <c r="L52" s="1291"/>
      <c r="P52" s="3258"/>
      <c r="Q52" s="1258"/>
      <c r="R52" s="293"/>
      <c r="S52" s="1205"/>
      <c r="T52" s="302" t="s">
        <v>420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190</v>
      </c>
      <c r="B53" s="1290" t="s">
        <v>191</v>
      </c>
      <c r="C53" s="1290" t="s">
        <v>192</v>
      </c>
      <c r="D53" s="1290" t="s">
        <v>193</v>
      </c>
      <c r="E53" s="3255"/>
      <c r="F53" s="3255"/>
      <c r="G53" s="3255"/>
      <c r="H53" s="325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190</v>
      </c>
      <c r="B54" s="1270" t="s">
        <v>191</v>
      </c>
      <c r="C54" s="1270" t="s">
        <v>192</v>
      </c>
      <c r="D54" s="1241"/>
      <c r="E54" s="3255"/>
      <c r="F54" s="3255"/>
      <c r="G54" s="3254"/>
      <c r="H54" s="1241"/>
      <c r="I54" s="1241"/>
      <c r="J54" s="1241"/>
      <c r="K54" s="1241"/>
      <c r="L54" s="1266"/>
      <c r="M54" s="1242"/>
      <c r="N54" s="1242"/>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190</v>
      </c>
      <c r="B55" s="1270" t="s">
        <v>191</v>
      </c>
      <c r="C55" s="1241"/>
      <c r="D55" s="1241"/>
      <c r="E55" s="3255"/>
      <c r="F55" s="3254"/>
      <c r="G55" s="1241"/>
      <c r="H55" s="1241"/>
      <c r="I55" s="1241"/>
      <c r="J55" s="1241"/>
      <c r="K55" s="1241"/>
      <c r="L55" s="1266"/>
      <c r="M55" s="1248"/>
      <c r="N55" s="1248"/>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190</v>
      </c>
      <c r="B56" s="1270"/>
      <c r="C56" s="1270"/>
      <c r="D56" s="1270"/>
      <c r="E56" s="3254"/>
      <c r="F56" s="1270"/>
      <c r="G56" s="1270"/>
      <c r="H56" s="1270"/>
      <c r="I56" s="1270"/>
      <c r="J56" s="1270"/>
      <c r="K56" s="1270"/>
      <c r="L56" s="1273"/>
      <c r="M56" s="1248"/>
      <c r="N56" s="1248"/>
      <c r="O56" s="455"/>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3252"/>
      <c r="U59" s="3252"/>
      <c r="V59" s="3252"/>
      <c r="W59" s="3252"/>
      <c r="X59" s="3252"/>
      <c r="Y59" s="3252"/>
      <c r="Z59" s="3252"/>
      <c r="AA59" s="3252"/>
      <c r="AB59" s="3252"/>
      <c r="AC59" s="3252"/>
      <c r="AD59" s="3252"/>
      <c r="AE59" s="3252"/>
      <c r="AF59" s="3252"/>
      <c r="AG59" s="3252"/>
      <c r="AH59" s="3252"/>
      <c r="AI59" s="3252"/>
      <c r="AJ59" s="3252"/>
      <c r="AK59" s="3252"/>
      <c r="AL59" s="3252"/>
      <c r="AM59" s="3252"/>
      <c r="AS59" s="1082">
        <v>22</v>
      </c>
    </row>
    <row r="60" spans="1:45" ht="30.4" customHeight="1">
      <c r="O60" s="474"/>
      <c r="T60" s="3252"/>
      <c r="U60" s="3252"/>
      <c r="V60" s="3252"/>
      <c r="W60" s="3252"/>
      <c r="X60" s="3252"/>
      <c r="Y60" s="3252"/>
      <c r="Z60" s="3252"/>
      <c r="AA60" s="3252"/>
      <c r="AB60" s="3252"/>
      <c r="AC60" s="3252"/>
      <c r="AD60" s="3252"/>
      <c r="AE60" s="3252"/>
      <c r="AF60" s="3252"/>
      <c r="AG60" s="3252"/>
      <c r="AH60" s="3252"/>
      <c r="AI60" s="3252"/>
      <c r="AJ60" s="3252"/>
      <c r="AK60" s="3252"/>
      <c r="AL60" s="3252"/>
      <c r="AM60" s="3252"/>
      <c r="AS60" s="1082">
        <v>29</v>
      </c>
    </row>
    <row r="61" spans="1:45" ht="42" customHeight="1">
      <c r="O61" s="474"/>
      <c r="T61" s="3252"/>
      <c r="U61" s="3252"/>
      <c r="V61" s="3252"/>
      <c r="W61" s="3252"/>
      <c r="X61" s="3252"/>
      <c r="Y61" s="3252"/>
      <c r="Z61" s="3252"/>
      <c r="AA61" s="3252"/>
      <c r="AB61" s="3252"/>
      <c r="AC61" s="3252"/>
      <c r="AD61" s="3252"/>
      <c r="AE61" s="3252"/>
      <c r="AF61" s="3252"/>
      <c r="AG61" s="3252"/>
      <c r="AH61" s="3252"/>
      <c r="AI61" s="3252"/>
      <c r="AJ61" s="3252"/>
      <c r="AK61" s="3252"/>
      <c r="AL61" s="3252"/>
      <c r="AM61" s="3252"/>
      <c r="AS61" s="1082">
        <v>40</v>
      </c>
    </row>
    <row r="62" spans="1:45" ht="14.65" customHeight="1">
      <c r="O62" s="474"/>
      <c r="AS62" s="1082">
        <v>14</v>
      </c>
    </row>
    <row r="63" spans="1:45" ht="21" customHeight="1">
      <c r="O63" s="474"/>
      <c r="S63" s="1180"/>
      <c r="T63" s="3151"/>
      <c r="U63" s="3252"/>
      <c r="V63" s="3252"/>
      <c r="W63" s="3252"/>
      <c r="X63" s="3252"/>
      <c r="Y63" s="3252"/>
      <c r="Z63" s="3252"/>
      <c r="AA63" s="3252"/>
      <c r="AB63" s="3252"/>
      <c r="AC63" s="3252"/>
      <c r="AD63" s="3252"/>
      <c r="AE63" s="3252"/>
      <c r="AF63" s="3252"/>
      <c r="AG63" s="3252"/>
      <c r="AH63" s="3252"/>
      <c r="AI63" s="3252"/>
      <c r="AJ63" s="3252"/>
      <c r="AK63" s="3252"/>
      <c r="AL63" s="3252"/>
      <c r="AM63" s="3252"/>
      <c r="AS63" s="1082">
        <v>20</v>
      </c>
    </row>
    <row r="64" spans="1:45" ht="29.25" customHeight="1">
      <c r="O64" s="474"/>
      <c r="T64" s="3252"/>
      <c r="U64" s="3252"/>
      <c r="V64" s="3252"/>
      <c r="W64" s="3252"/>
      <c r="X64" s="3252"/>
      <c r="Y64" s="3252"/>
      <c r="Z64" s="3252"/>
      <c r="AA64" s="3252"/>
      <c r="AB64" s="3252"/>
      <c r="AC64" s="3252"/>
      <c r="AD64" s="3252"/>
      <c r="AE64" s="3252"/>
      <c r="AF64" s="3252"/>
      <c r="AG64" s="3252"/>
      <c r="AH64" s="3252"/>
      <c r="AI64" s="3252"/>
      <c r="AJ64" s="3252"/>
      <c r="AK64" s="3252"/>
      <c r="AL64" s="3252"/>
      <c r="AM64" s="3252"/>
      <c r="AS64" s="1082">
        <v>28</v>
      </c>
    </row>
    <row r="65" spans="1:45" ht="35.65" customHeight="1">
      <c r="T65" s="3252"/>
      <c r="U65" s="3252"/>
      <c r="V65" s="3252"/>
      <c r="W65" s="3252"/>
      <c r="X65" s="3252"/>
      <c r="Y65" s="3252"/>
      <c r="Z65" s="3252"/>
      <c r="AA65" s="3252"/>
      <c r="AB65" s="3252"/>
      <c r="AC65" s="3252"/>
      <c r="AD65" s="3252"/>
      <c r="AE65" s="3252"/>
      <c r="AF65" s="3252"/>
      <c r="AG65" s="3252"/>
      <c r="AH65" s="3252"/>
      <c r="AI65" s="3252"/>
      <c r="AJ65" s="3252"/>
      <c r="AK65" s="3252"/>
      <c r="AL65" s="3252"/>
      <c r="AM65" s="3252"/>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90F5-914D-13A3-AD32-9A798EBC9302}">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5" hidden="1" customWidth="1"/>
    <col min="17" max="18" width="3" style="282" customWidth="1"/>
    <col min="19" max="19" width="12" style="201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3254">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3246"/>
      <c r="W2" s="3247"/>
      <c r="X2" s="3247"/>
      <c r="Y2" s="3247"/>
      <c r="Z2" s="3247"/>
      <c r="AA2" s="3247"/>
      <c r="AB2" s="3247"/>
      <c r="AC2" s="3248"/>
      <c r="AD2" s="3246" t="e">
        <f>INDEX(PT_DIFFERENTIATION_NTAR,MATCH(A2,PT_DIFFERENTIATION_NTAR_ID,0))</f>
        <v>#N/A</v>
      </c>
      <c r="AE2" s="3247"/>
      <c r="AF2" s="3247"/>
      <c r="AG2" s="3247"/>
      <c r="AH2" s="3247"/>
      <c r="AI2" s="3247"/>
      <c r="AJ2" s="3247"/>
      <c r="AK2" s="3247"/>
      <c r="AL2" s="3248"/>
      <c r="AM2" s="1185" t="s">
        <v>404</v>
      </c>
      <c r="AO2" s="437"/>
      <c r="AP2" s="437" t="str">
        <f t="shared" ref="AP2:AP15" si="0">IF(T2="","",T2)</f>
        <v>Наименование тарифа</v>
      </c>
      <c r="AQ2" s="437"/>
      <c r="AR2" s="437"/>
      <c r="AS2" s="1082">
        <v>0</v>
      </c>
    </row>
    <row r="3" spans="1:45" ht="21" hidden="1" customHeight="1">
      <c r="A3" s="1290"/>
      <c r="B3" s="1290"/>
      <c r="C3" s="1290"/>
      <c r="D3" s="1290"/>
      <c r="E3" s="3255"/>
      <c r="F3" s="3254">
        <v>1</v>
      </c>
      <c r="G3" s="1290"/>
      <c r="H3" s="1290"/>
      <c r="I3" s="1290"/>
      <c r="J3" s="1290"/>
      <c r="K3" s="1290"/>
      <c r="L3" s="1291"/>
      <c r="M3" s="1292"/>
      <c r="N3" s="1292"/>
      <c r="O3" s="1292"/>
      <c r="P3" s="1259"/>
      <c r="Q3" s="289"/>
      <c r="R3" s="290"/>
      <c r="S3" s="1263" t="e">
        <f>INDEX(PT_DIFFERENTIATION_NUM_TER,MATCH(B3,PT_DIFFERENTIATION_TER_ID,0))</f>
        <v>#N/A</v>
      </c>
      <c r="T3" s="246" t="s">
        <v>405</v>
      </c>
      <c r="U3" s="238"/>
      <c r="V3" s="3246"/>
      <c r="W3" s="3247"/>
      <c r="X3" s="3247"/>
      <c r="Y3" s="3247"/>
      <c r="Z3" s="3247"/>
      <c r="AA3" s="3247"/>
      <c r="AB3" s="3247"/>
      <c r="AC3" s="3248"/>
      <c r="AD3" s="3246" t="e">
        <f>INDEX(PT_DIFFERENTIATION_TER,MATCH(B3,PT_DIFFERENTIATION_TER_ID,0))</f>
        <v>#N/A</v>
      </c>
      <c r="AE3" s="3247"/>
      <c r="AF3" s="3247"/>
      <c r="AG3" s="3247"/>
      <c r="AH3" s="3247"/>
      <c r="AI3" s="3247"/>
      <c r="AJ3" s="3247"/>
      <c r="AK3" s="3247"/>
      <c r="AL3" s="3248"/>
      <c r="AM3" s="1185" t="s">
        <v>406</v>
      </c>
      <c r="AO3" s="437"/>
      <c r="AP3" s="437" t="str">
        <f t="shared" si="0"/>
        <v>Территория действия тарифа</v>
      </c>
      <c r="AQ3" s="437"/>
      <c r="AR3" s="437"/>
      <c r="AS3" s="1082">
        <v>0</v>
      </c>
    </row>
    <row r="4" spans="1:45" ht="23.25" hidden="1" customHeight="1">
      <c r="A4" s="1290"/>
      <c r="B4" s="1290"/>
      <c r="C4" s="1290"/>
      <c r="D4" s="1290"/>
      <c r="E4" s="3255"/>
      <c r="F4" s="3255"/>
      <c r="G4" s="3254">
        <v>1</v>
      </c>
      <c r="H4" s="1290"/>
      <c r="I4" s="1290"/>
      <c r="J4" s="1290"/>
      <c r="K4" s="1290"/>
      <c r="L4" s="1291"/>
      <c r="M4" s="1292"/>
      <c r="N4" s="1292"/>
      <c r="O4" s="1292"/>
      <c r="P4" s="291"/>
      <c r="Q4" s="289"/>
      <c r="R4" s="290"/>
      <c r="S4" s="1263" t="e">
        <f>INDEX(PT_DIFFERENTIATION_NUM_CS,MATCH(C4,PT_DIFFERENTIATION_CS_ID,0))</f>
        <v>#N/A</v>
      </c>
      <c r="T4" s="247" t="s">
        <v>407</v>
      </c>
      <c r="U4" s="238"/>
      <c r="V4" s="3246"/>
      <c r="W4" s="3247"/>
      <c r="X4" s="3247"/>
      <c r="Y4" s="3247"/>
      <c r="Z4" s="3247"/>
      <c r="AA4" s="3247"/>
      <c r="AB4" s="3247"/>
      <c r="AC4" s="3248"/>
      <c r="AD4" s="3246" t="e">
        <f>INDEX(PT_DIFFERENTIATION_CS,MATCH(C4,PT_DIFFERENTIATION_CS_ID,0))</f>
        <v>#N/A</v>
      </c>
      <c r="AE4" s="3247"/>
      <c r="AF4" s="3247"/>
      <c r="AG4" s="3247"/>
      <c r="AH4" s="3247"/>
      <c r="AI4" s="3247"/>
      <c r="AJ4" s="3247"/>
      <c r="AK4" s="3247"/>
      <c r="AL4" s="3248"/>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255"/>
      <c r="F5" s="3255"/>
      <c r="G5" s="3255"/>
      <c r="H5" s="3254">
        <v>1</v>
      </c>
      <c r="I5" s="1290"/>
      <c r="J5" s="1290"/>
      <c r="K5" s="1290"/>
      <c r="L5" s="1291"/>
      <c r="M5" s="1292"/>
      <c r="N5" s="1292"/>
      <c r="O5" s="1292"/>
      <c r="P5" s="291"/>
      <c r="Q5" s="289"/>
      <c r="R5" s="290"/>
      <c r="S5" s="1263" t="e">
        <f>INDEX(PT_DIFFERENTIATION_NUM_IST_TE,MATCH(D5,PT_DIFFERENTIATION_IST_TE_ID,0))</f>
        <v>#N/A</v>
      </c>
      <c r="T5" s="248" t="s">
        <v>409</v>
      </c>
      <c r="U5" s="238"/>
      <c r="V5" s="3246"/>
      <c r="W5" s="3247"/>
      <c r="X5" s="3247"/>
      <c r="Y5" s="3247"/>
      <c r="Z5" s="3247"/>
      <c r="AA5" s="3247"/>
      <c r="AB5" s="3247"/>
      <c r="AC5" s="3248"/>
      <c r="AD5" s="3246" t="e">
        <f>INDEX(PT_DIFFERENTIATION_IST_TE,MATCH(D5,PT_DIFFERENTIATION_IST_TE_ID,0))</f>
        <v>#N/A</v>
      </c>
      <c r="AE5" s="3247"/>
      <c r="AF5" s="3247"/>
      <c r="AG5" s="3247"/>
      <c r="AH5" s="3247"/>
      <c r="AI5" s="3247"/>
      <c r="AJ5" s="3247"/>
      <c r="AK5" s="3247"/>
      <c r="AL5" s="3248"/>
      <c r="AM5" s="1185" t="s">
        <v>410</v>
      </c>
      <c r="AO5" s="437"/>
      <c r="AP5" s="437" t="str">
        <f t="shared" si="0"/>
        <v xml:space="preserve">Источник тепловой энергии  </v>
      </c>
      <c r="AQ5" s="437"/>
      <c r="AR5" s="437"/>
      <c r="AS5" s="1082">
        <v>0</v>
      </c>
    </row>
    <row r="6" spans="1:45" ht="14.25" hidden="1" customHeight="1">
      <c r="A6" s="1290"/>
      <c r="B6" s="1290"/>
      <c r="C6" s="1290"/>
      <c r="D6" s="1290"/>
      <c r="E6" s="3255"/>
      <c r="F6" s="3255"/>
      <c r="G6" s="3255"/>
      <c r="H6" s="3255"/>
      <c r="I6" s="3256" t="e">
        <f>S5&amp;".1"</f>
        <v>#N/A</v>
      </c>
      <c r="J6" s="1290"/>
      <c r="K6" s="1290"/>
      <c r="L6" s="1291" t="s">
        <v>411</v>
      </c>
      <c r="M6" s="474"/>
      <c r="P6" s="3258">
        <v>1</v>
      </c>
      <c r="Q6" s="1258"/>
      <c r="R6" s="293"/>
      <c r="S6" s="972"/>
      <c r="T6" s="1310"/>
      <c r="U6" s="1311"/>
      <c r="V6" s="3314"/>
      <c r="W6" s="3315"/>
      <c r="X6" s="3315"/>
      <c r="Y6" s="3315"/>
      <c r="Z6" s="3315"/>
      <c r="AA6" s="3315"/>
      <c r="AB6" s="3315"/>
      <c r="AC6" s="3316"/>
      <c r="AD6" s="3314"/>
      <c r="AE6" s="3315"/>
      <c r="AF6" s="3315"/>
      <c r="AG6" s="3315"/>
      <c r="AH6" s="3315"/>
      <c r="AI6" s="3315"/>
      <c r="AJ6" s="3315"/>
      <c r="AK6" s="3315"/>
      <c r="AL6" s="3316"/>
      <c r="AM6" s="1312"/>
      <c r="AO6" s="437"/>
      <c r="AP6" s="437" t="str">
        <f t="shared" si="0"/>
        <v/>
      </c>
      <c r="AQ6" s="437"/>
      <c r="AR6" s="437"/>
      <c r="AS6" s="1082">
        <v>0</v>
      </c>
    </row>
    <row r="7" spans="1:45" ht="21" hidden="1" customHeight="1">
      <c r="A7" s="1290"/>
      <c r="B7" s="1290"/>
      <c r="C7" s="1290"/>
      <c r="D7" s="1290"/>
      <c r="E7" s="3255"/>
      <c r="F7" s="3255"/>
      <c r="G7" s="3255"/>
      <c r="H7" s="3255"/>
      <c r="I7" s="3257"/>
      <c r="J7" s="3256" t="e">
        <f>I6&amp;".1"</f>
        <v>#N/A</v>
      </c>
      <c r="K7" s="1290"/>
      <c r="L7" s="1291" t="s">
        <v>414</v>
      </c>
      <c r="M7" s="474"/>
      <c r="N7" s="1293"/>
      <c r="P7" s="3258"/>
      <c r="Q7" s="3258">
        <v>1</v>
      </c>
      <c r="R7" s="294"/>
      <c r="S7" s="1263" t="e">
        <f>$J7</f>
        <v>#N/A</v>
      </c>
      <c r="T7" s="224" t="s">
        <v>415</v>
      </c>
      <c r="U7" s="238"/>
      <c r="V7" s="3239"/>
      <c r="W7" s="3240"/>
      <c r="X7" s="3240"/>
      <c r="Y7" s="3240"/>
      <c r="Z7" s="3240"/>
      <c r="AA7" s="3240"/>
      <c r="AB7" s="3240"/>
      <c r="AC7" s="3241"/>
      <c r="AD7" s="3239"/>
      <c r="AE7" s="3240"/>
      <c r="AF7" s="3240"/>
      <c r="AG7" s="3240"/>
      <c r="AH7" s="3240"/>
      <c r="AI7" s="3240"/>
      <c r="AJ7" s="3240"/>
      <c r="AK7" s="3240"/>
      <c r="AL7" s="3241"/>
      <c r="AM7" s="1185" t="s">
        <v>416</v>
      </c>
      <c r="AO7" s="437"/>
      <c r="AP7" s="437" t="str">
        <f t="shared" si="0"/>
        <v>Группа потребителей</v>
      </c>
      <c r="AQ7" s="437"/>
      <c r="AR7" s="437"/>
      <c r="AS7" s="1082">
        <v>0</v>
      </c>
    </row>
    <row r="8" spans="1:45" ht="21" hidden="1" customHeight="1">
      <c r="A8" s="1290"/>
      <c r="B8" s="1290"/>
      <c r="C8" s="1290"/>
      <c r="D8" s="1290"/>
      <c r="E8" s="3255"/>
      <c r="F8" s="3255"/>
      <c r="G8" s="3255"/>
      <c r="H8" s="3255"/>
      <c r="I8" s="3257"/>
      <c r="J8" s="3257"/>
      <c r="K8" s="3256" t="e">
        <f>J7&amp;".1"</f>
        <v>#N/A</v>
      </c>
      <c r="L8" s="1291" t="s">
        <v>417</v>
      </c>
      <c r="M8" s="474"/>
      <c r="N8" s="1293"/>
      <c r="O8" s="1293"/>
      <c r="P8" s="3258"/>
      <c r="Q8" s="3258"/>
      <c r="R8" s="294">
        <v>1</v>
      </c>
      <c r="S8" s="1263" t="e">
        <f>$K8</f>
        <v>#N/A</v>
      </c>
      <c r="T8" s="1274"/>
      <c r="U8" s="238"/>
      <c r="V8" s="688"/>
      <c r="W8" s="263"/>
      <c r="X8" s="688"/>
      <c r="Y8" s="1184"/>
      <c r="Z8" s="3259"/>
      <c r="AA8" s="3121" t="s">
        <v>67</v>
      </c>
      <c r="AB8" s="3259"/>
      <c r="AC8" s="3121" t="s">
        <v>67</v>
      </c>
      <c r="AD8" s="688"/>
      <c r="AE8" s="263"/>
      <c r="AF8" s="688"/>
      <c r="AG8" s="1184"/>
      <c r="AH8" s="3259"/>
      <c r="AI8" s="3121" t="s">
        <v>67</v>
      </c>
      <c r="AJ8" s="3259"/>
      <c r="AK8" s="3121" t="s">
        <v>67</v>
      </c>
      <c r="AL8" s="263"/>
      <c r="AM8" s="3278" t="s">
        <v>418</v>
      </c>
      <c r="AN8" s="448" t="e">
        <f ca="1">STRCHECKDATE(V9:AL9)</f>
        <v>#NAME?</v>
      </c>
      <c r="AO8" s="437"/>
      <c r="AP8" s="437" t="str">
        <f t="shared" si="0"/>
        <v/>
      </c>
      <c r="AQ8" s="437"/>
      <c r="AR8" s="437"/>
      <c r="AS8" s="1082">
        <v>0</v>
      </c>
    </row>
    <row r="9" spans="1:45" ht="14.25" hidden="1" customHeight="1">
      <c r="A9" s="1290"/>
      <c r="B9" s="1290"/>
      <c r="C9" s="1290"/>
      <c r="D9" s="1290"/>
      <c r="E9" s="3255"/>
      <c r="F9" s="3255"/>
      <c r="G9" s="3255"/>
      <c r="H9" s="3255"/>
      <c r="I9" s="3257"/>
      <c r="J9" s="3257"/>
      <c r="K9" s="3256"/>
      <c r="L9" s="1291"/>
      <c r="M9" s="474"/>
      <c r="N9" s="1293"/>
      <c r="O9" s="1293"/>
      <c r="P9" s="3258"/>
      <c r="Q9" s="3258"/>
      <c r="R9" s="294"/>
      <c r="S9" s="1269"/>
      <c r="T9" s="238"/>
      <c r="U9" s="238"/>
      <c r="V9" s="263"/>
      <c r="W9" s="263"/>
      <c r="X9" s="263"/>
      <c r="Y9" s="266" t="str">
        <f>Z8&amp;"-"&amp;AB8</f>
        <v>-</v>
      </c>
      <c r="Z9" s="3260"/>
      <c r="AA9" s="3121"/>
      <c r="AB9" s="3260"/>
      <c r="AC9" s="3121"/>
      <c r="AD9" s="263"/>
      <c r="AE9" s="263"/>
      <c r="AF9" s="263"/>
      <c r="AG9" s="266" t="str">
        <f>AH8&amp;"-"&amp;AJ8</f>
        <v>-</v>
      </c>
      <c r="AH9" s="3260"/>
      <c r="AI9" s="3121"/>
      <c r="AJ9" s="3260"/>
      <c r="AK9" s="3121"/>
      <c r="AL9" s="263"/>
      <c r="AM9" s="3279"/>
      <c r="AO9" s="437"/>
      <c r="AP9" s="437" t="str">
        <f t="shared" si="0"/>
        <v/>
      </c>
      <c r="AQ9" s="437"/>
      <c r="AR9" s="437"/>
      <c r="AS9" s="1082">
        <v>0</v>
      </c>
    </row>
    <row r="10" spans="1:45" ht="15" hidden="1" customHeight="1">
      <c r="A10" s="1290"/>
      <c r="B10" s="1290"/>
      <c r="C10" s="1290"/>
      <c r="D10" s="1290"/>
      <c r="E10" s="3255"/>
      <c r="F10" s="3255"/>
      <c r="G10" s="3255"/>
      <c r="H10" s="3255"/>
      <c r="I10" s="3257"/>
      <c r="J10" s="3256"/>
      <c r="K10" s="1290"/>
      <c r="L10" s="1291"/>
      <c r="M10" s="474"/>
      <c r="N10" s="1293"/>
      <c r="P10" s="3258"/>
      <c r="Q10" s="3258"/>
      <c r="R10" s="293"/>
      <c r="S10" s="1205"/>
      <c r="T10" s="225" t="s">
        <v>419</v>
      </c>
      <c r="U10" s="304"/>
      <c r="V10" s="304"/>
      <c r="W10" s="304"/>
      <c r="X10" s="304"/>
      <c r="Y10" s="304"/>
      <c r="Z10" s="304"/>
      <c r="AA10" s="304"/>
      <c r="AB10" s="304"/>
      <c r="AC10" s="304"/>
      <c r="AD10" s="304"/>
      <c r="AE10" s="304"/>
      <c r="AF10" s="304"/>
      <c r="AG10" s="304"/>
      <c r="AH10" s="304"/>
      <c r="AI10" s="304"/>
      <c r="AJ10" s="304"/>
      <c r="AK10" s="304"/>
      <c r="AL10" s="262"/>
      <c r="AM10" s="328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255"/>
      <c r="F11" s="3255"/>
      <c r="G11" s="3255"/>
      <c r="H11" s="3255"/>
      <c r="I11" s="3256"/>
      <c r="J11" s="1290"/>
      <c r="K11" s="1290"/>
      <c r="L11" s="1291"/>
      <c r="M11" s="474"/>
      <c r="P11" s="3258"/>
      <c r="Q11" s="1258"/>
      <c r="R11" s="293"/>
      <c r="S11" s="1205"/>
      <c r="T11" s="302" t="s">
        <v>420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3255"/>
      <c r="F12" s="3255"/>
      <c r="G12" s="3255"/>
      <c r="H12" s="325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3255"/>
      <c r="F13" s="3255"/>
      <c r="G13" s="3254"/>
      <c r="H13" s="1241"/>
      <c r="I13" s="1241"/>
      <c r="J13" s="1241"/>
      <c r="K13" s="1241"/>
      <c r="L13" s="1266"/>
      <c r="M13" s="1242"/>
      <c r="N13" s="1242"/>
      <c r="P13" s="1243"/>
      <c r="Q13" s="1244"/>
      <c r="R13" s="1243"/>
      <c r="S13" s="1245"/>
      <c r="T13" s="1246" t="s">
        <v>166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3255"/>
      <c r="F14" s="3254"/>
      <c r="G14" s="1241"/>
      <c r="H14" s="1241"/>
      <c r="I14" s="1241"/>
      <c r="J14" s="1241"/>
      <c r="K14" s="1241"/>
      <c r="L14" s="1266"/>
      <c r="M14" s="1248"/>
      <c r="N14" s="1248"/>
      <c r="P14" s="1243"/>
      <c r="Q14" s="1244"/>
      <c r="R14" s="1243"/>
      <c r="S14" s="1249"/>
      <c r="T14" s="1250" t="s">
        <v>167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3254"/>
      <c r="F15" s="1241"/>
      <c r="G15" s="1241"/>
      <c r="H15" s="1241"/>
      <c r="I15" s="1241"/>
      <c r="J15" s="1241"/>
      <c r="K15" s="1241"/>
      <c r="L15" s="1266"/>
      <c r="M15" s="1248"/>
      <c r="N15" s="1248"/>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3251"/>
      <c r="AI17" s="3250" t="s">
        <v>67</v>
      </c>
      <c r="AJ17" s="3251"/>
      <c r="AK17" s="3250" t="s">
        <v>67</v>
      </c>
      <c r="AS17" s="1082">
        <v>0</v>
      </c>
    </row>
    <row r="18" spans="1:45" ht="14.25" hidden="1" customHeight="1">
      <c r="AD18" s="1287"/>
      <c r="AE18" s="1287"/>
      <c r="AF18" s="1287"/>
      <c r="AG18" s="266" t="str">
        <f>AH17&amp;"-"&amp;AJ17</f>
        <v>-</v>
      </c>
      <c r="AH18" s="3250"/>
      <c r="AI18" s="3250"/>
      <c r="AJ18" s="3250"/>
      <c r="AK18" s="3250"/>
      <c r="AS18" s="1082">
        <v>0</v>
      </c>
    </row>
    <row r="19" spans="1:45" ht="14.25" hidden="1" customHeight="1">
      <c r="AK19" s="265"/>
      <c r="AS19" s="1082">
        <v>0</v>
      </c>
    </row>
    <row r="20" spans="1:45" s="1293" customFormat="1" ht="22.5" hidden="1" customHeight="1">
      <c r="L20" s="1256"/>
      <c r="M20" s="1289"/>
      <c r="N20" s="1289"/>
      <c r="O20" s="1294" t="s">
        <v>422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423</v>
      </c>
      <c r="P22" s="1289"/>
      <c r="Q22" s="1298"/>
      <c r="R22" s="1298"/>
      <c r="S22" s="666"/>
      <c r="T22" s="1087" t="s">
        <v>424</v>
      </c>
      <c r="AA22" s="124" t="s">
        <v>425</v>
      </c>
      <c r="AC22" s="124" t="s">
        <v>426</v>
      </c>
      <c r="AD22" s="1087" t="s">
        <v>424</v>
      </c>
      <c r="AI22" s="124" t="s">
        <v>427</v>
      </c>
      <c r="AK22" s="124" t="s">
        <v>426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3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32"/>
      <c r="U26" s="3232"/>
      <c r="V26" s="3232"/>
      <c r="W26" s="3232"/>
      <c r="X26" s="3232"/>
      <c r="Y26" s="3232"/>
      <c r="Z26" s="3232"/>
      <c r="AA26" s="3232"/>
      <c r="AB26" s="3232"/>
      <c r="AC26" s="3232"/>
      <c r="AD26" s="3232"/>
      <c r="AE26" s="3232"/>
      <c r="AF26" s="3232"/>
      <c r="AG26" s="3232"/>
      <c r="AH26" s="3232"/>
      <c r="AI26" s="3232"/>
      <c r="AJ26" s="3232"/>
      <c r="AK26" s="1170"/>
      <c r="AS26" s="1082">
        <v>51</v>
      </c>
    </row>
    <row r="27" spans="1:45" ht="14.65" customHeight="1">
      <c r="Q27" s="313"/>
      <c r="R27" s="313"/>
      <c r="S27" s="3204" t="str">
        <f>IF(org=0,"Не определено",org)</f>
        <v>АО Нижневартовская ГРЭС</v>
      </c>
      <c r="T27" s="3204"/>
      <c r="U27" s="3204"/>
      <c r="V27" s="3204"/>
      <c r="W27" s="3204"/>
      <c r="X27" s="3204"/>
      <c r="Y27" s="3204"/>
      <c r="Z27" s="3204"/>
      <c r="AA27" s="3204"/>
      <c r="AB27" s="3204"/>
      <c r="AC27" s="3204"/>
      <c r="AD27" s="3204"/>
      <c r="AE27" s="3204"/>
      <c r="AF27" s="3204"/>
      <c r="AG27" s="3204"/>
      <c r="AH27" s="3204"/>
      <c r="AI27" s="3204"/>
      <c r="AJ27" s="3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3243" t="s">
        <v>42</v>
      </c>
      <c r="T29" s="3243"/>
      <c r="U29" s="1299"/>
      <c r="V29" s="3245" t="str">
        <f>IF(TITLE_NAME_OR_PR_CHANGE="",IF(TITLE_NAME_OR_PR="","",TITLE_NAME_OR_PR),TITLE_NAME_OR_PR_CHANGE)</f>
        <v/>
      </c>
      <c r="W29" s="3245"/>
      <c r="X29" s="3245"/>
      <c r="Y29" s="3245"/>
      <c r="Z29" s="3245"/>
      <c r="AA29" s="3245"/>
      <c r="AB29" s="3245"/>
      <c r="AC29" s="264"/>
      <c r="AD29" s="3245" t="str">
        <f>IF(TITLE_NAME_OR_PR_CHANGE="",IF(TITLE_NAME_OR_PR="","",TITLE_NAME_OR_PR),TITLE_NAME_OR_PR_CHANGE)</f>
        <v/>
      </c>
      <c r="AE29" s="3245"/>
      <c r="AF29" s="3245"/>
      <c r="AG29" s="3245"/>
      <c r="AH29" s="3245"/>
      <c r="AI29" s="3245"/>
      <c r="AJ29" s="324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3243" t="s">
        <v>428</v>
      </c>
      <c r="T30" s="3243"/>
      <c r="U30" s="1299"/>
      <c r="V30" s="3244">
        <f>IF(TITLE_DATE_PR_CHANGE="",IF(TITLE_DATE_PR="","",TITLE_DATE_PR),TITLE_DATE_PR_CHANGE)</f>
        <v>45595.546053240738</v>
      </c>
      <c r="W30" s="3244"/>
      <c r="X30" s="3244"/>
      <c r="Y30" s="3244"/>
      <c r="Z30" s="3244"/>
      <c r="AA30" s="3244"/>
      <c r="AB30" s="3244"/>
      <c r="AC30" s="264"/>
      <c r="AD30" s="3244">
        <f>IF(TITLE_DATE_PR_CHANGE="",IF(TITLE_DATE_PR="","",TITLE_DATE_PR),TITLE_DATE_PR_CHANGE)</f>
        <v>45595.546053240738</v>
      </c>
      <c r="AE30" s="3244"/>
      <c r="AF30" s="3244"/>
      <c r="AG30" s="3244"/>
      <c r="AH30" s="3244"/>
      <c r="AI30" s="3244"/>
      <c r="AJ30" s="324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3243" t="s">
        <v>429</v>
      </c>
      <c r="T31" s="3243"/>
      <c r="U31" s="1299"/>
      <c r="V31" s="3245" t="str">
        <f>IF(TITLE_NUMBER_PR_CHANGE="",IF(TITLE_NUMBER_PR="","",TITLE_NUMBER_PR),TITLE_NUMBER_PR_CHANGE)</f>
        <v>03/3636</v>
      </c>
      <c r="W31" s="3245"/>
      <c r="X31" s="3245"/>
      <c r="Y31" s="3245"/>
      <c r="Z31" s="3245"/>
      <c r="AA31" s="3245"/>
      <c r="AB31" s="3245"/>
      <c r="AC31" s="264"/>
      <c r="AD31" s="3245" t="str">
        <f>IF(TITLE_NUMBER_PR_CHANGE="",IF(TITLE_NUMBER_PR="","",TITLE_NUMBER_PR),TITLE_NUMBER_PR_CHANGE)</f>
        <v>03/3636</v>
      </c>
      <c r="AE31" s="3245"/>
      <c r="AF31" s="3245"/>
      <c r="AG31" s="3245"/>
      <c r="AH31" s="3245"/>
      <c r="AI31" s="3245"/>
      <c r="AJ31" s="324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3243" t="s">
        <v>43</v>
      </c>
      <c r="T32" s="3243"/>
      <c r="U32" s="1299"/>
      <c r="V32" s="3245" t="str">
        <f>IF(TITLE_IST_PUB_CHANGE="",IF(TITLE_IST_PUB="","",TITLE_IST_PUB),TITLE_IST_PUB_CHANGE)</f>
        <v/>
      </c>
      <c r="W32" s="3245"/>
      <c r="X32" s="3245"/>
      <c r="Y32" s="3245"/>
      <c r="Z32" s="3245"/>
      <c r="AA32" s="3245"/>
      <c r="AB32" s="3245"/>
      <c r="AC32" s="264"/>
      <c r="AD32" s="3245" t="str">
        <f>IF(TITLE_IST_PUB_CHANGE="",IF(TITLE_IST_PUB="","",TITLE_IST_PUB),TITLE_IST_PUB_CHANGE)</f>
        <v/>
      </c>
      <c r="AE32" s="3245"/>
      <c r="AF32" s="3245"/>
      <c r="AG32" s="3245"/>
      <c r="AH32" s="3245"/>
      <c r="AI32" s="3245"/>
      <c r="AJ32" s="324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3243" t="s">
        <v>430</v>
      </c>
      <c r="T34" s="3243"/>
      <c r="U34" s="1299"/>
      <c r="V34" s="3244">
        <f>IF(TITLE_DATE_PR_CHANGE="",IF(TITLE_DATE_PR="","",TITLE_DATE_PR),TITLE_DATE_PR_CHANGE)</f>
        <v>45595.546053240738</v>
      </c>
      <c r="W34" s="3244"/>
      <c r="X34" s="3244"/>
      <c r="Y34" s="3244"/>
      <c r="Z34" s="3244"/>
      <c r="AA34" s="3244"/>
      <c r="AB34" s="3244"/>
      <c r="AC34" s="264"/>
      <c r="AD34" s="3244">
        <f>IF(TITLE_DATE_PR_CHANGE="",IF(TITLE_DATE_PR="","",TITLE_DATE_PR),TITLE_DATE_PR_CHANGE)</f>
        <v>45595.546053240738</v>
      </c>
      <c r="AE34" s="3244"/>
      <c r="AF34" s="3244"/>
      <c r="AG34" s="3244"/>
      <c r="AH34" s="3244"/>
      <c r="AI34" s="3244"/>
      <c r="AJ34" s="3244"/>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3243" t="s">
        <v>431</v>
      </c>
      <c r="T35" s="3243"/>
      <c r="U35" s="1299"/>
      <c r="V35" s="3245" t="str">
        <f>IF(TITLE_NUMBER_PR_CHANGE="",IF(TITLE_NUMBER_PR="","",TITLE_NUMBER_PR),TITLE_NUMBER_PR_CHANGE)</f>
        <v>03/3636</v>
      </c>
      <c r="W35" s="3245"/>
      <c r="X35" s="3245"/>
      <c r="Y35" s="3245"/>
      <c r="Z35" s="3245"/>
      <c r="AA35" s="3245"/>
      <c r="AB35" s="3245"/>
      <c r="AC35" s="264"/>
      <c r="AD35" s="3245" t="str">
        <f>IF(TITLE_NUMBER_PR_CHANGE="",IF(TITLE_NUMBER_PR="","",TITLE_NUMBER_PR),TITLE_NUMBER_PR_CHANGE)</f>
        <v>03/3636</v>
      </c>
      <c r="AE35" s="3245"/>
      <c r="AF35" s="3245"/>
      <c r="AG35" s="3245"/>
      <c r="AH35" s="3245"/>
      <c r="AI35" s="3245"/>
      <c r="AJ35" s="324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432</v>
      </c>
      <c r="AD36" s="264"/>
      <c r="AE36" s="264"/>
      <c r="AF36" s="264"/>
      <c r="AG36" s="264"/>
      <c r="AH36" s="264"/>
      <c r="AI36" s="264"/>
      <c r="AJ36" s="264"/>
      <c r="AK36" s="216" t="s">
        <v>432</v>
      </c>
      <c r="AN36" s="305"/>
      <c r="AO36" s="305"/>
      <c r="AP36" s="305"/>
      <c r="AQ36" s="305"/>
      <c r="AR36" s="305"/>
      <c r="AS36" s="355">
        <v>0</v>
      </c>
    </row>
    <row r="37" spans="1:45" ht="14.65" customHeight="1">
      <c r="Q37" s="313"/>
      <c r="R37" s="313"/>
      <c r="S37" s="1202"/>
      <c r="T37" s="300"/>
      <c r="U37" s="1171"/>
      <c r="V37" s="3266"/>
      <c r="W37" s="3266"/>
      <c r="X37" s="3266"/>
      <c r="Y37" s="3266"/>
      <c r="Z37" s="3266"/>
      <c r="AA37" s="3266"/>
      <c r="AB37" s="3266"/>
      <c r="AC37" s="3266"/>
      <c r="AD37" s="3266"/>
      <c r="AE37" s="3266"/>
      <c r="AF37" s="3266"/>
      <c r="AG37" s="3266"/>
      <c r="AH37" s="3266"/>
      <c r="AI37" s="3266"/>
      <c r="AJ37" s="3266"/>
      <c r="AK37" s="3266"/>
      <c r="AS37" s="1082">
        <v>14</v>
      </c>
    </row>
    <row r="38" spans="1:45" ht="14.65" customHeight="1">
      <c r="Q38" s="313"/>
      <c r="R38" s="313"/>
      <c r="S38" s="3111" t="s">
        <v>308</v>
      </c>
      <c r="T38" s="3111"/>
      <c r="U38" s="3111"/>
      <c r="V38" s="3111"/>
      <c r="W38" s="3111"/>
      <c r="X38" s="3111"/>
      <c r="Y38" s="3111"/>
      <c r="Z38" s="3111"/>
      <c r="AA38" s="3111"/>
      <c r="AB38" s="3111"/>
      <c r="AC38" s="3111"/>
      <c r="AD38" s="3111"/>
      <c r="AE38" s="3111"/>
      <c r="AF38" s="3111"/>
      <c r="AG38" s="3111"/>
      <c r="AH38" s="3111"/>
      <c r="AI38" s="3111"/>
      <c r="AJ38" s="3111"/>
      <c r="AK38" s="3111"/>
      <c r="AL38" s="3111"/>
      <c r="AM38" s="3111" t="s">
        <v>309</v>
      </c>
      <c r="AS38" s="1082">
        <v>14</v>
      </c>
    </row>
    <row r="39" spans="1:45" ht="14.65" customHeight="1">
      <c r="Q39" s="313"/>
      <c r="R39" s="313"/>
      <c r="S39" s="3268" t="s">
        <v>85</v>
      </c>
      <c r="T39" s="3212" t="s">
        <v>433</v>
      </c>
      <c r="U39" s="239"/>
      <c r="V39" s="3269" t="s">
        <v>434</v>
      </c>
      <c r="W39" s="3270"/>
      <c r="X39" s="3270"/>
      <c r="Y39" s="3270"/>
      <c r="Z39" s="3270"/>
      <c r="AA39" s="3270"/>
      <c r="AB39" s="3271"/>
      <c r="AC39" s="3272" t="s">
        <v>435</v>
      </c>
      <c r="AD39" s="3269" t="s">
        <v>434</v>
      </c>
      <c r="AE39" s="3270"/>
      <c r="AF39" s="3270"/>
      <c r="AG39" s="3270"/>
      <c r="AH39" s="3270"/>
      <c r="AI39" s="3270"/>
      <c r="AJ39" s="3271"/>
      <c r="AK39" s="3272" t="s">
        <v>436</v>
      </c>
      <c r="AL39" s="3275" t="s">
        <v>437</v>
      </c>
      <c r="AM39" s="3111"/>
      <c r="AS39" s="1082">
        <v>14</v>
      </c>
    </row>
    <row r="40" spans="1:45" ht="35.65" customHeight="1">
      <c r="Q40" s="313"/>
      <c r="R40" s="313"/>
      <c r="S40" s="3268"/>
      <c r="T40" s="3212"/>
      <c r="U40" s="961"/>
      <c r="V40" s="3184" t="s">
        <v>438</v>
      </c>
      <c r="W40" s="3263"/>
      <c r="X40" s="3093" t="s">
        <v>440</v>
      </c>
      <c r="Y40" s="3092"/>
      <c r="Z40" s="3093" t="s">
        <v>441</v>
      </c>
      <c r="AA40" s="3098"/>
      <c r="AB40" s="3092"/>
      <c r="AC40" s="3273"/>
      <c r="AD40" s="3184" t="s">
        <v>457</v>
      </c>
      <c r="AE40" s="3263"/>
      <c r="AF40" s="3093" t="s">
        <v>440</v>
      </c>
      <c r="AG40" s="3092"/>
      <c r="AH40" s="3093" t="s">
        <v>441</v>
      </c>
      <c r="AI40" s="3098"/>
      <c r="AJ40" s="3092"/>
      <c r="AK40" s="3273"/>
      <c r="AL40" s="3276"/>
      <c r="AM40" s="3111"/>
      <c r="AS40" s="1082">
        <v>34</v>
      </c>
    </row>
    <row r="41" spans="1:45" ht="35.65" customHeight="1">
      <c r="A41" s="1297"/>
      <c r="B41" s="1297" t="s">
        <v>133</v>
      </c>
      <c r="C41" s="1297" t="s">
        <v>134</v>
      </c>
      <c r="D41" s="1297" t="s">
        <v>135</v>
      </c>
      <c r="E41" s="1291" t="s">
        <v>442</v>
      </c>
      <c r="F41" s="1291" t="s">
        <v>443</v>
      </c>
      <c r="G41" s="1291" t="s">
        <v>444</v>
      </c>
      <c r="H41" s="1291" t="s">
        <v>445</v>
      </c>
      <c r="I41" s="1291" t="s">
        <v>446</v>
      </c>
      <c r="J41" s="1291" t="s">
        <v>447</v>
      </c>
      <c r="K41" s="1291" t="s">
        <v>448</v>
      </c>
      <c r="L41" s="1291" t="s">
        <v>423</v>
      </c>
      <c r="Q41" s="313"/>
      <c r="R41" s="313"/>
      <c r="S41" s="3268"/>
      <c r="T41" s="3212"/>
      <c r="U41" s="240"/>
      <c r="V41" s="3237"/>
      <c r="W41" s="3264"/>
      <c r="X41" s="1149" t="s">
        <v>449</v>
      </c>
      <c r="Y41" s="1149" t="s">
        <v>450</v>
      </c>
      <c r="Z41" s="1265" t="s">
        <v>451</v>
      </c>
      <c r="AA41" s="3217" t="s">
        <v>452</v>
      </c>
      <c r="AB41" s="3231"/>
      <c r="AC41" s="3274"/>
      <c r="AD41" s="3237"/>
      <c r="AE41" s="3264"/>
      <c r="AF41" s="1149" t="s">
        <v>449</v>
      </c>
      <c r="AG41" s="1149" t="s">
        <v>450</v>
      </c>
      <c r="AH41" s="1265" t="s">
        <v>451</v>
      </c>
      <c r="AI41" s="3217" t="s">
        <v>452</v>
      </c>
      <c r="AJ41" s="3231"/>
      <c r="AK41" s="3274"/>
      <c r="AL41" s="3277"/>
      <c r="AM41" s="31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3265">
        <f ca="1">OFFSET(AA42,0,-1)+1</f>
        <v>4</v>
      </c>
      <c r="AB42" s="3265"/>
      <c r="AC42" s="1262">
        <f ca="1">OFFSET(AC42,0,-2)+1</f>
        <v>5</v>
      </c>
      <c r="AD42" s="1262">
        <f ca="1">OFFSET(AD42,0,-1)+1</f>
        <v>6</v>
      </c>
      <c r="AE42" s="1262"/>
      <c r="AF42" s="1262">
        <f ca="1">OFFSET(AF42,0,-1)+1</f>
        <v>1</v>
      </c>
      <c r="AG42" s="1262">
        <f ca="1">OFFSET(AG42,0,-1)+1</f>
        <v>2</v>
      </c>
      <c r="AH42" s="1262">
        <f ca="1">OFFSET(AH42,0,-1)+1</f>
        <v>3</v>
      </c>
      <c r="AI42" s="3265">
        <f ca="1">OFFSET(AI42,0,-1)+1</f>
        <v>4</v>
      </c>
      <c r="AJ42" s="3265"/>
      <c r="AK42" s="1262">
        <f ca="1">OFFSET(AK42,0,-2)+1</f>
        <v>5</v>
      </c>
      <c r="AL42" s="1172">
        <f ca="1">OFFSET(AL42,0,-1)</f>
        <v>5</v>
      </c>
      <c r="AM42" s="1262">
        <f ca="1">OFFSET(AM42,0,-1)+1</f>
        <v>6</v>
      </c>
      <c r="AN42" s="448"/>
      <c r="AO42" s="448"/>
      <c r="AP42" s="448"/>
      <c r="AQ42" s="448"/>
      <c r="AR42" s="448"/>
      <c r="AS42" s="433">
        <v>0</v>
      </c>
    </row>
    <row r="43" spans="1:45" ht="21.95" customHeight="1">
      <c r="A43" s="1290" t="s">
        <v>196</v>
      </c>
      <c r="B43" s="1290"/>
      <c r="C43" s="1290"/>
      <c r="D43" s="1290"/>
      <c r="E43" s="325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3246"/>
      <c r="W43" s="3247"/>
      <c r="X43" s="3247"/>
      <c r="Y43" s="3247"/>
      <c r="Z43" s="3247"/>
      <c r="AA43" s="3247"/>
      <c r="AB43" s="3247"/>
      <c r="AC43" s="3248"/>
      <c r="AD43" s="3246" t="str">
        <f>INDEX(PT_DIFFERENTIATION_NTAR,MATCH(A43,PT_DIFFERENTIATION_NTAR_ID,0))</f>
        <v/>
      </c>
      <c r="AE43" s="3247"/>
      <c r="AF43" s="3247"/>
      <c r="AG43" s="3247"/>
      <c r="AH43" s="3247"/>
      <c r="AI43" s="3247"/>
      <c r="AJ43" s="3247"/>
      <c r="AK43" s="3247"/>
      <c r="AL43" s="324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196</v>
      </c>
      <c r="B44" s="1290" t="s">
        <v>197</v>
      </c>
      <c r="C44" s="1290"/>
      <c r="D44" s="1290"/>
      <c r="E44" s="3255"/>
      <c r="F44" s="3254">
        <v>1</v>
      </c>
      <c r="G44" s="1290"/>
      <c r="H44" s="1290"/>
      <c r="I44" s="1290"/>
      <c r="J44" s="1290"/>
      <c r="K44" s="1290"/>
      <c r="L44" s="1291"/>
      <c r="M44" s="1292"/>
      <c r="N44" s="1292"/>
      <c r="O44" s="1292"/>
      <c r="P44" s="1259"/>
      <c r="Q44" s="289"/>
      <c r="R44" s="290"/>
      <c r="S44" s="1263" t="str">
        <f>INDEX(PT_DIFFERENTIATION_NUM_TER,MATCH(B44,PT_DIFFERENTIATION_TER_ID,0))</f>
        <v>.</v>
      </c>
      <c r="T44" s="246" t="s">
        <v>405</v>
      </c>
      <c r="U44" s="238"/>
      <c r="V44" s="3246"/>
      <c r="W44" s="3247"/>
      <c r="X44" s="3247"/>
      <c r="Y44" s="3247"/>
      <c r="Z44" s="3247"/>
      <c r="AA44" s="3247"/>
      <c r="AB44" s="3247"/>
      <c r="AC44" s="3248"/>
      <c r="AD44" s="3246" t="str">
        <f>INDEX(PT_DIFFERENTIATION_TER,MATCH(B44,PT_DIFFERENTIATION_TER_ID,0))</f>
        <v/>
      </c>
      <c r="AE44" s="3247"/>
      <c r="AF44" s="3247"/>
      <c r="AG44" s="3247"/>
      <c r="AH44" s="3247"/>
      <c r="AI44" s="3247"/>
      <c r="AJ44" s="3247"/>
      <c r="AK44" s="3247"/>
      <c r="AL44" s="3248"/>
      <c r="AM44" s="1185" t="s">
        <v>406</v>
      </c>
      <c r="AO44" s="437"/>
      <c r="AP44" s="437" t="str">
        <f t="shared" si="1"/>
        <v>Территория действия тарифа</v>
      </c>
      <c r="AQ44" s="437"/>
      <c r="AR44" s="437"/>
      <c r="AS44" s="1082">
        <v>21</v>
      </c>
    </row>
    <row r="45" spans="1:45" ht="24" customHeight="1">
      <c r="A45" s="1290" t="s">
        <v>196</v>
      </c>
      <c r="B45" s="1290" t="s">
        <v>197</v>
      </c>
      <c r="C45" s="1290" t="s">
        <v>198</v>
      </c>
      <c r="D45" s="1290"/>
      <c r="E45" s="3255"/>
      <c r="F45" s="3255"/>
      <c r="G45" s="3254">
        <v>1</v>
      </c>
      <c r="H45" s="1290"/>
      <c r="I45" s="1290"/>
      <c r="J45" s="1290"/>
      <c r="K45" s="1290"/>
      <c r="L45" s="1291"/>
      <c r="M45" s="1292"/>
      <c r="N45" s="1292"/>
      <c r="O45" s="1292"/>
      <c r="P45" s="291"/>
      <c r="Q45" s="289"/>
      <c r="R45" s="290"/>
      <c r="S45" s="1263" t="str">
        <f>INDEX(PT_DIFFERENTIATION_NUM_CS,MATCH(C45,PT_DIFFERENTIATION_CS_ID,0))</f>
        <v>..</v>
      </c>
      <c r="T45" s="247" t="s">
        <v>407</v>
      </c>
      <c r="U45" s="238"/>
      <c r="V45" s="3246"/>
      <c r="W45" s="3247"/>
      <c r="X45" s="3247"/>
      <c r="Y45" s="3247"/>
      <c r="Z45" s="3247"/>
      <c r="AA45" s="3247"/>
      <c r="AB45" s="3247"/>
      <c r="AC45" s="3248"/>
      <c r="AD45" s="3246" t="str">
        <f>INDEX(PT_DIFFERENTIATION_CS,MATCH(C45,PT_DIFFERENTIATION_CS_ID,0))</f>
        <v/>
      </c>
      <c r="AE45" s="3247"/>
      <c r="AF45" s="3247"/>
      <c r="AG45" s="3247"/>
      <c r="AH45" s="3247"/>
      <c r="AI45" s="3247"/>
      <c r="AJ45" s="3247"/>
      <c r="AK45" s="3247"/>
      <c r="AL45" s="3248"/>
      <c r="AM45" s="1185" t="s">
        <v>408</v>
      </c>
      <c r="AO45" s="437"/>
      <c r="AP45" s="437" t="str">
        <f t="shared" si="1"/>
        <v xml:space="preserve">Наименование системы теплоснабжения </v>
      </c>
      <c r="AQ45" s="437"/>
      <c r="AR45" s="437"/>
      <c r="AS45" s="1082">
        <v>23</v>
      </c>
    </row>
    <row r="46" spans="1:45" ht="21.95" customHeight="1">
      <c r="A46" s="1290" t="s">
        <v>196</v>
      </c>
      <c r="B46" s="1290" t="s">
        <v>197</v>
      </c>
      <c r="C46" s="1290" t="s">
        <v>198</v>
      </c>
      <c r="D46" s="1290" t="s">
        <v>199</v>
      </c>
      <c r="E46" s="3255"/>
      <c r="F46" s="3255"/>
      <c r="G46" s="3255"/>
      <c r="H46" s="3254">
        <v>1</v>
      </c>
      <c r="I46" s="1290"/>
      <c r="J46" s="1290"/>
      <c r="K46" s="1290"/>
      <c r="L46" s="1291"/>
      <c r="M46" s="1292"/>
      <c r="N46" s="1292"/>
      <c r="O46" s="1292"/>
      <c r="P46" s="291"/>
      <c r="Q46" s="289"/>
      <c r="R46" s="290"/>
      <c r="S46" s="1263" t="str">
        <f>INDEX(PT_DIFFERENTIATION_NUM_IST_TE,MATCH(D46,PT_DIFFERENTIATION_IST_TE_ID,0))</f>
        <v>...</v>
      </c>
      <c r="T46" s="248" t="s">
        <v>409</v>
      </c>
      <c r="U46" s="238"/>
      <c r="V46" s="3246"/>
      <c r="W46" s="3247"/>
      <c r="X46" s="3247"/>
      <c r="Y46" s="3247"/>
      <c r="Z46" s="3247"/>
      <c r="AA46" s="3247"/>
      <c r="AB46" s="3247"/>
      <c r="AC46" s="3248"/>
      <c r="AD46" s="3246" t="str">
        <f>INDEX(PT_DIFFERENTIATION_IST_TE,MATCH(D46,PT_DIFFERENTIATION_IST_TE_ID,0))</f>
        <v/>
      </c>
      <c r="AE46" s="3247"/>
      <c r="AF46" s="3247"/>
      <c r="AG46" s="3247"/>
      <c r="AH46" s="3247"/>
      <c r="AI46" s="3247"/>
      <c r="AJ46" s="3247"/>
      <c r="AK46" s="3247"/>
      <c r="AL46" s="3248"/>
      <c r="AM46" s="1185" t="s">
        <v>410</v>
      </c>
      <c r="AO46" s="437"/>
      <c r="AP46" s="437" t="str">
        <f t="shared" si="1"/>
        <v xml:space="preserve">Источник тепловой энергии  </v>
      </c>
      <c r="AQ46" s="437"/>
      <c r="AR46" s="437"/>
      <c r="AS46" s="1082">
        <v>21</v>
      </c>
    </row>
    <row r="47" spans="1:45" s="1569" customFormat="1" ht="0" hidden="1" customHeight="1">
      <c r="A47" s="1270" t="s">
        <v>196</v>
      </c>
      <c r="B47" s="1270" t="s">
        <v>197</v>
      </c>
      <c r="C47" s="1270" t="s">
        <v>198</v>
      </c>
      <c r="D47" s="1270" t="s">
        <v>199</v>
      </c>
      <c r="E47" s="3255"/>
      <c r="F47" s="3255"/>
      <c r="G47" s="3255"/>
      <c r="H47" s="3255"/>
      <c r="I47" s="3256" t="str">
        <f>S46&amp;".1"</f>
        <v>....1</v>
      </c>
      <c r="J47" s="1270"/>
      <c r="K47" s="1270"/>
      <c r="L47" s="1273" t="s">
        <v>411</v>
      </c>
      <c r="M47" s="447"/>
      <c r="N47" s="447"/>
      <c r="O47" s="447"/>
      <c r="P47" s="3258">
        <v>1</v>
      </c>
      <c r="Q47" s="1258"/>
      <c r="R47" s="293"/>
      <c r="S47" s="972"/>
      <c r="T47" s="1310"/>
      <c r="U47" s="1311"/>
      <c r="V47" s="3314"/>
      <c r="W47" s="3315"/>
      <c r="X47" s="3315"/>
      <c r="Y47" s="3315"/>
      <c r="Z47" s="3315"/>
      <c r="AA47" s="3315"/>
      <c r="AB47" s="3315"/>
      <c r="AC47" s="3316"/>
      <c r="AD47" s="3314"/>
      <c r="AE47" s="3315"/>
      <c r="AF47" s="3315"/>
      <c r="AG47" s="3315"/>
      <c r="AH47" s="3315"/>
      <c r="AI47" s="3315"/>
      <c r="AJ47" s="3315"/>
      <c r="AK47" s="3315"/>
      <c r="AL47" s="3316"/>
      <c r="AM47" s="1312"/>
      <c r="AO47" s="437"/>
      <c r="AP47" s="437" t="str">
        <f t="shared" si="1"/>
        <v/>
      </c>
      <c r="AQ47" s="437"/>
      <c r="AR47" s="437"/>
      <c r="AS47" s="448">
        <v>0</v>
      </c>
    </row>
    <row r="48" spans="1:45" ht="21.95" customHeight="1">
      <c r="A48" s="1290" t="s">
        <v>196</v>
      </c>
      <c r="B48" s="1290" t="s">
        <v>197</v>
      </c>
      <c r="C48" s="1290" t="s">
        <v>198</v>
      </c>
      <c r="D48" s="1290" t="s">
        <v>199</v>
      </c>
      <c r="E48" s="3255"/>
      <c r="F48" s="3255"/>
      <c r="G48" s="3255"/>
      <c r="H48" s="3255"/>
      <c r="I48" s="3257"/>
      <c r="J48" s="3256" t="str">
        <f>S46&amp;".1"</f>
        <v>....1</v>
      </c>
      <c r="K48" s="1290"/>
      <c r="L48" s="1291" t="s">
        <v>414</v>
      </c>
      <c r="P48" s="3258"/>
      <c r="Q48" s="3258">
        <v>1</v>
      </c>
      <c r="R48" s="294"/>
      <c r="S48" s="1263" t="str">
        <f>$J48</f>
        <v>....1</v>
      </c>
      <c r="T48" s="224" t="s">
        <v>415</v>
      </c>
      <c r="U48" s="238"/>
      <c r="V48" s="3239"/>
      <c r="W48" s="3240"/>
      <c r="X48" s="3240"/>
      <c r="Y48" s="3240"/>
      <c r="Z48" s="3240"/>
      <c r="AA48" s="3240"/>
      <c r="AB48" s="3240"/>
      <c r="AC48" s="3241"/>
      <c r="AD48" s="3239"/>
      <c r="AE48" s="3240"/>
      <c r="AF48" s="3240"/>
      <c r="AG48" s="3240"/>
      <c r="AH48" s="3240"/>
      <c r="AI48" s="3240"/>
      <c r="AJ48" s="3240"/>
      <c r="AK48" s="3240"/>
      <c r="AL48" s="3241"/>
      <c r="AM48" s="1185" t="s">
        <v>416</v>
      </c>
      <c r="AO48" s="437"/>
      <c r="AP48" s="437" t="str">
        <f t="shared" si="1"/>
        <v>Группа потребителей</v>
      </c>
      <c r="AQ48" s="437"/>
      <c r="AR48" s="437"/>
      <c r="AS48" s="1082">
        <v>21</v>
      </c>
    </row>
    <row r="49" spans="1:45" ht="21.95" customHeight="1">
      <c r="A49" s="1290" t="s">
        <v>196</v>
      </c>
      <c r="B49" s="1290" t="s">
        <v>197</v>
      </c>
      <c r="C49" s="1290" t="s">
        <v>198</v>
      </c>
      <c r="D49" s="1290" t="s">
        <v>199</v>
      </c>
      <c r="E49" s="3255"/>
      <c r="F49" s="3255"/>
      <c r="G49" s="3255"/>
      <c r="H49" s="3255"/>
      <c r="I49" s="3257"/>
      <c r="J49" s="3257"/>
      <c r="K49" s="3256" t="str">
        <f>J48&amp;".1"</f>
        <v>....1.1</v>
      </c>
      <c r="L49" s="1291" t="s">
        <v>417</v>
      </c>
      <c r="P49" s="3258"/>
      <c r="Q49" s="3258"/>
      <c r="R49" s="294">
        <v>1</v>
      </c>
      <c r="S49" s="1263" t="str">
        <f>$K49</f>
        <v>....1.1</v>
      </c>
      <c r="T49" s="1274"/>
      <c r="U49" s="238"/>
      <c r="V49" s="688"/>
      <c r="W49" s="263"/>
      <c r="X49" s="688"/>
      <c r="Y49" s="1184"/>
      <c r="Z49" s="3259"/>
      <c r="AA49" s="3121" t="s">
        <v>67</v>
      </c>
      <c r="AB49" s="3259"/>
      <c r="AC49" s="3121" t="s">
        <v>67</v>
      </c>
      <c r="AD49" s="688"/>
      <c r="AE49" s="263"/>
      <c r="AF49" s="688"/>
      <c r="AG49" s="1184"/>
      <c r="AH49" s="3259"/>
      <c r="AI49" s="3121" t="s">
        <v>67</v>
      </c>
      <c r="AJ49" s="3261"/>
      <c r="AK49" s="3121" t="s">
        <v>67</v>
      </c>
      <c r="AL49" s="1275"/>
      <c r="AM49" s="3278" t="s">
        <v>458</v>
      </c>
      <c r="AN49" s="448" t="e">
        <f ca="1">STRCHECKDATE(V50:AL50)</f>
        <v>#NAME?</v>
      </c>
      <c r="AO49" s="437"/>
      <c r="AP49" s="437" t="str">
        <f t="shared" si="1"/>
        <v/>
      </c>
      <c r="AQ49" s="437"/>
      <c r="AR49" s="437"/>
      <c r="AS49" s="1082">
        <v>21</v>
      </c>
    </row>
    <row r="50" spans="1:45" ht="0" hidden="1" customHeight="1">
      <c r="A50" s="1290" t="s">
        <v>196</v>
      </c>
      <c r="B50" s="1290" t="s">
        <v>197</v>
      </c>
      <c r="C50" s="1290" t="s">
        <v>198</v>
      </c>
      <c r="D50" s="1290" t="s">
        <v>199</v>
      </c>
      <c r="E50" s="3255"/>
      <c r="F50" s="3255"/>
      <c r="G50" s="3255"/>
      <c r="H50" s="3255"/>
      <c r="I50" s="3257"/>
      <c r="J50" s="3257"/>
      <c r="K50" s="3256"/>
      <c r="L50" s="1291"/>
      <c r="P50" s="3258"/>
      <c r="Q50" s="3258"/>
      <c r="R50" s="294"/>
      <c r="S50" s="1269"/>
      <c r="T50" s="238"/>
      <c r="U50" s="238"/>
      <c r="V50" s="263"/>
      <c r="W50" s="263"/>
      <c r="X50" s="263"/>
      <c r="Y50" s="266" t="str">
        <f>Z49&amp;"-"&amp;AB49</f>
        <v>-</v>
      </c>
      <c r="Z50" s="3260"/>
      <c r="AA50" s="3121"/>
      <c r="AB50" s="3260"/>
      <c r="AC50" s="3121"/>
      <c r="AD50" s="263"/>
      <c r="AE50" s="263"/>
      <c r="AF50" s="263"/>
      <c r="AG50" s="266" t="str">
        <f>AH49&amp;"-"&amp;AJ49</f>
        <v>-</v>
      </c>
      <c r="AH50" s="3260"/>
      <c r="AI50" s="3121"/>
      <c r="AJ50" s="3262"/>
      <c r="AK50" s="3121"/>
      <c r="AL50" s="1276"/>
      <c r="AM50" s="3279"/>
      <c r="AO50" s="437"/>
      <c r="AP50" s="437" t="str">
        <f t="shared" si="1"/>
        <v/>
      </c>
      <c r="AQ50" s="437"/>
      <c r="AR50" s="437"/>
      <c r="AS50" s="1082">
        <v>0</v>
      </c>
    </row>
    <row r="51" spans="1:45" ht="11.45" customHeight="1">
      <c r="A51" s="1290" t="s">
        <v>196</v>
      </c>
      <c r="B51" s="1290" t="s">
        <v>197</v>
      </c>
      <c r="C51" s="1290" t="s">
        <v>198</v>
      </c>
      <c r="D51" s="1290" t="s">
        <v>199</v>
      </c>
      <c r="E51" s="3255"/>
      <c r="F51" s="3255"/>
      <c r="G51" s="3255"/>
      <c r="H51" s="3255"/>
      <c r="I51" s="3257"/>
      <c r="J51" s="3256"/>
      <c r="K51" s="1290"/>
      <c r="L51" s="1291"/>
      <c r="P51" s="3258"/>
      <c r="Q51" s="3258"/>
      <c r="R51" s="293"/>
      <c r="S51" s="1205"/>
      <c r="T51" s="225" t="s">
        <v>419</v>
      </c>
      <c r="U51" s="304"/>
      <c r="V51" s="304"/>
      <c r="W51" s="304"/>
      <c r="X51" s="304"/>
      <c r="Y51" s="304"/>
      <c r="Z51" s="304"/>
      <c r="AA51" s="304"/>
      <c r="AB51" s="304"/>
      <c r="AC51" s="304"/>
      <c r="AD51" s="304"/>
      <c r="AE51" s="304"/>
      <c r="AF51" s="304"/>
      <c r="AG51" s="304"/>
      <c r="AH51" s="304"/>
      <c r="AI51" s="304"/>
      <c r="AJ51" s="304"/>
      <c r="AK51" s="304"/>
      <c r="AL51" s="262"/>
      <c r="AM51" s="3280"/>
      <c r="AO51" s="437"/>
      <c r="AP51" s="437" t="str">
        <f t="shared" si="1"/>
        <v>Добавить вид теплоносителя (параметры теплоносителя)</v>
      </c>
      <c r="AQ51" s="437"/>
      <c r="AR51" s="437"/>
      <c r="AS51" s="1082">
        <v>11</v>
      </c>
    </row>
    <row r="52" spans="1:45" ht="11.45" customHeight="1">
      <c r="A52" s="1290" t="s">
        <v>196</v>
      </c>
      <c r="B52" s="1290" t="s">
        <v>197</v>
      </c>
      <c r="C52" s="1290" t="s">
        <v>198</v>
      </c>
      <c r="D52" s="1290" t="s">
        <v>199</v>
      </c>
      <c r="E52" s="3255"/>
      <c r="F52" s="3255"/>
      <c r="G52" s="3255"/>
      <c r="H52" s="3255"/>
      <c r="I52" s="3256"/>
      <c r="J52" s="1290"/>
      <c r="K52" s="1290"/>
      <c r="L52" s="1291"/>
      <c r="P52" s="3258"/>
      <c r="Q52" s="1258"/>
      <c r="R52" s="293"/>
      <c r="S52" s="1205"/>
      <c r="T52" s="302" t="s">
        <v>420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196</v>
      </c>
      <c r="B53" s="1290" t="s">
        <v>197</v>
      </c>
      <c r="C53" s="1290" t="s">
        <v>198</v>
      </c>
      <c r="D53" s="1290" t="s">
        <v>199</v>
      </c>
      <c r="E53" s="3255"/>
      <c r="F53" s="3255"/>
      <c r="G53" s="3255"/>
      <c r="H53" s="325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196</v>
      </c>
      <c r="B54" s="1270" t="s">
        <v>197</v>
      </c>
      <c r="C54" s="1270" t="s">
        <v>198</v>
      </c>
      <c r="D54" s="1241"/>
      <c r="E54" s="3255"/>
      <c r="F54" s="3255"/>
      <c r="G54" s="3254"/>
      <c r="H54" s="1241"/>
      <c r="I54" s="1241"/>
      <c r="J54" s="1241"/>
      <c r="K54" s="1241"/>
      <c r="L54" s="1266"/>
      <c r="M54" s="1242"/>
      <c r="N54" s="1242"/>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196</v>
      </c>
      <c r="B55" s="1270" t="s">
        <v>197</v>
      </c>
      <c r="C55" s="1241"/>
      <c r="D55" s="1241"/>
      <c r="E55" s="3255"/>
      <c r="F55" s="3254"/>
      <c r="G55" s="1241"/>
      <c r="H55" s="1241"/>
      <c r="I55" s="1241"/>
      <c r="J55" s="1241"/>
      <c r="K55" s="1241"/>
      <c r="L55" s="1266"/>
      <c r="M55" s="1248"/>
      <c r="N55" s="1248"/>
      <c r="P55" s="1243"/>
      <c r="Q55" s="1244"/>
      <c r="R55" s="1243"/>
      <c r="S55" s="1249"/>
      <c r="T55" s="1252" t="s">
        <v>167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196</v>
      </c>
      <c r="B56" s="1270"/>
      <c r="C56" s="1270"/>
      <c r="D56" s="1270"/>
      <c r="E56" s="3254"/>
      <c r="F56" s="1270"/>
      <c r="G56" s="1270"/>
      <c r="H56" s="1270"/>
      <c r="I56" s="1270"/>
      <c r="J56" s="1270"/>
      <c r="K56" s="1270"/>
      <c r="L56" s="1273"/>
      <c r="M56" s="1248"/>
      <c r="N56" s="1248"/>
      <c r="O56" s="455"/>
      <c r="P56" s="317"/>
      <c r="Q56" s="1271"/>
      <c r="R56" s="317"/>
      <c r="S56" s="1249"/>
      <c r="T56" s="1252" t="s">
        <v>168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3252"/>
      <c r="U59" s="3252"/>
      <c r="V59" s="3252"/>
      <c r="W59" s="3252"/>
      <c r="X59" s="3252"/>
      <c r="Y59" s="3252"/>
      <c r="Z59" s="3252"/>
      <c r="AA59" s="3252"/>
      <c r="AB59" s="3252"/>
      <c r="AC59" s="3252"/>
      <c r="AD59" s="3252"/>
      <c r="AE59" s="3252"/>
      <c r="AF59" s="3252"/>
      <c r="AG59" s="3252"/>
      <c r="AH59" s="3252"/>
      <c r="AI59" s="3252"/>
      <c r="AJ59" s="3252"/>
      <c r="AK59" s="3252"/>
      <c r="AL59" s="3252"/>
      <c r="AM59" s="3252"/>
      <c r="AS59" s="1082">
        <v>14</v>
      </c>
    </row>
    <row r="60" spans="1:45" ht="14.65" customHeight="1">
      <c r="O60" s="474"/>
      <c r="T60" s="3252"/>
      <c r="U60" s="3252"/>
      <c r="V60" s="3252"/>
      <c r="W60" s="3252"/>
      <c r="X60" s="3252"/>
      <c r="Y60" s="3252"/>
      <c r="Z60" s="3252"/>
      <c r="AA60" s="3252"/>
      <c r="AB60" s="3252"/>
      <c r="AC60" s="3252"/>
      <c r="AD60" s="3252"/>
      <c r="AE60" s="3252"/>
      <c r="AF60" s="3252"/>
      <c r="AG60" s="3252"/>
      <c r="AH60" s="3252"/>
      <c r="AI60" s="3252"/>
      <c r="AJ60" s="3252"/>
      <c r="AK60" s="3252"/>
      <c r="AL60" s="3252"/>
      <c r="AM60" s="3252"/>
      <c r="AS60" s="1082">
        <v>14</v>
      </c>
    </row>
    <row r="61" spans="1:45" ht="14.65" customHeight="1">
      <c r="O61" s="474"/>
      <c r="T61" s="3252"/>
      <c r="U61" s="3252"/>
      <c r="V61" s="3252"/>
      <c r="W61" s="3252"/>
      <c r="X61" s="3252"/>
      <c r="Y61" s="3252"/>
      <c r="Z61" s="3252"/>
      <c r="AA61" s="3252"/>
      <c r="AB61" s="3252"/>
      <c r="AC61" s="3252"/>
      <c r="AD61" s="3252"/>
      <c r="AE61" s="3252"/>
      <c r="AF61" s="3252"/>
      <c r="AG61" s="3252"/>
      <c r="AH61" s="3252"/>
      <c r="AI61" s="3252"/>
      <c r="AJ61" s="3252"/>
      <c r="AK61" s="3252"/>
      <c r="AL61" s="3252"/>
      <c r="AM61" s="3252"/>
      <c r="AS61" s="1082">
        <v>14</v>
      </c>
    </row>
    <row r="62" spans="1:45" ht="14.65" customHeight="1">
      <c r="O62" s="474"/>
      <c r="AS62" s="1082">
        <v>14</v>
      </c>
    </row>
    <row r="63" spans="1:45" ht="14.65" customHeight="1">
      <c r="O63" s="474"/>
      <c r="S63" s="1180"/>
      <c r="T63" s="3151"/>
      <c r="U63" s="3252"/>
      <c r="V63" s="3252"/>
      <c r="W63" s="3252"/>
      <c r="X63" s="3252"/>
      <c r="Y63" s="3252"/>
      <c r="Z63" s="3252"/>
      <c r="AA63" s="3252"/>
      <c r="AB63" s="3252"/>
      <c r="AC63" s="3252"/>
      <c r="AD63" s="3252"/>
      <c r="AE63" s="3252"/>
      <c r="AF63" s="3252"/>
      <c r="AG63" s="3252"/>
      <c r="AH63" s="3252"/>
      <c r="AI63" s="3252"/>
      <c r="AJ63" s="3252"/>
      <c r="AK63" s="3252"/>
      <c r="AL63" s="3252"/>
      <c r="AM63" s="3252"/>
      <c r="AS63" s="1082">
        <v>14</v>
      </c>
    </row>
    <row r="64" spans="1:45" ht="14.65" customHeight="1">
      <c r="O64" s="474"/>
      <c r="T64" s="3252"/>
      <c r="U64" s="3252"/>
      <c r="V64" s="3252"/>
      <c r="W64" s="3252"/>
      <c r="X64" s="3252"/>
      <c r="Y64" s="3252"/>
      <c r="Z64" s="3252"/>
      <c r="AA64" s="3252"/>
      <c r="AB64" s="3252"/>
      <c r="AC64" s="3252"/>
      <c r="AD64" s="3252"/>
      <c r="AE64" s="3252"/>
      <c r="AF64" s="3252"/>
      <c r="AG64" s="3252"/>
      <c r="AH64" s="3252"/>
      <c r="AI64" s="3252"/>
      <c r="AJ64" s="3252"/>
      <c r="AK64" s="3252"/>
      <c r="AL64" s="3252"/>
      <c r="AM64" s="3252"/>
      <c r="AS64" s="1082">
        <v>14</v>
      </c>
    </row>
    <row r="65" spans="1:45" ht="14.65" customHeight="1">
      <c r="T65" s="3252"/>
      <c r="U65" s="3252"/>
      <c r="V65" s="3252"/>
      <c r="W65" s="3252"/>
      <c r="X65" s="3252"/>
      <c r="Y65" s="3252"/>
      <c r="Z65" s="3252"/>
      <c r="AA65" s="3252"/>
      <c r="AB65" s="3252"/>
      <c r="AC65" s="3252"/>
      <c r="AD65" s="3252"/>
      <c r="AE65" s="3252"/>
      <c r="AF65" s="3252"/>
      <c r="AG65" s="3252"/>
      <c r="AH65" s="3252"/>
      <c r="AI65" s="3252"/>
      <c r="AJ65" s="3252"/>
      <c r="AK65" s="3252"/>
      <c r="AL65" s="3252"/>
      <c r="AM65" s="3252"/>
      <c r="AS65" s="1082">
        <v>14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ACC5-2AB4-EE86-210C-C4CEE91DA752}">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2" customWidth="1"/>
    <col min="21" max="21" width="12" style="2016"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330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121</v>
      </c>
      <c r="W2" s="238"/>
      <c r="X2" s="3246"/>
      <c r="Y2" s="3247"/>
      <c r="Z2" s="3247"/>
      <c r="AA2" s="3247"/>
      <c r="AB2" s="3247"/>
      <c r="AC2" s="3247"/>
      <c r="AD2" s="3247"/>
      <c r="AE2" s="3247"/>
      <c r="AF2" s="3248"/>
      <c r="AG2" s="3246" t="e">
        <f>INDEX(PT_DIFFERENTIATION_NTAR,MATCH(A2,PT_DIFFERENTIATION_NTAR_ID,0))</f>
        <v>#N/A</v>
      </c>
      <c r="AH2" s="3247"/>
      <c r="AI2" s="3247"/>
      <c r="AJ2" s="3247"/>
      <c r="AK2" s="3247"/>
      <c r="AL2" s="3247"/>
      <c r="AM2" s="3247"/>
      <c r="AN2" s="3247"/>
      <c r="AO2" s="3247"/>
      <c r="AP2" s="3248"/>
      <c r="AQ2" s="1185" t="s">
        <v>404</v>
      </c>
      <c r="AS2" s="437"/>
      <c r="AT2" s="437" t="str">
        <f t="shared" ref="AT2:AT8" si="0">IF(V2="","",V2)</f>
        <v>Наименование тарифа</v>
      </c>
      <c r="AU2" s="437"/>
      <c r="AV2" s="437"/>
      <c r="AW2" s="1082">
        <v>0</v>
      </c>
    </row>
    <row r="3" spans="1:49" ht="21" hidden="1" customHeight="1">
      <c r="A3" s="1194"/>
      <c r="B3" s="1194"/>
      <c r="C3" s="1194"/>
      <c r="D3" s="1194"/>
      <c r="E3" s="3310"/>
      <c r="F3" s="3309">
        <v>1</v>
      </c>
      <c r="G3" s="1194"/>
      <c r="H3" s="1194"/>
      <c r="I3" s="1194"/>
      <c r="J3" s="1194"/>
      <c r="K3" s="1194"/>
      <c r="L3" s="1194"/>
      <c r="M3" s="1237"/>
      <c r="N3" s="625"/>
      <c r="O3" s="625"/>
      <c r="P3" s="625"/>
      <c r="Q3" s="1259"/>
      <c r="R3" s="289"/>
      <c r="S3" s="446"/>
      <c r="T3" s="290"/>
      <c r="U3" s="1263" t="e">
        <f>INDEX(PT_DIFFERENTIATION_NUM_TER,MATCH(B3,PT_DIFFERENTIATION_TER_ID,0))</f>
        <v>#N/A</v>
      </c>
      <c r="V3" s="246" t="s">
        <v>405</v>
      </c>
      <c r="W3" s="238"/>
      <c r="X3" s="3246"/>
      <c r="Y3" s="3247"/>
      <c r="Z3" s="3247"/>
      <c r="AA3" s="3247"/>
      <c r="AB3" s="3247"/>
      <c r="AC3" s="3247"/>
      <c r="AD3" s="3247"/>
      <c r="AE3" s="3247"/>
      <c r="AF3" s="3248"/>
      <c r="AG3" s="3246" t="e">
        <f>INDEX(PT_DIFFERENTIATION_TER,MATCH(B3,PT_DIFFERENTIATION_TER_ID,0))</f>
        <v>#N/A</v>
      </c>
      <c r="AH3" s="3247"/>
      <c r="AI3" s="3247"/>
      <c r="AJ3" s="3247"/>
      <c r="AK3" s="3247"/>
      <c r="AL3" s="3247"/>
      <c r="AM3" s="3247"/>
      <c r="AN3" s="3247"/>
      <c r="AO3" s="3247"/>
      <c r="AP3" s="3248"/>
      <c r="AQ3" s="1185" t="s">
        <v>406</v>
      </c>
      <c r="AS3" s="437"/>
      <c r="AT3" s="437" t="str">
        <f t="shared" si="0"/>
        <v>Территория действия тарифа</v>
      </c>
      <c r="AU3" s="437"/>
      <c r="AV3" s="437"/>
      <c r="AW3" s="1082">
        <v>0</v>
      </c>
    </row>
    <row r="4" spans="1:49" ht="22.5" hidden="1" customHeight="1">
      <c r="A4" s="1194"/>
      <c r="B4" s="1194"/>
      <c r="C4" s="1194"/>
      <c r="D4" s="1194"/>
      <c r="E4" s="3310"/>
      <c r="F4" s="3310"/>
      <c r="G4" s="3309">
        <v>1</v>
      </c>
      <c r="H4" s="1194"/>
      <c r="I4" s="1194"/>
      <c r="J4" s="1194"/>
      <c r="K4" s="1194"/>
      <c r="L4" s="1194"/>
      <c r="M4" s="1237"/>
      <c r="N4" s="625"/>
      <c r="O4" s="625"/>
      <c r="P4" s="625"/>
      <c r="Q4" s="291"/>
      <c r="R4" s="289"/>
      <c r="S4" s="446"/>
      <c r="T4" s="290"/>
      <c r="U4" s="1263" t="e">
        <f>INDEX(PT_DIFFERENTIATION_NUM_CS,MATCH(C4,PT_DIFFERENTIATION_CS_ID,0))</f>
        <v>#N/A</v>
      </c>
      <c r="V4" s="247" t="s">
        <v>407</v>
      </c>
      <c r="W4" s="238"/>
      <c r="X4" s="3246"/>
      <c r="Y4" s="3247"/>
      <c r="Z4" s="3247"/>
      <c r="AA4" s="3247"/>
      <c r="AB4" s="3247"/>
      <c r="AC4" s="3247"/>
      <c r="AD4" s="3247"/>
      <c r="AE4" s="3247"/>
      <c r="AF4" s="3248"/>
      <c r="AG4" s="3246" t="e">
        <f>INDEX(PT_DIFFERENTIATION_CS,MATCH(C4,PT_DIFFERENTIATION_CS_ID,0))</f>
        <v>#N/A</v>
      </c>
      <c r="AH4" s="3247"/>
      <c r="AI4" s="3247"/>
      <c r="AJ4" s="3247"/>
      <c r="AK4" s="3247"/>
      <c r="AL4" s="3247"/>
      <c r="AM4" s="3247"/>
      <c r="AN4" s="3247"/>
      <c r="AO4" s="3247"/>
      <c r="AP4" s="3248"/>
      <c r="AQ4" s="1185" t="s">
        <v>408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3310"/>
      <c r="F5" s="3310"/>
      <c r="G5" s="3310"/>
      <c r="H5" s="3309">
        <v>1</v>
      </c>
      <c r="I5" s="1194"/>
      <c r="J5" s="1194"/>
      <c r="K5" s="1194"/>
      <c r="L5" s="1194"/>
      <c r="M5" s="1237"/>
      <c r="N5" s="625"/>
      <c r="O5" s="625"/>
      <c r="P5" s="625"/>
      <c r="Q5" s="291"/>
      <c r="R5" s="289"/>
      <c r="S5" s="446"/>
      <c r="T5" s="290"/>
      <c r="U5" s="1263" t="e">
        <f>INDEX(PT_DIFFERENTIATION_NUM_IST_TE,MATCH(D5,PT_DIFFERENTIATION_IST_TE_ID,0))</f>
        <v>#N/A</v>
      </c>
      <c r="V5" s="248" t="s">
        <v>409</v>
      </c>
      <c r="W5" s="238"/>
      <c r="X5" s="3246"/>
      <c r="Y5" s="3247"/>
      <c r="Z5" s="3247"/>
      <c r="AA5" s="3247"/>
      <c r="AB5" s="3247"/>
      <c r="AC5" s="3247"/>
      <c r="AD5" s="3247"/>
      <c r="AE5" s="3247"/>
      <c r="AF5" s="3248"/>
      <c r="AG5" s="3246" t="e">
        <f>INDEX(PT_DIFFERENTIATION_IST_TE,MATCH(D5,PT_DIFFERENTIATION_IST_TE_ID,0))</f>
        <v>#N/A</v>
      </c>
      <c r="AH5" s="3247"/>
      <c r="AI5" s="3247"/>
      <c r="AJ5" s="3247"/>
      <c r="AK5" s="3247"/>
      <c r="AL5" s="3247"/>
      <c r="AM5" s="3247"/>
      <c r="AN5" s="3247"/>
      <c r="AO5" s="3247"/>
      <c r="AP5" s="3248"/>
      <c r="AQ5" s="1185" t="s">
        <v>410</v>
      </c>
      <c r="AS5" s="437"/>
      <c r="AT5" s="437" t="str">
        <f t="shared" si="0"/>
        <v xml:space="preserve">Источник тепловой энергии  </v>
      </c>
      <c r="AU5" s="437"/>
      <c r="AV5" s="437"/>
      <c r="AW5" s="1082">
        <v>0</v>
      </c>
    </row>
    <row r="6" spans="1:49" ht="14.25" hidden="1" customHeight="1">
      <c r="A6" s="1194"/>
      <c r="B6" s="1194"/>
      <c r="C6" s="1194"/>
      <c r="D6" s="1194"/>
      <c r="E6" s="3310"/>
      <c r="F6" s="3310"/>
      <c r="G6" s="3310"/>
      <c r="H6" s="3310"/>
      <c r="I6" s="3111" t="e">
        <f>U5&amp;".1"</f>
        <v>#N/A</v>
      </c>
      <c r="J6" s="1194"/>
      <c r="K6" s="1194"/>
      <c r="L6" s="1194"/>
      <c r="M6" s="1237" t="s">
        <v>411</v>
      </c>
      <c r="N6" s="446"/>
      <c r="Q6" s="3258">
        <v>1</v>
      </c>
      <c r="R6" s="1258"/>
      <c r="S6" s="1258"/>
      <c r="T6" s="293"/>
      <c r="U6" s="972"/>
      <c r="V6" s="1310"/>
      <c r="W6" s="1311"/>
      <c r="X6" s="3314"/>
      <c r="Y6" s="3315"/>
      <c r="Z6" s="3315"/>
      <c r="AA6" s="3315"/>
      <c r="AB6" s="3315"/>
      <c r="AC6" s="3315"/>
      <c r="AD6" s="3315"/>
      <c r="AE6" s="3315"/>
      <c r="AF6" s="3316"/>
      <c r="AG6" s="3314"/>
      <c r="AH6" s="3315"/>
      <c r="AI6" s="3315"/>
      <c r="AJ6" s="3315"/>
      <c r="AK6" s="3315"/>
      <c r="AL6" s="3315"/>
      <c r="AM6" s="3315"/>
      <c r="AN6" s="3315"/>
      <c r="AO6" s="3315"/>
      <c r="AP6" s="3316"/>
      <c r="AQ6" s="1312"/>
      <c r="AS6" s="437"/>
      <c r="AT6" s="437" t="str">
        <f t="shared" si="0"/>
        <v/>
      </c>
      <c r="AU6" s="437"/>
      <c r="AV6" s="437"/>
      <c r="AW6" s="1082">
        <v>0</v>
      </c>
    </row>
    <row r="7" spans="1:49" ht="21" hidden="1" customHeight="1">
      <c r="A7" s="1194"/>
      <c r="B7" s="1194"/>
      <c r="C7" s="1194"/>
      <c r="D7" s="1194"/>
      <c r="E7" s="3310"/>
      <c r="F7" s="3310"/>
      <c r="G7" s="3310"/>
      <c r="H7" s="3310"/>
      <c r="I7" s="3093"/>
      <c r="J7" s="3111" t="e">
        <f>I6&amp;".1"</f>
        <v>#N/A</v>
      </c>
      <c r="K7" s="1194"/>
      <c r="L7" s="1194"/>
      <c r="M7" s="1237" t="s">
        <v>414</v>
      </c>
      <c r="N7" s="446"/>
      <c r="O7" s="265"/>
      <c r="Q7" s="3258"/>
      <c r="R7" s="3258">
        <v>1</v>
      </c>
      <c r="S7" s="455"/>
      <c r="T7" s="294"/>
      <c r="U7" s="1263" t="e">
        <f>$J7</f>
        <v>#N/A</v>
      </c>
      <c r="V7" s="224" t="s">
        <v>415</v>
      </c>
      <c r="W7" s="238"/>
      <c r="X7" s="3239"/>
      <c r="Y7" s="3240"/>
      <c r="Z7" s="3240"/>
      <c r="AA7" s="3240"/>
      <c r="AB7" s="3240"/>
      <c r="AC7" s="3235"/>
      <c r="AD7" s="3235"/>
      <c r="AE7" s="3235"/>
      <c r="AF7" s="3327"/>
      <c r="AG7" s="3239"/>
      <c r="AH7" s="3240"/>
      <c r="AI7" s="3240"/>
      <c r="AJ7" s="3240"/>
      <c r="AK7" s="3240"/>
      <c r="AL7" s="3240"/>
      <c r="AM7" s="3240"/>
      <c r="AN7" s="3240"/>
      <c r="AO7" s="3240"/>
      <c r="AP7" s="3241"/>
      <c r="AQ7" s="1185" t="s">
        <v>416</v>
      </c>
      <c r="AS7" s="437"/>
      <c r="AT7" s="437" t="str">
        <f t="shared" si="0"/>
        <v>Группа потребителей</v>
      </c>
      <c r="AU7" s="437"/>
      <c r="AV7" s="437"/>
      <c r="AW7" s="1082">
        <v>0</v>
      </c>
    </row>
    <row r="8" spans="1:49" ht="21" hidden="1" customHeight="1">
      <c r="A8" s="1194"/>
      <c r="B8" s="1194"/>
      <c r="C8" s="1194"/>
      <c r="D8" s="1194"/>
      <c r="E8" s="3310"/>
      <c r="F8" s="3310"/>
      <c r="G8" s="3310"/>
      <c r="H8" s="3310"/>
      <c r="I8" s="3093"/>
      <c r="J8" s="3093"/>
      <c r="K8" s="3111" t="e">
        <f>J7&amp;".1"</f>
        <v>#N/A</v>
      </c>
      <c r="L8" s="78"/>
      <c r="M8" s="1237" t="s">
        <v>417</v>
      </c>
      <c r="N8" s="446"/>
      <c r="O8" s="265"/>
      <c r="P8" s="265"/>
      <c r="Q8" s="3258"/>
      <c r="R8" s="3258"/>
      <c r="S8" s="3258">
        <v>1</v>
      </c>
      <c r="T8" s="294"/>
      <c r="U8" s="1263" t="e">
        <f>$K8</f>
        <v>#N/A</v>
      </c>
      <c r="V8" s="1274"/>
      <c r="W8" s="238"/>
      <c r="X8" s="688"/>
      <c r="Y8" s="688"/>
      <c r="Z8" s="688"/>
      <c r="AA8" s="688"/>
      <c r="AB8" s="1332"/>
      <c r="AC8" s="3259"/>
      <c r="AD8" s="3121" t="s">
        <v>67</v>
      </c>
      <c r="AE8" s="3259"/>
      <c r="AF8" s="3121" t="s">
        <v>67</v>
      </c>
      <c r="AG8" s="1334"/>
      <c r="AH8" s="688"/>
      <c r="AI8" s="688"/>
      <c r="AJ8" s="688"/>
      <c r="AK8" s="1184"/>
      <c r="AL8" s="3259"/>
      <c r="AM8" s="3121" t="s">
        <v>67</v>
      </c>
      <c r="AN8" s="3259"/>
      <c r="AO8" s="3121" t="s">
        <v>67</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3310"/>
      <c r="F9" s="3310"/>
      <c r="G9" s="3310"/>
      <c r="H9" s="3310"/>
      <c r="I9" s="3093"/>
      <c r="J9" s="3093"/>
      <c r="K9" s="3093"/>
      <c r="L9" s="3111" t="e">
        <f>K8&amp;".1"</f>
        <v>#N/A</v>
      </c>
      <c r="M9" s="1237"/>
      <c r="N9" s="446"/>
      <c r="O9" s="265"/>
      <c r="P9" s="265"/>
      <c r="Q9" s="3258"/>
      <c r="R9" s="3258"/>
      <c r="S9" s="3258"/>
      <c r="T9" s="294"/>
      <c r="U9" s="1263" t="e">
        <f>$L9</f>
        <v>#N/A</v>
      </c>
      <c r="V9" s="1318"/>
      <c r="W9" s="238"/>
      <c r="X9" s="263"/>
      <c r="Y9" s="688"/>
      <c r="Z9" s="688"/>
      <c r="AA9" s="688"/>
      <c r="AB9" s="1332"/>
      <c r="AC9" s="3260"/>
      <c r="AD9" s="3121"/>
      <c r="AE9" s="3260"/>
      <c r="AF9" s="3121"/>
      <c r="AG9" s="1334"/>
      <c r="AH9" s="688"/>
      <c r="AI9" s="688"/>
      <c r="AJ9" s="688"/>
      <c r="AK9" s="1184"/>
      <c r="AL9" s="3260"/>
      <c r="AM9" s="3121"/>
      <c r="AN9" s="3260"/>
      <c r="AO9" s="3121"/>
      <c r="AP9" s="263"/>
      <c r="AQ9" s="3278" t="s">
        <v>460</v>
      </c>
      <c r="AS9" s="437"/>
      <c r="AT9" s="437"/>
      <c r="AU9" s="437"/>
      <c r="AV9" s="437"/>
      <c r="AW9" s="1082">
        <v>0</v>
      </c>
    </row>
    <row r="10" spans="1:49" ht="14.25" hidden="1" customHeight="1">
      <c r="A10" s="1194"/>
      <c r="B10" s="1194"/>
      <c r="C10" s="1194"/>
      <c r="D10" s="1194"/>
      <c r="E10" s="3310"/>
      <c r="F10" s="3310"/>
      <c r="G10" s="3310"/>
      <c r="H10" s="3310"/>
      <c r="I10" s="3093"/>
      <c r="J10" s="3093"/>
      <c r="K10" s="3093"/>
      <c r="L10" s="3111"/>
      <c r="M10" s="1237"/>
      <c r="N10" s="446"/>
      <c r="O10" s="265"/>
      <c r="P10" s="265"/>
      <c r="Q10" s="3258"/>
      <c r="R10" s="3258"/>
      <c r="S10" s="3258"/>
      <c r="T10" s="294"/>
      <c r="U10" s="1269"/>
      <c r="V10" s="238"/>
      <c r="W10" s="238"/>
      <c r="X10" s="263"/>
      <c r="Y10" s="263"/>
      <c r="Z10" s="263"/>
      <c r="AA10" s="263"/>
      <c r="AB10" s="1333" t="str">
        <f>AC8&amp;"-"&amp;AE8</f>
        <v>-</v>
      </c>
      <c r="AC10" s="3260"/>
      <c r="AD10" s="3121"/>
      <c r="AE10" s="3260"/>
      <c r="AF10" s="3121"/>
      <c r="AG10" s="1309"/>
      <c r="AH10" s="263"/>
      <c r="AI10" s="263"/>
      <c r="AJ10" s="263"/>
      <c r="AK10" s="266" t="str">
        <f>AL8&amp;"-"&amp;AN8</f>
        <v>-</v>
      </c>
      <c r="AL10" s="3260"/>
      <c r="AM10" s="3121"/>
      <c r="AN10" s="3260"/>
      <c r="AO10" s="3121"/>
      <c r="AP10" s="263"/>
      <c r="AQ10" s="3279"/>
      <c r="AS10" s="437"/>
      <c r="AT10" s="437" t="str">
        <f>IF(V10="","",V10)</f>
        <v/>
      </c>
      <c r="AU10" s="437"/>
      <c r="AV10" s="437"/>
      <c r="AW10" s="1082">
        <v>0</v>
      </c>
    </row>
    <row r="11" spans="1:49" ht="11.25" hidden="1" customHeight="1">
      <c r="A11" s="1194"/>
      <c r="B11" s="1194"/>
      <c r="C11" s="1194"/>
      <c r="D11" s="1194"/>
      <c r="E11" s="3310"/>
      <c r="F11" s="3310"/>
      <c r="G11" s="3310"/>
      <c r="H11" s="3310"/>
      <c r="I11" s="3093"/>
      <c r="J11" s="3093"/>
      <c r="K11" s="3111"/>
      <c r="L11" s="1194"/>
      <c r="M11" s="1237"/>
      <c r="N11" s="446"/>
      <c r="O11" s="265"/>
      <c r="P11" s="265"/>
      <c r="Q11" s="3258"/>
      <c r="R11" s="3258"/>
      <c r="S11" s="3258"/>
      <c r="T11" s="294"/>
      <c r="U11" s="1205"/>
      <c r="V11" s="226" t="s">
        <v>461</v>
      </c>
      <c r="W11" s="1319"/>
      <c r="X11" s="1320"/>
      <c r="Y11" s="1320"/>
      <c r="Z11" s="1320"/>
      <c r="AA11" s="1320"/>
      <c r="AB11" s="1321"/>
      <c r="AC11" s="3260"/>
      <c r="AD11" s="3121"/>
      <c r="AE11" s="3260"/>
      <c r="AF11" s="3121"/>
      <c r="AG11" s="1320"/>
      <c r="AH11" s="1320"/>
      <c r="AI11" s="1320"/>
      <c r="AJ11" s="1320"/>
      <c r="AK11" s="1321"/>
      <c r="AL11" s="3260"/>
      <c r="AM11" s="3121"/>
      <c r="AN11" s="3260"/>
      <c r="AO11" s="3121"/>
      <c r="AP11" s="1322"/>
      <c r="AQ11" s="3279"/>
      <c r="AS11" s="437"/>
      <c r="AT11" s="437"/>
      <c r="AU11" s="437"/>
      <c r="AV11" s="437"/>
      <c r="AW11" s="1082">
        <v>0</v>
      </c>
    </row>
    <row r="12" spans="1:49" ht="15" hidden="1" customHeight="1">
      <c r="A12" s="1194"/>
      <c r="B12" s="1194"/>
      <c r="C12" s="1194"/>
      <c r="D12" s="1194"/>
      <c r="E12" s="3310"/>
      <c r="F12" s="3310"/>
      <c r="G12" s="3310"/>
      <c r="H12" s="3310"/>
      <c r="I12" s="3093"/>
      <c r="J12" s="3111"/>
      <c r="K12" s="1194"/>
      <c r="L12" s="1194"/>
      <c r="M12" s="1237"/>
      <c r="N12" s="446"/>
      <c r="O12" s="265"/>
      <c r="Q12" s="3258"/>
      <c r="R12" s="3258"/>
      <c r="S12" s="1258"/>
      <c r="T12" s="293"/>
      <c r="U12" s="1205"/>
      <c r="V12" s="225" t="s">
        <v>419</v>
      </c>
      <c r="W12" s="304"/>
      <c r="X12" s="304"/>
      <c r="Y12" s="304"/>
      <c r="Z12" s="304"/>
      <c r="AA12" s="304"/>
      <c r="AB12" s="304"/>
      <c r="AC12" s="1335"/>
      <c r="AD12" s="1335"/>
      <c r="AE12" s="1335"/>
      <c r="AF12" s="1335"/>
      <c r="AG12" s="304"/>
      <c r="AH12" s="304"/>
      <c r="AI12" s="304"/>
      <c r="AJ12" s="304"/>
      <c r="AK12" s="304"/>
      <c r="AL12" s="304"/>
      <c r="AM12" s="304"/>
      <c r="AN12" s="304"/>
      <c r="AO12" s="304"/>
      <c r="AP12" s="262"/>
      <c r="AQ12" s="3280"/>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3310"/>
      <c r="F13" s="3310"/>
      <c r="G13" s="3310"/>
      <c r="H13" s="3310"/>
      <c r="I13" s="3111"/>
      <c r="J13" s="1194"/>
      <c r="K13" s="1194"/>
      <c r="L13" s="1194"/>
      <c r="M13" s="1237"/>
      <c r="N13" s="446"/>
      <c r="Q13" s="3258"/>
      <c r="R13" s="1258"/>
      <c r="S13" s="1258"/>
      <c r="T13" s="293"/>
      <c r="U13" s="1205"/>
      <c r="V13" s="302" t="s">
        <v>420</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3310"/>
      <c r="F14" s="3310"/>
      <c r="G14" s="3310"/>
      <c r="H14" s="330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3310"/>
      <c r="F15" s="3310"/>
      <c r="G15" s="3309"/>
      <c r="H15" s="1301"/>
      <c r="I15" s="1301"/>
      <c r="J15" s="1301"/>
      <c r="K15" s="1301"/>
      <c r="L15" s="1301"/>
      <c r="M15" s="1304"/>
      <c r="N15" s="1305"/>
      <c r="O15" s="1305"/>
      <c r="P15" s="288"/>
      <c r="Q15" s="1243"/>
      <c r="R15" s="1244"/>
      <c r="S15" s="1243"/>
      <c r="T15" s="1243"/>
      <c r="U15" s="1245"/>
      <c r="V15" s="1246" t="s">
        <v>166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3310"/>
      <c r="F16" s="3309"/>
      <c r="G16" s="1301"/>
      <c r="H16" s="1301"/>
      <c r="I16" s="1301"/>
      <c r="J16" s="1301"/>
      <c r="K16" s="1301"/>
      <c r="L16" s="1301"/>
      <c r="M16" s="1304"/>
      <c r="N16" s="1306"/>
      <c r="O16" s="1306"/>
      <c r="P16" s="288"/>
      <c r="Q16" s="1243"/>
      <c r="R16" s="1244"/>
      <c r="S16" s="1243"/>
      <c r="T16" s="1243"/>
      <c r="U16" s="1249"/>
      <c r="V16" s="1250" t="s">
        <v>167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3309"/>
      <c r="F17" s="1301"/>
      <c r="G17" s="1301"/>
      <c r="H17" s="1301"/>
      <c r="I17" s="1301"/>
      <c r="J17" s="1301"/>
      <c r="K17" s="1301"/>
      <c r="L17" s="1301"/>
      <c r="M17" s="1304"/>
      <c r="N17" s="1306"/>
      <c r="O17" s="1306"/>
      <c r="P17" s="288"/>
      <c r="Q17" s="1243"/>
      <c r="R17" s="1244"/>
      <c r="S17" s="1243"/>
      <c r="T17" s="1243"/>
      <c r="U17" s="1249"/>
      <c r="V17" s="1252" t="s">
        <v>168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3251"/>
      <c r="AM19" s="3250" t="s">
        <v>67</v>
      </c>
      <c r="AN19" s="3251"/>
      <c r="AO19" s="3250" t="s">
        <v>67</v>
      </c>
      <c r="AW19" s="1082">
        <v>0</v>
      </c>
    </row>
    <row r="20" spans="1:49" ht="14.25" hidden="1" customHeight="1">
      <c r="AG20" s="1287"/>
      <c r="AH20" s="1287"/>
      <c r="AI20" s="1287"/>
      <c r="AJ20" s="1287"/>
      <c r="AK20" s="1288"/>
      <c r="AL20" s="3251"/>
      <c r="AM20" s="3250"/>
      <c r="AN20" s="3251"/>
      <c r="AO20" s="3250"/>
      <c r="AW20" s="1082">
        <v>0</v>
      </c>
    </row>
    <row r="21" spans="1:49" ht="14.25" hidden="1" customHeight="1">
      <c r="AG21" s="1287"/>
      <c r="AH21" s="1287"/>
      <c r="AI21" s="1287"/>
      <c r="AJ21" s="1287"/>
      <c r="AK21" s="1288"/>
      <c r="AL21" s="3251"/>
      <c r="AM21" s="3250"/>
      <c r="AN21" s="3251"/>
      <c r="AO21" s="3250"/>
      <c r="AW21" s="1082">
        <v>0</v>
      </c>
    </row>
    <row r="22" spans="1:49" ht="14.25" hidden="1" customHeight="1">
      <c r="AG22" s="1287"/>
      <c r="AH22" s="1287"/>
      <c r="AI22" s="1287"/>
      <c r="AJ22" s="1287"/>
      <c r="AK22" s="266" t="str">
        <f>AL19&amp;"-"&amp;AN19</f>
        <v>-</v>
      </c>
      <c r="AL22" s="3250"/>
      <c r="AM22" s="3250"/>
      <c r="AN22" s="3250"/>
      <c r="AO22" s="325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422</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423</v>
      </c>
      <c r="Q26" s="1289"/>
      <c r="R26" s="1298"/>
      <c r="S26" s="1298"/>
      <c r="T26" s="1298"/>
      <c r="U26" s="666"/>
      <c r="V26" s="1087" t="s">
        <v>424</v>
      </c>
      <c r="AD26" s="124" t="s">
        <v>425</v>
      </c>
      <c r="AF26" s="124" t="s">
        <v>426</v>
      </c>
      <c r="AG26" s="1087" t="s">
        <v>424</v>
      </c>
      <c r="AM26" s="124" t="s">
        <v>427</v>
      </c>
      <c r="AO26" s="124" t="s">
        <v>426</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323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232"/>
      <c r="W30" s="3232"/>
      <c r="X30" s="3232"/>
      <c r="Y30" s="3232"/>
      <c r="Z30" s="3232"/>
      <c r="AA30" s="3232"/>
      <c r="AB30" s="3232"/>
      <c r="AC30" s="3232"/>
      <c r="AD30" s="3232"/>
      <c r="AE30" s="3232"/>
      <c r="AF30" s="3232"/>
      <c r="AG30" s="3232"/>
      <c r="AH30" s="3232"/>
      <c r="AI30" s="3232"/>
      <c r="AJ30" s="3232"/>
      <c r="AK30" s="3232"/>
      <c r="AL30" s="3232"/>
      <c r="AM30" s="3232"/>
      <c r="AN30" s="3232"/>
      <c r="AO30" s="1170"/>
      <c r="AW30" s="1082">
        <v>54</v>
      </c>
    </row>
    <row r="31" spans="1:49" ht="14.65" customHeight="1">
      <c r="R31" s="313"/>
      <c r="S31" s="313"/>
      <c r="T31" s="313"/>
      <c r="U31" s="3204" t="str">
        <f>IF(org=0,"Не определено",org)</f>
        <v>АО Нижневартовская ГРЭС</v>
      </c>
      <c r="V31" s="3204"/>
      <c r="W31" s="3204"/>
      <c r="X31" s="3204"/>
      <c r="Y31" s="3204"/>
      <c r="Z31" s="3204"/>
      <c r="AA31" s="3204"/>
      <c r="AB31" s="3204"/>
      <c r="AC31" s="3204"/>
      <c r="AD31" s="3204"/>
      <c r="AE31" s="3204"/>
      <c r="AF31" s="3204"/>
      <c r="AG31" s="3204"/>
      <c r="AH31" s="3204"/>
      <c r="AI31" s="3204"/>
      <c r="AJ31" s="3204"/>
      <c r="AK31" s="3204"/>
      <c r="AL31" s="3204"/>
      <c r="AM31" s="3204"/>
      <c r="AN31" s="3204"/>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3243" t="s">
        <v>42</v>
      </c>
      <c r="V33" s="3243"/>
      <c r="W33" s="1299"/>
      <c r="X33" s="3245" t="str">
        <f>IF(TITLE_NAME_OR_PR_CHANGE="",IF(TITLE_NAME_OR_PR="","",TITLE_NAME_OR_PR),TITLE_NAME_OR_PR_CHANGE)</f>
        <v/>
      </c>
      <c r="Y33" s="3245"/>
      <c r="Z33" s="3245"/>
      <c r="AA33" s="3245"/>
      <c r="AB33" s="3245"/>
      <c r="AC33" s="3245"/>
      <c r="AD33" s="3245"/>
      <c r="AE33" s="3245"/>
      <c r="AF33" s="264"/>
      <c r="AG33" s="3245" t="str">
        <f>IF(TITLE_NAME_OR_PR_CHANGE="",IF(TITLE_NAME_OR_PR="","",TITLE_NAME_OR_PR),TITLE_NAME_OR_PR_CHANGE)</f>
        <v/>
      </c>
      <c r="AH33" s="3245"/>
      <c r="AI33" s="3245"/>
      <c r="AJ33" s="3245"/>
      <c r="AK33" s="3245"/>
      <c r="AL33" s="3245"/>
      <c r="AM33" s="3245"/>
      <c r="AN33" s="3245"/>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3243" t="s">
        <v>428</v>
      </c>
      <c r="V34" s="3243"/>
      <c r="W34" s="1299"/>
      <c r="X34" s="3244">
        <f>IF(TITLE_DATE_PR_CHANGE="",IF(TITLE_DATE_PR="","",TITLE_DATE_PR),TITLE_DATE_PR_CHANGE)</f>
        <v>45595.546053240738</v>
      </c>
      <c r="Y34" s="3244"/>
      <c r="Z34" s="3244"/>
      <c r="AA34" s="3244"/>
      <c r="AB34" s="3244"/>
      <c r="AC34" s="3244"/>
      <c r="AD34" s="3244"/>
      <c r="AE34" s="3244"/>
      <c r="AF34" s="264"/>
      <c r="AG34" s="3244">
        <f>IF(TITLE_DATE_PR_CHANGE="",IF(TITLE_DATE_PR="","",TITLE_DATE_PR),TITLE_DATE_PR_CHANGE)</f>
        <v>45595.546053240738</v>
      </c>
      <c r="AH34" s="3244"/>
      <c r="AI34" s="3244"/>
      <c r="AJ34" s="3244"/>
      <c r="AK34" s="3244"/>
      <c r="AL34" s="3244"/>
      <c r="AM34" s="3244"/>
      <c r="AN34" s="3244"/>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3243" t="s">
        <v>429</v>
      </c>
      <c r="V35" s="3243"/>
      <c r="W35" s="1299"/>
      <c r="X35" s="3245" t="str">
        <f>IF(TITLE_NUMBER_PR_CHANGE="",IF(TITLE_NUMBER_PR="","",TITLE_NUMBER_PR),TITLE_NUMBER_PR_CHANGE)</f>
        <v>03/3636</v>
      </c>
      <c r="Y35" s="3245"/>
      <c r="Z35" s="3245"/>
      <c r="AA35" s="3245"/>
      <c r="AB35" s="3245"/>
      <c r="AC35" s="3245"/>
      <c r="AD35" s="3245"/>
      <c r="AE35" s="3245"/>
      <c r="AF35" s="264"/>
      <c r="AG35" s="3245" t="str">
        <f>IF(TITLE_NUMBER_PR_CHANGE="",IF(TITLE_NUMBER_PR="","",TITLE_NUMBER_PR),TITLE_NUMBER_PR_CHANGE)</f>
        <v>03/3636</v>
      </c>
      <c r="AH35" s="3245"/>
      <c r="AI35" s="3245"/>
      <c r="AJ35" s="3245"/>
      <c r="AK35" s="3245"/>
      <c r="AL35" s="3245"/>
      <c r="AM35" s="3245"/>
      <c r="AN35" s="3245"/>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3243" t="s">
        <v>43</v>
      </c>
      <c r="V36" s="3243"/>
      <c r="W36" s="1299"/>
      <c r="X36" s="3245" t="str">
        <f>IF(TITLE_IST_PUB_CHANGE="",IF(TITLE_IST_PUB="","",TITLE_IST_PUB),TITLE_IST_PUB_CHANGE)</f>
        <v/>
      </c>
      <c r="Y36" s="3245"/>
      <c r="Z36" s="3245"/>
      <c r="AA36" s="3245"/>
      <c r="AB36" s="3245"/>
      <c r="AC36" s="3245"/>
      <c r="AD36" s="3245"/>
      <c r="AE36" s="3245"/>
      <c r="AF36" s="264"/>
      <c r="AG36" s="3245" t="str">
        <f>IF(TITLE_IST_PUB_CHANGE="",IF(TITLE_IST_PUB="","",TITLE_IST_PUB),TITLE_IST_PUB_CHANGE)</f>
        <v/>
      </c>
      <c r="AH36" s="3245"/>
      <c r="AI36" s="3245"/>
      <c r="AJ36" s="3245"/>
      <c r="AK36" s="3245"/>
      <c r="AL36" s="3245"/>
      <c r="AM36" s="3245"/>
      <c r="AN36" s="3245"/>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3243" t="s">
        <v>430</v>
      </c>
      <c r="V38" s="3243"/>
      <c r="W38" s="1299"/>
      <c r="X38" s="3244">
        <f>IF(TITLE_DATE_PR_CHANGE="",IF(TITLE_DATE_PR="","",TITLE_DATE_PR),TITLE_DATE_PR_CHANGE)</f>
        <v>45595.546053240738</v>
      </c>
      <c r="Y38" s="3244"/>
      <c r="Z38" s="3244"/>
      <c r="AA38" s="3244"/>
      <c r="AB38" s="3244"/>
      <c r="AC38" s="3244"/>
      <c r="AD38" s="3244"/>
      <c r="AE38" s="3244"/>
      <c r="AF38" s="264"/>
      <c r="AG38" s="3244">
        <f>IF(TITLE_DATE_PR_CHANGE="",IF(TITLE_DATE_PR="","",TITLE_DATE_PR),TITLE_DATE_PR_CHANGE)</f>
        <v>45595.546053240738</v>
      </c>
      <c r="AH38" s="3244"/>
      <c r="AI38" s="3244"/>
      <c r="AJ38" s="3244"/>
      <c r="AK38" s="3244"/>
      <c r="AL38" s="3244"/>
      <c r="AM38" s="3244"/>
      <c r="AN38" s="3244"/>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3243" t="s">
        <v>431</v>
      </c>
      <c r="V39" s="3243"/>
      <c r="W39" s="1299"/>
      <c r="X39" s="3245" t="str">
        <f>IF(TITLE_NUMBER_PR_CHANGE="",IF(TITLE_NUMBER_PR="","",TITLE_NUMBER_PR),TITLE_NUMBER_PR_CHANGE)</f>
        <v>03/3636</v>
      </c>
      <c r="Y39" s="3245"/>
      <c r="Z39" s="3245"/>
      <c r="AA39" s="3245"/>
      <c r="AB39" s="3245"/>
      <c r="AC39" s="3245"/>
      <c r="AD39" s="3245"/>
      <c r="AE39" s="3245"/>
      <c r="AF39" s="264"/>
      <c r="AG39" s="3245" t="str">
        <f>IF(TITLE_NUMBER_PR_CHANGE="",IF(TITLE_NUMBER_PR="","",TITLE_NUMBER_PR),TITLE_NUMBER_PR_CHANGE)</f>
        <v>03/3636</v>
      </c>
      <c r="AH39" s="3245"/>
      <c r="AI39" s="3245"/>
      <c r="AJ39" s="3245"/>
      <c r="AK39" s="3245"/>
      <c r="AL39" s="3245"/>
      <c r="AM39" s="3245"/>
      <c r="AN39" s="3245"/>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432</v>
      </c>
      <c r="AG40" s="264"/>
      <c r="AH40" s="264"/>
      <c r="AI40" s="264"/>
      <c r="AJ40" s="264"/>
      <c r="AK40" s="264"/>
      <c r="AL40" s="264"/>
      <c r="AM40" s="264"/>
      <c r="AN40" s="264"/>
      <c r="AO40" s="216" t="s">
        <v>432</v>
      </c>
      <c r="AR40" s="305"/>
      <c r="AS40" s="305"/>
      <c r="AT40" s="305"/>
      <c r="AU40" s="305"/>
      <c r="AV40" s="305"/>
      <c r="AW40" s="355">
        <v>0</v>
      </c>
    </row>
    <row r="41" spans="1:49" ht="14.65" customHeight="1">
      <c r="R41" s="313"/>
      <c r="S41" s="313"/>
      <c r="T41" s="313"/>
      <c r="U41" s="1202"/>
      <c r="V41" s="300"/>
      <c r="W41" s="1171"/>
      <c r="X41" s="3266"/>
      <c r="Y41" s="3266"/>
      <c r="Z41" s="3266"/>
      <c r="AA41" s="3266"/>
      <c r="AB41" s="3266"/>
      <c r="AC41" s="3266"/>
      <c r="AD41" s="3266"/>
      <c r="AE41" s="3266"/>
      <c r="AF41" s="3266"/>
      <c r="AG41" s="3266"/>
      <c r="AH41" s="3266"/>
      <c r="AI41" s="3266"/>
      <c r="AJ41" s="3266"/>
      <c r="AK41" s="3266"/>
      <c r="AL41" s="3266"/>
      <c r="AM41" s="3266"/>
      <c r="AN41" s="3266"/>
      <c r="AO41" s="3266"/>
      <c r="AW41" s="1082">
        <v>14</v>
      </c>
    </row>
    <row r="42" spans="1:49" ht="14.65" customHeight="1">
      <c r="R42" s="313"/>
      <c r="S42" s="313"/>
      <c r="T42" s="313"/>
      <c r="U42" s="3111" t="s">
        <v>308</v>
      </c>
      <c r="V42" s="3111"/>
      <c r="W42" s="3111"/>
      <c r="X42" s="3111"/>
      <c r="Y42" s="3111"/>
      <c r="Z42" s="3111"/>
      <c r="AA42" s="3111"/>
      <c r="AB42" s="3111"/>
      <c r="AC42" s="3111"/>
      <c r="AD42" s="3111"/>
      <c r="AE42" s="3111"/>
      <c r="AF42" s="3111"/>
      <c r="AG42" s="3111"/>
      <c r="AH42" s="3111"/>
      <c r="AI42" s="3111"/>
      <c r="AJ42" s="3111"/>
      <c r="AK42" s="3111"/>
      <c r="AL42" s="3111"/>
      <c r="AM42" s="3111"/>
      <c r="AN42" s="3111"/>
      <c r="AO42" s="3111"/>
      <c r="AP42" s="3111"/>
      <c r="AQ42" s="3111" t="s">
        <v>309</v>
      </c>
      <c r="AW42" s="1082">
        <v>14</v>
      </c>
    </row>
    <row r="43" spans="1:49" ht="14.65" customHeight="1">
      <c r="R43" s="313"/>
      <c r="S43" s="313"/>
      <c r="T43" s="313"/>
      <c r="U43" s="3268" t="s">
        <v>85</v>
      </c>
      <c r="V43" s="3212" t="s">
        <v>433</v>
      </c>
      <c r="W43" s="239"/>
      <c r="X43" s="3269" t="s">
        <v>434</v>
      </c>
      <c r="Y43" s="3313"/>
      <c r="Z43" s="3313"/>
      <c r="AA43" s="3313"/>
      <c r="AB43" s="3313"/>
      <c r="AC43" s="3270"/>
      <c r="AD43" s="3270"/>
      <c r="AE43" s="3271"/>
      <c r="AF43" s="3272" t="s">
        <v>435</v>
      </c>
      <c r="AG43" s="3269" t="s">
        <v>434</v>
      </c>
      <c r="AH43" s="3313"/>
      <c r="AI43" s="3313"/>
      <c r="AJ43" s="3313"/>
      <c r="AK43" s="3313"/>
      <c r="AL43" s="3270"/>
      <c r="AM43" s="3270"/>
      <c r="AN43" s="3271"/>
      <c r="AO43" s="3272" t="s">
        <v>436</v>
      </c>
      <c r="AP43" s="3275" t="s">
        <v>437</v>
      </c>
      <c r="AQ43" s="3111"/>
      <c r="AW43" s="1082">
        <v>14</v>
      </c>
    </row>
    <row r="44" spans="1:49" ht="35.65" customHeight="1">
      <c r="R44" s="313"/>
      <c r="S44" s="313"/>
      <c r="T44" s="313"/>
      <c r="U44" s="3268"/>
      <c r="V44" s="3212"/>
      <c r="W44" s="961"/>
      <c r="X44" s="3185" t="s">
        <v>462</v>
      </c>
      <c r="Y44" s="3111" t="s">
        <v>463</v>
      </c>
      <c r="Z44" s="3111"/>
      <c r="AA44" s="3111"/>
      <c r="AB44" s="3111"/>
      <c r="AC44" s="3185" t="s">
        <v>441</v>
      </c>
      <c r="AD44" s="3325"/>
      <c r="AE44" s="3186"/>
      <c r="AF44" s="3273"/>
      <c r="AG44" s="3185" t="s">
        <v>462</v>
      </c>
      <c r="AH44" s="3111" t="s">
        <v>463</v>
      </c>
      <c r="AI44" s="3111"/>
      <c r="AJ44" s="3111"/>
      <c r="AK44" s="3111"/>
      <c r="AL44" s="3185" t="s">
        <v>441</v>
      </c>
      <c r="AM44" s="3325"/>
      <c r="AN44" s="3186"/>
      <c r="AO44" s="3273"/>
      <c r="AP44" s="3276"/>
      <c r="AQ44" s="3111"/>
      <c r="AW44" s="1082">
        <v>34</v>
      </c>
    </row>
    <row r="45" spans="1:49" ht="14.65" customHeight="1">
      <c r="R45" s="313"/>
      <c r="S45" s="313"/>
      <c r="T45" s="313"/>
      <c r="U45" s="3268"/>
      <c r="V45" s="3212"/>
      <c r="W45" s="961"/>
      <c r="X45" s="3187"/>
      <c r="Y45" s="3218" t="s">
        <v>464</v>
      </c>
      <c r="Z45" s="3217" t="s">
        <v>465</v>
      </c>
      <c r="AA45" s="3230"/>
      <c r="AB45" s="3231"/>
      <c r="AC45" s="3190"/>
      <c r="AD45" s="3326"/>
      <c r="AE45" s="3191"/>
      <c r="AF45" s="3273"/>
      <c r="AG45" s="3187"/>
      <c r="AH45" s="3218" t="s">
        <v>464</v>
      </c>
      <c r="AI45" s="3217" t="s">
        <v>465</v>
      </c>
      <c r="AJ45" s="3230"/>
      <c r="AK45" s="3231"/>
      <c r="AL45" s="3190"/>
      <c r="AM45" s="3326"/>
      <c r="AN45" s="3191"/>
      <c r="AO45" s="3273"/>
      <c r="AP45" s="3276"/>
      <c r="AQ45" s="3111"/>
      <c r="AW45" s="1082">
        <v>14</v>
      </c>
    </row>
    <row r="46" spans="1:49" ht="27.4" customHeight="1">
      <c r="R46" s="313"/>
      <c r="S46" s="313"/>
      <c r="T46" s="313"/>
      <c r="U46" s="3268"/>
      <c r="V46" s="3212"/>
      <c r="W46" s="961"/>
      <c r="X46" s="3187"/>
      <c r="Y46" s="3324"/>
      <c r="Z46" s="3218" t="s">
        <v>466</v>
      </c>
      <c r="AA46" s="3217" t="s">
        <v>467</v>
      </c>
      <c r="AB46" s="3231"/>
      <c r="AC46" s="3218" t="s">
        <v>451</v>
      </c>
      <c r="AD46" s="3222" t="s">
        <v>452</v>
      </c>
      <c r="AE46" s="3220"/>
      <c r="AF46" s="3273"/>
      <c r="AG46" s="3187"/>
      <c r="AH46" s="3324"/>
      <c r="AI46" s="3218" t="s">
        <v>466</v>
      </c>
      <c r="AJ46" s="3217" t="s">
        <v>467</v>
      </c>
      <c r="AK46" s="3231"/>
      <c r="AL46" s="3218" t="s">
        <v>451</v>
      </c>
      <c r="AM46" s="3222" t="s">
        <v>452</v>
      </c>
      <c r="AN46" s="3220"/>
      <c r="AO46" s="3273"/>
      <c r="AP46" s="3276"/>
      <c r="AQ46" s="3111"/>
      <c r="AW46" s="1082">
        <v>26</v>
      </c>
    </row>
    <row r="47" spans="1:49" ht="65.25" customHeight="1">
      <c r="A47" s="1186"/>
      <c r="B47" s="1186" t="s">
        <v>133</v>
      </c>
      <c r="C47" s="1186" t="s">
        <v>134</v>
      </c>
      <c r="D47" s="1186" t="s">
        <v>135</v>
      </c>
      <c r="E47" s="1237" t="s">
        <v>442</v>
      </c>
      <c r="F47" s="1237" t="s">
        <v>443</v>
      </c>
      <c r="G47" s="1237" t="s">
        <v>444</v>
      </c>
      <c r="H47" s="1237" t="s">
        <v>445</v>
      </c>
      <c r="I47" s="1237" t="s">
        <v>446</v>
      </c>
      <c r="J47" s="1237" t="s">
        <v>447</v>
      </c>
      <c r="K47" s="1237" t="s">
        <v>448</v>
      </c>
      <c r="L47" s="1237" t="s">
        <v>468</v>
      </c>
      <c r="M47" s="1237" t="s">
        <v>423</v>
      </c>
      <c r="R47" s="313"/>
      <c r="S47" s="313"/>
      <c r="T47" s="313"/>
      <c r="U47" s="3268"/>
      <c r="V47" s="3212"/>
      <c r="W47" s="240"/>
      <c r="X47" s="3190"/>
      <c r="Y47" s="3219"/>
      <c r="Z47" s="3219"/>
      <c r="AA47" s="1149" t="s">
        <v>469</v>
      </c>
      <c r="AB47" s="1149" t="s">
        <v>470</v>
      </c>
      <c r="AC47" s="3219"/>
      <c r="AD47" s="3223"/>
      <c r="AE47" s="3221"/>
      <c r="AF47" s="3274"/>
      <c r="AG47" s="3190"/>
      <c r="AH47" s="3219"/>
      <c r="AI47" s="3219"/>
      <c r="AJ47" s="1149" t="s">
        <v>469</v>
      </c>
      <c r="AK47" s="1149" t="s">
        <v>470</v>
      </c>
      <c r="AL47" s="3219"/>
      <c r="AM47" s="3223"/>
      <c r="AN47" s="3221"/>
      <c r="AO47" s="3274"/>
      <c r="AP47" s="3277"/>
      <c r="AQ47" s="311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107</v>
      </c>
      <c r="V48" s="1182" t="s">
        <v>108</v>
      </c>
      <c r="W48" s="1172" t="str">
        <f ca="1">OFFSET(W48,0,-1)</f>
        <v>2</v>
      </c>
      <c r="X48" s="1262">
        <f ca="1">OFFSET(X48,0,-1)+1</f>
        <v>3</v>
      </c>
      <c r="Y48" s="1268"/>
      <c r="Z48" s="1268"/>
      <c r="AA48" s="1268">
        <f ca="1">OFFSET(AA48,0,-1)+1</f>
        <v>1</v>
      </c>
      <c r="AB48" s="1268">
        <f ca="1">OFFSET(AB48,0,-1)+1</f>
        <v>2</v>
      </c>
      <c r="AC48" s="1262">
        <f ca="1">OFFSET(AC48,0,-1)+1</f>
        <v>3</v>
      </c>
      <c r="AD48" s="3265">
        <f ca="1">OFFSET(AD48,0,-1)+1</f>
        <v>4</v>
      </c>
      <c r="AE48" s="3265"/>
      <c r="AF48" s="1262">
        <f ca="1">OFFSET(AF48,0,-2)+1</f>
        <v>5</v>
      </c>
      <c r="AG48" s="1262">
        <f ca="1">OFFSET(AG48,0,-1)+1</f>
        <v>6</v>
      </c>
      <c r="AH48" s="1262"/>
      <c r="AI48" s="1262"/>
      <c r="AJ48" s="1262">
        <f ca="1">OFFSET(AJ48,0,-1)+1</f>
        <v>1</v>
      </c>
      <c r="AK48" s="1262">
        <f ca="1">OFFSET(AK48,0,-1)+1</f>
        <v>2</v>
      </c>
      <c r="AL48" s="1262">
        <f ca="1">OFFSET(AL48,0,-1)+1</f>
        <v>3</v>
      </c>
      <c r="AM48" s="3265">
        <f ca="1">OFFSET(AM48,0,-1)+1</f>
        <v>4</v>
      </c>
      <c r="AN48" s="3265"/>
      <c r="AO48" s="1262">
        <f ca="1">OFFSET(AO48,0,-2)+1</f>
        <v>5</v>
      </c>
      <c r="AP48" s="1172">
        <f ca="1">OFFSET(AP48,0,-1)</f>
        <v>5</v>
      </c>
      <c r="AQ48" s="1262">
        <f ca="1">OFFSET(AQ48,0,-1)+1</f>
        <v>6</v>
      </c>
      <c r="AR48" s="448"/>
      <c r="AS48" s="448"/>
      <c r="AT48" s="448"/>
      <c r="AU48" s="448"/>
      <c r="AV48" s="448"/>
      <c r="AW48" s="433">
        <v>0</v>
      </c>
    </row>
    <row r="49" spans="1:49" ht="21.95" customHeight="1">
      <c r="A49" s="1194" t="s">
        <v>184</v>
      </c>
      <c r="B49" s="1194"/>
      <c r="C49" s="1194"/>
      <c r="D49" s="1194"/>
      <c r="E49" s="330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121</v>
      </c>
      <c r="W49" s="238"/>
      <c r="X49" s="3246"/>
      <c r="Y49" s="3247"/>
      <c r="Z49" s="3247"/>
      <c r="AA49" s="3247"/>
      <c r="AB49" s="3247"/>
      <c r="AC49" s="3247"/>
      <c r="AD49" s="3247"/>
      <c r="AE49" s="3247"/>
      <c r="AF49" s="3248"/>
      <c r="AG49" s="3246" t="str">
        <f>INDEX(PT_DIFFERENTIATION_NTAR,MATCH(A49,PT_DIFFERENTIATION_NTAR_ID,0))</f>
        <v/>
      </c>
      <c r="AH49" s="3247"/>
      <c r="AI49" s="3247"/>
      <c r="AJ49" s="3247"/>
      <c r="AK49" s="3247"/>
      <c r="AL49" s="3247"/>
      <c r="AM49" s="3247"/>
      <c r="AN49" s="3247"/>
      <c r="AO49" s="3247"/>
      <c r="AP49" s="324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184</v>
      </c>
      <c r="B50" s="1194" t="s">
        <v>185</v>
      </c>
      <c r="C50" s="1194"/>
      <c r="D50" s="1194"/>
      <c r="E50" s="3310"/>
      <c r="F50" s="330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405</v>
      </c>
      <c r="W50" s="238"/>
      <c r="X50" s="3246"/>
      <c r="Y50" s="3247"/>
      <c r="Z50" s="3247"/>
      <c r="AA50" s="3247"/>
      <c r="AB50" s="3247"/>
      <c r="AC50" s="3247"/>
      <c r="AD50" s="3247"/>
      <c r="AE50" s="3247"/>
      <c r="AF50" s="3248"/>
      <c r="AG50" s="3246" t="str">
        <f>INDEX(PT_DIFFERENTIATION_TER,MATCH(B50,PT_DIFFERENTIATION_TER_ID,0))</f>
        <v/>
      </c>
      <c r="AH50" s="3247"/>
      <c r="AI50" s="3247"/>
      <c r="AJ50" s="3247"/>
      <c r="AK50" s="3247"/>
      <c r="AL50" s="3247"/>
      <c r="AM50" s="3247"/>
      <c r="AN50" s="3247"/>
      <c r="AO50" s="3247"/>
      <c r="AP50" s="3248"/>
      <c r="AQ50" s="1185" t="s">
        <v>406</v>
      </c>
      <c r="AS50" s="437"/>
      <c r="AT50" s="437" t="str">
        <f t="shared" si="2"/>
        <v>Территория действия тарифа</v>
      </c>
      <c r="AU50" s="437"/>
      <c r="AV50" s="437"/>
      <c r="AW50" s="1082">
        <v>21</v>
      </c>
    </row>
    <row r="51" spans="1:49" ht="24" customHeight="1">
      <c r="A51" s="1194" t="s">
        <v>184</v>
      </c>
      <c r="B51" s="1194" t="s">
        <v>185</v>
      </c>
      <c r="C51" s="1194" t="s">
        <v>186</v>
      </c>
      <c r="D51" s="1194"/>
      <c r="E51" s="3310"/>
      <c r="F51" s="3310"/>
      <c r="G51" s="3309">
        <v>1</v>
      </c>
      <c r="H51" s="1194"/>
      <c r="I51" s="1194"/>
      <c r="J51" s="1194"/>
      <c r="K51" s="1194"/>
      <c r="L51" s="1194"/>
      <c r="M51" s="1237"/>
      <c r="N51" s="625"/>
      <c r="O51" s="625"/>
      <c r="P51" s="625"/>
      <c r="Q51" s="291"/>
      <c r="R51" s="289"/>
      <c r="S51" s="446"/>
      <c r="T51" s="290"/>
      <c r="U51" s="1263" t="str">
        <f>INDEX(PT_DIFFERENTIATION_NUM_CS,MATCH(C51,PT_DIFFERENTIATION_CS_ID,0))</f>
        <v>..</v>
      </c>
      <c r="V51" s="247" t="s">
        <v>407</v>
      </c>
      <c r="W51" s="238"/>
      <c r="X51" s="3246"/>
      <c r="Y51" s="3247"/>
      <c r="Z51" s="3247"/>
      <c r="AA51" s="3247"/>
      <c r="AB51" s="3247"/>
      <c r="AC51" s="3247"/>
      <c r="AD51" s="3247"/>
      <c r="AE51" s="3247"/>
      <c r="AF51" s="3248"/>
      <c r="AG51" s="3246" t="str">
        <f>INDEX(PT_DIFFERENTIATION_CS,MATCH(C51,PT_DIFFERENTIATION_CS_ID,0))</f>
        <v/>
      </c>
      <c r="AH51" s="3247"/>
      <c r="AI51" s="3247"/>
      <c r="AJ51" s="3247"/>
      <c r="AK51" s="3247"/>
      <c r="AL51" s="3247"/>
      <c r="AM51" s="3247"/>
      <c r="AN51" s="3247"/>
      <c r="AO51" s="3247"/>
      <c r="AP51" s="3248"/>
      <c r="AQ51" s="1185" t="s">
        <v>408</v>
      </c>
      <c r="AS51" s="437"/>
      <c r="AT51" s="437" t="str">
        <f t="shared" si="2"/>
        <v xml:space="preserve">Наименование системы теплоснабжения </v>
      </c>
      <c r="AU51" s="437"/>
      <c r="AV51" s="437"/>
      <c r="AW51" s="1082">
        <v>23</v>
      </c>
    </row>
    <row r="52" spans="1:49" ht="21.95" customHeight="1">
      <c r="A52" s="1194" t="s">
        <v>184</v>
      </c>
      <c r="B52" s="1194" t="s">
        <v>185</v>
      </c>
      <c r="C52" s="1194" t="s">
        <v>186</v>
      </c>
      <c r="D52" s="1194" t="s">
        <v>187</v>
      </c>
      <c r="E52" s="3310"/>
      <c r="F52" s="3310"/>
      <c r="G52" s="3310"/>
      <c r="H52" s="3309">
        <v>1</v>
      </c>
      <c r="I52" s="1194"/>
      <c r="J52" s="1194"/>
      <c r="K52" s="1194"/>
      <c r="L52" s="1194"/>
      <c r="M52" s="1237"/>
      <c r="N52" s="625"/>
      <c r="O52" s="625"/>
      <c r="P52" s="625"/>
      <c r="Q52" s="291"/>
      <c r="R52" s="289"/>
      <c r="S52" s="446"/>
      <c r="T52" s="290"/>
      <c r="U52" s="1263" t="str">
        <f>INDEX(PT_DIFFERENTIATION_NUM_IST_TE,MATCH(D52,PT_DIFFERENTIATION_IST_TE_ID,0))</f>
        <v>...</v>
      </c>
      <c r="V52" s="248" t="s">
        <v>409</v>
      </c>
      <c r="W52" s="238"/>
      <c r="X52" s="3246"/>
      <c r="Y52" s="3247"/>
      <c r="Z52" s="3247"/>
      <c r="AA52" s="3247"/>
      <c r="AB52" s="3247"/>
      <c r="AC52" s="3247"/>
      <c r="AD52" s="3247"/>
      <c r="AE52" s="3247"/>
      <c r="AF52" s="3248"/>
      <c r="AG52" s="3246" t="str">
        <f>INDEX(PT_DIFFERENTIATION_IST_TE,MATCH(D52,PT_DIFFERENTIATION_IST_TE_ID,0))</f>
        <v/>
      </c>
      <c r="AH52" s="3247"/>
      <c r="AI52" s="3247"/>
      <c r="AJ52" s="3247"/>
      <c r="AK52" s="3247"/>
      <c r="AL52" s="3247"/>
      <c r="AM52" s="3247"/>
      <c r="AN52" s="3247"/>
      <c r="AO52" s="3247"/>
      <c r="AP52" s="3248"/>
      <c r="AQ52" s="1185" t="s">
        <v>410</v>
      </c>
      <c r="AS52" s="437"/>
      <c r="AT52" s="437" t="str">
        <f t="shared" si="2"/>
        <v xml:space="preserve">Источник тепловой энергии  </v>
      </c>
      <c r="AU52" s="437"/>
      <c r="AV52" s="437"/>
      <c r="AW52" s="1082">
        <v>21</v>
      </c>
    </row>
    <row r="53" spans="1:49" s="1569" customFormat="1" ht="0" hidden="1" customHeight="1">
      <c r="A53" s="1302" t="s">
        <v>184</v>
      </c>
      <c r="B53" s="1302" t="s">
        <v>185</v>
      </c>
      <c r="C53" s="1302" t="s">
        <v>186</v>
      </c>
      <c r="D53" s="1302" t="s">
        <v>187</v>
      </c>
      <c r="E53" s="3310"/>
      <c r="F53" s="3310"/>
      <c r="G53" s="3310"/>
      <c r="H53" s="3310"/>
      <c r="I53" s="3111" t="str">
        <f>U52&amp;".1"</f>
        <v>....1</v>
      </c>
      <c r="J53" s="1302"/>
      <c r="K53" s="1302"/>
      <c r="L53" s="1302"/>
      <c r="M53" s="1308" t="s">
        <v>411</v>
      </c>
      <c r="N53" s="1173"/>
      <c r="O53" s="1173"/>
      <c r="P53" s="1173"/>
      <c r="Q53" s="3258">
        <v>1</v>
      </c>
      <c r="R53" s="1258"/>
      <c r="S53" s="1258"/>
      <c r="T53" s="293"/>
      <c r="U53" s="972"/>
      <c r="V53" s="1310"/>
      <c r="W53" s="1311"/>
      <c r="X53" s="3314"/>
      <c r="Y53" s="3315"/>
      <c r="Z53" s="3315"/>
      <c r="AA53" s="3315"/>
      <c r="AB53" s="3315"/>
      <c r="AC53" s="3315"/>
      <c r="AD53" s="3315"/>
      <c r="AE53" s="3315"/>
      <c r="AF53" s="3316"/>
      <c r="AG53" s="3314"/>
      <c r="AH53" s="3315"/>
      <c r="AI53" s="3315"/>
      <c r="AJ53" s="3315"/>
      <c r="AK53" s="3315"/>
      <c r="AL53" s="3315"/>
      <c r="AM53" s="3315"/>
      <c r="AN53" s="3315"/>
      <c r="AO53" s="3315"/>
      <c r="AP53" s="3316"/>
      <c r="AQ53" s="1312"/>
      <c r="AS53" s="437"/>
      <c r="AT53" s="437" t="str">
        <f t="shared" si="2"/>
        <v/>
      </c>
      <c r="AU53" s="437"/>
      <c r="AV53" s="437"/>
      <c r="AW53" s="448">
        <v>0</v>
      </c>
    </row>
    <row r="54" spans="1:49" ht="21.95" customHeight="1">
      <c r="A54" s="1194" t="s">
        <v>184</v>
      </c>
      <c r="B54" s="1194" t="s">
        <v>185</v>
      </c>
      <c r="C54" s="1194" t="s">
        <v>186</v>
      </c>
      <c r="D54" s="1194" t="s">
        <v>187</v>
      </c>
      <c r="E54" s="3310"/>
      <c r="F54" s="3310"/>
      <c r="G54" s="3310"/>
      <c r="H54" s="3310"/>
      <c r="I54" s="3093"/>
      <c r="J54" s="3111" t="str">
        <f>I53&amp;".1"</f>
        <v>....1.1</v>
      </c>
      <c r="K54" s="1194"/>
      <c r="L54" s="1194"/>
      <c r="M54" s="1237" t="s">
        <v>414</v>
      </c>
      <c r="Q54" s="3258"/>
      <c r="R54" s="3258">
        <v>1</v>
      </c>
      <c r="S54" s="455"/>
      <c r="T54" s="294"/>
      <c r="U54" s="1263" t="str">
        <f>$J54</f>
        <v>....1.1</v>
      </c>
      <c r="V54" s="224" t="s">
        <v>415</v>
      </c>
      <c r="W54" s="238"/>
      <c r="X54" s="3239"/>
      <c r="Y54" s="3240"/>
      <c r="Z54" s="3240"/>
      <c r="AA54" s="3240"/>
      <c r="AB54" s="3240"/>
      <c r="AC54" s="3235"/>
      <c r="AD54" s="3235"/>
      <c r="AE54" s="3235"/>
      <c r="AF54" s="3327"/>
      <c r="AG54" s="3239"/>
      <c r="AH54" s="3240"/>
      <c r="AI54" s="3240"/>
      <c r="AJ54" s="3240"/>
      <c r="AK54" s="3240"/>
      <c r="AL54" s="3240"/>
      <c r="AM54" s="3240"/>
      <c r="AN54" s="3240"/>
      <c r="AO54" s="3240"/>
      <c r="AP54" s="3241"/>
      <c r="AQ54" s="1185" t="s">
        <v>416</v>
      </c>
      <c r="AS54" s="437"/>
      <c r="AT54" s="437" t="str">
        <f t="shared" si="2"/>
        <v>Группа потребителей</v>
      </c>
      <c r="AU54" s="437"/>
      <c r="AV54" s="437"/>
      <c r="AW54" s="1082">
        <v>21</v>
      </c>
    </row>
    <row r="55" spans="1:49" ht="21.95" customHeight="1">
      <c r="A55" s="1194" t="s">
        <v>184</v>
      </c>
      <c r="B55" s="1194" t="s">
        <v>185</v>
      </c>
      <c r="C55" s="1194" t="s">
        <v>186</v>
      </c>
      <c r="D55" s="1194" t="s">
        <v>187</v>
      </c>
      <c r="E55" s="3310"/>
      <c r="F55" s="3310"/>
      <c r="G55" s="3310"/>
      <c r="H55" s="3310"/>
      <c r="I55" s="3093"/>
      <c r="J55" s="3093"/>
      <c r="K55" s="3111" t="str">
        <f>J54&amp;".1"</f>
        <v>....1.1.1</v>
      </c>
      <c r="L55" s="78"/>
      <c r="M55" s="1237" t="s">
        <v>417</v>
      </c>
      <c r="Q55" s="3258"/>
      <c r="R55" s="3258"/>
      <c r="S55" s="455">
        <v>1</v>
      </c>
      <c r="T55" s="294"/>
      <c r="U55" s="1263" t="str">
        <f>$K55</f>
        <v>....1.1.1</v>
      </c>
      <c r="V55" s="1274"/>
      <c r="W55" s="238"/>
      <c r="X55" s="688"/>
      <c r="Y55" s="688"/>
      <c r="Z55" s="688"/>
      <c r="AA55" s="688"/>
      <c r="AB55" s="1332"/>
      <c r="AC55" s="3259"/>
      <c r="AD55" s="3121" t="s">
        <v>67</v>
      </c>
      <c r="AE55" s="3259"/>
      <c r="AF55" s="3121" t="s">
        <v>67</v>
      </c>
      <c r="AG55" s="1334"/>
      <c r="AH55" s="688"/>
      <c r="AI55" s="688"/>
      <c r="AJ55" s="688"/>
      <c r="AK55" s="1184"/>
      <c r="AL55" s="3259"/>
      <c r="AM55" s="3121" t="s">
        <v>67</v>
      </c>
      <c r="AN55" s="3259"/>
      <c r="AO55" s="3121" t="s">
        <v>67</v>
      </c>
      <c r="AP55" s="1275"/>
      <c r="AQ55" s="1234" t="s">
        <v>459</v>
      </c>
      <c r="AR55" s="448" t="e">
        <f ca="1">STRCHECKDATE(X57:AP57)</f>
        <v>#NAME?</v>
      </c>
      <c r="AS55" s="437"/>
      <c r="AT55" s="437" t="str">
        <f t="shared" si="2"/>
        <v/>
      </c>
      <c r="AU55" s="437"/>
      <c r="AV55" s="437"/>
      <c r="AW55" s="1082">
        <v>21</v>
      </c>
    </row>
    <row r="56" spans="1:49" ht="11.45" customHeight="1">
      <c r="A56" s="1194" t="s">
        <v>184</v>
      </c>
      <c r="B56" s="1194" t="s">
        <v>185</v>
      </c>
      <c r="C56" s="1194" t="s">
        <v>186</v>
      </c>
      <c r="D56" s="1194" t="s">
        <v>187</v>
      </c>
      <c r="E56" s="3310"/>
      <c r="F56" s="3310"/>
      <c r="G56" s="3310"/>
      <c r="H56" s="3310"/>
      <c r="I56" s="3093"/>
      <c r="J56" s="3093"/>
      <c r="K56" s="3093"/>
      <c r="L56" s="3111" t="str">
        <f>K55&amp;".1"</f>
        <v>....1.1.1.1</v>
      </c>
      <c r="M56" s="1237"/>
      <c r="Q56" s="3258"/>
      <c r="R56" s="3258"/>
      <c r="S56" s="455">
        <v>1</v>
      </c>
      <c r="T56" s="294"/>
      <c r="U56" s="1263" t="str">
        <f>$L56</f>
        <v>....1.1.1.1</v>
      </c>
      <c r="V56" s="1318"/>
      <c r="W56" s="238"/>
      <c r="X56" s="263"/>
      <c r="Y56" s="688"/>
      <c r="Z56" s="688"/>
      <c r="AA56" s="688"/>
      <c r="AB56" s="1332"/>
      <c r="AC56" s="3260"/>
      <c r="AD56" s="3121"/>
      <c r="AE56" s="3260"/>
      <c r="AF56" s="3121"/>
      <c r="AG56" s="1334"/>
      <c r="AH56" s="688"/>
      <c r="AI56" s="688"/>
      <c r="AJ56" s="688"/>
      <c r="AK56" s="1184"/>
      <c r="AL56" s="3260"/>
      <c r="AM56" s="3121"/>
      <c r="AN56" s="3260"/>
      <c r="AO56" s="3121"/>
      <c r="AP56" s="1275"/>
      <c r="AQ56" s="3278" t="s">
        <v>460</v>
      </c>
      <c r="AR56" s="448" t="e">
        <f ca="1">STRCHECKDATE(X58:AP58)</f>
        <v>#NAME?</v>
      </c>
      <c r="AS56" s="437"/>
      <c r="AT56" s="437" t="str">
        <f t="shared" si="2"/>
        <v/>
      </c>
      <c r="AU56" s="437"/>
      <c r="AV56" s="437"/>
      <c r="AW56" s="1082">
        <v>11</v>
      </c>
    </row>
    <row r="57" spans="1:49" ht="0" hidden="1" customHeight="1">
      <c r="A57" s="1194" t="s">
        <v>184</v>
      </c>
      <c r="B57" s="1194" t="s">
        <v>185</v>
      </c>
      <c r="C57" s="1194" t="s">
        <v>186</v>
      </c>
      <c r="D57" s="1194" t="s">
        <v>187</v>
      </c>
      <c r="E57" s="3310"/>
      <c r="F57" s="3310"/>
      <c r="G57" s="3310"/>
      <c r="H57" s="3310"/>
      <c r="I57" s="3093"/>
      <c r="J57" s="3093"/>
      <c r="K57" s="3093"/>
      <c r="L57" s="3111"/>
      <c r="M57" s="1237"/>
      <c r="Q57" s="3258"/>
      <c r="R57" s="3258"/>
      <c r="S57" s="455"/>
      <c r="T57" s="294"/>
      <c r="U57" s="1269"/>
      <c r="V57" s="238"/>
      <c r="W57" s="238"/>
      <c r="X57" s="263"/>
      <c r="Y57" s="263"/>
      <c r="Z57" s="263"/>
      <c r="AA57" s="263"/>
      <c r="AB57" s="1333" t="str">
        <f>AC55&amp;"-"&amp;AE55</f>
        <v>-</v>
      </c>
      <c r="AC57" s="3260"/>
      <c r="AD57" s="3121"/>
      <c r="AE57" s="3260"/>
      <c r="AF57" s="3121"/>
      <c r="AG57" s="1309"/>
      <c r="AH57" s="263"/>
      <c r="AI57" s="263"/>
      <c r="AJ57" s="263"/>
      <c r="AK57" s="266" t="str">
        <f>AL55&amp;"-"&amp;AN55</f>
        <v>-</v>
      </c>
      <c r="AL57" s="3260"/>
      <c r="AM57" s="3121"/>
      <c r="AN57" s="3260"/>
      <c r="AO57" s="3121"/>
      <c r="AP57" s="1276"/>
      <c r="AQ57" s="3279"/>
      <c r="AS57" s="437"/>
      <c r="AT57" s="437" t="str">
        <f t="shared" si="2"/>
        <v/>
      </c>
      <c r="AU57" s="437"/>
      <c r="AV57" s="437"/>
      <c r="AW57" s="1082">
        <v>0</v>
      </c>
    </row>
    <row r="58" spans="1:49" ht="11.45" customHeight="1">
      <c r="A58" s="1194" t="s">
        <v>184</v>
      </c>
      <c r="B58" s="1194" t="s">
        <v>185</v>
      </c>
      <c r="C58" s="1194" t="s">
        <v>186</v>
      </c>
      <c r="D58" s="1194" t="s">
        <v>187</v>
      </c>
      <c r="E58" s="3310"/>
      <c r="F58" s="3310"/>
      <c r="G58" s="3310"/>
      <c r="H58" s="3310"/>
      <c r="I58" s="3093"/>
      <c r="J58" s="3093"/>
      <c r="K58" s="3111"/>
      <c r="L58" s="1194"/>
      <c r="M58" s="1237"/>
      <c r="Q58" s="3258"/>
      <c r="R58" s="3258"/>
      <c r="S58" s="1258"/>
      <c r="T58" s="293"/>
      <c r="U58" s="1205"/>
      <c r="V58" s="226" t="s">
        <v>461</v>
      </c>
      <c r="W58" s="304"/>
      <c r="X58" s="304"/>
      <c r="Y58" s="304"/>
      <c r="Z58" s="304"/>
      <c r="AA58" s="304"/>
      <c r="AB58" s="304"/>
      <c r="AC58" s="3260"/>
      <c r="AD58" s="3121"/>
      <c r="AE58" s="3260"/>
      <c r="AF58" s="3121"/>
      <c r="AG58" s="304"/>
      <c r="AH58" s="304"/>
      <c r="AI58" s="304"/>
      <c r="AJ58" s="304"/>
      <c r="AK58" s="304"/>
      <c r="AL58" s="3260"/>
      <c r="AM58" s="3121"/>
      <c r="AN58" s="3260"/>
      <c r="AO58" s="3121"/>
      <c r="AP58" s="262"/>
      <c r="AQ58" s="3279"/>
      <c r="AS58" s="437"/>
      <c r="AT58" s="437" t="str">
        <f t="shared" si="2"/>
        <v>Добавить наименование поставщика</v>
      </c>
      <c r="AU58" s="437"/>
      <c r="AV58" s="437"/>
      <c r="AW58" s="1082">
        <v>11</v>
      </c>
    </row>
    <row r="59" spans="1:49" ht="11.45" customHeight="1">
      <c r="A59" s="1194" t="s">
        <v>184</v>
      </c>
      <c r="B59" s="1194" t="s">
        <v>185</v>
      </c>
      <c r="C59" s="1194" t="s">
        <v>186</v>
      </c>
      <c r="D59" s="1194" t="s">
        <v>187</v>
      </c>
      <c r="E59" s="3310"/>
      <c r="F59" s="3310"/>
      <c r="G59" s="3310"/>
      <c r="H59" s="3310"/>
      <c r="I59" s="3093"/>
      <c r="J59" s="3111"/>
      <c r="K59" s="1194"/>
      <c r="L59" s="1194"/>
      <c r="M59" s="1237"/>
      <c r="Q59" s="3258"/>
      <c r="R59" s="3258"/>
      <c r="S59" s="1258"/>
      <c r="T59" s="293"/>
      <c r="U59" s="1205"/>
      <c r="V59" s="225" t="s">
        <v>419</v>
      </c>
      <c r="W59" s="304"/>
      <c r="X59" s="304"/>
      <c r="Y59" s="304"/>
      <c r="Z59" s="304"/>
      <c r="AA59" s="304"/>
      <c r="AB59" s="304"/>
      <c r="AC59" s="1335"/>
      <c r="AD59" s="1335"/>
      <c r="AE59" s="1335"/>
      <c r="AF59" s="1335"/>
      <c r="AG59" s="304"/>
      <c r="AH59" s="304"/>
      <c r="AI59" s="304"/>
      <c r="AJ59" s="304"/>
      <c r="AK59" s="304"/>
      <c r="AL59" s="304"/>
      <c r="AM59" s="304"/>
      <c r="AN59" s="304"/>
      <c r="AO59" s="304"/>
      <c r="AP59" s="262"/>
      <c r="AQ59" s="3280"/>
      <c r="AS59" s="437"/>
      <c r="AT59" s="437" t="str">
        <f t="shared" si="2"/>
        <v>Добавить вид теплоносителя (параметры теплоносителя)</v>
      </c>
      <c r="AU59" s="437"/>
      <c r="AV59" s="437"/>
      <c r="AW59" s="1082">
        <v>11</v>
      </c>
    </row>
    <row r="60" spans="1:49" ht="11.45" customHeight="1">
      <c r="A60" s="1194" t="s">
        <v>184</v>
      </c>
      <c r="B60" s="1194" t="s">
        <v>185</v>
      </c>
      <c r="C60" s="1194" t="s">
        <v>186</v>
      </c>
      <c r="D60" s="1194" t="s">
        <v>187</v>
      </c>
      <c r="E60" s="3310"/>
      <c r="F60" s="3310"/>
      <c r="G60" s="3310"/>
      <c r="H60" s="3310"/>
      <c r="I60" s="3111"/>
      <c r="J60" s="1194"/>
      <c r="K60" s="1194"/>
      <c r="L60" s="1194"/>
      <c r="M60" s="1237"/>
      <c r="Q60" s="3258"/>
      <c r="R60" s="1258"/>
      <c r="S60" s="1258"/>
      <c r="T60" s="293"/>
      <c r="U60" s="1205"/>
      <c r="V60" s="302" t="s">
        <v>420</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184</v>
      </c>
      <c r="B61" s="1194" t="s">
        <v>185</v>
      </c>
      <c r="C61" s="1194" t="s">
        <v>186</v>
      </c>
      <c r="D61" s="1194" t="s">
        <v>187</v>
      </c>
      <c r="E61" s="3310"/>
      <c r="F61" s="3310"/>
      <c r="G61" s="3310"/>
      <c r="H61" s="330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184</v>
      </c>
      <c r="B62" s="1302" t="s">
        <v>185</v>
      </c>
      <c r="C62" s="1302" t="s">
        <v>186</v>
      </c>
      <c r="D62" s="1301"/>
      <c r="E62" s="3310"/>
      <c r="F62" s="3310"/>
      <c r="G62" s="3309"/>
      <c r="H62" s="1301"/>
      <c r="I62" s="1301"/>
      <c r="J62" s="1301"/>
      <c r="K62" s="1301"/>
      <c r="L62" s="1301"/>
      <c r="M62" s="1304"/>
      <c r="N62" s="1305"/>
      <c r="O62" s="1305"/>
      <c r="P62" s="288"/>
      <c r="Q62" s="1243"/>
      <c r="R62" s="1244"/>
      <c r="S62" s="1243"/>
      <c r="T62" s="1243"/>
      <c r="U62" s="1249"/>
      <c r="V62" s="1252" t="s">
        <v>166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184</v>
      </c>
      <c r="B63" s="1302" t="s">
        <v>185</v>
      </c>
      <c r="C63" s="1301"/>
      <c r="D63" s="1301"/>
      <c r="E63" s="3310"/>
      <c r="F63" s="3309"/>
      <c r="G63" s="1301"/>
      <c r="H63" s="1301"/>
      <c r="I63" s="1301"/>
      <c r="J63" s="1301"/>
      <c r="K63" s="1301"/>
      <c r="L63" s="1301"/>
      <c r="M63" s="1304"/>
      <c r="N63" s="1306"/>
      <c r="O63" s="1306"/>
      <c r="P63" s="288"/>
      <c r="Q63" s="1243"/>
      <c r="R63" s="1244"/>
      <c r="S63" s="1243"/>
      <c r="T63" s="1243"/>
      <c r="U63" s="1249"/>
      <c r="V63" s="1252" t="s">
        <v>167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184</v>
      </c>
      <c r="B64" s="1302"/>
      <c r="C64" s="1302"/>
      <c r="D64" s="1302"/>
      <c r="E64" s="3309"/>
      <c r="F64" s="1302"/>
      <c r="G64" s="1302"/>
      <c r="H64" s="1302"/>
      <c r="I64" s="1302"/>
      <c r="J64" s="1302"/>
      <c r="K64" s="1302"/>
      <c r="L64" s="1302"/>
      <c r="M64" s="1308"/>
      <c r="N64" s="1306"/>
      <c r="O64" s="1306"/>
      <c r="P64" s="288"/>
      <c r="Q64" s="317"/>
      <c r="R64" s="1271"/>
      <c r="S64" s="317"/>
      <c r="T64" s="317"/>
      <c r="U64" s="1249"/>
      <c r="V64" s="1252" t="s">
        <v>168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3252"/>
      <c r="W67" s="3252"/>
      <c r="X67" s="3252"/>
      <c r="Y67" s="3252"/>
      <c r="Z67" s="3252"/>
      <c r="AA67" s="3252"/>
      <c r="AB67" s="3252"/>
      <c r="AC67" s="3252"/>
      <c r="AD67" s="3252"/>
      <c r="AE67" s="3252"/>
      <c r="AF67" s="3252"/>
      <c r="AG67" s="3252"/>
      <c r="AH67" s="3252"/>
      <c r="AI67" s="3252"/>
      <c r="AJ67" s="3252"/>
      <c r="AK67" s="3252"/>
      <c r="AL67" s="3252"/>
      <c r="AM67" s="3252"/>
      <c r="AN67" s="3252"/>
      <c r="AO67" s="3252"/>
      <c r="AP67" s="3252"/>
      <c r="AQ67" s="3252"/>
      <c r="AW67" s="1082">
        <v>34</v>
      </c>
    </row>
    <row r="68" spans="1:49" ht="21" customHeight="1">
      <c r="P68" s="446"/>
      <c r="V68" s="3252"/>
      <c r="W68" s="3252"/>
      <c r="X68" s="3252"/>
      <c r="Y68" s="3252"/>
      <c r="Z68" s="3252"/>
      <c r="AA68" s="3252"/>
      <c r="AB68" s="3252"/>
      <c r="AC68" s="3252"/>
      <c r="AD68" s="3252"/>
      <c r="AE68" s="3252"/>
      <c r="AF68" s="3252"/>
      <c r="AG68" s="3252"/>
      <c r="AH68" s="3252"/>
      <c r="AI68" s="3252"/>
      <c r="AJ68" s="3252"/>
      <c r="AK68" s="3252"/>
      <c r="AL68" s="3252"/>
      <c r="AM68" s="3252"/>
      <c r="AN68" s="3252"/>
      <c r="AO68" s="3252"/>
      <c r="AP68" s="3252"/>
      <c r="AQ68" s="3252"/>
      <c r="AW68" s="1082">
        <v>20</v>
      </c>
    </row>
    <row r="69" spans="1:49" ht="14.65" customHeight="1">
      <c r="P69" s="446"/>
      <c r="AW69" s="1082">
        <v>14</v>
      </c>
    </row>
    <row r="70" spans="1:49" ht="28.5" customHeight="1">
      <c r="P70" s="446"/>
      <c r="V70" s="3252"/>
      <c r="W70" s="3252"/>
      <c r="X70" s="3252"/>
      <c r="Y70" s="3252"/>
      <c r="Z70" s="3252"/>
      <c r="AA70" s="3252"/>
      <c r="AB70" s="3252"/>
      <c r="AC70" s="3252"/>
      <c r="AD70" s="3252"/>
      <c r="AE70" s="3252"/>
      <c r="AF70" s="3252"/>
      <c r="AG70" s="3252"/>
      <c r="AH70" s="3252"/>
      <c r="AI70" s="3252"/>
      <c r="AJ70" s="3252"/>
      <c r="AK70" s="3252"/>
      <c r="AL70" s="3252"/>
      <c r="AM70" s="3252"/>
      <c r="AN70" s="3252"/>
      <c r="AO70" s="3252"/>
      <c r="AP70" s="3252"/>
      <c r="AQ70" s="3252"/>
      <c r="AW70" s="1082">
        <v>27</v>
      </c>
    </row>
    <row r="71" spans="1:49" ht="18.75" customHeight="1">
      <c r="P71" s="446"/>
      <c r="V71" s="3252"/>
      <c r="W71" s="3252"/>
      <c r="X71" s="3252"/>
      <c r="Y71" s="3252"/>
      <c r="Z71" s="3252"/>
      <c r="AA71" s="3252"/>
      <c r="AB71" s="3252"/>
      <c r="AC71" s="3252"/>
      <c r="AD71" s="3252"/>
      <c r="AE71" s="3252"/>
      <c r="AF71" s="3252"/>
      <c r="AG71" s="3252"/>
      <c r="AH71" s="3252"/>
      <c r="AI71" s="3252"/>
      <c r="AJ71" s="3252"/>
      <c r="AK71" s="3252"/>
      <c r="AL71" s="3252"/>
      <c r="AM71" s="3252"/>
      <c r="AN71" s="3252"/>
      <c r="AO71" s="3252"/>
      <c r="AP71" s="3252"/>
      <c r="AQ71" s="3252"/>
      <c r="AW71" s="1082">
        <v>18</v>
      </c>
    </row>
    <row r="72" spans="1:49" ht="22.5" hidden="1" customHeight="1">
      <c r="A72" s="1082" t="s">
        <v>79</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9FA3E-5CEA-47B7-7547-C2BFB294058C}">
  <sheetPr>
    <tabColor rgb="FFCCCCFF"/>
  </sheetPr>
  <dimension ref="A1:Q79"/>
  <sheetViews>
    <sheetView showGridLines="0" tabSelected="1" topLeftCell="C25" zoomScale="90" workbookViewId="0">
      <selection activeCell="I66" sqref="I6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3092"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09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3095" t="s">
        <v>20</v>
      </c>
      <c r="D11" s="15"/>
      <c r="E11" s="1092" t="s">
        <v>21</v>
      </c>
      <c r="F11" s="1658">
        <v>45292.491226851853</v>
      </c>
      <c r="G11" s="17"/>
      <c r="H11" s="705" t="s">
        <v>22</v>
      </c>
      <c r="J11" s="807" t="s">
        <v>23</v>
      </c>
      <c r="Q11" s="14">
        <v>0</v>
      </c>
    </row>
    <row r="12" spans="1:17" ht="22.5" customHeight="1">
      <c r="A12" s="3095"/>
      <c r="D12" s="15"/>
      <c r="E12" s="1092" t="s">
        <v>24</v>
      </c>
      <c r="F12" s="1658">
        <v>47118.491354166668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0" t="s">
        <v>37</v>
      </c>
      <c r="G17" s="13"/>
      <c r="H17" s="705" t="s">
        <v>22</v>
      </c>
      <c r="Q17" s="14">
        <v>20</v>
      </c>
    </row>
    <row r="18" spans="1:17" ht="25.5" customHeight="1">
      <c r="D18" s="15"/>
      <c r="E18" s="1701" t="s">
        <v>38</v>
      </c>
      <c r="F18" s="2035">
        <v>45595.546122685184</v>
      </c>
      <c r="G18" s="13"/>
      <c r="I18" s="706"/>
      <c r="J18" s="3094"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35">
        <v>45658.546203703707</v>
      </c>
      <c r="G19" s="13"/>
      <c r="I19" s="706"/>
      <c r="J19" s="3094"/>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45044.493402777778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035">
        <v>45595.546053240738</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036"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39.75"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3594</v>
      </c>
      <c r="G67" s="17"/>
      <c r="Q67" s="14">
        <v>20</v>
      </c>
    </row>
    <row r="68" spans="1:17" ht="21" customHeight="1">
      <c r="B68" s="39"/>
      <c r="D68" s="22"/>
      <c r="E68" s="328" t="s">
        <v>76</v>
      </c>
      <c r="F68" s="209" t="s">
        <v>3595</v>
      </c>
      <c r="G68" s="17"/>
      <c r="Q68" s="14">
        <v>20</v>
      </c>
    </row>
    <row r="69" spans="1:17" ht="21" customHeight="1">
      <c r="B69" s="39"/>
      <c r="D69" s="22"/>
      <c r="E69" s="328" t="s">
        <v>77</v>
      </c>
      <c r="F69" s="209" t="s">
        <v>3596</v>
      </c>
      <c r="G69" s="17"/>
      <c r="Q69" s="14">
        <v>20</v>
      </c>
    </row>
    <row r="70" spans="1:17" ht="21" customHeight="1">
      <c r="D70" s="347"/>
      <c r="E70" s="328" t="s">
        <v>78</v>
      </c>
      <c r="F70" s="3563" t="s">
        <v>3597</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79</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206F49CC-377B-1422-8188-2B83E6731296}"/>
    <hyperlink ref="H17" location="Титульный!H9" tooltip="Помощь по работе с полями отчётной формы" display="Как заполнить?" xr:uid="{A9DB68DF-1B4A-9C9F-FADF-087EE439BE6C}"/>
    <hyperlink ref="H39" location="Титульный!H9" tooltip="Помощь по работе с полями отчётной формы" display="Как заполнить?" xr:uid="{C7959B0F-C07F-4286-243A-CFF2DAD95321}"/>
    <hyperlink ref="H62" location="Титульный!H9" tooltip="Помощь по работе с полями отчётной формы" display="Как заполнить?" xr:uid="{D4955BC8-0A24-2EA4-3806-EDE3BC286402}"/>
    <hyperlink ref="F70" r:id="rId1" xr:uid="{5509144A-100B-F95A-C25E-289CBAD8C5A6}"/>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F476-EBAD-45E3-6A17-3E22A76F337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3254">
        <v>1</v>
      </c>
      <c r="F2" s="1290"/>
      <c r="G2" s="1290"/>
      <c r="H2" s="1290"/>
      <c r="I2" s="1290"/>
      <c r="J2" s="1290"/>
      <c r="K2" s="1290"/>
      <c r="L2" s="1291"/>
      <c r="M2" s="1292"/>
      <c r="N2" s="1292"/>
      <c r="O2" s="1292"/>
      <c r="P2" s="1336"/>
      <c r="Q2" s="804"/>
      <c r="R2" s="292"/>
      <c r="S2" s="1263" t="e">
        <f>INDEX(PT_DIFFERENTIATION_NUM_NTAR,MATCH(A2,PT_DIFFERENTIATION_NTAR_ID,0))</f>
        <v>#N/A</v>
      </c>
      <c r="T2" s="236" t="s">
        <v>121</v>
      </c>
      <c r="U2" s="238"/>
      <c r="V2" s="3247"/>
      <c r="W2" s="3247"/>
      <c r="X2" s="3247"/>
      <c r="Y2" s="3247"/>
      <c r="Z2" s="3247"/>
      <c r="AA2" s="3248"/>
      <c r="AB2" s="3246" t="e">
        <f>INDEX(PT_DIFFERENTIATION_NTAR,MATCH(A2,PT_DIFFERENTIATION_NTAR_ID,0))</f>
        <v>#N/A</v>
      </c>
      <c r="AC2" s="3247"/>
      <c r="AD2" s="3247"/>
      <c r="AE2" s="3247"/>
      <c r="AF2" s="3247"/>
      <c r="AG2" s="3247"/>
      <c r="AH2" s="3247"/>
      <c r="AI2" s="3247"/>
      <c r="AJ2" s="3247"/>
      <c r="AK2" s="3247"/>
      <c r="AL2" s="3247"/>
      <c r="AM2" s="3247"/>
      <c r="AN2" s="3247"/>
      <c r="AO2" s="3247"/>
      <c r="AP2" s="3247"/>
      <c r="AQ2" s="3247"/>
      <c r="AR2" s="3247"/>
      <c r="AS2" s="3247"/>
      <c r="AT2" s="3248"/>
      <c r="AU2" s="1185" t="s">
        <v>404</v>
      </c>
      <c r="AW2" s="437"/>
      <c r="AX2" s="437" t="str">
        <f t="shared" ref="AX2:AX8" si="0">IF(T2="","",T2)</f>
        <v>Наименование тарифа</v>
      </c>
      <c r="AY2" s="437"/>
      <c r="AZ2" s="437"/>
      <c r="BA2" s="1082">
        <v>0</v>
      </c>
    </row>
    <row r="3" spans="1:53" ht="21" hidden="1" customHeight="1">
      <c r="A3" s="1290"/>
      <c r="B3" s="1290"/>
      <c r="C3" s="1290"/>
      <c r="D3" s="1290"/>
      <c r="E3" s="3255"/>
      <c r="F3" s="3254">
        <v>1</v>
      </c>
      <c r="G3" s="1290"/>
      <c r="H3" s="1290"/>
      <c r="I3" s="1290"/>
      <c r="J3" s="1290"/>
      <c r="K3" s="1290"/>
      <c r="L3" s="1291"/>
      <c r="M3" s="1292"/>
      <c r="N3" s="1292"/>
      <c r="O3" s="1292"/>
      <c r="P3" s="1337"/>
      <c r="Q3" s="1338"/>
      <c r="R3" s="290"/>
      <c r="S3" s="1263" t="e">
        <f>INDEX(PT_DIFFERENTIATION_NUM_TER,MATCH(B3,PT_DIFFERENTIATION_TER_ID,0))</f>
        <v>#N/A</v>
      </c>
      <c r="T3" s="246" t="s">
        <v>405</v>
      </c>
      <c r="U3" s="238"/>
      <c r="V3" s="3247"/>
      <c r="W3" s="3247"/>
      <c r="X3" s="3247"/>
      <c r="Y3" s="3247"/>
      <c r="Z3" s="3247"/>
      <c r="AA3" s="3248"/>
      <c r="AB3" s="3246" t="e">
        <f>INDEX(PT_DIFFERENTIATION_TER,MATCH(B3,PT_DIFFERENTIATION_TER_ID,0))</f>
        <v>#N/A</v>
      </c>
      <c r="AC3" s="3247"/>
      <c r="AD3" s="3247"/>
      <c r="AE3" s="3247"/>
      <c r="AF3" s="3247"/>
      <c r="AG3" s="3247"/>
      <c r="AH3" s="3247"/>
      <c r="AI3" s="3247"/>
      <c r="AJ3" s="3247"/>
      <c r="AK3" s="3247"/>
      <c r="AL3" s="3247"/>
      <c r="AM3" s="3247"/>
      <c r="AN3" s="3247"/>
      <c r="AO3" s="3247"/>
      <c r="AP3" s="3247"/>
      <c r="AQ3" s="3247"/>
      <c r="AR3" s="3247"/>
      <c r="AS3" s="3247"/>
      <c r="AT3" s="3248"/>
      <c r="AU3" s="1185" t="s">
        <v>406</v>
      </c>
      <c r="AW3" s="437"/>
      <c r="AX3" s="437" t="str">
        <f t="shared" si="0"/>
        <v>Территория действия тарифа</v>
      </c>
      <c r="AY3" s="437"/>
      <c r="AZ3" s="437"/>
      <c r="BA3" s="1082">
        <v>0</v>
      </c>
    </row>
    <row r="4" spans="1:53" ht="22.5" hidden="1" customHeight="1">
      <c r="A4" s="1290"/>
      <c r="B4" s="1290"/>
      <c r="C4" s="1290"/>
      <c r="D4" s="1290"/>
      <c r="E4" s="3255"/>
      <c r="F4" s="3255"/>
      <c r="G4" s="3254">
        <v>1</v>
      </c>
      <c r="H4" s="1290"/>
      <c r="I4" s="1290"/>
      <c r="J4" s="1290"/>
      <c r="K4" s="1290"/>
      <c r="L4" s="1291"/>
      <c r="M4" s="1292"/>
      <c r="N4" s="1292"/>
      <c r="O4" s="1292"/>
      <c r="P4" s="1339"/>
      <c r="Q4" s="1338"/>
      <c r="R4" s="290"/>
      <c r="S4" s="1263" t="e">
        <f>INDEX(PT_DIFFERENTIATION_NUM_CS,MATCH(C4,PT_DIFFERENTIATION_CS_ID,0))</f>
        <v>#N/A</v>
      </c>
      <c r="T4" s="247" t="s">
        <v>407</v>
      </c>
      <c r="U4" s="238"/>
      <c r="V4" s="3247"/>
      <c r="W4" s="3247"/>
      <c r="X4" s="3247"/>
      <c r="Y4" s="3247"/>
      <c r="Z4" s="3247"/>
      <c r="AA4" s="3248"/>
      <c r="AB4" s="3246" t="e">
        <f>INDEX(PT_DIFFERENTIATION_CS,MATCH(C4,PT_DIFFERENTIATION_CS_ID,0))</f>
        <v>#N/A</v>
      </c>
      <c r="AC4" s="3247"/>
      <c r="AD4" s="3247"/>
      <c r="AE4" s="3247"/>
      <c r="AF4" s="3247"/>
      <c r="AG4" s="3247"/>
      <c r="AH4" s="3247"/>
      <c r="AI4" s="3247"/>
      <c r="AJ4" s="3247"/>
      <c r="AK4" s="3247"/>
      <c r="AL4" s="3247"/>
      <c r="AM4" s="3247"/>
      <c r="AN4" s="3247"/>
      <c r="AO4" s="3247"/>
      <c r="AP4" s="3247"/>
      <c r="AQ4" s="3247"/>
      <c r="AR4" s="3247"/>
      <c r="AS4" s="3247"/>
      <c r="AT4" s="3248"/>
      <c r="AU4" s="1185" t="s">
        <v>408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3255"/>
      <c r="F5" s="3255"/>
      <c r="G5" s="3255"/>
      <c r="H5" s="3254">
        <v>1</v>
      </c>
      <c r="I5" s="1290"/>
      <c r="J5" s="1290"/>
      <c r="K5" s="1290"/>
      <c r="L5" s="1291"/>
      <c r="M5" s="1292"/>
      <c r="N5" s="1292"/>
      <c r="O5" s="1292"/>
      <c r="P5" s="1339"/>
      <c r="Q5" s="1338"/>
      <c r="R5" s="290"/>
      <c r="S5" s="1263" t="e">
        <f>INDEX(PT_DIFFERENTIATION_NUM_IST_TE,MATCH(D5,PT_DIFFERENTIATION_IST_TE_ID,0))</f>
        <v>#N/A</v>
      </c>
      <c r="T5" s="248" t="s">
        <v>409</v>
      </c>
      <c r="U5" s="238"/>
      <c r="V5" s="3247"/>
      <c r="W5" s="3247"/>
      <c r="X5" s="3247"/>
      <c r="Y5" s="3247"/>
      <c r="Z5" s="3247"/>
      <c r="AA5" s="3248"/>
      <c r="AB5" s="3246" t="e">
        <f>INDEX(PT_DIFFERENTIATION_IST_TE,MATCH(D5,PT_DIFFERENTIATION_IST_TE_ID,0))</f>
        <v>#N/A</v>
      </c>
      <c r="AC5" s="3247"/>
      <c r="AD5" s="3247"/>
      <c r="AE5" s="3247"/>
      <c r="AF5" s="3247"/>
      <c r="AG5" s="3247"/>
      <c r="AH5" s="3247"/>
      <c r="AI5" s="3247"/>
      <c r="AJ5" s="3247"/>
      <c r="AK5" s="3247"/>
      <c r="AL5" s="3247"/>
      <c r="AM5" s="3247"/>
      <c r="AN5" s="3247"/>
      <c r="AO5" s="3247"/>
      <c r="AP5" s="3247"/>
      <c r="AQ5" s="3247"/>
      <c r="AR5" s="3247"/>
      <c r="AS5" s="3247"/>
      <c r="AT5" s="3248"/>
      <c r="AU5" s="1185" t="s">
        <v>410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3255"/>
      <c r="F6" s="3255"/>
      <c r="G6" s="3255"/>
      <c r="H6" s="3255"/>
      <c r="I6" s="3256" t="e">
        <f>S5&amp;".1"</f>
        <v>#N/A</v>
      </c>
      <c r="J6" s="1270"/>
      <c r="K6" s="1270"/>
      <c r="L6" s="1273" t="s">
        <v>411</v>
      </c>
      <c r="M6" s="447"/>
      <c r="N6" s="447"/>
      <c r="O6" s="447"/>
      <c r="P6" s="3258">
        <v>1</v>
      </c>
      <c r="Q6" s="1258"/>
      <c r="R6" s="293"/>
      <c r="S6" s="972"/>
      <c r="T6" s="1310"/>
      <c r="U6" s="1311"/>
      <c r="V6" s="3315"/>
      <c r="W6" s="3315"/>
      <c r="X6" s="3315"/>
      <c r="Y6" s="3315"/>
      <c r="Z6" s="3315"/>
      <c r="AA6" s="3316"/>
      <c r="AB6" s="3314"/>
      <c r="AC6" s="3315"/>
      <c r="AD6" s="3315"/>
      <c r="AE6" s="3315"/>
      <c r="AF6" s="3315"/>
      <c r="AG6" s="3315"/>
      <c r="AH6" s="3315"/>
      <c r="AI6" s="3315"/>
      <c r="AJ6" s="3315"/>
      <c r="AK6" s="3315"/>
      <c r="AL6" s="3315"/>
      <c r="AM6" s="3315"/>
      <c r="AN6" s="3315"/>
      <c r="AO6" s="3315"/>
      <c r="AP6" s="3315"/>
      <c r="AQ6" s="3315"/>
      <c r="AR6" s="3315"/>
      <c r="AS6" s="3315"/>
      <c r="AT6" s="3316"/>
      <c r="AU6" s="1312"/>
      <c r="AW6" s="437"/>
      <c r="AX6" s="437" t="str">
        <f t="shared" si="0"/>
        <v/>
      </c>
      <c r="AY6" s="437"/>
      <c r="AZ6" s="437"/>
      <c r="BA6" s="448">
        <v>0</v>
      </c>
    </row>
    <row r="7" spans="1:53" s="1569" customFormat="1" ht="0.75" hidden="1" customHeight="1">
      <c r="A7" s="1270"/>
      <c r="B7" s="1270"/>
      <c r="C7" s="1270"/>
      <c r="D7" s="1270"/>
      <c r="E7" s="3255"/>
      <c r="F7" s="3255"/>
      <c r="G7" s="3255"/>
      <c r="H7" s="3255"/>
      <c r="I7" s="3257"/>
      <c r="J7" s="3256" t="e">
        <f>S5&amp;".1"</f>
        <v>#N/A</v>
      </c>
      <c r="K7" s="1270"/>
      <c r="L7" s="1273"/>
      <c r="M7" s="447"/>
      <c r="N7" s="447"/>
      <c r="O7" s="447"/>
      <c r="P7" s="3258"/>
      <c r="Q7" s="3258">
        <v>1</v>
      </c>
      <c r="R7" s="294"/>
      <c r="S7" s="972"/>
      <c r="T7" s="1326"/>
      <c r="U7" s="1311"/>
      <c r="V7" s="3315"/>
      <c r="W7" s="3315"/>
      <c r="X7" s="3315"/>
      <c r="Y7" s="3315"/>
      <c r="Z7" s="3315"/>
      <c r="AA7" s="3316"/>
      <c r="AB7" s="3314"/>
      <c r="AC7" s="3315"/>
      <c r="AD7" s="3315"/>
      <c r="AE7" s="3315"/>
      <c r="AF7" s="3315"/>
      <c r="AG7" s="3315"/>
      <c r="AH7" s="3315"/>
      <c r="AI7" s="3315"/>
      <c r="AJ7" s="3315"/>
      <c r="AK7" s="3315"/>
      <c r="AL7" s="3315"/>
      <c r="AM7" s="3315"/>
      <c r="AN7" s="3315"/>
      <c r="AO7" s="3315"/>
      <c r="AP7" s="3315"/>
      <c r="AQ7" s="3315"/>
      <c r="AR7" s="3315"/>
      <c r="AS7" s="3315"/>
      <c r="AT7" s="3316"/>
      <c r="AU7" s="1312"/>
      <c r="AW7" s="437"/>
      <c r="AX7" s="437" t="str">
        <f t="shared" si="0"/>
        <v/>
      </c>
      <c r="AY7" s="437"/>
      <c r="AZ7" s="437"/>
      <c r="BA7" s="448">
        <v>0</v>
      </c>
    </row>
    <row r="8" spans="1:53" ht="21" hidden="1" customHeight="1">
      <c r="A8" s="1290"/>
      <c r="B8" s="1290"/>
      <c r="C8" s="1290"/>
      <c r="D8" s="1290"/>
      <c r="E8" s="3255"/>
      <c r="F8" s="3255"/>
      <c r="G8" s="3255"/>
      <c r="H8" s="3255"/>
      <c r="I8" s="3257"/>
      <c r="J8" s="3257"/>
      <c r="K8" s="3256" t="e">
        <f>S5&amp;".1"</f>
        <v>#N/A</v>
      </c>
      <c r="L8" s="1291"/>
      <c r="P8" s="3258"/>
      <c r="Q8" s="3258"/>
      <c r="R8" s="3343">
        <v>1</v>
      </c>
      <c r="S8" s="3340" t="e">
        <f>$K8</f>
        <v>#N/A</v>
      </c>
      <c r="T8" s="3337"/>
      <c r="U8" s="238"/>
      <c r="V8" s="688"/>
      <c r="W8" s="1184"/>
      <c r="X8" s="3259"/>
      <c r="Y8" s="3121" t="s">
        <v>67</v>
      </c>
      <c r="Z8" s="3259"/>
      <c r="AA8" s="3121" t="s">
        <v>67</v>
      </c>
      <c r="AB8" s="3121" t="s">
        <v>19</v>
      </c>
      <c r="AC8" s="3336"/>
      <c r="AD8" s="3208">
        <v>1</v>
      </c>
      <c r="AE8" s="3350"/>
      <c r="AF8" s="3121" t="s">
        <v>19</v>
      </c>
      <c r="AG8" s="3336"/>
      <c r="AH8" s="3208">
        <v>1</v>
      </c>
      <c r="AI8" s="3350"/>
      <c r="AJ8" s="3121" t="s">
        <v>19</v>
      </c>
      <c r="AK8" s="249"/>
      <c r="AL8" s="1264">
        <v>1</v>
      </c>
      <c r="AM8" s="1325"/>
      <c r="AN8" s="688"/>
      <c r="AO8" s="1184"/>
      <c r="AP8" s="1660"/>
      <c r="AQ8" s="1386" t="s">
        <v>67</v>
      </c>
      <c r="AR8" s="1660"/>
      <c r="AS8" s="1386" t="s">
        <v>67</v>
      </c>
      <c r="AT8" s="1275"/>
      <c r="AU8" s="3278" t="s">
        <v>471</v>
      </c>
      <c r="AV8" s="448" t="e">
        <f ca="1">STRCHECKDATE(V11:AT11)</f>
        <v>#NAME?</v>
      </c>
      <c r="AW8" s="437"/>
      <c r="AX8" s="437" t="str">
        <f t="shared" si="0"/>
        <v/>
      </c>
      <c r="AY8" s="437"/>
      <c r="AZ8" s="437"/>
      <c r="BA8" s="1082">
        <v>0</v>
      </c>
    </row>
    <row r="9" spans="1:53" ht="11.25" hidden="1" customHeight="1">
      <c r="A9" s="1290"/>
      <c r="B9" s="1290"/>
      <c r="C9" s="1290"/>
      <c r="D9" s="1290"/>
      <c r="E9" s="3255"/>
      <c r="F9" s="3255"/>
      <c r="G9" s="3255"/>
      <c r="H9" s="3255"/>
      <c r="I9" s="3257"/>
      <c r="J9" s="3257"/>
      <c r="K9" s="3256"/>
      <c r="L9" s="1291"/>
      <c r="P9" s="3258"/>
      <c r="Q9" s="3258"/>
      <c r="R9" s="3343"/>
      <c r="S9" s="3341"/>
      <c r="T9" s="3338"/>
      <c r="U9" s="238"/>
      <c r="V9" s="1320"/>
      <c r="W9" s="1324"/>
      <c r="X9" s="3259"/>
      <c r="Y9" s="3121"/>
      <c r="Z9" s="3259"/>
      <c r="AA9" s="3121"/>
      <c r="AB9" s="3121"/>
      <c r="AC9" s="3336"/>
      <c r="AD9" s="3208"/>
      <c r="AE9" s="3350"/>
      <c r="AF9" s="3121"/>
      <c r="AG9" s="3336"/>
      <c r="AH9" s="3208"/>
      <c r="AI9" s="3350"/>
      <c r="AJ9" s="3121"/>
      <c r="AK9" s="254"/>
      <c r="AL9" s="353"/>
      <c r="AM9" s="352" t="s">
        <v>472</v>
      </c>
      <c r="AN9" s="1320"/>
      <c r="AO9" s="1423"/>
      <c r="AP9" s="1320"/>
      <c r="AQ9" s="1320"/>
      <c r="AR9" s="1320"/>
      <c r="AS9" s="1320"/>
      <c r="AT9" s="1317"/>
      <c r="AU9" s="3279"/>
      <c r="AW9" s="437"/>
      <c r="AX9" s="437"/>
      <c r="AY9" s="437"/>
      <c r="AZ9" s="437"/>
      <c r="BA9" s="1082">
        <v>0</v>
      </c>
    </row>
    <row r="10" spans="1:53" ht="11.25" hidden="1" customHeight="1">
      <c r="A10" s="1290"/>
      <c r="B10" s="1290"/>
      <c r="C10" s="1290"/>
      <c r="D10" s="1290"/>
      <c r="E10" s="3255"/>
      <c r="F10" s="3255"/>
      <c r="G10" s="3255"/>
      <c r="H10" s="3255"/>
      <c r="I10" s="3257"/>
      <c r="J10" s="3257"/>
      <c r="K10" s="3256"/>
      <c r="L10" s="1291"/>
      <c r="P10" s="3258"/>
      <c r="Q10" s="3258"/>
      <c r="R10" s="3343"/>
      <c r="S10" s="3341"/>
      <c r="T10" s="3338"/>
      <c r="U10" s="238"/>
      <c r="V10" s="1320"/>
      <c r="W10" s="1324"/>
      <c r="X10" s="3259"/>
      <c r="Y10" s="3121"/>
      <c r="Z10" s="3259"/>
      <c r="AA10" s="3121"/>
      <c r="AB10" s="3121"/>
      <c r="AC10" s="3336"/>
      <c r="AD10" s="3208"/>
      <c r="AE10" s="3350"/>
      <c r="AF10" s="3121"/>
      <c r="AG10" s="232"/>
      <c r="AH10" s="352"/>
      <c r="AI10" s="352" t="s">
        <v>473</v>
      </c>
      <c r="AJ10" s="1320"/>
      <c r="AK10" s="1320"/>
      <c r="AL10" s="1320"/>
      <c r="AM10" s="1320"/>
      <c r="AN10" s="1320"/>
      <c r="AO10" s="1423"/>
      <c r="AP10" s="1320"/>
      <c r="AQ10" s="1320"/>
      <c r="AR10" s="1320"/>
      <c r="AS10" s="1320"/>
      <c r="AT10" s="1317"/>
      <c r="AU10" s="3279"/>
      <c r="AW10" s="437"/>
      <c r="AX10" s="437"/>
      <c r="AY10" s="437"/>
      <c r="AZ10" s="437"/>
      <c r="BA10" s="1082">
        <v>0</v>
      </c>
    </row>
    <row r="11" spans="1:53" ht="11.25" hidden="1" customHeight="1">
      <c r="A11" s="1290"/>
      <c r="B11" s="1290"/>
      <c r="C11" s="1290"/>
      <c r="D11" s="1290"/>
      <c r="E11" s="3255"/>
      <c r="F11" s="3255"/>
      <c r="G11" s="3255"/>
      <c r="H11" s="3255"/>
      <c r="I11" s="3257"/>
      <c r="J11" s="3257"/>
      <c r="K11" s="3256"/>
      <c r="L11" s="1291"/>
      <c r="P11" s="3258"/>
      <c r="Q11" s="3258"/>
      <c r="R11" s="3343"/>
      <c r="S11" s="3342"/>
      <c r="T11" s="3339"/>
      <c r="U11" s="238"/>
      <c r="V11" s="1320"/>
      <c r="W11" s="1323" t="str">
        <f>X8&amp;"-"&amp;Z8</f>
        <v>-</v>
      </c>
      <c r="X11" s="3260"/>
      <c r="Y11" s="3121"/>
      <c r="Z11" s="3260"/>
      <c r="AA11" s="3121"/>
      <c r="AB11" s="3121"/>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3279"/>
      <c r="AW11" s="437"/>
      <c r="AX11" s="437" t="str">
        <f t="shared" ref="AX11:AX17" si="1">IF(T11="","",T11)</f>
        <v/>
      </c>
      <c r="AY11" s="437"/>
      <c r="AZ11" s="437"/>
      <c r="BA11" s="1082">
        <v>0</v>
      </c>
    </row>
    <row r="12" spans="1:53" ht="11.25" hidden="1" customHeight="1">
      <c r="A12" s="1290"/>
      <c r="B12" s="1290"/>
      <c r="C12" s="1290"/>
      <c r="D12" s="1290"/>
      <c r="E12" s="3255"/>
      <c r="F12" s="3255"/>
      <c r="G12" s="3255"/>
      <c r="H12" s="3255"/>
      <c r="I12" s="3257"/>
      <c r="J12" s="3256"/>
      <c r="K12" s="1290"/>
      <c r="L12" s="1291"/>
      <c r="P12" s="3258"/>
      <c r="Q12" s="3258"/>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3280"/>
      <c r="AW12" s="437"/>
      <c r="AX12" s="437" t="str">
        <f t="shared" si="1"/>
        <v>Добавить строку</v>
      </c>
      <c r="AY12" s="437"/>
      <c r="AZ12" s="437"/>
      <c r="BA12" s="1082">
        <v>0</v>
      </c>
    </row>
    <row r="13" spans="1:53" s="1569" customFormat="1" ht="0.75" hidden="1" customHeight="1">
      <c r="A13" s="1270"/>
      <c r="B13" s="1270"/>
      <c r="C13" s="1270"/>
      <c r="D13" s="1270"/>
      <c r="E13" s="3255"/>
      <c r="F13" s="3255"/>
      <c r="G13" s="3255"/>
      <c r="H13" s="3255"/>
      <c r="I13" s="3256"/>
      <c r="J13" s="1270"/>
      <c r="K13" s="1270"/>
      <c r="L13" s="1273"/>
      <c r="M13" s="447"/>
      <c r="N13" s="447"/>
      <c r="O13" s="447"/>
      <c r="P13" s="3258"/>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3255"/>
      <c r="F14" s="3255"/>
      <c r="G14" s="3255"/>
      <c r="H14" s="3254"/>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3255"/>
      <c r="F15" s="3255"/>
      <c r="G15" s="3254"/>
      <c r="H15" s="1241"/>
      <c r="I15" s="1241"/>
      <c r="J15" s="1241"/>
      <c r="K15" s="1241"/>
      <c r="L15" s="1266"/>
      <c r="M15" s="1242"/>
      <c r="N15" s="1242"/>
      <c r="P15" s="1243"/>
      <c r="Q15" s="1244"/>
      <c r="R15" s="1243"/>
      <c r="S15" s="1249"/>
      <c r="T15" s="1252" t="s">
        <v>166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3255"/>
      <c r="F16" s="3254"/>
      <c r="G16" s="1241"/>
      <c r="H16" s="1241"/>
      <c r="I16" s="1241"/>
      <c r="J16" s="1241"/>
      <c r="K16" s="1241"/>
      <c r="L16" s="1266"/>
      <c r="M16" s="1248"/>
      <c r="N16" s="1248"/>
      <c r="P16" s="1243"/>
      <c r="Q16" s="1244"/>
      <c r="R16" s="1243"/>
      <c r="S16" s="1249"/>
      <c r="T16" s="1252" t="s">
        <v>167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3254"/>
      <c r="F17" s="1270"/>
      <c r="G17" s="1270"/>
      <c r="H17" s="1270"/>
      <c r="I17" s="1270"/>
      <c r="J17" s="1270"/>
      <c r="K17" s="1270"/>
      <c r="L17" s="1273"/>
      <c r="M17" s="1248"/>
      <c r="N17" s="1248"/>
      <c r="O17" s="455"/>
      <c r="P17" s="317"/>
      <c r="Q17" s="1271"/>
      <c r="R17" s="317"/>
      <c r="S17" s="1249"/>
      <c r="T17" s="1252" t="s">
        <v>168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422</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423</v>
      </c>
      <c r="P23" s="1435"/>
      <c r="Q23" s="1437"/>
      <c r="R23" s="1437"/>
      <c r="Y23" s="1434" t="s">
        <v>425</v>
      </c>
      <c r="AA23" s="1434" t="s">
        <v>426</v>
      </c>
      <c r="AB23" s="1434" t="s">
        <v>476</v>
      </c>
      <c r="AE23" s="1434" t="s">
        <v>477</v>
      </c>
      <c r="AF23" s="1434" t="s">
        <v>476</v>
      </c>
      <c r="AI23" s="1434" t="s">
        <v>478</v>
      </c>
      <c r="AJ23" s="1434" t="s">
        <v>476</v>
      </c>
      <c r="AM23" s="1434" t="s">
        <v>479</v>
      </c>
      <c r="AQ23" s="1434" t="s">
        <v>425</v>
      </c>
      <c r="AS23" s="1434" t="s">
        <v>426</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3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232"/>
      <c r="U27" s="3232"/>
      <c r="V27" s="3232"/>
      <c r="W27" s="3232"/>
      <c r="X27" s="3232"/>
      <c r="Y27" s="3232"/>
      <c r="Z27" s="3232"/>
      <c r="AA27" s="3232"/>
      <c r="AB27" s="3232"/>
      <c r="AC27" s="3232"/>
      <c r="AD27" s="3232"/>
      <c r="AE27" s="3232"/>
      <c r="AF27" s="3232"/>
      <c r="AG27" s="3232"/>
      <c r="AH27" s="3232"/>
      <c r="AI27" s="3232"/>
      <c r="AJ27" s="3232"/>
      <c r="AK27" s="3232"/>
      <c r="AL27" s="3232"/>
      <c r="AM27" s="3232"/>
      <c r="AN27" s="3232"/>
      <c r="AO27" s="3232"/>
      <c r="AP27" s="3232"/>
      <c r="AQ27" s="3232"/>
      <c r="AR27" s="3232"/>
      <c r="AS27" s="1170"/>
      <c r="BA27" s="1082">
        <v>26</v>
      </c>
    </row>
    <row r="28" spans="1:53" ht="14.65" customHeight="1">
      <c r="Q28" s="229"/>
      <c r="R28" s="313"/>
      <c r="S28" s="3204" t="str">
        <f>IF(org=0,"Не определено",org)</f>
        <v>АО Нижневартовская ГРЭС</v>
      </c>
      <c r="T28" s="3204"/>
      <c r="U28" s="3204"/>
      <c r="V28" s="3204"/>
      <c r="W28" s="3204"/>
      <c r="X28" s="3204"/>
      <c r="Y28" s="3204"/>
      <c r="Z28" s="3204"/>
      <c r="AA28" s="3204"/>
      <c r="AB28" s="3204"/>
      <c r="AC28" s="3204"/>
      <c r="AD28" s="3204"/>
      <c r="AE28" s="3204"/>
      <c r="AF28" s="3204"/>
      <c r="AG28" s="3204"/>
      <c r="AH28" s="3204"/>
      <c r="AI28" s="3204"/>
      <c r="AJ28" s="3204"/>
      <c r="AK28" s="3204"/>
      <c r="AL28" s="3204"/>
      <c r="AM28" s="3204"/>
      <c r="AN28" s="3204"/>
      <c r="AO28" s="3204"/>
      <c r="AP28" s="3204"/>
      <c r="AQ28" s="3204"/>
      <c r="AR28" s="3204"/>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3243" t="s">
        <v>42</v>
      </c>
      <c r="T30" s="3243"/>
      <c r="U30" s="1299"/>
      <c r="V30" s="3245" t="str">
        <f>IF(TITLE_NAME_OR_PR_CHANGE="",IF(TITLE_NAME_OR_PR="","",TITLE_NAME_OR_PR),TITLE_NAME_OR_PR_CHANGE)</f>
        <v/>
      </c>
      <c r="W30" s="3245"/>
      <c r="X30" s="3245"/>
      <c r="Y30" s="3245"/>
      <c r="Z30" s="3245"/>
      <c r="AA30" s="264"/>
      <c r="AB30" s="3245" t="str">
        <f>IF(TITLE_NAME_OR_PR_CHANGE="",IF(TITLE_NAME_OR_PR="","",TITLE_NAME_OR_PR),TITLE_NAME_OR_PR_CHANGE)</f>
        <v/>
      </c>
      <c r="AC30" s="3245"/>
      <c r="AD30" s="3245"/>
      <c r="AE30" s="3245"/>
      <c r="AF30" s="3245"/>
      <c r="AG30" s="3245"/>
      <c r="AH30" s="3245"/>
      <c r="AI30" s="3245"/>
      <c r="AJ30" s="3245"/>
      <c r="AK30" s="3245"/>
      <c r="AL30" s="3245"/>
      <c r="AM30" s="3245"/>
      <c r="AN30" s="3245"/>
      <c r="AO30" s="3245"/>
      <c r="AP30" s="3245"/>
      <c r="AQ30" s="3245"/>
      <c r="AR30" s="3245"/>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3243" t="s">
        <v>428</v>
      </c>
      <c r="T31" s="3243"/>
      <c r="U31" s="1299"/>
      <c r="V31" s="3244">
        <f>IF(TITLE_DATE_PR_CHANGE="",IF(TITLE_DATE_PR="","",TITLE_DATE_PR),TITLE_DATE_PR_CHANGE)</f>
        <v>45595.546053240738</v>
      </c>
      <c r="W31" s="3244"/>
      <c r="X31" s="3244"/>
      <c r="Y31" s="3244"/>
      <c r="Z31" s="3244"/>
      <c r="AA31" s="264"/>
      <c r="AB31" s="3244">
        <f>IF(TITLE_DATE_PR_CHANGE="",IF(TITLE_DATE_PR="","",TITLE_DATE_PR),TITLE_DATE_PR_CHANGE)</f>
        <v>45595.546053240738</v>
      </c>
      <c r="AC31" s="3244"/>
      <c r="AD31" s="3244"/>
      <c r="AE31" s="3244"/>
      <c r="AF31" s="3244"/>
      <c r="AG31" s="3244"/>
      <c r="AH31" s="3244"/>
      <c r="AI31" s="3244"/>
      <c r="AJ31" s="3244"/>
      <c r="AK31" s="3244"/>
      <c r="AL31" s="3244"/>
      <c r="AM31" s="3244"/>
      <c r="AN31" s="3244"/>
      <c r="AO31" s="3244"/>
      <c r="AP31" s="3244"/>
      <c r="AQ31" s="3244"/>
      <c r="AR31" s="3244"/>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243" t="s">
        <v>429</v>
      </c>
      <c r="T32" s="3243"/>
      <c r="U32" s="1299"/>
      <c r="V32" s="3245" t="str">
        <f>IF(TITLE_NUMBER_PR_CHANGE="",IF(TITLE_NUMBER_PR="","",TITLE_NUMBER_PR),TITLE_NUMBER_PR_CHANGE)</f>
        <v>03/3636</v>
      </c>
      <c r="W32" s="3245"/>
      <c r="X32" s="3245"/>
      <c r="Y32" s="3245"/>
      <c r="Z32" s="3245"/>
      <c r="AA32" s="264"/>
      <c r="AB32" s="3245" t="str">
        <f>IF(TITLE_NUMBER_PR_CHANGE="",IF(TITLE_NUMBER_PR="","",TITLE_NUMBER_PR),TITLE_NUMBER_PR_CHANGE)</f>
        <v>03/3636</v>
      </c>
      <c r="AC32" s="3245"/>
      <c r="AD32" s="3245"/>
      <c r="AE32" s="3245"/>
      <c r="AF32" s="3245"/>
      <c r="AG32" s="3245"/>
      <c r="AH32" s="3245"/>
      <c r="AI32" s="3245"/>
      <c r="AJ32" s="3245"/>
      <c r="AK32" s="3245"/>
      <c r="AL32" s="3245"/>
      <c r="AM32" s="3245"/>
      <c r="AN32" s="3245"/>
      <c r="AO32" s="3245"/>
      <c r="AP32" s="3245"/>
      <c r="AQ32" s="3245"/>
      <c r="AR32" s="3245"/>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243" t="s">
        <v>43</v>
      </c>
      <c r="T33" s="3243"/>
      <c r="U33" s="1299"/>
      <c r="V33" s="3245" t="str">
        <f>IF(TITLE_IST_PUB_CHANGE="",IF(TITLE_IST_PUB="","",TITLE_IST_PUB),TITLE_IST_PUB_CHANGE)</f>
        <v/>
      </c>
      <c r="W33" s="3245"/>
      <c r="X33" s="3245"/>
      <c r="Y33" s="3245"/>
      <c r="Z33" s="3245"/>
      <c r="AA33" s="264"/>
      <c r="AB33" s="3245" t="str">
        <f>IF(TITLE_IST_PUB_CHANGE="",IF(TITLE_IST_PUB="","",TITLE_IST_PUB),TITLE_IST_PUB_CHANGE)</f>
        <v/>
      </c>
      <c r="AC33" s="3245"/>
      <c r="AD33" s="3245"/>
      <c r="AE33" s="3245"/>
      <c r="AF33" s="3245"/>
      <c r="AG33" s="3245"/>
      <c r="AH33" s="3245"/>
      <c r="AI33" s="3245"/>
      <c r="AJ33" s="3245"/>
      <c r="AK33" s="3245"/>
      <c r="AL33" s="3245"/>
      <c r="AM33" s="3245"/>
      <c r="AN33" s="3245"/>
      <c r="AO33" s="3245"/>
      <c r="AP33" s="3245"/>
      <c r="AQ33" s="3245"/>
      <c r="AR33" s="3245"/>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3243" t="s">
        <v>428</v>
      </c>
      <c r="T35" s="3243"/>
      <c r="U35" s="1299"/>
      <c r="V35" s="3244">
        <f>IF(TITLE_DATE_PR_CHANGE="",IF(TITLE_DATE_PR="","",TITLE_DATE_PR),TITLE_DATE_PR_CHANGE)</f>
        <v>45595.546053240738</v>
      </c>
      <c r="W35" s="3244"/>
      <c r="X35" s="3244"/>
      <c r="Y35" s="3244"/>
      <c r="Z35" s="3244"/>
      <c r="AA35" s="264"/>
      <c r="AB35" s="3244">
        <f>IF(TITLE_DATE_PR_CHANGE="",IF(TITLE_DATE_PR="","",TITLE_DATE_PR),TITLE_DATE_PR_CHANGE)</f>
        <v>45595.546053240738</v>
      </c>
      <c r="AC35" s="3244"/>
      <c r="AD35" s="3244"/>
      <c r="AE35" s="3244"/>
      <c r="AF35" s="3244"/>
      <c r="AG35" s="3244"/>
      <c r="AH35" s="3244"/>
      <c r="AI35" s="3244"/>
      <c r="AJ35" s="3244"/>
      <c r="AK35" s="3244"/>
      <c r="AL35" s="3244"/>
      <c r="AM35" s="3244"/>
      <c r="AN35" s="3244"/>
      <c r="AO35" s="3244"/>
      <c r="AP35" s="3244"/>
      <c r="AQ35" s="3244"/>
      <c r="AR35" s="3244"/>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3243" t="s">
        <v>429</v>
      </c>
      <c r="T36" s="3243"/>
      <c r="U36" s="1299"/>
      <c r="V36" s="3245" t="str">
        <f>IF(TITLE_NUMBER_PR_CHANGE="",IF(TITLE_NUMBER_PR="","",TITLE_NUMBER_PR),TITLE_NUMBER_PR_CHANGE)</f>
        <v>03/3636</v>
      </c>
      <c r="W36" s="3245"/>
      <c r="X36" s="3245"/>
      <c r="Y36" s="3245"/>
      <c r="Z36" s="3245"/>
      <c r="AA36" s="264"/>
      <c r="AB36" s="3245" t="str">
        <f>IF(TITLE_NUMBER_PR_CHANGE="",IF(TITLE_NUMBER_PR="","",TITLE_NUMBER_PR),TITLE_NUMBER_PR_CHANGE)</f>
        <v>03/3636</v>
      </c>
      <c r="AC36" s="3245"/>
      <c r="AD36" s="3245"/>
      <c r="AE36" s="3245"/>
      <c r="AF36" s="3245"/>
      <c r="AG36" s="3245"/>
      <c r="AH36" s="3245"/>
      <c r="AI36" s="3245"/>
      <c r="AJ36" s="3245"/>
      <c r="AK36" s="3245"/>
      <c r="AL36" s="3245"/>
      <c r="AM36" s="3245"/>
      <c r="AN36" s="3245"/>
      <c r="AO36" s="3245"/>
      <c r="AP36" s="3245"/>
      <c r="AQ36" s="3245"/>
      <c r="AR36" s="3245"/>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432</v>
      </c>
      <c r="AB37" s="264"/>
      <c r="AC37" s="264"/>
      <c r="AD37" s="264"/>
      <c r="AE37" s="264"/>
      <c r="AF37" s="264"/>
      <c r="AG37" s="264"/>
      <c r="AH37" s="264"/>
      <c r="AI37" s="264"/>
      <c r="AJ37" s="264"/>
      <c r="AK37" s="264"/>
      <c r="AL37" s="264"/>
      <c r="AM37" s="264"/>
      <c r="AN37" s="264"/>
      <c r="AO37" s="264"/>
      <c r="AP37" s="264"/>
      <c r="AQ37" s="264"/>
      <c r="AR37" s="264"/>
      <c r="AS37" s="216" t="s">
        <v>432</v>
      </c>
      <c r="AV37" s="305"/>
      <c r="AW37" s="305"/>
      <c r="AX37" s="305"/>
      <c r="AY37" s="305"/>
      <c r="AZ37" s="305"/>
      <c r="BA37" s="355">
        <v>1</v>
      </c>
    </row>
    <row r="38" spans="1:53" ht="14.65" customHeight="1">
      <c r="Q38" s="229"/>
      <c r="R38" s="313"/>
      <c r="S38" s="1202"/>
      <c r="T38" s="300"/>
      <c r="U38" s="1171"/>
      <c r="V38" s="3266"/>
      <c r="W38" s="3266"/>
      <c r="X38" s="3266"/>
      <c r="Y38" s="3266"/>
      <c r="Z38" s="3266"/>
      <c r="AA38" s="3266"/>
      <c r="AB38" s="3266"/>
      <c r="AC38" s="3266"/>
      <c r="AD38" s="3266"/>
      <c r="AE38" s="3266"/>
      <c r="AF38" s="3266"/>
      <c r="AG38" s="3266"/>
      <c r="AH38" s="3266"/>
      <c r="AI38" s="3266"/>
      <c r="AJ38" s="3266"/>
      <c r="AK38" s="3266"/>
      <c r="AL38" s="3266"/>
      <c r="AM38" s="3266"/>
      <c r="AN38" s="3266"/>
      <c r="AO38" s="3266"/>
      <c r="AP38" s="3266"/>
      <c r="AQ38" s="3266"/>
      <c r="AR38" s="3266"/>
      <c r="AS38" s="3266"/>
      <c r="BA38" s="1082">
        <v>14</v>
      </c>
    </row>
    <row r="39" spans="1:53" ht="14.65" customHeight="1">
      <c r="Q39" s="229"/>
      <c r="R39" s="313"/>
      <c r="S39" s="3111" t="s">
        <v>308</v>
      </c>
      <c r="T39" s="3111"/>
      <c r="U39" s="3111"/>
      <c r="V39" s="3111"/>
      <c r="W39" s="3111"/>
      <c r="X39" s="3111"/>
      <c r="Y39" s="3111"/>
      <c r="Z39" s="3111"/>
      <c r="AA39" s="3111"/>
      <c r="AB39" s="3184"/>
      <c r="AC39" s="3184"/>
      <c r="AD39" s="3184"/>
      <c r="AE39" s="3184"/>
      <c r="AF39" s="3111"/>
      <c r="AG39" s="3111"/>
      <c r="AH39" s="3111"/>
      <c r="AI39" s="3111"/>
      <c r="AJ39" s="3111"/>
      <c r="AK39" s="3111"/>
      <c r="AL39" s="3111"/>
      <c r="AM39" s="3111"/>
      <c r="AN39" s="3111"/>
      <c r="AO39" s="3111"/>
      <c r="AP39" s="3111"/>
      <c r="AQ39" s="3111"/>
      <c r="AR39" s="3111"/>
      <c r="AS39" s="3111"/>
      <c r="AT39" s="3111"/>
      <c r="AU39" s="3111" t="s">
        <v>309</v>
      </c>
      <c r="BA39" s="1082">
        <v>14</v>
      </c>
    </row>
    <row r="40" spans="1:53" ht="14.65" customHeight="1">
      <c r="Q40" s="229"/>
      <c r="R40" s="313"/>
      <c r="S40" s="3268" t="s">
        <v>85</v>
      </c>
      <c r="T40" s="3212" t="s">
        <v>480</v>
      </c>
      <c r="U40" s="239"/>
      <c r="V40" s="3270"/>
      <c r="W40" s="3270"/>
      <c r="X40" s="3270"/>
      <c r="Y40" s="3270"/>
      <c r="Z40" s="3271"/>
      <c r="AA40" s="3345" t="s">
        <v>435</v>
      </c>
      <c r="AB40" s="3329" t="s">
        <v>481</v>
      </c>
      <c r="AC40" s="3313"/>
      <c r="AD40" s="3313"/>
      <c r="AE40" s="3330"/>
      <c r="AF40" s="3313" t="s">
        <v>482</v>
      </c>
      <c r="AG40" s="3313"/>
      <c r="AH40" s="3313"/>
      <c r="AI40" s="3330"/>
      <c r="AJ40" s="3329" t="s">
        <v>483</v>
      </c>
      <c r="AK40" s="3313"/>
      <c r="AL40" s="3313"/>
      <c r="AM40" s="3330"/>
      <c r="AN40" s="3329" t="s">
        <v>434</v>
      </c>
      <c r="AO40" s="3313"/>
      <c r="AP40" s="3270"/>
      <c r="AQ40" s="3270"/>
      <c r="AR40" s="3271"/>
      <c r="AS40" s="3272" t="s">
        <v>435</v>
      </c>
      <c r="AT40" s="3275" t="s">
        <v>437</v>
      </c>
      <c r="AU40" s="3111"/>
      <c r="BA40" s="1082">
        <v>14</v>
      </c>
    </row>
    <row r="41" spans="1:53" ht="35.65" customHeight="1">
      <c r="Q41" s="229"/>
      <c r="R41" s="313"/>
      <c r="S41" s="3268"/>
      <c r="T41" s="3212"/>
      <c r="U41" s="961"/>
      <c r="V41" s="3111" t="s">
        <v>484</v>
      </c>
      <c r="W41" s="3111"/>
      <c r="X41" s="3185" t="s">
        <v>441</v>
      </c>
      <c r="Y41" s="3325"/>
      <c r="Z41" s="3186"/>
      <c r="AA41" s="3346"/>
      <c r="AB41" s="3331"/>
      <c r="AC41" s="3332"/>
      <c r="AD41" s="3332"/>
      <c r="AE41" s="3344"/>
      <c r="AF41" s="3332"/>
      <c r="AG41" s="3332"/>
      <c r="AH41" s="3332"/>
      <c r="AI41" s="3344"/>
      <c r="AJ41" s="3331"/>
      <c r="AK41" s="3332"/>
      <c r="AL41" s="3332"/>
      <c r="AM41" s="3332"/>
      <c r="AN41" s="3111" t="s">
        <v>484</v>
      </c>
      <c r="AO41" s="3111"/>
      <c r="AP41" s="3325" t="s">
        <v>441</v>
      </c>
      <c r="AQ41" s="3325"/>
      <c r="AR41" s="3186"/>
      <c r="AS41" s="3273"/>
      <c r="AT41" s="3276"/>
      <c r="AU41" s="3111"/>
      <c r="BA41" s="1082">
        <v>34</v>
      </c>
    </row>
    <row r="42" spans="1:53" ht="14.65" customHeight="1">
      <c r="Q42" s="229"/>
      <c r="R42" s="313"/>
      <c r="S42" s="3268"/>
      <c r="T42" s="3212"/>
      <c r="U42" s="961"/>
      <c r="V42" s="3349" t="str">
        <f>IF($AN$42&lt;&gt;"",$AN$42,"")</f>
        <v/>
      </c>
      <c r="W42" s="3349"/>
      <c r="X42" s="3190"/>
      <c r="Y42" s="3326"/>
      <c r="Z42" s="3191"/>
      <c r="AA42" s="3346"/>
      <c r="AB42" s="3331"/>
      <c r="AC42" s="3332"/>
      <c r="AD42" s="3332"/>
      <c r="AE42" s="3344"/>
      <c r="AF42" s="3332"/>
      <c r="AG42" s="3332"/>
      <c r="AH42" s="3332"/>
      <c r="AI42" s="3344"/>
      <c r="AJ42" s="3331"/>
      <c r="AK42" s="3332"/>
      <c r="AL42" s="3332"/>
      <c r="AM42" s="3332"/>
      <c r="AN42" s="3348"/>
      <c r="AO42" s="3348"/>
      <c r="AP42" s="3326"/>
      <c r="AQ42" s="3326"/>
      <c r="AR42" s="3191"/>
      <c r="AS42" s="3273"/>
      <c r="AT42" s="3276"/>
      <c r="AU42" s="3111"/>
      <c r="BA42" s="1082">
        <v>14</v>
      </c>
    </row>
    <row r="43" spans="1:53" ht="14.65" customHeight="1">
      <c r="A43" s="1297"/>
      <c r="B43" s="1297" t="s">
        <v>133</v>
      </c>
      <c r="C43" s="1297" t="s">
        <v>134</v>
      </c>
      <c r="D43" s="1297" t="s">
        <v>135</v>
      </c>
      <c r="E43" s="1291" t="s">
        <v>442</v>
      </c>
      <c r="F43" s="1291" t="s">
        <v>443</v>
      </c>
      <c r="G43" s="1291" t="s">
        <v>444</v>
      </c>
      <c r="H43" s="1291" t="s">
        <v>445</v>
      </c>
      <c r="I43" s="1291" t="s">
        <v>446</v>
      </c>
      <c r="J43" s="1291" t="s">
        <v>447</v>
      </c>
      <c r="K43" s="1291" t="s">
        <v>448</v>
      </c>
      <c r="L43" s="1291" t="s">
        <v>423</v>
      </c>
      <c r="Q43" s="229"/>
      <c r="R43" s="313"/>
      <c r="S43" s="3268"/>
      <c r="T43" s="3212"/>
      <c r="U43" s="240"/>
      <c r="V43" s="1257" t="s">
        <v>485</v>
      </c>
      <c r="W43" s="1257" t="s">
        <v>486</v>
      </c>
      <c r="X43" s="1265" t="s">
        <v>451</v>
      </c>
      <c r="Y43" s="3217" t="s">
        <v>452</v>
      </c>
      <c r="Z43" s="3231"/>
      <c r="AA43" s="3347"/>
      <c r="AB43" s="3333"/>
      <c r="AC43" s="3334"/>
      <c r="AD43" s="3334"/>
      <c r="AE43" s="3335"/>
      <c r="AF43" s="3334"/>
      <c r="AG43" s="3334"/>
      <c r="AH43" s="3334"/>
      <c r="AI43" s="3335"/>
      <c r="AJ43" s="3333"/>
      <c r="AK43" s="3334"/>
      <c r="AL43" s="3334"/>
      <c r="AM43" s="3335"/>
      <c r="AN43" s="1785" t="s">
        <v>485</v>
      </c>
      <c r="AO43" s="1785" t="s">
        <v>486</v>
      </c>
      <c r="AP43" s="1265" t="s">
        <v>451</v>
      </c>
      <c r="AQ43" s="3217" t="s">
        <v>452</v>
      </c>
      <c r="AR43" s="3231"/>
      <c r="AS43" s="3274"/>
      <c r="AT43" s="3277"/>
      <c r="AU43" s="311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107</v>
      </c>
      <c r="T44" s="1182" t="s">
        <v>108</v>
      </c>
      <c r="U44" s="1172" t="str">
        <f ca="1">OFFSET(U44,0,-1)</f>
        <v>2</v>
      </c>
      <c r="V44" s="1262">
        <f ca="1">OFFSET(V44,0,-1)+1</f>
        <v>3</v>
      </c>
      <c r="W44" s="1262">
        <f ca="1">OFFSET(W44,0,-1)+1</f>
        <v>4</v>
      </c>
      <c r="X44" s="1262">
        <f ca="1">OFFSET(X44,0,-1)+1</f>
        <v>5</v>
      </c>
      <c r="Y44" s="3265">
        <f ca="1">OFFSET(Y44,0,-1)+1</f>
        <v>6</v>
      </c>
      <c r="Z44" s="3265"/>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3265">
        <f ca="1">OFFSET(AQ44,0,-1)+1</f>
        <v>4</v>
      </c>
      <c r="AR44" s="3265"/>
      <c r="AS44" s="1262">
        <f ca="1">OFFSET(AS44,0,-2)+1</f>
        <v>5</v>
      </c>
      <c r="AT44" s="1172">
        <f ca="1">OFFSET(AT44,0,-1)</f>
        <v>5</v>
      </c>
      <c r="AU44" s="1262">
        <f ca="1">OFFSET(AU44,0,-1)+1</f>
        <v>6</v>
      </c>
      <c r="AV44" s="448"/>
      <c r="AW44" s="448"/>
      <c r="AX44" s="448"/>
      <c r="AY44" s="448"/>
      <c r="AZ44" s="448"/>
      <c r="BA44" s="433">
        <v>0</v>
      </c>
    </row>
    <row r="45" spans="1:53" ht="107.25" customHeight="1">
      <c r="A45" s="1290" t="s">
        <v>208</v>
      </c>
      <c r="B45" s="1290"/>
      <c r="C45" s="1290"/>
      <c r="D45" s="1290"/>
      <c r="E45" s="3254">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121</v>
      </c>
      <c r="U45" s="238"/>
      <c r="V45" s="3247"/>
      <c r="W45" s="3247"/>
      <c r="X45" s="3247"/>
      <c r="Y45" s="3247"/>
      <c r="Z45" s="3247"/>
      <c r="AA45" s="3248"/>
      <c r="AB45" s="3246" t="str">
        <f>INDEX(PT_DIFFERENTIATION_NTAR,MATCH(A45,PT_DIFFERENTIATION_NTAR_ID,0))</f>
        <v/>
      </c>
      <c r="AC45" s="3247"/>
      <c r="AD45" s="3247"/>
      <c r="AE45" s="3247"/>
      <c r="AF45" s="3247"/>
      <c r="AG45" s="3247"/>
      <c r="AH45" s="3247"/>
      <c r="AI45" s="3247"/>
      <c r="AJ45" s="3247"/>
      <c r="AK45" s="3247"/>
      <c r="AL45" s="3247"/>
      <c r="AM45" s="3247"/>
      <c r="AN45" s="3247"/>
      <c r="AO45" s="3247"/>
      <c r="AP45" s="3247"/>
      <c r="AQ45" s="3247"/>
      <c r="AR45" s="3247"/>
      <c r="AS45" s="3247"/>
      <c r="AT45" s="324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208</v>
      </c>
      <c r="B46" s="1290" t="s">
        <v>209</v>
      </c>
      <c r="C46" s="1290"/>
      <c r="D46" s="1290"/>
      <c r="E46" s="3255"/>
      <c r="F46" s="3254">
        <v>1</v>
      </c>
      <c r="G46" s="1290"/>
      <c r="H46" s="1290"/>
      <c r="I46" s="1290"/>
      <c r="J46" s="1290"/>
      <c r="K46" s="1290"/>
      <c r="L46" s="1291"/>
      <c r="M46" s="1292"/>
      <c r="N46" s="1292"/>
      <c r="O46" s="1292"/>
      <c r="P46" s="1337"/>
      <c r="Q46" s="1338"/>
      <c r="R46" s="290"/>
      <c r="S46" s="1263" t="str">
        <f>INDEX(PT_DIFFERENTIATION_NUM_TER,MATCH(B46,PT_DIFFERENTIATION_TER_ID,0))</f>
        <v>.</v>
      </c>
      <c r="T46" s="246" t="s">
        <v>405</v>
      </c>
      <c r="U46" s="238"/>
      <c r="V46" s="3247"/>
      <c r="W46" s="3247"/>
      <c r="X46" s="3247"/>
      <c r="Y46" s="3247"/>
      <c r="Z46" s="3247"/>
      <c r="AA46" s="3248"/>
      <c r="AB46" s="3246" t="str">
        <f>INDEX(PT_DIFFERENTIATION_TER,MATCH(B46,PT_DIFFERENTIATION_TER_ID,0))</f>
        <v/>
      </c>
      <c r="AC46" s="3247"/>
      <c r="AD46" s="3247"/>
      <c r="AE46" s="3247"/>
      <c r="AF46" s="3247"/>
      <c r="AG46" s="3247"/>
      <c r="AH46" s="3247"/>
      <c r="AI46" s="3247"/>
      <c r="AJ46" s="3247"/>
      <c r="AK46" s="3247"/>
      <c r="AL46" s="3247"/>
      <c r="AM46" s="3247"/>
      <c r="AN46" s="3247"/>
      <c r="AO46" s="3247"/>
      <c r="AP46" s="3247"/>
      <c r="AQ46" s="3247"/>
      <c r="AR46" s="3247"/>
      <c r="AS46" s="3247"/>
      <c r="AT46" s="3248"/>
      <c r="AU46" s="1185" t="s">
        <v>406</v>
      </c>
      <c r="AW46" s="437"/>
      <c r="AX46" s="437" t="str">
        <f t="shared" si="2"/>
        <v>Территория действия тарифа</v>
      </c>
      <c r="AY46" s="437"/>
      <c r="AZ46" s="437"/>
      <c r="BA46" s="1082">
        <v>21</v>
      </c>
    </row>
    <row r="47" spans="1:53" ht="24" customHeight="1">
      <c r="A47" s="1290" t="s">
        <v>208</v>
      </c>
      <c r="B47" s="1290" t="s">
        <v>209</v>
      </c>
      <c r="C47" s="1290" t="s">
        <v>210</v>
      </c>
      <c r="D47" s="1290"/>
      <c r="E47" s="3255"/>
      <c r="F47" s="3255"/>
      <c r="G47" s="3254">
        <v>1</v>
      </c>
      <c r="H47" s="1290"/>
      <c r="I47" s="1290"/>
      <c r="J47" s="1290"/>
      <c r="K47" s="1290"/>
      <c r="L47" s="1291"/>
      <c r="M47" s="1292"/>
      <c r="N47" s="1292"/>
      <c r="O47" s="1292"/>
      <c r="P47" s="1339"/>
      <c r="Q47" s="1338"/>
      <c r="R47" s="290"/>
      <c r="S47" s="1263" t="str">
        <f>INDEX(PT_DIFFERENTIATION_NUM_CS,MATCH(C47,PT_DIFFERENTIATION_CS_ID,0))</f>
        <v>..</v>
      </c>
      <c r="T47" s="247" t="s">
        <v>407</v>
      </c>
      <c r="U47" s="238"/>
      <c r="V47" s="3247"/>
      <c r="W47" s="3247"/>
      <c r="X47" s="3247"/>
      <c r="Y47" s="3247"/>
      <c r="Z47" s="3247"/>
      <c r="AA47" s="3248"/>
      <c r="AB47" s="3246" t="str">
        <f>INDEX(PT_DIFFERENTIATION_CS,MATCH(C47,PT_DIFFERENTIATION_CS_ID,0))</f>
        <v/>
      </c>
      <c r="AC47" s="3247"/>
      <c r="AD47" s="3247"/>
      <c r="AE47" s="3247"/>
      <c r="AF47" s="3247"/>
      <c r="AG47" s="3247"/>
      <c r="AH47" s="3247"/>
      <c r="AI47" s="3247"/>
      <c r="AJ47" s="3247"/>
      <c r="AK47" s="3247"/>
      <c r="AL47" s="3247"/>
      <c r="AM47" s="3247"/>
      <c r="AN47" s="3247"/>
      <c r="AO47" s="3247"/>
      <c r="AP47" s="3247"/>
      <c r="AQ47" s="3247"/>
      <c r="AR47" s="3247"/>
      <c r="AS47" s="3247"/>
      <c r="AT47" s="3248"/>
      <c r="AU47" s="1185" t="s">
        <v>408</v>
      </c>
      <c r="AW47" s="437"/>
      <c r="AX47" s="437" t="str">
        <f t="shared" si="2"/>
        <v xml:space="preserve">Наименование системы теплоснабжения </v>
      </c>
      <c r="AY47" s="437"/>
      <c r="AZ47" s="437"/>
      <c r="BA47" s="1082">
        <v>23</v>
      </c>
    </row>
    <row r="48" spans="1:53" ht="21" customHeight="1">
      <c r="A48" s="1290" t="s">
        <v>208</v>
      </c>
      <c r="B48" s="1290" t="s">
        <v>209</v>
      </c>
      <c r="C48" s="1290" t="s">
        <v>210</v>
      </c>
      <c r="D48" s="1290" t="s">
        <v>211</v>
      </c>
      <c r="E48" s="3255"/>
      <c r="F48" s="3255"/>
      <c r="G48" s="3255"/>
      <c r="H48" s="3254">
        <v>1</v>
      </c>
      <c r="I48" s="1290"/>
      <c r="J48" s="1290"/>
      <c r="K48" s="1290"/>
      <c r="L48" s="1291"/>
      <c r="M48" s="1292"/>
      <c r="N48" s="1292"/>
      <c r="O48" s="1292"/>
      <c r="P48" s="1339"/>
      <c r="Q48" s="1338"/>
      <c r="R48" s="290"/>
      <c r="S48" s="1263" t="str">
        <f>INDEX(PT_DIFFERENTIATION_NUM_IST_TE,MATCH(D48,PT_DIFFERENTIATION_IST_TE_ID,0))</f>
        <v>...</v>
      </c>
      <c r="T48" s="248" t="s">
        <v>409</v>
      </c>
      <c r="U48" s="238"/>
      <c r="V48" s="3247"/>
      <c r="W48" s="3247"/>
      <c r="X48" s="3247"/>
      <c r="Y48" s="3247"/>
      <c r="Z48" s="3247"/>
      <c r="AA48" s="3248"/>
      <c r="AB48" s="3246" t="str">
        <f>INDEX(PT_DIFFERENTIATION_IST_TE,MATCH(D48,PT_DIFFERENTIATION_IST_TE_ID,0))</f>
        <v/>
      </c>
      <c r="AC48" s="3247"/>
      <c r="AD48" s="3247"/>
      <c r="AE48" s="3247"/>
      <c r="AF48" s="3247"/>
      <c r="AG48" s="3247"/>
      <c r="AH48" s="3247"/>
      <c r="AI48" s="3247"/>
      <c r="AJ48" s="3247"/>
      <c r="AK48" s="3247"/>
      <c r="AL48" s="3247"/>
      <c r="AM48" s="3247"/>
      <c r="AN48" s="3247"/>
      <c r="AO48" s="3247"/>
      <c r="AP48" s="3247"/>
      <c r="AQ48" s="3247"/>
      <c r="AR48" s="3247"/>
      <c r="AS48" s="3247"/>
      <c r="AT48" s="3248"/>
      <c r="AU48" s="1185" t="s">
        <v>410</v>
      </c>
      <c r="AW48" s="437"/>
      <c r="AX48" s="437" t="str">
        <f t="shared" si="2"/>
        <v xml:space="preserve">Источник тепловой энергии  </v>
      </c>
      <c r="AY48" s="437"/>
      <c r="AZ48" s="437"/>
      <c r="BA48" s="1082">
        <v>20</v>
      </c>
    </row>
    <row r="49" spans="1:53" s="1569" customFormat="1" ht="1.1499999999999999" customHeight="1">
      <c r="A49" s="1270" t="s">
        <v>208</v>
      </c>
      <c r="B49" s="1270" t="s">
        <v>209</v>
      </c>
      <c r="C49" s="1270" t="s">
        <v>210</v>
      </c>
      <c r="D49" s="1270" t="s">
        <v>211</v>
      </c>
      <c r="E49" s="3255"/>
      <c r="F49" s="3255"/>
      <c r="G49" s="3255"/>
      <c r="H49" s="3255"/>
      <c r="I49" s="3256" t="str">
        <f>S48&amp;".1"</f>
        <v>....1</v>
      </c>
      <c r="J49" s="1270"/>
      <c r="K49" s="1270"/>
      <c r="L49" s="1273" t="s">
        <v>411</v>
      </c>
      <c r="M49" s="447"/>
      <c r="N49" s="447"/>
      <c r="O49" s="447"/>
      <c r="P49" s="3258">
        <v>1</v>
      </c>
      <c r="Q49" s="1258"/>
      <c r="R49" s="293"/>
      <c r="S49" s="972"/>
      <c r="T49" s="1310"/>
      <c r="U49" s="1311"/>
      <c r="V49" s="3315"/>
      <c r="W49" s="3315"/>
      <c r="X49" s="3315"/>
      <c r="Y49" s="3315"/>
      <c r="Z49" s="3315"/>
      <c r="AA49" s="3316"/>
      <c r="AB49" s="3314"/>
      <c r="AC49" s="3315"/>
      <c r="AD49" s="3315"/>
      <c r="AE49" s="3315"/>
      <c r="AF49" s="3315"/>
      <c r="AG49" s="3315"/>
      <c r="AH49" s="3315"/>
      <c r="AI49" s="3315"/>
      <c r="AJ49" s="3315"/>
      <c r="AK49" s="3315"/>
      <c r="AL49" s="3315"/>
      <c r="AM49" s="3315"/>
      <c r="AN49" s="3315"/>
      <c r="AO49" s="3315"/>
      <c r="AP49" s="3315"/>
      <c r="AQ49" s="3315"/>
      <c r="AR49" s="3315"/>
      <c r="AS49" s="3315"/>
      <c r="AT49" s="3316"/>
      <c r="AU49" s="1312"/>
      <c r="AW49" s="437"/>
      <c r="AX49" s="437" t="str">
        <f t="shared" si="2"/>
        <v/>
      </c>
      <c r="AY49" s="437"/>
      <c r="AZ49" s="437"/>
      <c r="BA49" s="448">
        <v>1</v>
      </c>
    </row>
    <row r="50" spans="1:53" s="1569" customFormat="1" ht="1.1499999999999999" customHeight="1">
      <c r="A50" s="1270" t="s">
        <v>208</v>
      </c>
      <c r="B50" s="1270" t="s">
        <v>209</v>
      </c>
      <c r="C50" s="1270" t="s">
        <v>210</v>
      </c>
      <c r="D50" s="1270" t="s">
        <v>211</v>
      </c>
      <c r="E50" s="3255"/>
      <c r="F50" s="3255"/>
      <c r="G50" s="3255"/>
      <c r="H50" s="3255"/>
      <c r="I50" s="3257"/>
      <c r="J50" s="3256" t="str">
        <f>S48&amp;".1"</f>
        <v>....1</v>
      </c>
      <c r="K50" s="1270"/>
      <c r="L50" s="1273"/>
      <c r="M50" s="447"/>
      <c r="N50" s="447"/>
      <c r="O50" s="447"/>
      <c r="P50" s="3258"/>
      <c r="Q50" s="3258">
        <v>1</v>
      </c>
      <c r="R50" s="294"/>
      <c r="S50" s="972"/>
      <c r="T50" s="1326"/>
      <c r="U50" s="1311"/>
      <c r="V50" s="3315"/>
      <c r="W50" s="3315"/>
      <c r="X50" s="3315"/>
      <c r="Y50" s="3315"/>
      <c r="Z50" s="3315"/>
      <c r="AA50" s="3316"/>
      <c r="AB50" s="3314"/>
      <c r="AC50" s="3315"/>
      <c r="AD50" s="3315"/>
      <c r="AE50" s="3315"/>
      <c r="AF50" s="3315"/>
      <c r="AG50" s="3315"/>
      <c r="AH50" s="3315"/>
      <c r="AI50" s="3315"/>
      <c r="AJ50" s="3315"/>
      <c r="AK50" s="3315"/>
      <c r="AL50" s="3315"/>
      <c r="AM50" s="3315"/>
      <c r="AN50" s="3315"/>
      <c r="AO50" s="3315"/>
      <c r="AP50" s="3315"/>
      <c r="AQ50" s="3315"/>
      <c r="AR50" s="3315"/>
      <c r="AS50" s="3315"/>
      <c r="AT50" s="3316"/>
      <c r="AU50" s="1312"/>
      <c r="AW50" s="437"/>
      <c r="AX50" s="437" t="str">
        <f t="shared" si="2"/>
        <v/>
      </c>
      <c r="AY50" s="437"/>
      <c r="AZ50" s="437"/>
      <c r="BA50" s="448">
        <v>1</v>
      </c>
    </row>
    <row r="51" spans="1:53" ht="21.95" customHeight="1">
      <c r="A51" s="1290" t="s">
        <v>208</v>
      </c>
      <c r="B51" s="1290" t="s">
        <v>209</v>
      </c>
      <c r="C51" s="1290" t="s">
        <v>210</v>
      </c>
      <c r="D51" s="1290" t="s">
        <v>211</v>
      </c>
      <c r="E51" s="3255"/>
      <c r="F51" s="3255"/>
      <c r="G51" s="3255"/>
      <c r="H51" s="3255"/>
      <c r="I51" s="3257"/>
      <c r="J51" s="3257"/>
      <c r="K51" s="3256" t="str">
        <f>S48&amp;".1"</f>
        <v>....1</v>
      </c>
      <c r="L51" s="1291"/>
      <c r="P51" s="3258"/>
      <c r="Q51" s="3258"/>
      <c r="R51" s="294">
        <v>1</v>
      </c>
      <c r="S51" s="3340" t="str">
        <f>$K51</f>
        <v>....1</v>
      </c>
      <c r="T51" s="3337"/>
      <c r="U51" s="238"/>
      <c r="V51" s="688"/>
      <c r="W51" s="1184"/>
      <c r="X51" s="1660"/>
      <c r="Y51" s="1386" t="s">
        <v>67</v>
      </c>
      <c r="Z51" s="1660"/>
      <c r="AA51" s="1386" t="s">
        <v>67</v>
      </c>
      <c r="AB51" s="3121" t="s">
        <v>19</v>
      </c>
      <c r="AC51" s="3336"/>
      <c r="AD51" s="3208">
        <v>1</v>
      </c>
      <c r="AE51" s="3328" t="s">
        <v>28</v>
      </c>
      <c r="AF51" s="3121" t="s">
        <v>19</v>
      </c>
      <c r="AG51" s="3336"/>
      <c r="AH51" s="3208">
        <v>1</v>
      </c>
      <c r="AI51" s="3328" t="s">
        <v>28</v>
      </c>
      <c r="AJ51" s="3121" t="s">
        <v>19</v>
      </c>
      <c r="AK51" s="249"/>
      <c r="AL51" s="1264">
        <v>1</v>
      </c>
      <c r="AM51" s="1329"/>
      <c r="AN51" s="688"/>
      <c r="AO51" s="1184"/>
      <c r="AP51" s="1660"/>
      <c r="AQ51" s="1386" t="s">
        <v>67</v>
      </c>
      <c r="AR51" s="1660"/>
      <c r="AS51" s="1386" t="s">
        <v>67</v>
      </c>
      <c r="AT51" s="1275"/>
      <c r="AU51" s="3278" t="s">
        <v>487</v>
      </c>
      <c r="AV51" s="448" t="e">
        <f ca="1">STRCHECKDATE(V54:AT54)</f>
        <v>#NAME?</v>
      </c>
      <c r="AW51" s="437"/>
      <c r="AX51" s="437" t="str">
        <f t="shared" si="2"/>
        <v/>
      </c>
      <c r="AY51" s="437"/>
      <c r="AZ51" s="437"/>
      <c r="BA51" s="1082">
        <v>21</v>
      </c>
    </row>
    <row r="52" spans="1:53" ht="11.45" customHeight="1">
      <c r="A52" s="1290" t="s">
        <v>208</v>
      </c>
      <c r="B52" s="1290"/>
      <c r="C52" s="1290"/>
      <c r="D52" s="1290"/>
      <c r="E52" s="3255"/>
      <c r="F52" s="3255"/>
      <c r="G52" s="3255"/>
      <c r="H52" s="3255"/>
      <c r="I52" s="3257"/>
      <c r="J52" s="3257"/>
      <c r="K52" s="3256"/>
      <c r="L52" s="1291"/>
      <c r="P52" s="3258"/>
      <c r="Q52" s="3258"/>
      <c r="R52" s="294"/>
      <c r="S52" s="3341"/>
      <c r="T52" s="3338"/>
      <c r="U52" s="238"/>
      <c r="V52" s="1320"/>
      <c r="W52" s="1423"/>
      <c r="X52" s="1320"/>
      <c r="Y52" s="1320"/>
      <c r="Z52" s="1320"/>
      <c r="AA52" s="1320"/>
      <c r="AB52" s="3121"/>
      <c r="AC52" s="3336"/>
      <c r="AD52" s="3208"/>
      <c r="AE52" s="3328"/>
      <c r="AF52" s="3121"/>
      <c r="AG52" s="3336"/>
      <c r="AH52" s="3208"/>
      <c r="AI52" s="3328"/>
      <c r="AJ52" s="3121"/>
      <c r="AK52" s="254"/>
      <c r="AL52" s="353"/>
      <c r="AM52" s="352" t="s">
        <v>472</v>
      </c>
      <c r="AN52" s="1320"/>
      <c r="AO52" s="1423"/>
      <c r="AP52" s="1320"/>
      <c r="AQ52" s="1320"/>
      <c r="AR52" s="1320"/>
      <c r="AS52" s="1320"/>
      <c r="AT52" s="1317"/>
      <c r="AU52" s="3279"/>
      <c r="AW52" s="437"/>
      <c r="AX52" s="437"/>
      <c r="AY52" s="437"/>
      <c r="AZ52" s="437"/>
      <c r="BA52" s="1082">
        <v>11</v>
      </c>
    </row>
    <row r="53" spans="1:53" ht="11.45" customHeight="1">
      <c r="A53" s="1290" t="s">
        <v>208</v>
      </c>
      <c r="B53" s="1290"/>
      <c r="C53" s="1290"/>
      <c r="D53" s="1290"/>
      <c r="E53" s="3255"/>
      <c r="F53" s="3255"/>
      <c r="G53" s="3255"/>
      <c r="H53" s="3255"/>
      <c r="I53" s="3257"/>
      <c r="J53" s="3257"/>
      <c r="K53" s="3256"/>
      <c r="L53" s="1291"/>
      <c r="P53" s="3258"/>
      <c r="Q53" s="3258"/>
      <c r="R53" s="294"/>
      <c r="S53" s="3341"/>
      <c r="T53" s="3338"/>
      <c r="U53" s="238"/>
      <c r="V53" s="1320"/>
      <c r="W53" s="1423"/>
      <c r="X53" s="1320"/>
      <c r="Y53" s="1320"/>
      <c r="Z53" s="1320"/>
      <c r="AA53" s="1320"/>
      <c r="AB53" s="3121"/>
      <c r="AC53" s="3336"/>
      <c r="AD53" s="3208"/>
      <c r="AE53" s="3328"/>
      <c r="AF53" s="3121"/>
      <c r="AG53" s="232"/>
      <c r="AH53" s="352"/>
      <c r="AI53" s="352" t="s">
        <v>473</v>
      </c>
      <c r="AJ53" s="1320"/>
      <c r="AK53" s="1320"/>
      <c r="AL53" s="1320"/>
      <c r="AM53" s="1320"/>
      <c r="AN53" s="1320"/>
      <c r="AO53" s="1423"/>
      <c r="AP53" s="1320"/>
      <c r="AQ53" s="1320"/>
      <c r="AR53" s="1320"/>
      <c r="AS53" s="1320"/>
      <c r="AT53" s="1317"/>
      <c r="AU53" s="3279"/>
      <c r="AW53" s="437"/>
      <c r="AX53" s="437"/>
      <c r="AY53" s="437"/>
      <c r="AZ53" s="437"/>
      <c r="BA53" s="1082">
        <v>11</v>
      </c>
    </row>
    <row r="54" spans="1:53" ht="11.45" customHeight="1">
      <c r="A54" s="1290" t="s">
        <v>208</v>
      </c>
      <c r="B54" s="1290" t="s">
        <v>209</v>
      </c>
      <c r="C54" s="1290" t="s">
        <v>210</v>
      </c>
      <c r="D54" s="1290" t="s">
        <v>211</v>
      </c>
      <c r="E54" s="3255"/>
      <c r="F54" s="3255"/>
      <c r="G54" s="3255"/>
      <c r="H54" s="3255"/>
      <c r="I54" s="3257"/>
      <c r="J54" s="3257"/>
      <c r="K54" s="3256"/>
      <c r="L54" s="1291"/>
      <c r="P54" s="3258"/>
      <c r="Q54" s="3258"/>
      <c r="R54" s="294"/>
      <c r="S54" s="3342"/>
      <c r="T54" s="3339"/>
      <c r="U54" s="238"/>
      <c r="V54" s="1320"/>
      <c r="W54" s="1321" t="str">
        <f>X51&amp;"-"&amp;Z51</f>
        <v>-</v>
      </c>
      <c r="X54" s="1320"/>
      <c r="Y54" s="1320"/>
      <c r="Z54" s="1320"/>
      <c r="AA54" s="1320"/>
      <c r="AB54" s="3121"/>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3279"/>
      <c r="AW54" s="437"/>
      <c r="AX54" s="437" t="str">
        <f t="shared" ref="AX54:AX62" si="3">IF(T54="","",T54)</f>
        <v/>
      </c>
      <c r="AY54" s="437"/>
      <c r="AZ54" s="437"/>
      <c r="BA54" s="1082">
        <v>11</v>
      </c>
    </row>
    <row r="55" spans="1:53" ht="11.45" customHeight="1">
      <c r="A55" s="1290" t="s">
        <v>208</v>
      </c>
      <c r="B55" s="1290" t="s">
        <v>209</v>
      </c>
      <c r="C55" s="1290" t="s">
        <v>210</v>
      </c>
      <c r="D55" s="1290" t="s">
        <v>211</v>
      </c>
      <c r="E55" s="3255"/>
      <c r="F55" s="3255"/>
      <c r="G55" s="3255"/>
      <c r="H55" s="3255"/>
      <c r="I55" s="3257"/>
      <c r="J55" s="3256"/>
      <c r="K55" s="1290"/>
      <c r="L55" s="1291"/>
      <c r="P55" s="3258"/>
      <c r="Q55" s="3258"/>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3280"/>
      <c r="AW55" s="437"/>
      <c r="AX55" s="437" t="str">
        <f t="shared" si="3"/>
        <v>Добавить строку</v>
      </c>
      <c r="AY55" s="437"/>
      <c r="AZ55" s="437"/>
      <c r="BA55" s="1082">
        <v>11</v>
      </c>
    </row>
    <row r="56" spans="1:53" s="1569" customFormat="1" ht="1.1499999999999999" customHeight="1">
      <c r="A56" s="1270" t="s">
        <v>208</v>
      </c>
      <c r="B56" s="1270" t="s">
        <v>209</v>
      </c>
      <c r="C56" s="1270" t="s">
        <v>210</v>
      </c>
      <c r="D56" s="1270" t="s">
        <v>211</v>
      </c>
      <c r="E56" s="3255"/>
      <c r="F56" s="3255"/>
      <c r="G56" s="3255"/>
      <c r="H56" s="3255"/>
      <c r="I56" s="3256"/>
      <c r="J56" s="1270"/>
      <c r="K56" s="1270"/>
      <c r="L56" s="1273"/>
      <c r="M56" s="447"/>
      <c r="N56" s="447"/>
      <c r="O56" s="447"/>
      <c r="P56" s="3258"/>
      <c r="Q56" s="1258"/>
      <c r="R56" s="293"/>
      <c r="S56" s="1313"/>
      <c r="T56" s="1314" t="s">
        <v>420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208</v>
      </c>
      <c r="B57" s="1270" t="s">
        <v>209</v>
      </c>
      <c r="C57" s="1270" t="s">
        <v>210</v>
      </c>
      <c r="D57" s="1270" t="s">
        <v>211</v>
      </c>
      <c r="E57" s="3255"/>
      <c r="F57" s="3255"/>
      <c r="G57" s="3255"/>
      <c r="H57" s="3254"/>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208</v>
      </c>
      <c r="B58" s="1270" t="s">
        <v>209</v>
      </c>
      <c r="C58" s="1270" t="s">
        <v>210</v>
      </c>
      <c r="D58" s="1241"/>
      <c r="E58" s="3255"/>
      <c r="F58" s="3255"/>
      <c r="G58" s="3254"/>
      <c r="H58" s="1241"/>
      <c r="I58" s="1241"/>
      <c r="J58" s="1241"/>
      <c r="K58" s="1241"/>
      <c r="L58" s="1266"/>
      <c r="M58" s="1242"/>
      <c r="N58" s="1242"/>
      <c r="P58" s="1243"/>
      <c r="Q58" s="1244"/>
      <c r="R58" s="1243"/>
      <c r="S58" s="1249"/>
      <c r="T58" s="1252" t="s">
        <v>166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208</v>
      </c>
      <c r="B59" s="1270" t="s">
        <v>209</v>
      </c>
      <c r="C59" s="1241"/>
      <c r="D59" s="1241"/>
      <c r="E59" s="3255"/>
      <c r="F59" s="3254"/>
      <c r="G59" s="1241"/>
      <c r="H59" s="1241"/>
      <c r="I59" s="1241"/>
      <c r="J59" s="1241"/>
      <c r="K59" s="1241"/>
      <c r="L59" s="1266"/>
      <c r="M59" s="1248"/>
      <c r="N59" s="1248"/>
      <c r="P59" s="1243"/>
      <c r="Q59" s="1244"/>
      <c r="R59" s="1243"/>
      <c r="S59" s="1249"/>
      <c r="T59" s="1252" t="s">
        <v>167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208</v>
      </c>
      <c r="B60" s="1270"/>
      <c r="C60" s="1270"/>
      <c r="D60" s="1270"/>
      <c r="E60" s="3255"/>
      <c r="F60" s="1270"/>
      <c r="G60" s="1270"/>
      <c r="H60" s="1270"/>
      <c r="I60" s="1270"/>
      <c r="J60" s="1270"/>
      <c r="K60" s="1270"/>
      <c r="L60" s="1273"/>
      <c r="M60" s="1248"/>
      <c r="N60" s="1248"/>
      <c r="O60" s="455"/>
      <c r="P60" s="317"/>
      <c r="Q60" s="1271"/>
      <c r="R60" s="317"/>
      <c r="S60" s="1249"/>
      <c r="T60" s="1252" t="s">
        <v>168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208</v>
      </c>
      <c r="B61" s="1270"/>
      <c r="C61" s="1270"/>
      <c r="D61" s="1270"/>
      <c r="E61" s="3254"/>
      <c r="F61" s="1270"/>
      <c r="G61" s="1270"/>
      <c r="H61" s="1270"/>
      <c r="I61" s="1270"/>
      <c r="J61" s="1270"/>
      <c r="K61" s="1270"/>
      <c r="L61" s="1273"/>
      <c r="M61" s="1248"/>
      <c r="N61" s="1248"/>
      <c r="O61" s="455"/>
      <c r="P61" s="317"/>
      <c r="Q61" s="1271"/>
      <c r="R61" s="317"/>
      <c r="S61" s="1249"/>
      <c r="T61" s="1252" t="s">
        <v>168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3252"/>
      <c r="U64" s="3252"/>
      <c r="V64" s="3252"/>
      <c r="W64" s="3252"/>
      <c r="X64" s="3252"/>
      <c r="Y64" s="3252"/>
      <c r="Z64" s="3252"/>
      <c r="AA64" s="3252"/>
      <c r="AB64" s="3252"/>
      <c r="AC64" s="3252"/>
      <c r="AD64" s="3252"/>
      <c r="AE64" s="3252"/>
      <c r="AF64" s="3252"/>
      <c r="AG64" s="3252"/>
      <c r="AH64" s="3252"/>
      <c r="AI64" s="3252"/>
      <c r="AJ64" s="3252"/>
      <c r="AK64" s="3252"/>
      <c r="AL64" s="3252"/>
      <c r="AM64" s="3252"/>
      <c r="AN64" s="3252"/>
      <c r="AO64" s="3252"/>
      <c r="AP64" s="3252"/>
      <c r="AQ64" s="3252"/>
      <c r="AR64" s="3252"/>
      <c r="AS64" s="3252"/>
      <c r="AT64" s="3252"/>
      <c r="AU64" s="3252"/>
      <c r="BA64" s="1082">
        <v>19</v>
      </c>
    </row>
    <row r="65" spans="1:53" ht="21" customHeight="1">
      <c r="O65" s="474"/>
      <c r="T65" s="3252"/>
      <c r="U65" s="3252"/>
      <c r="V65" s="3252"/>
      <c r="W65" s="3252"/>
      <c r="X65" s="3252"/>
      <c r="Y65" s="3252"/>
      <c r="Z65" s="3252"/>
      <c r="AA65" s="3252"/>
      <c r="AB65" s="3252"/>
      <c r="AC65" s="3252"/>
      <c r="AD65" s="3252"/>
      <c r="AE65" s="3252"/>
      <c r="AF65" s="3252"/>
      <c r="AG65" s="3252"/>
      <c r="AH65" s="3252"/>
      <c r="AI65" s="3252"/>
      <c r="AJ65" s="3252"/>
      <c r="AK65" s="3252"/>
      <c r="AL65" s="3252"/>
      <c r="AM65" s="3252"/>
      <c r="AN65" s="3252"/>
      <c r="AO65" s="3252"/>
      <c r="AP65" s="3252"/>
      <c r="AQ65" s="3252"/>
      <c r="AR65" s="3252"/>
      <c r="AS65" s="3252"/>
      <c r="AT65" s="3252"/>
      <c r="AU65" s="325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3252"/>
      <c r="U67" s="3252"/>
      <c r="V67" s="3252"/>
      <c r="W67" s="3252"/>
      <c r="X67" s="3252"/>
      <c r="Y67" s="3252"/>
      <c r="Z67" s="3252"/>
      <c r="AA67" s="3252"/>
      <c r="AB67" s="3252"/>
      <c r="AC67" s="3252"/>
      <c r="AD67" s="3252"/>
      <c r="AE67" s="3252"/>
      <c r="AF67" s="3252"/>
      <c r="AG67" s="3252"/>
      <c r="AH67" s="3252"/>
      <c r="AI67" s="3252"/>
      <c r="AJ67" s="3252"/>
      <c r="AK67" s="3252"/>
      <c r="AL67" s="3252"/>
      <c r="AM67" s="3252"/>
      <c r="AN67" s="3252"/>
      <c r="AO67" s="3252"/>
      <c r="AP67" s="3252"/>
      <c r="AQ67" s="3252"/>
      <c r="AR67" s="3252"/>
      <c r="AS67" s="3252"/>
      <c r="AT67" s="3252"/>
      <c r="AU67" s="3252"/>
      <c r="BA67" s="1082">
        <v>19</v>
      </c>
    </row>
    <row r="68" spans="1:53" ht="16.899999999999999" customHeight="1">
      <c r="O68" s="474"/>
      <c r="T68" s="3252"/>
      <c r="U68" s="3252"/>
      <c r="V68" s="3252"/>
      <c r="W68" s="3252"/>
      <c r="X68" s="3252"/>
      <c r="Y68" s="3252"/>
      <c r="Z68" s="3252"/>
      <c r="AA68" s="3252"/>
      <c r="AB68" s="3252"/>
      <c r="AC68" s="3252"/>
      <c r="AD68" s="3252"/>
      <c r="AE68" s="3252"/>
      <c r="AF68" s="3252"/>
      <c r="AG68" s="3252"/>
      <c r="AH68" s="3252"/>
      <c r="AI68" s="3252"/>
      <c r="AJ68" s="3252"/>
      <c r="AK68" s="3252"/>
      <c r="AL68" s="3252"/>
      <c r="AM68" s="3252"/>
      <c r="AN68" s="3252"/>
      <c r="AO68" s="3252"/>
      <c r="AP68" s="3252"/>
      <c r="AQ68" s="3252"/>
      <c r="AR68" s="3252"/>
      <c r="AS68" s="3252"/>
      <c r="AT68" s="3252"/>
      <c r="AU68" s="3252"/>
      <c r="BA68" s="1082">
        <v>16</v>
      </c>
    </row>
    <row r="69" spans="1:53" ht="14.65" customHeight="1">
      <c r="O69" s="474"/>
      <c r="BA69" s="1082">
        <v>14</v>
      </c>
    </row>
    <row r="70" spans="1:53" ht="22.5" hidden="1" customHeight="1">
      <c r="A70" s="1087" t="s">
        <v>79</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DAC1-3C17-D132-4E78-B2324DB9820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3254">
        <v>1</v>
      </c>
      <c r="F2" s="1290"/>
      <c r="G2" s="1290"/>
      <c r="H2" s="1290"/>
      <c r="I2" s="1290"/>
      <c r="J2" s="1290"/>
      <c r="K2" s="1290"/>
      <c r="L2" s="1291"/>
      <c r="M2" s="1292"/>
      <c r="N2" s="1292"/>
      <c r="O2" s="1292"/>
      <c r="P2" s="298"/>
      <c r="Q2" s="297"/>
      <c r="R2" s="292"/>
      <c r="S2" s="1352" t="e">
        <f>INDEX(PT_DIFFERENTIATION_NUM_NTAR,MATCH(A2,PT_DIFFERENTIATION_NTAR_ID,0))</f>
        <v>#N/A</v>
      </c>
      <c r="T2" s="236" t="s">
        <v>121</v>
      </c>
      <c r="U2" s="238"/>
      <c r="V2" s="3246"/>
      <c r="W2" s="3247"/>
      <c r="X2" s="3247"/>
      <c r="Y2" s="3247"/>
      <c r="Z2" s="3247"/>
      <c r="AA2" s="3247"/>
      <c r="AB2" s="3248"/>
      <c r="AC2" s="3246" t="e">
        <f>INDEX(PT_DIFFERENTIATION_NTAR,MATCH(A2,PT_DIFFERENTIATION_NTAR_ID,0))</f>
        <v>#N/A</v>
      </c>
      <c r="AD2" s="3247"/>
      <c r="AE2" s="3247"/>
      <c r="AF2" s="3247"/>
      <c r="AG2" s="3247"/>
      <c r="AH2" s="3247"/>
      <c r="AI2" s="3247"/>
      <c r="AJ2" s="324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255"/>
      <c r="F3" s="3254">
        <v>1</v>
      </c>
      <c r="G3" s="1290"/>
      <c r="H3" s="1290"/>
      <c r="I3" s="1290"/>
      <c r="J3" s="1290"/>
      <c r="K3" s="1290"/>
      <c r="L3" s="1291"/>
      <c r="M3" s="1292"/>
      <c r="N3" s="1292"/>
      <c r="O3" s="1292"/>
      <c r="P3" s="1350"/>
      <c r="Q3" s="289"/>
      <c r="R3" s="290"/>
      <c r="S3" s="1352" t="e">
        <f>INDEX(PT_DIFFERENTIATION_NUM_TER,MATCH(B3,PT_DIFFERENTIATION_TER_ID,0))</f>
        <v>#N/A</v>
      </c>
      <c r="T3" s="246" t="s">
        <v>405</v>
      </c>
      <c r="U3" s="238"/>
      <c r="V3" s="3246"/>
      <c r="W3" s="3247"/>
      <c r="X3" s="3247"/>
      <c r="Y3" s="3247"/>
      <c r="Z3" s="3247"/>
      <c r="AA3" s="3247"/>
      <c r="AB3" s="3248"/>
      <c r="AC3" s="3246" t="e">
        <f>INDEX(PT_DIFFERENTIATION_TER,MATCH(B3,PT_DIFFERENTIATION_TER_ID,0))</f>
        <v>#N/A</v>
      </c>
      <c r="AD3" s="3247"/>
      <c r="AE3" s="3247"/>
      <c r="AF3" s="3247"/>
      <c r="AG3" s="3247"/>
      <c r="AH3" s="3247"/>
      <c r="AI3" s="3247"/>
      <c r="AJ3" s="3248"/>
      <c r="AK3" s="1185" t="s">
        <v>406</v>
      </c>
      <c r="AM3" s="437"/>
      <c r="AN3" s="437" t="str">
        <f t="shared" si="0"/>
        <v>Территория действия тарифа</v>
      </c>
      <c r="AO3" s="437"/>
      <c r="AP3" s="437"/>
      <c r="AQ3" s="1082">
        <v>0</v>
      </c>
    </row>
    <row r="4" spans="1:43" ht="23.25" hidden="1" customHeight="1">
      <c r="A4" s="1290"/>
      <c r="B4" s="1290"/>
      <c r="C4" s="1290"/>
      <c r="D4" s="1290"/>
      <c r="E4" s="3255"/>
      <c r="F4" s="3255"/>
      <c r="G4" s="3254">
        <v>1</v>
      </c>
      <c r="H4" s="1290"/>
      <c r="I4" s="1290"/>
      <c r="J4" s="1290"/>
      <c r="K4" s="1290"/>
      <c r="L4" s="1291"/>
      <c r="M4" s="1292"/>
      <c r="N4" s="1292"/>
      <c r="O4" s="1292"/>
      <c r="P4" s="291"/>
      <c r="Q4" s="289"/>
      <c r="R4" s="290"/>
      <c r="S4" s="1352" t="e">
        <f>INDEX(PT_DIFFERENTIATION_NUM_CS,MATCH(C4,PT_DIFFERENTIATION_CS_ID,0))</f>
        <v>#N/A</v>
      </c>
      <c r="T4" s="247" t="s">
        <v>488</v>
      </c>
      <c r="U4" s="238"/>
      <c r="V4" s="3246"/>
      <c r="W4" s="3247"/>
      <c r="X4" s="3247"/>
      <c r="Y4" s="3247"/>
      <c r="Z4" s="3247"/>
      <c r="AA4" s="3247"/>
      <c r="AB4" s="3248"/>
      <c r="AC4" s="3246" t="e">
        <f>INDEX(PT_DIFFERENTIATION_CS,MATCH(C4,PT_DIFFERENTIATION_CS_ID,0))</f>
        <v>#N/A</v>
      </c>
      <c r="AD4" s="3247"/>
      <c r="AE4" s="3247"/>
      <c r="AF4" s="3247"/>
      <c r="AG4" s="3247"/>
      <c r="AH4" s="3247"/>
      <c r="AI4" s="3247"/>
      <c r="AJ4" s="3248"/>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255"/>
      <c r="F5" s="3255"/>
      <c r="G5" s="3255"/>
      <c r="H5" s="3255"/>
      <c r="I5" s="3256" t="e">
        <f>S4&amp;".1"</f>
        <v>#N/A</v>
      </c>
      <c r="J5" s="1290"/>
      <c r="K5" s="1290"/>
      <c r="L5" s="1291"/>
      <c r="P5" s="3258">
        <v>1</v>
      </c>
      <c r="Q5" s="1349"/>
      <c r="R5" s="293"/>
      <c r="S5" s="1352" t="e">
        <f>$I5</f>
        <v>#N/A</v>
      </c>
      <c r="T5" s="223" t="s">
        <v>490</v>
      </c>
      <c r="U5" s="238"/>
      <c r="V5" s="3351"/>
      <c r="W5" s="3352"/>
      <c r="X5" s="3352"/>
      <c r="Y5" s="3352"/>
      <c r="Z5" s="3352"/>
      <c r="AA5" s="3352"/>
      <c r="AB5" s="3353"/>
      <c r="AC5" s="3354"/>
      <c r="AD5" s="3355"/>
      <c r="AE5" s="3355"/>
      <c r="AF5" s="3355"/>
      <c r="AG5" s="3355"/>
      <c r="AH5" s="3355"/>
      <c r="AI5" s="3355"/>
      <c r="AJ5" s="3356"/>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3255"/>
      <c r="F6" s="3255"/>
      <c r="G6" s="3255"/>
      <c r="H6" s="3255"/>
      <c r="I6" s="3257"/>
      <c r="J6" s="3256" t="e">
        <f>I5&amp;".1"</f>
        <v>#N/A</v>
      </c>
      <c r="K6" s="1290"/>
      <c r="L6" s="1291" t="s">
        <v>414</v>
      </c>
      <c r="P6" s="3258"/>
      <c r="Q6" s="3258">
        <v>1</v>
      </c>
      <c r="R6" s="294"/>
      <c r="S6" s="1352" t="e">
        <f>$J6</f>
        <v>#N/A</v>
      </c>
      <c r="T6" s="224" t="s">
        <v>415</v>
      </c>
      <c r="U6" s="238"/>
      <c r="V6" s="3239"/>
      <c r="W6" s="3240"/>
      <c r="X6" s="3240"/>
      <c r="Y6" s="3240"/>
      <c r="Z6" s="3240"/>
      <c r="AA6" s="3240"/>
      <c r="AB6" s="3241"/>
      <c r="AC6" s="3239"/>
      <c r="AD6" s="3240"/>
      <c r="AE6" s="3240"/>
      <c r="AF6" s="3240"/>
      <c r="AG6" s="3240"/>
      <c r="AH6" s="3240"/>
      <c r="AI6" s="3240"/>
      <c r="AJ6" s="3241"/>
      <c r="AK6" s="1234" t="s">
        <v>492</v>
      </c>
      <c r="AM6" s="437"/>
      <c r="AN6" s="437" t="str">
        <f t="shared" si="0"/>
        <v>Группа потребителей</v>
      </c>
      <c r="AO6" s="437"/>
      <c r="AP6" s="437"/>
      <c r="AQ6" s="1082">
        <v>0</v>
      </c>
    </row>
    <row r="7" spans="1:43" ht="23.25" hidden="1" customHeight="1">
      <c r="A7" s="1290"/>
      <c r="B7" s="1290"/>
      <c r="C7" s="1290"/>
      <c r="D7" s="1290"/>
      <c r="E7" s="3255"/>
      <c r="F7" s="3255"/>
      <c r="G7" s="3255"/>
      <c r="H7" s="3255"/>
      <c r="I7" s="3257"/>
      <c r="J7" s="3257"/>
      <c r="K7" s="3256" t="e">
        <f>J6&amp;".1"</f>
        <v>#N/A</v>
      </c>
      <c r="L7" s="1291"/>
      <c r="P7" s="3258"/>
      <c r="Q7" s="3258"/>
      <c r="R7" s="294">
        <v>1</v>
      </c>
      <c r="S7" s="1352" t="e">
        <f>$K7</f>
        <v>#N/A</v>
      </c>
      <c r="T7" s="1364"/>
      <c r="U7" s="238"/>
      <c r="V7" s="688"/>
      <c r="W7" s="688"/>
      <c r="X7" s="1184"/>
      <c r="Y7" s="3259"/>
      <c r="Z7" s="3121" t="s">
        <v>67</v>
      </c>
      <c r="AA7" s="3259"/>
      <c r="AB7" s="3121" t="s">
        <v>67</v>
      </c>
      <c r="AC7" s="688"/>
      <c r="AD7" s="688"/>
      <c r="AE7" s="1184"/>
      <c r="AF7" s="3259"/>
      <c r="AG7" s="3121" t="s">
        <v>67</v>
      </c>
      <c r="AH7" s="3261"/>
      <c r="AI7" s="3121" t="s">
        <v>67</v>
      </c>
      <c r="AJ7" s="1365"/>
      <c r="AK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255"/>
      <c r="F8" s="3255"/>
      <c r="G8" s="3255"/>
      <c r="H8" s="3255"/>
      <c r="I8" s="3257"/>
      <c r="J8" s="3257"/>
      <c r="K8" s="3256"/>
      <c r="L8" s="1291"/>
      <c r="P8" s="3258"/>
      <c r="Q8" s="3258"/>
      <c r="R8" s="294"/>
      <c r="S8" s="1351"/>
      <c r="T8" s="238"/>
      <c r="U8" s="238"/>
      <c r="V8" s="263"/>
      <c r="W8" s="263"/>
      <c r="X8" s="266" t="str">
        <f>Y7&amp;"-"&amp;AA7</f>
        <v>-</v>
      </c>
      <c r="Y8" s="3260"/>
      <c r="Z8" s="3121"/>
      <c r="AA8" s="3260"/>
      <c r="AB8" s="3121"/>
      <c r="AC8" s="263"/>
      <c r="AD8" s="263"/>
      <c r="AE8" s="266" t="str">
        <f>AF7&amp;"-"&amp;AH7</f>
        <v>-</v>
      </c>
      <c r="AF8" s="3260"/>
      <c r="AG8" s="3121"/>
      <c r="AH8" s="3262"/>
      <c r="AI8" s="3121"/>
      <c r="AJ8" s="1366"/>
      <c r="AK8" s="3357"/>
      <c r="AM8" s="437"/>
      <c r="AN8" s="437" t="str">
        <f t="shared" si="0"/>
        <v/>
      </c>
      <c r="AO8" s="437"/>
      <c r="AP8" s="437"/>
      <c r="AQ8" s="1082">
        <v>0</v>
      </c>
    </row>
    <row r="9" spans="1:43" ht="21" hidden="1" customHeight="1">
      <c r="A9" s="1290"/>
      <c r="B9" s="1290"/>
      <c r="C9" s="1290"/>
      <c r="D9" s="1290"/>
      <c r="E9" s="3255"/>
      <c r="F9" s="3255"/>
      <c r="G9" s="3255"/>
      <c r="H9" s="3255"/>
      <c r="I9" s="3257"/>
      <c r="J9" s="3256"/>
      <c r="K9" s="1290"/>
      <c r="L9" s="1291"/>
      <c r="P9" s="3258"/>
      <c r="Q9" s="3258"/>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255"/>
      <c r="F10" s="3255"/>
      <c r="G10" s="3255"/>
      <c r="H10" s="3255"/>
      <c r="I10" s="3256"/>
      <c r="J10" s="1290"/>
      <c r="K10" s="1290"/>
      <c r="L10" s="1291"/>
      <c r="P10" s="3258"/>
      <c r="Q10" s="1349"/>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255"/>
      <c r="F12" s="3254"/>
      <c r="G12" s="1241"/>
      <c r="H12" s="1241"/>
      <c r="I12" s="1241"/>
      <c r="J12" s="1241"/>
      <c r="K12" s="1241"/>
      <c r="L12" s="1353"/>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3251"/>
      <c r="AG15" s="3250" t="s">
        <v>67</v>
      </c>
      <c r="AH15" s="3251"/>
      <c r="AI15" s="3250" t="s">
        <v>67</v>
      </c>
      <c r="AQ15" s="1082">
        <v>0</v>
      </c>
    </row>
    <row r="16" spans="1:43" ht="14.25" hidden="1" customHeight="1">
      <c r="AC16" s="1287"/>
      <c r="AD16" s="1287"/>
      <c r="AE16" s="266" t="str">
        <f>AF15&amp;"-"&amp;AH15</f>
        <v>-</v>
      </c>
      <c r="AF16" s="3250"/>
      <c r="AG16" s="3250"/>
      <c r="AH16" s="3250"/>
      <c r="AI16" s="3250"/>
      <c r="AQ16" s="1082">
        <v>0</v>
      </c>
    </row>
    <row r="17" spans="1:43" ht="14.25" hidden="1" customHeight="1">
      <c r="AI17" s="265"/>
      <c r="AQ17" s="1082">
        <v>0</v>
      </c>
    </row>
    <row r="18" spans="1:43" s="1293" customFormat="1" ht="22.5" hidden="1" customHeight="1">
      <c r="L18" s="1348"/>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2"/>
      <c r="U24" s="3232"/>
      <c r="V24" s="3232"/>
      <c r="W24" s="3232"/>
      <c r="X24" s="3232"/>
      <c r="Y24" s="3232"/>
      <c r="Z24" s="3232"/>
      <c r="AA24" s="3232"/>
      <c r="AB24" s="3232"/>
      <c r="AC24" s="3232"/>
      <c r="AD24" s="3232"/>
      <c r="AE24" s="3232"/>
      <c r="AF24" s="3232"/>
      <c r="AG24" s="3232"/>
      <c r="AH24" s="3232"/>
      <c r="AI24" s="1170"/>
      <c r="AQ24" s="1082">
        <v>14</v>
      </c>
    </row>
    <row r="25" spans="1:43"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264"/>
      <c r="AC27" s="3245" t="str">
        <f>IF(TITLE_NAME_OR_PR_CHANGE="",IF(TITLE_NAME_OR_PR="","",TITLE_NAME_OR_PR),TITLE_NAME_OR_PR_CHANGE)</f>
        <v/>
      </c>
      <c r="AD27" s="3245"/>
      <c r="AE27" s="3245"/>
      <c r="AF27" s="3245"/>
      <c r="AG27" s="3245"/>
      <c r="AH27" s="324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264"/>
      <c r="AC28" s="3244">
        <f>IF(TITLE_DATE_PR_CHANGE="",IF(TITLE_DATE_PR="","",TITLE_DATE_PR),TITLE_DATE_PR_CHANGE)</f>
        <v>45595.546053240738</v>
      </c>
      <c r="AD28" s="3244"/>
      <c r="AE28" s="3244"/>
      <c r="AF28" s="3244"/>
      <c r="AG28" s="3244"/>
      <c r="AH28" s="324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264"/>
      <c r="AC29" s="3245" t="str">
        <f>IF(TITLE_NUMBER_PR_CHANGE="",IF(TITLE_NUMBER_PR="","",TITLE_NUMBER_PR),TITLE_NUMBER_PR_CHANGE)</f>
        <v>03/3636</v>
      </c>
      <c r="AD29" s="3245"/>
      <c r="AE29" s="3245"/>
      <c r="AF29" s="3245"/>
      <c r="AG29" s="3245"/>
      <c r="AH29" s="324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264"/>
      <c r="AC30" s="3245" t="str">
        <f>IF(TITLE_IST_PUB_CHANGE="",IF(TITLE_IST_PUB="","",TITLE_IST_PUB),TITLE_IST_PUB_CHANGE)</f>
        <v/>
      </c>
      <c r="AD30" s="3245"/>
      <c r="AE30" s="3245"/>
      <c r="AF30" s="3245"/>
      <c r="AG30" s="3245"/>
      <c r="AH30" s="324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264"/>
      <c r="AC32" s="3244">
        <f>IF(TITLE_DATE_PR_CHANGE="",IF(TITLE_DATE_PR="","",TITLE_DATE_PR),TITLE_DATE_PR_CHANGE)</f>
        <v>45595.546053240738</v>
      </c>
      <c r="AD32" s="3244"/>
      <c r="AE32" s="3244"/>
      <c r="AF32" s="3244"/>
      <c r="AG32" s="3244"/>
      <c r="AH32" s="324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264"/>
      <c r="AC33" s="3245" t="str">
        <f>IF(TITLE_NUMBER_PR_CHANGE="",IF(TITLE_NUMBER_PR="","",TITLE_NUMBER_PR),TITLE_NUMBER_PR_CHANGE)</f>
        <v>03/3636</v>
      </c>
      <c r="AD33" s="3245"/>
      <c r="AE33" s="3245"/>
      <c r="AF33" s="3245"/>
      <c r="AG33" s="3245"/>
      <c r="AH33" s="324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432</v>
      </c>
      <c r="AC34" s="264"/>
      <c r="AD34" s="264"/>
      <c r="AE34" s="264"/>
      <c r="AF34" s="264"/>
      <c r="AG34" s="264"/>
      <c r="AH34" s="264"/>
      <c r="AI34" s="216" t="s">
        <v>432</v>
      </c>
      <c r="AL34" s="305"/>
      <c r="AM34" s="305"/>
      <c r="AN34" s="305"/>
      <c r="AO34" s="305"/>
      <c r="AP34" s="305"/>
      <c r="AQ34" s="355">
        <v>1</v>
      </c>
    </row>
    <row r="35" spans="1:43" ht="14.65" customHeight="1">
      <c r="Q35" s="313"/>
      <c r="R35" s="313"/>
      <c r="S35" s="1202"/>
      <c r="T35" s="300"/>
      <c r="U35" s="1171"/>
      <c r="V35" s="3266"/>
      <c r="W35" s="3266"/>
      <c r="X35" s="3266"/>
      <c r="Y35" s="3266"/>
      <c r="Z35" s="3266"/>
      <c r="AA35" s="3266"/>
      <c r="AB35" s="3266"/>
      <c r="AC35" s="3266"/>
      <c r="AD35" s="3266"/>
      <c r="AE35" s="3266"/>
      <c r="AF35" s="3266"/>
      <c r="AG35" s="3266"/>
      <c r="AH35" s="3266"/>
      <c r="AI35" s="3266"/>
      <c r="AQ35" s="1082">
        <v>14</v>
      </c>
    </row>
    <row r="36" spans="1:43"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t="s">
        <v>309</v>
      </c>
      <c r="AQ36" s="1082">
        <v>14</v>
      </c>
    </row>
    <row r="37" spans="1:43" ht="14.65" customHeight="1">
      <c r="Q37" s="313"/>
      <c r="R37" s="313"/>
      <c r="S37" s="3268" t="s">
        <v>85</v>
      </c>
      <c r="T37" s="3212" t="s">
        <v>433</v>
      </c>
      <c r="U37" s="239"/>
      <c r="V37" s="3269" t="s">
        <v>434</v>
      </c>
      <c r="W37" s="3270"/>
      <c r="X37" s="3270"/>
      <c r="Y37" s="3270"/>
      <c r="Z37" s="3270"/>
      <c r="AA37" s="3271"/>
      <c r="AB37" s="3272" t="s">
        <v>435</v>
      </c>
      <c r="AC37" s="3269" t="s">
        <v>434</v>
      </c>
      <c r="AD37" s="3270"/>
      <c r="AE37" s="3270"/>
      <c r="AF37" s="3270"/>
      <c r="AG37" s="3270"/>
      <c r="AH37" s="3271"/>
      <c r="AI37" s="3272" t="s">
        <v>436</v>
      </c>
      <c r="AJ37" s="3275" t="s">
        <v>437</v>
      </c>
      <c r="AK37" s="3111"/>
      <c r="AQ37" s="1082">
        <v>14</v>
      </c>
    </row>
    <row r="38" spans="1:43" ht="35.65" customHeight="1">
      <c r="Q38" s="313"/>
      <c r="R38" s="313"/>
      <c r="S38" s="3268"/>
      <c r="T38" s="3212"/>
      <c r="U38" s="961"/>
      <c r="V38" s="1279" t="s">
        <v>496</v>
      </c>
      <c r="W38" s="3093" t="s">
        <v>440</v>
      </c>
      <c r="X38" s="3092"/>
      <c r="Y38" s="3093" t="s">
        <v>441</v>
      </c>
      <c r="Z38" s="3098"/>
      <c r="AA38" s="3092"/>
      <c r="AB38" s="3273"/>
      <c r="AC38" s="1279" t="s">
        <v>496</v>
      </c>
      <c r="AD38" s="3093" t="s">
        <v>440</v>
      </c>
      <c r="AE38" s="3092"/>
      <c r="AF38" s="3093" t="s">
        <v>441</v>
      </c>
      <c r="AG38" s="3098"/>
      <c r="AH38" s="3092"/>
      <c r="AI38" s="3273"/>
      <c r="AJ38" s="3276"/>
      <c r="AK38" s="3111"/>
      <c r="AQ38" s="1082">
        <v>34</v>
      </c>
    </row>
    <row r="39" spans="1:43" ht="35.65" customHeight="1">
      <c r="A39" s="1297"/>
      <c r="B39" s="1297" t="s">
        <v>133</v>
      </c>
      <c r="C39" s="1297" t="s">
        <v>134</v>
      </c>
      <c r="D39" s="1297" t="s">
        <v>135</v>
      </c>
      <c r="E39" s="1291" t="s">
        <v>442</v>
      </c>
      <c r="F39" s="1291" t="s">
        <v>443</v>
      </c>
      <c r="G39" s="1291" t="s">
        <v>444</v>
      </c>
      <c r="H39" s="1291"/>
      <c r="I39" s="1291" t="s">
        <v>497</v>
      </c>
      <c r="J39" s="1291" t="s">
        <v>447</v>
      </c>
      <c r="K39" s="1291" t="s">
        <v>498</v>
      </c>
      <c r="L39" s="1291" t="s">
        <v>423</v>
      </c>
      <c r="Q39" s="313"/>
      <c r="R39" s="313"/>
      <c r="S39" s="3268"/>
      <c r="T39" s="3212"/>
      <c r="U39" s="240"/>
      <c r="V39" s="1279" t="s">
        <v>499</v>
      </c>
      <c r="W39" s="1149" t="s">
        <v>500</v>
      </c>
      <c r="X39" s="1149" t="s">
        <v>501</v>
      </c>
      <c r="Y39" s="1284" t="s">
        <v>451</v>
      </c>
      <c r="Z39" s="3217" t="s">
        <v>452</v>
      </c>
      <c r="AA39" s="3231"/>
      <c r="AB39" s="3274"/>
      <c r="AC39" s="1279" t="s">
        <v>499</v>
      </c>
      <c r="AD39" s="1149" t="s">
        <v>500</v>
      </c>
      <c r="AE39" s="1149" t="s">
        <v>501</v>
      </c>
      <c r="AF39" s="1284" t="s">
        <v>451</v>
      </c>
      <c r="AG39" s="3217" t="s">
        <v>452</v>
      </c>
      <c r="AH39" s="3231"/>
      <c r="AI39" s="3274"/>
      <c r="AJ39" s="3277"/>
      <c r="AK39" s="311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280">
        <f ca="1">OFFSET(V40,0,-1)+1</f>
        <v>3</v>
      </c>
      <c r="W40" s="1280">
        <f ca="1">OFFSET(W40,0,-1)+1</f>
        <v>4</v>
      </c>
      <c r="X40" s="1280">
        <f ca="1">OFFSET(X40,0,-1)+1</f>
        <v>5</v>
      </c>
      <c r="Y40" s="1280">
        <f ca="1">OFFSET(Y40,0,-1)+1</f>
        <v>6</v>
      </c>
      <c r="Z40" s="3265">
        <f ca="1">OFFSET(Z40,0,-1)+1</f>
        <v>7</v>
      </c>
      <c r="AA40" s="3265"/>
      <c r="AB40" s="1280">
        <f ca="1">OFFSET(AB40,0,-2)+1</f>
        <v>8</v>
      </c>
      <c r="AC40" s="1280">
        <f ca="1">OFFSET(AC40,0,-1)+1</f>
        <v>9</v>
      </c>
      <c r="AD40" s="1280">
        <f ca="1">OFFSET(AD40,0,-1)+1</f>
        <v>10</v>
      </c>
      <c r="AE40" s="1280">
        <f ca="1">OFFSET(AE40,0,-1)+1</f>
        <v>11</v>
      </c>
      <c r="AF40" s="1280">
        <f ca="1">OFFSET(AF40,0,-1)+1</f>
        <v>12</v>
      </c>
      <c r="AG40" s="3265">
        <f ca="1">OFFSET(AG40,0,-1)+1</f>
        <v>13</v>
      </c>
      <c r="AH40" s="3265"/>
      <c r="AI40" s="1280">
        <f ca="1">OFFSET(AI40,0,-2)+1</f>
        <v>14</v>
      </c>
      <c r="AJ40" s="1172">
        <f ca="1">OFFSET(AJ40,0,-1)</f>
        <v>14</v>
      </c>
      <c r="AK40" s="1280">
        <f ca="1">OFFSET(AK40,0,-1)+1</f>
        <v>15</v>
      </c>
      <c r="AL40" s="448"/>
      <c r="AM40" s="448"/>
      <c r="AN40" s="448"/>
      <c r="AO40" s="448"/>
      <c r="AP40" s="448"/>
      <c r="AQ40" s="433">
        <v>0</v>
      </c>
    </row>
    <row r="41" spans="1:43" ht="24" customHeight="1">
      <c r="A41" s="1290" t="s">
        <v>234</v>
      </c>
      <c r="B41" s="1290"/>
      <c r="C41" s="1290"/>
      <c r="D41" s="1290"/>
      <c r="E41" s="3254">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121</v>
      </c>
      <c r="U41" s="238"/>
      <c r="V41" s="3246"/>
      <c r="W41" s="3247"/>
      <c r="X41" s="3247"/>
      <c r="Y41" s="3247"/>
      <c r="Z41" s="3247"/>
      <c r="AA41" s="3247"/>
      <c r="AB41" s="3248"/>
      <c r="AC41" s="3246" t="str">
        <f>INDEX(PT_DIFFERENTIATION_NTAR,MATCH(A41,PT_DIFFERENTIATION_NTAR_ID,0))</f>
        <v/>
      </c>
      <c r="AD41" s="3247"/>
      <c r="AE41" s="3247"/>
      <c r="AF41" s="3247"/>
      <c r="AG41" s="3247"/>
      <c r="AH41" s="3247"/>
      <c r="AI41" s="3247"/>
      <c r="AJ41" s="324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3255"/>
      <c r="F42" s="3254">
        <v>1</v>
      </c>
      <c r="G42" s="1290"/>
      <c r="H42" s="1290"/>
      <c r="I42" s="1290"/>
      <c r="J42" s="1290"/>
      <c r="K42" s="1290"/>
      <c r="L42" s="1291"/>
      <c r="M42" s="1292"/>
      <c r="N42" s="1292"/>
      <c r="O42" s="1292"/>
      <c r="P42" s="1283"/>
      <c r="Q42" s="289"/>
      <c r="R42" s="290"/>
      <c r="S42" s="1285" t="str">
        <f>INDEX(PT_DIFFERENTIATION_NUM_TER,MATCH(B42,PT_DIFFERENTIATION_TER_ID,0))</f>
        <v>.</v>
      </c>
      <c r="T42" s="246" t="s">
        <v>405</v>
      </c>
      <c r="U42" s="238"/>
      <c r="V42" s="3246"/>
      <c r="W42" s="3247"/>
      <c r="X42" s="3247"/>
      <c r="Y42" s="3247"/>
      <c r="Z42" s="3247"/>
      <c r="AA42" s="3247"/>
      <c r="AB42" s="3248"/>
      <c r="AC42" s="3246" t="str">
        <f>INDEX(PT_DIFFERENTIATION_TER,MATCH(B42,PT_DIFFERENTIATION_TER_ID,0))</f>
        <v/>
      </c>
      <c r="AD42" s="3247"/>
      <c r="AE42" s="3247"/>
      <c r="AF42" s="3247"/>
      <c r="AG42" s="3247"/>
      <c r="AH42" s="3247"/>
      <c r="AI42" s="3247"/>
      <c r="AJ42" s="3248"/>
      <c r="AK42" s="1185" t="s">
        <v>406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3255"/>
      <c r="F43" s="3255"/>
      <c r="G43" s="3254">
        <v>1</v>
      </c>
      <c r="H43" s="1290"/>
      <c r="I43" s="1290"/>
      <c r="J43" s="1290"/>
      <c r="K43" s="1290"/>
      <c r="L43" s="1291"/>
      <c r="M43" s="1292"/>
      <c r="N43" s="1292"/>
      <c r="O43" s="1292"/>
      <c r="P43" s="291"/>
      <c r="Q43" s="289"/>
      <c r="R43" s="290"/>
      <c r="S43" s="1285" t="str">
        <f>INDEX(PT_DIFFERENTIATION_NUM_CS,MATCH(C43,PT_DIFFERENTIATION_CS_ID,0))</f>
        <v>..</v>
      </c>
      <c r="T43" s="247" t="s">
        <v>488</v>
      </c>
      <c r="U43" s="238"/>
      <c r="V43" s="3246"/>
      <c r="W43" s="3247"/>
      <c r="X43" s="3247"/>
      <c r="Y43" s="3247"/>
      <c r="Z43" s="3247"/>
      <c r="AA43" s="3247"/>
      <c r="AB43" s="3248"/>
      <c r="AC43" s="3246" t="str">
        <f>INDEX(PT_DIFFERENTIATION_CS,MATCH(C43,PT_DIFFERENTIATION_CS_ID,0))</f>
        <v/>
      </c>
      <c r="AD43" s="3247"/>
      <c r="AE43" s="3247"/>
      <c r="AF43" s="3247"/>
      <c r="AG43" s="3247"/>
      <c r="AH43" s="3247"/>
      <c r="AI43" s="3247"/>
      <c r="AJ43" s="3248"/>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502</v>
      </c>
      <c r="E44" s="3255"/>
      <c r="F44" s="3255"/>
      <c r="G44" s="3255"/>
      <c r="H44" s="3255"/>
      <c r="I44" s="3256" t="str">
        <f>S43&amp;".1"</f>
        <v>...1</v>
      </c>
      <c r="J44" s="1290"/>
      <c r="K44" s="1290"/>
      <c r="L44" s="1291"/>
      <c r="P44" s="3258">
        <v>1</v>
      </c>
      <c r="Q44" s="1281"/>
      <c r="R44" s="293"/>
      <c r="S44" s="1285" t="str">
        <f>$I44</f>
        <v>...1</v>
      </c>
      <c r="T44" s="223" t="s">
        <v>490</v>
      </c>
      <c r="U44" s="238"/>
      <c r="V44" s="3351"/>
      <c r="W44" s="3352"/>
      <c r="X44" s="3352"/>
      <c r="Y44" s="3352"/>
      <c r="Z44" s="3352"/>
      <c r="AA44" s="3352"/>
      <c r="AB44" s="3353"/>
      <c r="AC44" s="3354"/>
      <c r="AD44" s="3355"/>
      <c r="AE44" s="3355"/>
      <c r="AF44" s="3355"/>
      <c r="AG44" s="3355"/>
      <c r="AH44" s="3355"/>
      <c r="AI44" s="3355"/>
      <c r="AJ44" s="3356"/>
      <c r="AK44" s="1185" t="s">
        <v>491</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502</v>
      </c>
      <c r="E45" s="3255"/>
      <c r="F45" s="3255"/>
      <c r="G45" s="3255"/>
      <c r="H45" s="3255"/>
      <c r="I45" s="3257"/>
      <c r="J45" s="3256" t="str">
        <f>I44&amp;".1"</f>
        <v>...1.1</v>
      </c>
      <c r="K45" s="1290"/>
      <c r="L45" s="1291" t="s">
        <v>414</v>
      </c>
      <c r="P45" s="3258"/>
      <c r="Q45" s="3258">
        <v>1</v>
      </c>
      <c r="R45" s="294"/>
      <c r="S45" s="1285" t="str">
        <f>$J45</f>
        <v>...1.1</v>
      </c>
      <c r="T45" s="224" t="s">
        <v>415</v>
      </c>
      <c r="U45" s="238"/>
      <c r="V45" s="3239"/>
      <c r="W45" s="3240"/>
      <c r="X45" s="3240"/>
      <c r="Y45" s="3240"/>
      <c r="Z45" s="3240"/>
      <c r="AA45" s="3240"/>
      <c r="AB45" s="3241"/>
      <c r="AC45" s="3239"/>
      <c r="AD45" s="3240"/>
      <c r="AE45" s="3240"/>
      <c r="AF45" s="3240"/>
      <c r="AG45" s="3240"/>
      <c r="AH45" s="3240"/>
      <c r="AI45" s="3240"/>
      <c r="AJ45" s="3241"/>
      <c r="AK45" s="1234" t="s">
        <v>492</v>
      </c>
      <c r="AM45" s="437"/>
      <c r="AN45" s="437" t="str">
        <f t="shared" si="1"/>
        <v>Группа потребителей</v>
      </c>
      <c r="AO45" s="437"/>
      <c r="AP45" s="437"/>
      <c r="AQ45" s="1082">
        <v>23</v>
      </c>
    </row>
    <row r="46" spans="1:43" ht="24" customHeight="1">
      <c r="A46" s="1290" t="s">
        <v>234</v>
      </c>
      <c r="B46" s="1290" t="s">
        <v>235</v>
      </c>
      <c r="C46" s="1290" t="s">
        <v>236</v>
      </c>
      <c r="D46" s="1290" t="s">
        <v>502</v>
      </c>
      <c r="E46" s="3255"/>
      <c r="F46" s="3255"/>
      <c r="G46" s="3255"/>
      <c r="H46" s="3255"/>
      <c r="I46" s="3257"/>
      <c r="J46" s="3257"/>
      <c r="K46" s="3256" t="str">
        <f>J45&amp;".1"</f>
        <v>...1.1.1</v>
      </c>
      <c r="L46" s="1291"/>
      <c r="P46" s="3258"/>
      <c r="Q46" s="3258"/>
      <c r="R46" s="294">
        <v>1</v>
      </c>
      <c r="S46" s="1285" t="str">
        <f>$K46</f>
        <v>...1.1.1</v>
      </c>
      <c r="T46" s="1364"/>
      <c r="U46" s="238"/>
      <c r="V46" s="1287"/>
      <c r="W46" s="1287"/>
      <c r="X46" s="1288"/>
      <c r="Y46" s="3251"/>
      <c r="Z46" s="3250" t="s">
        <v>67</v>
      </c>
      <c r="AA46" s="3251"/>
      <c r="AB46" s="3250" t="s">
        <v>67</v>
      </c>
      <c r="AC46" s="688"/>
      <c r="AD46" s="688"/>
      <c r="AE46" s="1184"/>
      <c r="AF46" s="3259"/>
      <c r="AG46" s="3121" t="s">
        <v>67</v>
      </c>
      <c r="AH46" s="3261"/>
      <c r="AI46" s="3121" t="s">
        <v>19</v>
      </c>
      <c r="AJ46" s="1365"/>
      <c r="AK46"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502</v>
      </c>
      <c r="E47" s="3255"/>
      <c r="F47" s="3255"/>
      <c r="G47" s="3255"/>
      <c r="H47" s="3255"/>
      <c r="I47" s="3257"/>
      <c r="J47" s="3257"/>
      <c r="K47" s="3256"/>
      <c r="L47" s="1291"/>
      <c r="P47" s="3258"/>
      <c r="Q47" s="3258"/>
      <c r="R47" s="294"/>
      <c r="S47" s="1286"/>
      <c r="T47" s="238"/>
      <c r="U47" s="238"/>
      <c r="V47" s="1287"/>
      <c r="W47" s="1287"/>
      <c r="X47" s="266" t="str">
        <f>Y46&amp;"-"&amp;AA46</f>
        <v>-</v>
      </c>
      <c r="Y47" s="3250"/>
      <c r="Z47" s="3250"/>
      <c r="AA47" s="3250"/>
      <c r="AB47" s="3250"/>
      <c r="AC47" s="263"/>
      <c r="AD47" s="263"/>
      <c r="AE47" s="266" t="str">
        <f>AF46&amp;"-"&amp;AH46</f>
        <v>-</v>
      </c>
      <c r="AF47" s="3260"/>
      <c r="AG47" s="3121"/>
      <c r="AH47" s="3262"/>
      <c r="AI47" s="3121"/>
      <c r="AJ47" s="1366"/>
      <c r="AK47" s="3357"/>
      <c r="AM47" s="437"/>
      <c r="AN47" s="437" t="str">
        <f t="shared" si="1"/>
        <v/>
      </c>
      <c r="AO47" s="437"/>
      <c r="AP47" s="437"/>
      <c r="AQ47" s="1082">
        <v>0</v>
      </c>
    </row>
    <row r="48" spans="1:43" ht="21" customHeight="1">
      <c r="A48" s="1290" t="s">
        <v>234</v>
      </c>
      <c r="B48" s="1290" t="s">
        <v>235</v>
      </c>
      <c r="C48" s="1290" t="s">
        <v>236</v>
      </c>
      <c r="D48" s="1290" t="s">
        <v>502</v>
      </c>
      <c r="E48" s="3255"/>
      <c r="F48" s="3255"/>
      <c r="G48" s="3255"/>
      <c r="H48" s="3255"/>
      <c r="I48" s="3257"/>
      <c r="J48" s="3256"/>
      <c r="K48" s="1290"/>
      <c r="L48" s="1291"/>
      <c r="P48" s="3258"/>
      <c r="Q48" s="3258"/>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502</v>
      </c>
      <c r="E49" s="3255"/>
      <c r="F49" s="3255"/>
      <c r="G49" s="3255"/>
      <c r="H49" s="3255"/>
      <c r="I49" s="3256"/>
      <c r="J49" s="1290"/>
      <c r="K49" s="1290"/>
      <c r="L49" s="1291"/>
      <c r="P49" s="3258"/>
      <c r="Q49" s="1281"/>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502</v>
      </c>
      <c r="E50" s="3255"/>
      <c r="F50" s="3255"/>
      <c r="G50" s="3255"/>
      <c r="H50" s="3254"/>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3255"/>
      <c r="F51" s="3254"/>
      <c r="G51" s="1241"/>
      <c r="H51" s="1241"/>
      <c r="I51" s="1241"/>
      <c r="J51" s="1241"/>
      <c r="K51" s="1241"/>
      <c r="L51" s="1353"/>
      <c r="M51" s="1248"/>
      <c r="N51" s="1248"/>
      <c r="P51" s="1243"/>
      <c r="Q51" s="1244"/>
      <c r="R51" s="1243"/>
      <c r="S51" s="1249"/>
      <c r="T51" s="1252" t="s">
        <v>167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3254"/>
      <c r="F52" s="1270"/>
      <c r="G52" s="1270"/>
      <c r="H52" s="1270"/>
      <c r="I52" s="1270"/>
      <c r="J52" s="1270"/>
      <c r="K52" s="1270"/>
      <c r="L52" s="1273"/>
      <c r="M52" s="1248"/>
      <c r="N52" s="1248"/>
      <c r="O52" s="455"/>
      <c r="P52" s="317"/>
      <c r="Q52" s="1271"/>
      <c r="R52" s="317"/>
      <c r="S52" s="1249"/>
      <c r="T52" s="1252" t="s">
        <v>168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252"/>
      <c r="U55" s="3252"/>
      <c r="V55" s="3252"/>
      <c r="W55" s="3252"/>
      <c r="X55" s="3252"/>
      <c r="Y55" s="3252"/>
      <c r="Z55" s="3252"/>
      <c r="AA55" s="3252"/>
      <c r="AB55" s="3252"/>
      <c r="AC55" s="3252"/>
      <c r="AD55" s="3252"/>
      <c r="AE55" s="3252"/>
      <c r="AF55" s="3252"/>
      <c r="AG55" s="3252"/>
      <c r="AH55" s="3252"/>
      <c r="AI55" s="3252"/>
      <c r="AJ55" s="3252"/>
      <c r="AK55" s="3252"/>
      <c r="AQ55" s="1082">
        <v>14</v>
      </c>
    </row>
    <row r="56" spans="1:43" ht="14.65" customHeight="1">
      <c r="O56" s="474"/>
      <c r="AQ56" s="1082">
        <v>14</v>
      </c>
    </row>
    <row r="57" spans="1:43" ht="14.65" customHeight="1">
      <c r="O57" s="474"/>
      <c r="S57" s="1180"/>
      <c r="T57" s="3252"/>
      <c r="U57" s="3252"/>
      <c r="V57" s="3252"/>
      <c r="W57" s="3252"/>
      <c r="X57" s="3252"/>
      <c r="Y57" s="3252"/>
      <c r="Z57" s="3252"/>
      <c r="AA57" s="3252"/>
      <c r="AB57" s="3252"/>
      <c r="AC57" s="3252"/>
      <c r="AD57" s="3252"/>
      <c r="AE57" s="3252"/>
      <c r="AF57" s="3252"/>
      <c r="AG57" s="3252"/>
      <c r="AH57" s="3252"/>
      <c r="AI57" s="3252"/>
      <c r="AJ57" s="3252"/>
      <c r="AK57" s="325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88CD-B0CE-3AF6-D54A-91AF580EF32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3254">
        <v>1</v>
      </c>
      <c r="F2" s="1290"/>
      <c r="G2" s="1290"/>
      <c r="H2" s="1290"/>
      <c r="I2" s="1290"/>
      <c r="J2" s="1290"/>
      <c r="K2" s="1290"/>
      <c r="L2" s="1291"/>
      <c r="M2" s="1292"/>
      <c r="N2" s="1292"/>
      <c r="O2" s="1292"/>
      <c r="P2" s="298"/>
      <c r="Q2" s="297"/>
      <c r="R2" s="292"/>
      <c r="S2" s="1384" t="e">
        <f>INDEX(PT_DIFFERENTIATION_NUM_NTAR,MATCH(A2,PT_DIFFERENTIATION_NTAR_ID,0))</f>
        <v>#N/A</v>
      </c>
      <c r="T2" s="236" t="s">
        <v>121</v>
      </c>
      <c r="U2" s="238"/>
      <c r="V2" s="3246"/>
      <c r="W2" s="3247"/>
      <c r="X2" s="3247"/>
      <c r="Y2" s="3247"/>
      <c r="Z2" s="3247"/>
      <c r="AA2" s="3247"/>
      <c r="AB2" s="3248"/>
      <c r="AC2" s="3246" t="e">
        <f>INDEX(PT_DIFFERENTIATION_NTAR,MATCH(A2,PT_DIFFERENTIATION_NTAR_ID,0))</f>
        <v>#N/A</v>
      </c>
      <c r="AD2" s="3247"/>
      <c r="AE2" s="3247"/>
      <c r="AF2" s="3247"/>
      <c r="AG2" s="3247"/>
      <c r="AH2" s="3247"/>
      <c r="AI2" s="3247"/>
      <c r="AJ2" s="324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255"/>
      <c r="F3" s="3254">
        <v>1</v>
      </c>
      <c r="G3" s="1290"/>
      <c r="H3" s="1290"/>
      <c r="I3" s="1290"/>
      <c r="J3" s="1290"/>
      <c r="K3" s="1290"/>
      <c r="L3" s="1291"/>
      <c r="M3" s="1292"/>
      <c r="N3" s="1292"/>
      <c r="O3" s="1292"/>
      <c r="P3" s="1380"/>
      <c r="Q3" s="289"/>
      <c r="R3" s="290"/>
      <c r="S3" s="1384" t="e">
        <f>INDEX(PT_DIFFERENTIATION_NUM_TER,MATCH(B3,PT_DIFFERENTIATION_TER_ID,0))</f>
        <v>#N/A</v>
      </c>
      <c r="T3" s="246" t="s">
        <v>405</v>
      </c>
      <c r="U3" s="238"/>
      <c r="V3" s="3246"/>
      <c r="W3" s="3247"/>
      <c r="X3" s="3247"/>
      <c r="Y3" s="3247"/>
      <c r="Z3" s="3247"/>
      <c r="AA3" s="3247"/>
      <c r="AB3" s="3248"/>
      <c r="AC3" s="3246" t="e">
        <f>INDEX(PT_DIFFERENTIATION_TER,MATCH(B3,PT_DIFFERENTIATION_TER_ID,0))</f>
        <v>#N/A</v>
      </c>
      <c r="AD3" s="3247"/>
      <c r="AE3" s="3247"/>
      <c r="AF3" s="3247"/>
      <c r="AG3" s="3247"/>
      <c r="AH3" s="3247"/>
      <c r="AI3" s="3247"/>
      <c r="AJ3" s="3248"/>
      <c r="AK3" s="1185" t="s">
        <v>406</v>
      </c>
      <c r="AM3" s="437"/>
      <c r="AN3" s="437" t="str">
        <f t="shared" si="0"/>
        <v>Территория действия тарифа</v>
      </c>
      <c r="AO3" s="437"/>
      <c r="AP3" s="437"/>
      <c r="AQ3" s="1082">
        <v>0</v>
      </c>
    </row>
    <row r="4" spans="1:43" ht="23.25" hidden="1" customHeight="1">
      <c r="A4" s="1290"/>
      <c r="B4" s="1290"/>
      <c r="C4" s="1290"/>
      <c r="D4" s="1290"/>
      <c r="E4" s="3255"/>
      <c r="F4" s="3255"/>
      <c r="G4" s="3254">
        <v>1</v>
      </c>
      <c r="H4" s="1290"/>
      <c r="I4" s="1290"/>
      <c r="J4" s="1290"/>
      <c r="K4" s="1290"/>
      <c r="L4" s="1291"/>
      <c r="M4" s="1292"/>
      <c r="N4" s="1292"/>
      <c r="O4" s="1292"/>
      <c r="P4" s="291"/>
      <c r="Q4" s="289"/>
      <c r="R4" s="290"/>
      <c r="S4" s="1384" t="e">
        <f>INDEX(PT_DIFFERENTIATION_NUM_CS,MATCH(C4,PT_DIFFERENTIATION_CS_ID,0))</f>
        <v>#N/A</v>
      </c>
      <c r="T4" s="247" t="s">
        <v>488</v>
      </c>
      <c r="U4" s="238"/>
      <c r="V4" s="3246"/>
      <c r="W4" s="3247"/>
      <c r="X4" s="3247"/>
      <c r="Y4" s="3247"/>
      <c r="Z4" s="3247"/>
      <c r="AA4" s="3247"/>
      <c r="AB4" s="3248"/>
      <c r="AC4" s="3246" t="e">
        <f>INDEX(PT_DIFFERENTIATION_CS,MATCH(C4,PT_DIFFERENTIATION_CS_ID,0))</f>
        <v>#N/A</v>
      </c>
      <c r="AD4" s="3247"/>
      <c r="AE4" s="3247"/>
      <c r="AF4" s="3247"/>
      <c r="AG4" s="3247"/>
      <c r="AH4" s="3247"/>
      <c r="AI4" s="3247"/>
      <c r="AJ4" s="3248"/>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255"/>
      <c r="F5" s="3255"/>
      <c r="G5" s="3255"/>
      <c r="H5" s="3255"/>
      <c r="I5" s="3256" t="e">
        <f>S4&amp;".1"</f>
        <v>#N/A</v>
      </c>
      <c r="J5" s="1290"/>
      <c r="K5" s="1290"/>
      <c r="L5" s="1291"/>
      <c r="P5" s="3258">
        <v>1</v>
      </c>
      <c r="Q5" s="1377"/>
      <c r="R5" s="293"/>
      <c r="S5" s="1384" t="e">
        <f>$I5</f>
        <v>#N/A</v>
      </c>
      <c r="T5" s="223" t="s">
        <v>490</v>
      </c>
      <c r="U5" s="238"/>
      <c r="V5" s="3351"/>
      <c r="W5" s="3352"/>
      <c r="X5" s="3352"/>
      <c r="Y5" s="3352"/>
      <c r="Z5" s="3352"/>
      <c r="AA5" s="3352"/>
      <c r="AB5" s="3353"/>
      <c r="AC5" s="3354"/>
      <c r="AD5" s="3355"/>
      <c r="AE5" s="3355"/>
      <c r="AF5" s="3355"/>
      <c r="AG5" s="3355"/>
      <c r="AH5" s="3355"/>
      <c r="AI5" s="3355"/>
      <c r="AJ5" s="3356"/>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3255"/>
      <c r="F6" s="3255"/>
      <c r="G6" s="3255"/>
      <c r="H6" s="3255"/>
      <c r="I6" s="3257"/>
      <c r="J6" s="3256" t="e">
        <f>I5&amp;".1"</f>
        <v>#N/A</v>
      </c>
      <c r="K6" s="1290"/>
      <c r="L6" s="1291" t="s">
        <v>414</v>
      </c>
      <c r="P6" s="3258"/>
      <c r="Q6" s="3258">
        <v>1</v>
      </c>
      <c r="R6" s="294"/>
      <c r="S6" s="1384" t="e">
        <f>$J6</f>
        <v>#N/A</v>
      </c>
      <c r="T6" s="224" t="s">
        <v>415</v>
      </c>
      <c r="U6" s="238"/>
      <c r="V6" s="3239"/>
      <c r="W6" s="3240"/>
      <c r="X6" s="3240"/>
      <c r="Y6" s="3240"/>
      <c r="Z6" s="3240"/>
      <c r="AA6" s="3240"/>
      <c r="AB6" s="3241"/>
      <c r="AC6" s="3239"/>
      <c r="AD6" s="3240"/>
      <c r="AE6" s="3240"/>
      <c r="AF6" s="3240"/>
      <c r="AG6" s="3240"/>
      <c r="AH6" s="3240"/>
      <c r="AI6" s="3240"/>
      <c r="AJ6" s="3241"/>
      <c r="AK6" s="1234" t="s">
        <v>492</v>
      </c>
      <c r="AM6" s="437"/>
      <c r="AN6" s="437" t="str">
        <f t="shared" si="0"/>
        <v>Группа потребителей</v>
      </c>
      <c r="AO6" s="437"/>
      <c r="AP6" s="437"/>
      <c r="AQ6" s="1082">
        <v>0</v>
      </c>
    </row>
    <row r="7" spans="1:43" ht="23.25" hidden="1" customHeight="1">
      <c r="A7" s="1290"/>
      <c r="B7" s="1290"/>
      <c r="C7" s="1290"/>
      <c r="D7" s="1290"/>
      <c r="E7" s="3255"/>
      <c r="F7" s="3255"/>
      <c r="G7" s="3255"/>
      <c r="H7" s="3255"/>
      <c r="I7" s="3257"/>
      <c r="J7" s="3257"/>
      <c r="K7" s="3256" t="e">
        <f>J6&amp;".1"</f>
        <v>#N/A</v>
      </c>
      <c r="L7" s="1291"/>
      <c r="P7" s="3258"/>
      <c r="Q7" s="3258"/>
      <c r="R7" s="294">
        <v>1</v>
      </c>
      <c r="S7" s="1384" t="e">
        <f>$K7</f>
        <v>#N/A</v>
      </c>
      <c r="T7" s="1364"/>
      <c r="U7" s="238"/>
      <c r="V7" s="688"/>
      <c r="W7" s="688"/>
      <c r="X7" s="1184"/>
      <c r="Y7" s="3259"/>
      <c r="Z7" s="3121" t="s">
        <v>67</v>
      </c>
      <c r="AA7" s="3259"/>
      <c r="AB7" s="3121" t="s">
        <v>67</v>
      </c>
      <c r="AC7" s="688"/>
      <c r="AD7" s="688"/>
      <c r="AE7" s="1184"/>
      <c r="AF7" s="3259"/>
      <c r="AG7" s="3121" t="s">
        <v>67</v>
      </c>
      <c r="AH7" s="3261"/>
      <c r="AI7" s="3121" t="s">
        <v>67</v>
      </c>
      <c r="AJ7" s="1365"/>
      <c r="AK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255"/>
      <c r="F8" s="3255"/>
      <c r="G8" s="3255"/>
      <c r="H8" s="3255"/>
      <c r="I8" s="3257"/>
      <c r="J8" s="3257"/>
      <c r="K8" s="3256"/>
      <c r="L8" s="1291"/>
      <c r="P8" s="3258"/>
      <c r="Q8" s="3258"/>
      <c r="R8" s="294"/>
      <c r="S8" s="1383"/>
      <c r="T8" s="238"/>
      <c r="U8" s="238"/>
      <c r="V8" s="263"/>
      <c r="W8" s="263"/>
      <c r="X8" s="266" t="str">
        <f>Y7&amp;"-"&amp;AA7</f>
        <v>-</v>
      </c>
      <c r="Y8" s="3260"/>
      <c r="Z8" s="3121"/>
      <c r="AA8" s="3260"/>
      <c r="AB8" s="3121"/>
      <c r="AC8" s="263"/>
      <c r="AD8" s="263"/>
      <c r="AE8" s="266" t="str">
        <f>AF7&amp;"-"&amp;AH7</f>
        <v>-</v>
      </c>
      <c r="AF8" s="3260"/>
      <c r="AG8" s="3121"/>
      <c r="AH8" s="3262"/>
      <c r="AI8" s="3121"/>
      <c r="AJ8" s="1366"/>
      <c r="AK8" s="3357"/>
      <c r="AM8" s="437"/>
      <c r="AN8" s="437" t="str">
        <f t="shared" si="0"/>
        <v/>
      </c>
      <c r="AO8" s="437"/>
      <c r="AP8" s="437"/>
      <c r="AQ8" s="1082">
        <v>0</v>
      </c>
    </row>
    <row r="9" spans="1:43" ht="21" hidden="1" customHeight="1">
      <c r="A9" s="1290"/>
      <c r="B9" s="1290"/>
      <c r="C9" s="1290"/>
      <c r="D9" s="1290"/>
      <c r="E9" s="3255"/>
      <c r="F9" s="3255"/>
      <c r="G9" s="3255"/>
      <c r="H9" s="3255"/>
      <c r="I9" s="3257"/>
      <c r="J9" s="3256"/>
      <c r="K9" s="1290"/>
      <c r="L9" s="1291"/>
      <c r="P9" s="3258"/>
      <c r="Q9" s="3258"/>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255"/>
      <c r="F10" s="3255"/>
      <c r="G10" s="3255"/>
      <c r="H10" s="3255"/>
      <c r="I10" s="3256"/>
      <c r="J10" s="1290"/>
      <c r="K10" s="1290"/>
      <c r="L10" s="1291"/>
      <c r="P10" s="3258"/>
      <c r="Q10" s="1377"/>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255"/>
      <c r="F12" s="3254"/>
      <c r="G12" s="1241"/>
      <c r="H12" s="1241"/>
      <c r="I12" s="1241"/>
      <c r="J12" s="1241"/>
      <c r="K12" s="1241"/>
      <c r="L12" s="1385"/>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3251"/>
      <c r="AG15" s="3250" t="s">
        <v>67</v>
      </c>
      <c r="AH15" s="3251"/>
      <c r="AI15" s="3250" t="s">
        <v>67</v>
      </c>
      <c r="AQ15" s="1082">
        <v>0</v>
      </c>
    </row>
    <row r="16" spans="1:43" ht="14.25" hidden="1" customHeight="1">
      <c r="AC16" s="1287"/>
      <c r="AD16" s="1287"/>
      <c r="AE16" s="266" t="str">
        <f>AF15&amp;"-"&amp;AH15</f>
        <v>-</v>
      </c>
      <c r="AF16" s="3250"/>
      <c r="AG16" s="3250"/>
      <c r="AH16" s="3250"/>
      <c r="AI16" s="3250"/>
      <c r="AQ16" s="1082">
        <v>0</v>
      </c>
    </row>
    <row r="17" spans="1:43" ht="14.25" hidden="1" customHeight="1">
      <c r="AI17" s="265"/>
      <c r="AQ17" s="1082">
        <v>0</v>
      </c>
    </row>
    <row r="18" spans="1:43" s="1293" customFormat="1" ht="22.5" hidden="1" customHeight="1">
      <c r="L18" s="1374"/>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2"/>
      <c r="U24" s="3232"/>
      <c r="V24" s="3232"/>
      <c r="W24" s="3232"/>
      <c r="X24" s="3232"/>
      <c r="Y24" s="3232"/>
      <c r="Z24" s="3232"/>
      <c r="AA24" s="3232"/>
      <c r="AB24" s="3232"/>
      <c r="AC24" s="3232"/>
      <c r="AD24" s="3232"/>
      <c r="AE24" s="3232"/>
      <c r="AF24" s="3232"/>
      <c r="AG24" s="3232"/>
      <c r="AH24" s="3232"/>
      <c r="AI24" s="1170"/>
      <c r="AQ24" s="1082">
        <v>14</v>
      </c>
    </row>
    <row r="25" spans="1:43"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264"/>
      <c r="AC27" s="3245" t="str">
        <f>IF(TITLE_NAME_OR_PR_CHANGE="",IF(TITLE_NAME_OR_PR="","",TITLE_NAME_OR_PR),TITLE_NAME_OR_PR_CHANGE)</f>
        <v/>
      </c>
      <c r="AD27" s="3245"/>
      <c r="AE27" s="3245"/>
      <c r="AF27" s="3245"/>
      <c r="AG27" s="3245"/>
      <c r="AH27" s="324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264"/>
      <c r="AC28" s="3244">
        <f>IF(TITLE_DATE_PR_CHANGE="",IF(TITLE_DATE_PR="","",TITLE_DATE_PR),TITLE_DATE_PR_CHANGE)</f>
        <v>45595.546053240738</v>
      </c>
      <c r="AD28" s="3244"/>
      <c r="AE28" s="3244"/>
      <c r="AF28" s="3244"/>
      <c r="AG28" s="3244"/>
      <c r="AH28" s="324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264"/>
      <c r="AC29" s="3245" t="str">
        <f>IF(TITLE_NUMBER_PR_CHANGE="",IF(TITLE_NUMBER_PR="","",TITLE_NUMBER_PR),TITLE_NUMBER_PR_CHANGE)</f>
        <v>03/3636</v>
      </c>
      <c r="AD29" s="3245"/>
      <c r="AE29" s="3245"/>
      <c r="AF29" s="3245"/>
      <c r="AG29" s="3245"/>
      <c r="AH29" s="324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264"/>
      <c r="AC30" s="3245" t="str">
        <f>IF(TITLE_IST_PUB_CHANGE="",IF(TITLE_IST_PUB="","",TITLE_IST_PUB),TITLE_IST_PUB_CHANGE)</f>
        <v/>
      </c>
      <c r="AD30" s="3245"/>
      <c r="AE30" s="3245"/>
      <c r="AF30" s="3245"/>
      <c r="AG30" s="3245"/>
      <c r="AH30" s="324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264"/>
      <c r="AC32" s="3244">
        <f>IF(TITLE_DATE_PR_CHANGE="",IF(TITLE_DATE_PR="","",TITLE_DATE_PR),TITLE_DATE_PR_CHANGE)</f>
        <v>45595.546053240738</v>
      </c>
      <c r="AD32" s="3244"/>
      <c r="AE32" s="3244"/>
      <c r="AF32" s="3244"/>
      <c r="AG32" s="3244"/>
      <c r="AH32" s="324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264"/>
      <c r="AC33" s="3245" t="str">
        <f>IF(TITLE_NUMBER_PR_CHANGE="",IF(TITLE_NUMBER_PR="","",TITLE_NUMBER_PR),TITLE_NUMBER_PR_CHANGE)</f>
        <v>03/3636</v>
      </c>
      <c r="AD33" s="3245"/>
      <c r="AE33" s="3245"/>
      <c r="AF33" s="3245"/>
      <c r="AG33" s="3245"/>
      <c r="AH33" s="324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432</v>
      </c>
      <c r="AC34" s="264"/>
      <c r="AD34" s="264"/>
      <c r="AE34" s="264"/>
      <c r="AF34" s="264"/>
      <c r="AG34" s="264"/>
      <c r="AH34" s="264"/>
      <c r="AI34" s="216" t="s">
        <v>432</v>
      </c>
      <c r="AL34" s="305"/>
      <c r="AM34" s="305"/>
      <c r="AN34" s="305"/>
      <c r="AO34" s="305"/>
      <c r="AP34" s="305"/>
      <c r="AQ34" s="355">
        <v>1</v>
      </c>
    </row>
    <row r="35" spans="1:43" ht="14.65" customHeight="1">
      <c r="Q35" s="313"/>
      <c r="R35" s="313"/>
      <c r="S35" s="1202"/>
      <c r="T35" s="300"/>
      <c r="U35" s="1171"/>
      <c r="V35" s="3266"/>
      <c r="W35" s="3266"/>
      <c r="X35" s="3266"/>
      <c r="Y35" s="3266"/>
      <c r="Z35" s="3266"/>
      <c r="AA35" s="3266"/>
      <c r="AB35" s="3266"/>
      <c r="AC35" s="3266"/>
      <c r="AD35" s="3266"/>
      <c r="AE35" s="3266"/>
      <c r="AF35" s="3266"/>
      <c r="AG35" s="3266"/>
      <c r="AH35" s="3266"/>
      <c r="AI35" s="3266"/>
      <c r="AQ35" s="1082">
        <v>14</v>
      </c>
    </row>
    <row r="36" spans="1:43"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t="s">
        <v>309</v>
      </c>
      <c r="AQ36" s="1082">
        <v>14</v>
      </c>
    </row>
    <row r="37" spans="1:43" ht="14.65" customHeight="1">
      <c r="Q37" s="313"/>
      <c r="R37" s="313"/>
      <c r="S37" s="3268" t="s">
        <v>85</v>
      </c>
      <c r="T37" s="3212" t="s">
        <v>433</v>
      </c>
      <c r="U37" s="239"/>
      <c r="V37" s="3269" t="s">
        <v>434</v>
      </c>
      <c r="W37" s="3270"/>
      <c r="X37" s="3270"/>
      <c r="Y37" s="3270"/>
      <c r="Z37" s="3270"/>
      <c r="AA37" s="3271"/>
      <c r="AB37" s="3272" t="s">
        <v>435</v>
      </c>
      <c r="AC37" s="3269" t="s">
        <v>434</v>
      </c>
      <c r="AD37" s="3270"/>
      <c r="AE37" s="3270"/>
      <c r="AF37" s="3270"/>
      <c r="AG37" s="3270"/>
      <c r="AH37" s="3271"/>
      <c r="AI37" s="3272" t="s">
        <v>436</v>
      </c>
      <c r="AJ37" s="3275" t="s">
        <v>437</v>
      </c>
      <c r="AK37" s="3111"/>
      <c r="AQ37" s="1082">
        <v>14</v>
      </c>
    </row>
    <row r="38" spans="1:43" ht="35.65" customHeight="1">
      <c r="Q38" s="313"/>
      <c r="R38" s="313"/>
      <c r="S38" s="3268"/>
      <c r="T38" s="3212"/>
      <c r="U38" s="961"/>
      <c r="V38" s="1379" t="s">
        <v>496</v>
      </c>
      <c r="W38" s="3093" t="s">
        <v>440</v>
      </c>
      <c r="X38" s="3092"/>
      <c r="Y38" s="3093" t="s">
        <v>441</v>
      </c>
      <c r="Z38" s="3098"/>
      <c r="AA38" s="3092"/>
      <c r="AB38" s="3273"/>
      <c r="AC38" s="1379" t="s">
        <v>496</v>
      </c>
      <c r="AD38" s="3093" t="s">
        <v>440</v>
      </c>
      <c r="AE38" s="3092"/>
      <c r="AF38" s="3093" t="s">
        <v>441</v>
      </c>
      <c r="AG38" s="3098"/>
      <c r="AH38" s="3092"/>
      <c r="AI38" s="3273"/>
      <c r="AJ38" s="3276"/>
      <c r="AK38" s="3111"/>
      <c r="AQ38" s="1082">
        <v>34</v>
      </c>
    </row>
    <row r="39" spans="1:43" ht="35.65" customHeight="1">
      <c r="A39" s="1297"/>
      <c r="B39" s="1297" t="s">
        <v>133</v>
      </c>
      <c r="C39" s="1297" t="s">
        <v>134</v>
      </c>
      <c r="D39" s="1297" t="s">
        <v>135</v>
      </c>
      <c r="E39" s="1291" t="s">
        <v>442</v>
      </c>
      <c r="F39" s="1291" t="s">
        <v>443</v>
      </c>
      <c r="G39" s="1291" t="s">
        <v>444</v>
      </c>
      <c r="H39" s="1291"/>
      <c r="I39" s="1291" t="s">
        <v>497</v>
      </c>
      <c r="J39" s="1291" t="s">
        <v>447</v>
      </c>
      <c r="K39" s="1291" t="s">
        <v>498</v>
      </c>
      <c r="L39" s="1291" t="s">
        <v>423</v>
      </c>
      <c r="Q39" s="313"/>
      <c r="R39" s="313"/>
      <c r="S39" s="3268"/>
      <c r="T39" s="3212"/>
      <c r="U39" s="240"/>
      <c r="V39" s="1379" t="s">
        <v>499</v>
      </c>
      <c r="W39" s="1149" t="s">
        <v>500</v>
      </c>
      <c r="X39" s="1149" t="s">
        <v>501</v>
      </c>
      <c r="Y39" s="1382" t="s">
        <v>451</v>
      </c>
      <c r="Z39" s="3217" t="s">
        <v>452</v>
      </c>
      <c r="AA39" s="3231"/>
      <c r="AB39" s="3274"/>
      <c r="AC39" s="1379" t="s">
        <v>499</v>
      </c>
      <c r="AD39" s="1149" t="s">
        <v>500</v>
      </c>
      <c r="AE39" s="1149" t="s">
        <v>501</v>
      </c>
      <c r="AF39" s="1382" t="s">
        <v>451</v>
      </c>
      <c r="AG39" s="3217" t="s">
        <v>452</v>
      </c>
      <c r="AH39" s="3231"/>
      <c r="AI39" s="3274"/>
      <c r="AJ39" s="3277"/>
      <c r="AK39" s="31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3265">
        <f ca="1">OFFSET(Z40,0,-1)+1</f>
        <v>7</v>
      </c>
      <c r="AA40" s="3265"/>
      <c r="AB40" s="1378">
        <f ca="1">OFFSET(AB40,0,-2)+1</f>
        <v>8</v>
      </c>
      <c r="AC40" s="1378">
        <f ca="1">OFFSET(AC40,0,-1)+1</f>
        <v>9</v>
      </c>
      <c r="AD40" s="1378">
        <f ca="1">OFFSET(AD40,0,-1)+1</f>
        <v>10</v>
      </c>
      <c r="AE40" s="1378">
        <f ca="1">OFFSET(AE40,0,-1)+1</f>
        <v>11</v>
      </c>
      <c r="AF40" s="1378">
        <f ca="1">OFFSET(AF40,0,-1)+1</f>
        <v>12</v>
      </c>
      <c r="AG40" s="3265">
        <f ca="1">OFFSET(AG40,0,-1)+1</f>
        <v>13</v>
      </c>
      <c r="AH40" s="3265"/>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325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121</v>
      </c>
      <c r="U41" s="238"/>
      <c r="V41" s="3246"/>
      <c r="W41" s="3247"/>
      <c r="X41" s="3247"/>
      <c r="Y41" s="3247"/>
      <c r="Z41" s="3247"/>
      <c r="AA41" s="3247"/>
      <c r="AB41" s="3248"/>
      <c r="AC41" s="3246" t="str">
        <f>INDEX(PT_DIFFERENTIATION_NTAR,MATCH(A41,PT_DIFFERENTIATION_NTAR_ID,0))</f>
        <v/>
      </c>
      <c r="AD41" s="3247"/>
      <c r="AE41" s="3247"/>
      <c r="AF41" s="3247"/>
      <c r="AG41" s="3247"/>
      <c r="AH41" s="3247"/>
      <c r="AI41" s="3247"/>
      <c r="AJ41" s="324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3255"/>
      <c r="F42" s="3254">
        <v>1</v>
      </c>
      <c r="G42" s="1290"/>
      <c r="H42" s="1290"/>
      <c r="I42" s="1290"/>
      <c r="J42" s="1290"/>
      <c r="K42" s="1290"/>
      <c r="L42" s="1291"/>
      <c r="M42" s="1292"/>
      <c r="N42" s="1292"/>
      <c r="O42" s="1292"/>
      <c r="P42" s="1380"/>
      <c r="Q42" s="289"/>
      <c r="R42" s="290"/>
      <c r="S42" s="1384" t="str">
        <f>INDEX(PT_DIFFERENTIATION_NUM_TER,MATCH(B42,PT_DIFFERENTIATION_TER_ID,0))</f>
        <v>.</v>
      </c>
      <c r="T42" s="246" t="s">
        <v>405</v>
      </c>
      <c r="U42" s="238"/>
      <c r="V42" s="3246"/>
      <c r="W42" s="3247"/>
      <c r="X42" s="3247"/>
      <c r="Y42" s="3247"/>
      <c r="Z42" s="3247"/>
      <c r="AA42" s="3247"/>
      <c r="AB42" s="3248"/>
      <c r="AC42" s="3246" t="str">
        <f>INDEX(PT_DIFFERENTIATION_TER,MATCH(B42,PT_DIFFERENTIATION_TER_ID,0))</f>
        <v/>
      </c>
      <c r="AD42" s="3247"/>
      <c r="AE42" s="3247"/>
      <c r="AF42" s="3247"/>
      <c r="AG42" s="3247"/>
      <c r="AH42" s="3247"/>
      <c r="AI42" s="3247"/>
      <c r="AJ42" s="3248"/>
      <c r="AK42" s="1185" t="s">
        <v>406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3255"/>
      <c r="F43" s="3255"/>
      <c r="G43" s="3254">
        <v>1</v>
      </c>
      <c r="H43" s="1290"/>
      <c r="I43" s="1290"/>
      <c r="J43" s="1290"/>
      <c r="K43" s="1290"/>
      <c r="L43" s="1291"/>
      <c r="M43" s="1292"/>
      <c r="N43" s="1292"/>
      <c r="O43" s="1292"/>
      <c r="P43" s="291"/>
      <c r="Q43" s="289"/>
      <c r="R43" s="290"/>
      <c r="S43" s="1384" t="str">
        <f>INDEX(PT_DIFFERENTIATION_NUM_CS,MATCH(C43,PT_DIFFERENTIATION_CS_ID,0))</f>
        <v>..</v>
      </c>
      <c r="T43" s="247" t="s">
        <v>488</v>
      </c>
      <c r="U43" s="238"/>
      <c r="V43" s="3246"/>
      <c r="W43" s="3247"/>
      <c r="X43" s="3247"/>
      <c r="Y43" s="3247"/>
      <c r="Z43" s="3247"/>
      <c r="AA43" s="3247"/>
      <c r="AB43" s="3248"/>
      <c r="AC43" s="3246" t="str">
        <f>INDEX(PT_DIFFERENTIATION_CS,MATCH(C43,PT_DIFFERENTIATION_CS_ID,0))</f>
        <v/>
      </c>
      <c r="AD43" s="3247"/>
      <c r="AE43" s="3247"/>
      <c r="AF43" s="3247"/>
      <c r="AG43" s="3247"/>
      <c r="AH43" s="3247"/>
      <c r="AI43" s="3247"/>
      <c r="AJ43" s="3248"/>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503</v>
      </c>
      <c r="E44" s="3255"/>
      <c r="F44" s="3255"/>
      <c r="G44" s="3255"/>
      <c r="H44" s="3255"/>
      <c r="I44" s="3256" t="str">
        <f>S43&amp;".1"</f>
        <v>...1</v>
      </c>
      <c r="J44" s="1290"/>
      <c r="K44" s="1290"/>
      <c r="L44" s="1291"/>
      <c r="P44" s="3258">
        <v>1</v>
      </c>
      <c r="Q44" s="1377"/>
      <c r="R44" s="293"/>
      <c r="S44" s="1384" t="str">
        <f>$I44</f>
        <v>...1</v>
      </c>
      <c r="T44" s="223" t="s">
        <v>490</v>
      </c>
      <c r="U44" s="238"/>
      <c r="V44" s="3351"/>
      <c r="W44" s="3352"/>
      <c r="X44" s="3352"/>
      <c r="Y44" s="3352"/>
      <c r="Z44" s="3352"/>
      <c r="AA44" s="3352"/>
      <c r="AB44" s="3353"/>
      <c r="AC44" s="3354"/>
      <c r="AD44" s="3355"/>
      <c r="AE44" s="3355"/>
      <c r="AF44" s="3355"/>
      <c r="AG44" s="3355"/>
      <c r="AH44" s="3355"/>
      <c r="AI44" s="3355"/>
      <c r="AJ44" s="3356"/>
      <c r="AK44" s="1185" t="s">
        <v>491</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503</v>
      </c>
      <c r="E45" s="3255"/>
      <c r="F45" s="3255"/>
      <c r="G45" s="3255"/>
      <c r="H45" s="3255"/>
      <c r="I45" s="3257"/>
      <c r="J45" s="3256" t="str">
        <f>I44&amp;".1"</f>
        <v>...1.1</v>
      </c>
      <c r="K45" s="1290"/>
      <c r="L45" s="1291" t="s">
        <v>414</v>
      </c>
      <c r="P45" s="3258"/>
      <c r="Q45" s="3258">
        <v>1</v>
      </c>
      <c r="R45" s="294"/>
      <c r="S45" s="1384" t="str">
        <f>$J45</f>
        <v>...1.1</v>
      </c>
      <c r="T45" s="224" t="s">
        <v>415</v>
      </c>
      <c r="U45" s="238"/>
      <c r="V45" s="3239"/>
      <c r="W45" s="3240"/>
      <c r="X45" s="3240"/>
      <c r="Y45" s="3240"/>
      <c r="Z45" s="3240"/>
      <c r="AA45" s="3240"/>
      <c r="AB45" s="3241"/>
      <c r="AC45" s="3239"/>
      <c r="AD45" s="3240"/>
      <c r="AE45" s="3240"/>
      <c r="AF45" s="3240"/>
      <c r="AG45" s="3240"/>
      <c r="AH45" s="3240"/>
      <c r="AI45" s="3240"/>
      <c r="AJ45" s="3241"/>
      <c r="AK45" s="1234" t="s">
        <v>492</v>
      </c>
      <c r="AM45" s="437"/>
      <c r="AN45" s="437" t="str">
        <f t="shared" si="1"/>
        <v>Группа потребителей</v>
      </c>
      <c r="AO45" s="437"/>
      <c r="AP45" s="437"/>
      <c r="AQ45" s="1082">
        <v>23</v>
      </c>
    </row>
    <row r="46" spans="1:43" ht="24" customHeight="1">
      <c r="A46" s="1290" t="s">
        <v>239</v>
      </c>
      <c r="B46" s="1290" t="s">
        <v>240</v>
      </c>
      <c r="C46" s="1290" t="s">
        <v>241</v>
      </c>
      <c r="D46" s="1290" t="s">
        <v>503</v>
      </c>
      <c r="E46" s="3255"/>
      <c r="F46" s="3255"/>
      <c r="G46" s="3255"/>
      <c r="H46" s="3255"/>
      <c r="I46" s="3257"/>
      <c r="J46" s="3257"/>
      <c r="K46" s="3256" t="str">
        <f>J45&amp;".1"</f>
        <v>...1.1.1</v>
      </c>
      <c r="L46" s="1291"/>
      <c r="P46" s="3258"/>
      <c r="Q46" s="3258"/>
      <c r="R46" s="294">
        <v>1</v>
      </c>
      <c r="S46" s="1384" t="str">
        <f>$K46</f>
        <v>...1.1.1</v>
      </c>
      <c r="T46" s="1364"/>
      <c r="U46" s="238"/>
      <c r="V46" s="688"/>
      <c r="W46" s="688"/>
      <c r="X46" s="1184"/>
      <c r="Y46" s="3259"/>
      <c r="Z46" s="3121" t="s">
        <v>67</v>
      </c>
      <c r="AA46" s="3259"/>
      <c r="AB46" s="3121" t="s">
        <v>67</v>
      </c>
      <c r="AC46" s="688"/>
      <c r="AD46" s="688"/>
      <c r="AE46" s="1184"/>
      <c r="AF46" s="3259"/>
      <c r="AG46" s="3121" t="s">
        <v>67</v>
      </c>
      <c r="AH46" s="3261"/>
      <c r="AI46" s="3121" t="s">
        <v>67</v>
      </c>
      <c r="AJ46" s="1365"/>
      <c r="AK46"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503</v>
      </c>
      <c r="E47" s="3255"/>
      <c r="F47" s="3255"/>
      <c r="G47" s="3255"/>
      <c r="H47" s="3255"/>
      <c r="I47" s="3257"/>
      <c r="J47" s="3257"/>
      <c r="K47" s="3256"/>
      <c r="L47" s="1291"/>
      <c r="P47" s="3258"/>
      <c r="Q47" s="3258"/>
      <c r="R47" s="294"/>
      <c r="S47" s="1383"/>
      <c r="T47" s="238"/>
      <c r="U47" s="238"/>
      <c r="V47" s="263"/>
      <c r="W47" s="263"/>
      <c r="X47" s="266" t="str">
        <f>Y46&amp;"-"&amp;AA46</f>
        <v>-</v>
      </c>
      <c r="Y47" s="3260"/>
      <c r="Z47" s="3121"/>
      <c r="AA47" s="3260"/>
      <c r="AB47" s="3121"/>
      <c r="AC47" s="263"/>
      <c r="AD47" s="263"/>
      <c r="AE47" s="266" t="str">
        <f>AF46&amp;"-"&amp;AH46</f>
        <v>-</v>
      </c>
      <c r="AF47" s="3260"/>
      <c r="AG47" s="3121"/>
      <c r="AH47" s="3262"/>
      <c r="AI47" s="3121"/>
      <c r="AJ47" s="1366"/>
      <c r="AK47" s="3357"/>
      <c r="AM47" s="437"/>
      <c r="AN47" s="437" t="str">
        <f t="shared" si="1"/>
        <v/>
      </c>
      <c r="AO47" s="437"/>
      <c r="AP47" s="437"/>
      <c r="AQ47" s="1082">
        <v>0</v>
      </c>
    </row>
    <row r="48" spans="1:43" ht="21" customHeight="1">
      <c r="A48" s="1290" t="s">
        <v>239</v>
      </c>
      <c r="B48" s="1290" t="s">
        <v>240</v>
      </c>
      <c r="C48" s="1290" t="s">
        <v>241</v>
      </c>
      <c r="D48" s="1290" t="s">
        <v>503</v>
      </c>
      <c r="E48" s="3255"/>
      <c r="F48" s="3255"/>
      <c r="G48" s="3255"/>
      <c r="H48" s="3255"/>
      <c r="I48" s="3257"/>
      <c r="J48" s="3256"/>
      <c r="K48" s="1290"/>
      <c r="L48" s="1291"/>
      <c r="P48" s="3258"/>
      <c r="Q48" s="3258"/>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503</v>
      </c>
      <c r="E49" s="3255"/>
      <c r="F49" s="3255"/>
      <c r="G49" s="3255"/>
      <c r="H49" s="3255"/>
      <c r="I49" s="3256"/>
      <c r="J49" s="1290"/>
      <c r="K49" s="1290"/>
      <c r="L49" s="1291"/>
      <c r="P49" s="3258"/>
      <c r="Q49" s="1377"/>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503</v>
      </c>
      <c r="E50" s="3255"/>
      <c r="F50" s="3255"/>
      <c r="G50" s="3255"/>
      <c r="H50" s="3254"/>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3255"/>
      <c r="F51" s="3254"/>
      <c r="G51" s="1241"/>
      <c r="H51" s="1241"/>
      <c r="I51" s="1241"/>
      <c r="J51" s="1241"/>
      <c r="K51" s="1241"/>
      <c r="L51" s="1385"/>
      <c r="M51" s="1248"/>
      <c r="N51" s="1248"/>
      <c r="P51" s="1243"/>
      <c r="Q51" s="1244"/>
      <c r="R51" s="1243"/>
      <c r="S51" s="1249"/>
      <c r="T51" s="1252" t="s">
        <v>167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3254"/>
      <c r="F52" s="1270"/>
      <c r="G52" s="1270"/>
      <c r="H52" s="1270"/>
      <c r="I52" s="1270"/>
      <c r="J52" s="1270"/>
      <c r="K52" s="1270"/>
      <c r="L52" s="1273"/>
      <c r="M52" s="1248"/>
      <c r="N52" s="1248"/>
      <c r="O52" s="455"/>
      <c r="P52" s="317"/>
      <c r="Q52" s="1271"/>
      <c r="R52" s="317"/>
      <c r="S52" s="1249"/>
      <c r="T52" s="1252" t="s">
        <v>168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252"/>
      <c r="U55" s="3252"/>
      <c r="V55" s="3252"/>
      <c r="W55" s="3252"/>
      <c r="X55" s="3252"/>
      <c r="Y55" s="3252"/>
      <c r="Z55" s="3252"/>
      <c r="AA55" s="3252"/>
      <c r="AB55" s="3252"/>
      <c r="AC55" s="3252"/>
      <c r="AD55" s="3252"/>
      <c r="AE55" s="3252"/>
      <c r="AF55" s="3252"/>
      <c r="AG55" s="3252"/>
      <c r="AH55" s="3252"/>
      <c r="AI55" s="3252"/>
      <c r="AJ55" s="3252"/>
      <c r="AK55" s="3252"/>
      <c r="AQ55" s="1082">
        <v>14</v>
      </c>
    </row>
    <row r="56" spans="1:43" ht="14.65" customHeight="1">
      <c r="O56" s="474"/>
      <c r="AQ56" s="1082">
        <v>14</v>
      </c>
    </row>
    <row r="57" spans="1:43" ht="14.65" customHeight="1">
      <c r="O57" s="474"/>
      <c r="S57" s="1180"/>
      <c r="T57" s="3252"/>
      <c r="U57" s="3252"/>
      <c r="V57" s="3252"/>
      <c r="W57" s="3252"/>
      <c r="X57" s="3252"/>
      <c r="Y57" s="3252"/>
      <c r="Z57" s="3252"/>
      <c r="AA57" s="3252"/>
      <c r="AB57" s="3252"/>
      <c r="AC57" s="3252"/>
      <c r="AD57" s="3252"/>
      <c r="AE57" s="3252"/>
      <c r="AF57" s="3252"/>
      <c r="AG57" s="3252"/>
      <c r="AH57" s="3252"/>
      <c r="AI57" s="3252"/>
      <c r="AJ57" s="3252"/>
      <c r="AK57" s="325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0A0F-722A-914F-91AB-5916377DD80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3254">
        <v>1</v>
      </c>
      <c r="F2" s="1290"/>
      <c r="G2" s="1290"/>
      <c r="H2" s="1290"/>
      <c r="I2" s="1290"/>
      <c r="J2" s="1290"/>
      <c r="K2" s="1290"/>
      <c r="L2" s="1291"/>
      <c r="M2" s="1292"/>
      <c r="N2" s="1292"/>
      <c r="O2" s="1292"/>
      <c r="P2" s="298"/>
      <c r="Q2" s="297"/>
      <c r="R2" s="292"/>
      <c r="S2" s="1384" t="e">
        <f>INDEX(PT_DIFFERENTIATION_NUM_NTAR,MATCH(A2,PT_DIFFERENTIATION_NTAR_ID,0))</f>
        <v>#N/A</v>
      </c>
      <c r="T2" s="236" t="s">
        <v>121</v>
      </c>
      <c r="U2" s="238"/>
      <c r="V2" s="3246"/>
      <c r="W2" s="3247"/>
      <c r="X2" s="3247"/>
      <c r="Y2" s="3247"/>
      <c r="Z2" s="3247"/>
      <c r="AA2" s="3247"/>
      <c r="AB2" s="3248"/>
      <c r="AC2" s="3246" t="e">
        <f>INDEX(PT_DIFFERENTIATION_NTAR,MATCH(A2,PT_DIFFERENTIATION_NTAR_ID,0))</f>
        <v>#N/A</v>
      </c>
      <c r="AD2" s="3247"/>
      <c r="AE2" s="3247"/>
      <c r="AF2" s="3247"/>
      <c r="AG2" s="3247"/>
      <c r="AH2" s="3247"/>
      <c r="AI2" s="3247"/>
      <c r="AJ2" s="324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255"/>
      <c r="F3" s="3254">
        <v>1</v>
      </c>
      <c r="G3" s="1290"/>
      <c r="H3" s="1290"/>
      <c r="I3" s="1290"/>
      <c r="J3" s="1290"/>
      <c r="K3" s="1290"/>
      <c r="L3" s="1291"/>
      <c r="M3" s="1292"/>
      <c r="N3" s="1292"/>
      <c r="O3" s="1292"/>
      <c r="P3" s="1380"/>
      <c r="Q3" s="289"/>
      <c r="R3" s="290"/>
      <c r="S3" s="1384" t="e">
        <f>INDEX(PT_DIFFERENTIATION_NUM_TER,MATCH(B3,PT_DIFFERENTIATION_TER_ID,0))</f>
        <v>#N/A</v>
      </c>
      <c r="T3" s="246" t="s">
        <v>405</v>
      </c>
      <c r="U3" s="238"/>
      <c r="V3" s="3246"/>
      <c r="W3" s="3247"/>
      <c r="X3" s="3247"/>
      <c r="Y3" s="3247"/>
      <c r="Z3" s="3247"/>
      <c r="AA3" s="3247"/>
      <c r="AB3" s="3248"/>
      <c r="AC3" s="3246" t="e">
        <f>INDEX(PT_DIFFERENTIATION_TER,MATCH(B3,PT_DIFFERENTIATION_TER_ID,0))</f>
        <v>#N/A</v>
      </c>
      <c r="AD3" s="3247"/>
      <c r="AE3" s="3247"/>
      <c r="AF3" s="3247"/>
      <c r="AG3" s="3247"/>
      <c r="AH3" s="3247"/>
      <c r="AI3" s="3247"/>
      <c r="AJ3" s="3248"/>
      <c r="AK3" s="1185" t="s">
        <v>406</v>
      </c>
      <c r="AM3" s="437"/>
      <c r="AN3" s="437" t="str">
        <f t="shared" si="0"/>
        <v>Территория действия тарифа</v>
      </c>
      <c r="AO3" s="437"/>
      <c r="AP3" s="437"/>
      <c r="AQ3" s="1082">
        <v>0</v>
      </c>
    </row>
    <row r="4" spans="1:43" ht="23.25" hidden="1" customHeight="1">
      <c r="A4" s="1290"/>
      <c r="B4" s="1290"/>
      <c r="C4" s="1290"/>
      <c r="D4" s="1290"/>
      <c r="E4" s="3255"/>
      <c r="F4" s="3255"/>
      <c r="G4" s="3254">
        <v>1</v>
      </c>
      <c r="H4" s="1290"/>
      <c r="I4" s="1290"/>
      <c r="J4" s="1290"/>
      <c r="K4" s="1290"/>
      <c r="L4" s="1291"/>
      <c r="M4" s="1292"/>
      <c r="N4" s="1292"/>
      <c r="O4" s="1292"/>
      <c r="P4" s="291"/>
      <c r="Q4" s="289"/>
      <c r="R4" s="290"/>
      <c r="S4" s="1384" t="e">
        <f>INDEX(PT_DIFFERENTIATION_NUM_CS,MATCH(C4,PT_DIFFERENTIATION_CS_ID,0))</f>
        <v>#N/A</v>
      </c>
      <c r="T4" s="247" t="s">
        <v>488</v>
      </c>
      <c r="U4" s="238"/>
      <c r="V4" s="3246"/>
      <c r="W4" s="3247"/>
      <c r="X4" s="3247"/>
      <c r="Y4" s="3247"/>
      <c r="Z4" s="3247"/>
      <c r="AA4" s="3247"/>
      <c r="AB4" s="3248"/>
      <c r="AC4" s="3246" t="e">
        <f>INDEX(PT_DIFFERENTIATION_CS,MATCH(C4,PT_DIFFERENTIATION_CS_ID,0))</f>
        <v>#N/A</v>
      </c>
      <c r="AD4" s="3247"/>
      <c r="AE4" s="3247"/>
      <c r="AF4" s="3247"/>
      <c r="AG4" s="3247"/>
      <c r="AH4" s="3247"/>
      <c r="AI4" s="3247"/>
      <c r="AJ4" s="3248"/>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255"/>
      <c r="F5" s="3255"/>
      <c r="G5" s="3255"/>
      <c r="H5" s="3255"/>
      <c r="I5" s="3256" t="e">
        <f>S4&amp;".1"</f>
        <v>#N/A</v>
      </c>
      <c r="J5" s="1290"/>
      <c r="K5" s="1290"/>
      <c r="L5" s="1291"/>
      <c r="P5" s="3258">
        <v>1</v>
      </c>
      <c r="Q5" s="1377"/>
      <c r="R5" s="293"/>
      <c r="S5" s="1384" t="e">
        <f>$I5</f>
        <v>#N/A</v>
      </c>
      <c r="T5" s="223" t="s">
        <v>490</v>
      </c>
      <c r="U5" s="238"/>
      <c r="V5" s="3351"/>
      <c r="W5" s="3352"/>
      <c r="X5" s="3352"/>
      <c r="Y5" s="3352"/>
      <c r="Z5" s="3352"/>
      <c r="AA5" s="3352"/>
      <c r="AB5" s="3353"/>
      <c r="AC5" s="3354"/>
      <c r="AD5" s="3355"/>
      <c r="AE5" s="3355"/>
      <c r="AF5" s="3355"/>
      <c r="AG5" s="3355"/>
      <c r="AH5" s="3355"/>
      <c r="AI5" s="3355"/>
      <c r="AJ5" s="3356"/>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3255"/>
      <c r="F6" s="3255"/>
      <c r="G6" s="3255"/>
      <c r="H6" s="3255"/>
      <c r="I6" s="3257"/>
      <c r="J6" s="3256" t="e">
        <f>I5&amp;".1"</f>
        <v>#N/A</v>
      </c>
      <c r="K6" s="1290"/>
      <c r="L6" s="1291" t="s">
        <v>414</v>
      </c>
      <c r="P6" s="3258"/>
      <c r="Q6" s="3258">
        <v>1</v>
      </c>
      <c r="R6" s="294"/>
      <c r="S6" s="1384" t="e">
        <f>$J6</f>
        <v>#N/A</v>
      </c>
      <c r="T6" s="224" t="s">
        <v>415</v>
      </c>
      <c r="U6" s="238"/>
      <c r="V6" s="3239"/>
      <c r="W6" s="3240"/>
      <c r="X6" s="3240"/>
      <c r="Y6" s="3240"/>
      <c r="Z6" s="3240"/>
      <c r="AA6" s="3240"/>
      <c r="AB6" s="3241"/>
      <c r="AC6" s="3239"/>
      <c r="AD6" s="3240"/>
      <c r="AE6" s="3240"/>
      <c r="AF6" s="3240"/>
      <c r="AG6" s="3240"/>
      <c r="AH6" s="3240"/>
      <c r="AI6" s="3240"/>
      <c r="AJ6" s="3241"/>
      <c r="AK6" s="1234" t="s">
        <v>492</v>
      </c>
      <c r="AM6" s="437"/>
      <c r="AN6" s="437" t="str">
        <f t="shared" si="0"/>
        <v>Группа потребителей</v>
      </c>
      <c r="AO6" s="437"/>
      <c r="AP6" s="437"/>
      <c r="AQ6" s="1082">
        <v>0</v>
      </c>
    </row>
    <row r="7" spans="1:43" ht="23.25" hidden="1" customHeight="1">
      <c r="A7" s="1290"/>
      <c r="B7" s="1290"/>
      <c r="C7" s="1290"/>
      <c r="D7" s="1290"/>
      <c r="E7" s="3255"/>
      <c r="F7" s="3255"/>
      <c r="G7" s="3255"/>
      <c r="H7" s="3255"/>
      <c r="I7" s="3257"/>
      <c r="J7" s="3257"/>
      <c r="K7" s="3256" t="e">
        <f>J6&amp;".1"</f>
        <v>#N/A</v>
      </c>
      <c r="L7" s="1291"/>
      <c r="P7" s="3258"/>
      <c r="Q7" s="3258"/>
      <c r="R7" s="294">
        <v>1</v>
      </c>
      <c r="S7" s="1384" t="e">
        <f>$K7</f>
        <v>#N/A</v>
      </c>
      <c r="T7" s="1364"/>
      <c r="U7" s="238"/>
      <c r="V7" s="688"/>
      <c r="W7" s="688"/>
      <c r="X7" s="1184"/>
      <c r="Y7" s="3259"/>
      <c r="Z7" s="3121" t="s">
        <v>67</v>
      </c>
      <c r="AA7" s="3259"/>
      <c r="AB7" s="3121" t="s">
        <v>67</v>
      </c>
      <c r="AC7" s="688"/>
      <c r="AD7" s="688"/>
      <c r="AE7" s="1184"/>
      <c r="AF7" s="3259"/>
      <c r="AG7" s="3121" t="s">
        <v>67</v>
      </c>
      <c r="AH7" s="3261"/>
      <c r="AI7" s="3121" t="s">
        <v>67</v>
      </c>
      <c r="AJ7" s="1365"/>
      <c r="AK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255"/>
      <c r="F8" s="3255"/>
      <c r="G8" s="3255"/>
      <c r="H8" s="3255"/>
      <c r="I8" s="3257"/>
      <c r="J8" s="3257"/>
      <c r="K8" s="3256"/>
      <c r="L8" s="1291"/>
      <c r="P8" s="3258"/>
      <c r="Q8" s="3258"/>
      <c r="R8" s="294"/>
      <c r="S8" s="1383"/>
      <c r="T8" s="238"/>
      <c r="U8" s="238"/>
      <c r="V8" s="263"/>
      <c r="W8" s="263"/>
      <c r="X8" s="266" t="str">
        <f>Y7&amp;"-"&amp;AA7</f>
        <v>-</v>
      </c>
      <c r="Y8" s="3260"/>
      <c r="Z8" s="3121"/>
      <c r="AA8" s="3260"/>
      <c r="AB8" s="3121"/>
      <c r="AC8" s="263"/>
      <c r="AD8" s="263"/>
      <c r="AE8" s="266" t="str">
        <f>AF7&amp;"-"&amp;AH7</f>
        <v>-</v>
      </c>
      <c r="AF8" s="3260"/>
      <c r="AG8" s="3121"/>
      <c r="AH8" s="3262"/>
      <c r="AI8" s="3121"/>
      <c r="AJ8" s="1366"/>
      <c r="AK8" s="3357"/>
      <c r="AM8" s="437"/>
      <c r="AN8" s="437" t="str">
        <f t="shared" si="0"/>
        <v/>
      </c>
      <c r="AO8" s="437"/>
      <c r="AP8" s="437"/>
      <c r="AQ8" s="1082">
        <v>0</v>
      </c>
    </row>
    <row r="9" spans="1:43" ht="21" hidden="1" customHeight="1">
      <c r="A9" s="1290"/>
      <c r="B9" s="1290"/>
      <c r="C9" s="1290"/>
      <c r="D9" s="1290"/>
      <c r="E9" s="3255"/>
      <c r="F9" s="3255"/>
      <c r="G9" s="3255"/>
      <c r="H9" s="3255"/>
      <c r="I9" s="3257"/>
      <c r="J9" s="3256"/>
      <c r="K9" s="1290"/>
      <c r="L9" s="1291"/>
      <c r="P9" s="3258"/>
      <c r="Q9" s="3258"/>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255"/>
      <c r="F10" s="3255"/>
      <c r="G10" s="3255"/>
      <c r="H10" s="3255"/>
      <c r="I10" s="3256"/>
      <c r="J10" s="1290"/>
      <c r="K10" s="1290"/>
      <c r="L10" s="1291"/>
      <c r="P10" s="3258"/>
      <c r="Q10" s="1377"/>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255"/>
      <c r="F12" s="3254"/>
      <c r="G12" s="1241"/>
      <c r="H12" s="1241"/>
      <c r="I12" s="1241"/>
      <c r="J12" s="1241"/>
      <c r="K12" s="1241"/>
      <c r="L12" s="1385"/>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3251"/>
      <c r="AG15" s="3250" t="s">
        <v>67</v>
      </c>
      <c r="AH15" s="3251"/>
      <c r="AI15" s="3250" t="s">
        <v>67</v>
      </c>
      <c r="AQ15" s="1082">
        <v>0</v>
      </c>
    </row>
    <row r="16" spans="1:43" ht="14.25" hidden="1" customHeight="1">
      <c r="AC16" s="1287"/>
      <c r="AD16" s="1287"/>
      <c r="AE16" s="266" t="str">
        <f>AF15&amp;"-"&amp;AH15</f>
        <v>-</v>
      </c>
      <c r="AF16" s="3250"/>
      <c r="AG16" s="3250"/>
      <c r="AH16" s="3250"/>
      <c r="AI16" s="3250"/>
      <c r="AQ16" s="1082">
        <v>0</v>
      </c>
    </row>
    <row r="17" spans="1:43" ht="14.25" hidden="1" customHeight="1">
      <c r="AI17" s="265"/>
      <c r="AQ17" s="1082">
        <v>0</v>
      </c>
    </row>
    <row r="18" spans="1:43" s="1293" customFormat="1" ht="22.5" hidden="1" customHeight="1">
      <c r="L18" s="1374"/>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2"/>
      <c r="U24" s="3232"/>
      <c r="V24" s="3232"/>
      <c r="W24" s="3232"/>
      <c r="X24" s="3232"/>
      <c r="Y24" s="3232"/>
      <c r="Z24" s="3232"/>
      <c r="AA24" s="3232"/>
      <c r="AB24" s="3232"/>
      <c r="AC24" s="3232"/>
      <c r="AD24" s="3232"/>
      <c r="AE24" s="3232"/>
      <c r="AF24" s="3232"/>
      <c r="AG24" s="3232"/>
      <c r="AH24" s="3232"/>
      <c r="AI24" s="1170"/>
      <c r="AQ24" s="1082">
        <v>14</v>
      </c>
    </row>
    <row r="25" spans="1:43"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264"/>
      <c r="AC27" s="3245" t="str">
        <f>IF(TITLE_NAME_OR_PR_CHANGE="",IF(TITLE_NAME_OR_PR="","",TITLE_NAME_OR_PR),TITLE_NAME_OR_PR_CHANGE)</f>
        <v/>
      </c>
      <c r="AD27" s="3245"/>
      <c r="AE27" s="3245"/>
      <c r="AF27" s="3245"/>
      <c r="AG27" s="3245"/>
      <c r="AH27" s="324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264"/>
      <c r="AC28" s="3244">
        <f>IF(TITLE_DATE_PR_CHANGE="",IF(TITLE_DATE_PR="","",TITLE_DATE_PR),TITLE_DATE_PR_CHANGE)</f>
        <v>45595.546053240738</v>
      </c>
      <c r="AD28" s="3244"/>
      <c r="AE28" s="3244"/>
      <c r="AF28" s="3244"/>
      <c r="AG28" s="3244"/>
      <c r="AH28" s="324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264"/>
      <c r="AC29" s="3245" t="str">
        <f>IF(TITLE_NUMBER_PR_CHANGE="",IF(TITLE_NUMBER_PR="","",TITLE_NUMBER_PR),TITLE_NUMBER_PR_CHANGE)</f>
        <v>03/3636</v>
      </c>
      <c r="AD29" s="3245"/>
      <c r="AE29" s="3245"/>
      <c r="AF29" s="3245"/>
      <c r="AG29" s="3245"/>
      <c r="AH29" s="324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264"/>
      <c r="AC30" s="3245" t="str">
        <f>IF(TITLE_IST_PUB_CHANGE="",IF(TITLE_IST_PUB="","",TITLE_IST_PUB),TITLE_IST_PUB_CHANGE)</f>
        <v/>
      </c>
      <c r="AD30" s="3245"/>
      <c r="AE30" s="3245"/>
      <c r="AF30" s="3245"/>
      <c r="AG30" s="3245"/>
      <c r="AH30" s="324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264"/>
      <c r="AC32" s="3244">
        <f>IF(TITLE_DATE_PR_CHANGE="",IF(TITLE_DATE_PR="","",TITLE_DATE_PR),TITLE_DATE_PR_CHANGE)</f>
        <v>45595.546053240738</v>
      </c>
      <c r="AD32" s="3244"/>
      <c r="AE32" s="3244"/>
      <c r="AF32" s="3244"/>
      <c r="AG32" s="3244"/>
      <c r="AH32" s="324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264"/>
      <c r="AC33" s="3245" t="str">
        <f>IF(TITLE_NUMBER_PR_CHANGE="",IF(TITLE_NUMBER_PR="","",TITLE_NUMBER_PR),TITLE_NUMBER_PR_CHANGE)</f>
        <v>03/3636</v>
      </c>
      <c r="AD33" s="3245"/>
      <c r="AE33" s="3245"/>
      <c r="AF33" s="3245"/>
      <c r="AG33" s="3245"/>
      <c r="AH33" s="324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432</v>
      </c>
      <c r="AC34" s="264"/>
      <c r="AD34" s="264"/>
      <c r="AE34" s="264"/>
      <c r="AF34" s="264"/>
      <c r="AG34" s="264"/>
      <c r="AH34" s="264"/>
      <c r="AI34" s="216" t="s">
        <v>432</v>
      </c>
      <c r="AL34" s="305"/>
      <c r="AM34" s="305"/>
      <c r="AN34" s="305"/>
      <c r="AO34" s="305"/>
      <c r="AP34" s="305"/>
      <c r="AQ34" s="355">
        <v>1</v>
      </c>
    </row>
    <row r="35" spans="1:43" ht="14.65" customHeight="1">
      <c r="Q35" s="313"/>
      <c r="R35" s="313"/>
      <c r="S35" s="1202"/>
      <c r="T35" s="300"/>
      <c r="U35" s="1171"/>
      <c r="V35" s="3266"/>
      <c r="W35" s="3266"/>
      <c r="X35" s="3266"/>
      <c r="Y35" s="3266"/>
      <c r="Z35" s="3266"/>
      <c r="AA35" s="3266"/>
      <c r="AB35" s="3266"/>
      <c r="AC35" s="3266"/>
      <c r="AD35" s="3266"/>
      <c r="AE35" s="3266"/>
      <c r="AF35" s="3266"/>
      <c r="AG35" s="3266"/>
      <c r="AH35" s="3266"/>
      <c r="AI35" s="3266"/>
      <c r="AQ35" s="1082">
        <v>14</v>
      </c>
    </row>
    <row r="36" spans="1:43"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t="s">
        <v>309</v>
      </c>
      <c r="AQ36" s="1082">
        <v>14</v>
      </c>
    </row>
    <row r="37" spans="1:43" ht="14.65" customHeight="1">
      <c r="Q37" s="313"/>
      <c r="R37" s="313"/>
      <c r="S37" s="3268" t="s">
        <v>85</v>
      </c>
      <c r="T37" s="3212" t="s">
        <v>433</v>
      </c>
      <c r="U37" s="239"/>
      <c r="V37" s="3269" t="s">
        <v>434</v>
      </c>
      <c r="W37" s="3270"/>
      <c r="X37" s="3270"/>
      <c r="Y37" s="3270"/>
      <c r="Z37" s="3270"/>
      <c r="AA37" s="3271"/>
      <c r="AB37" s="3272" t="s">
        <v>435</v>
      </c>
      <c r="AC37" s="3269" t="s">
        <v>434</v>
      </c>
      <c r="AD37" s="3270"/>
      <c r="AE37" s="3270"/>
      <c r="AF37" s="3270"/>
      <c r="AG37" s="3270"/>
      <c r="AH37" s="3271"/>
      <c r="AI37" s="3272" t="s">
        <v>436</v>
      </c>
      <c r="AJ37" s="3275" t="s">
        <v>437</v>
      </c>
      <c r="AK37" s="3111"/>
      <c r="AQ37" s="1082">
        <v>14</v>
      </c>
    </row>
    <row r="38" spans="1:43" ht="35.65" customHeight="1">
      <c r="Q38" s="313"/>
      <c r="R38" s="313"/>
      <c r="S38" s="3268"/>
      <c r="T38" s="3212"/>
      <c r="U38" s="961"/>
      <c r="V38" s="1379" t="s">
        <v>496</v>
      </c>
      <c r="W38" s="3093" t="s">
        <v>440</v>
      </c>
      <c r="X38" s="3092"/>
      <c r="Y38" s="3093" t="s">
        <v>441</v>
      </c>
      <c r="Z38" s="3098"/>
      <c r="AA38" s="3092"/>
      <c r="AB38" s="3273"/>
      <c r="AC38" s="1379" t="s">
        <v>496</v>
      </c>
      <c r="AD38" s="3093" t="s">
        <v>440</v>
      </c>
      <c r="AE38" s="3092"/>
      <c r="AF38" s="3093" t="s">
        <v>441</v>
      </c>
      <c r="AG38" s="3098"/>
      <c r="AH38" s="3092"/>
      <c r="AI38" s="3273"/>
      <c r="AJ38" s="3276"/>
      <c r="AK38" s="3111"/>
      <c r="AQ38" s="1082">
        <v>34</v>
      </c>
    </row>
    <row r="39" spans="1:43" ht="35.65" customHeight="1">
      <c r="A39" s="1297"/>
      <c r="B39" s="1297" t="s">
        <v>133</v>
      </c>
      <c r="C39" s="1297" t="s">
        <v>134</v>
      </c>
      <c r="D39" s="1297" t="s">
        <v>135</v>
      </c>
      <c r="E39" s="1291" t="s">
        <v>442</v>
      </c>
      <c r="F39" s="1291" t="s">
        <v>443</v>
      </c>
      <c r="G39" s="1291" t="s">
        <v>444</v>
      </c>
      <c r="H39" s="1291"/>
      <c r="I39" s="1291" t="s">
        <v>497</v>
      </c>
      <c r="J39" s="1291" t="s">
        <v>447</v>
      </c>
      <c r="K39" s="1291" t="s">
        <v>498</v>
      </c>
      <c r="L39" s="1291" t="s">
        <v>423</v>
      </c>
      <c r="Q39" s="313"/>
      <c r="R39" s="313"/>
      <c r="S39" s="3268"/>
      <c r="T39" s="3212"/>
      <c r="U39" s="240"/>
      <c r="V39" s="1379" t="s">
        <v>499</v>
      </c>
      <c r="W39" s="1149" t="s">
        <v>500</v>
      </c>
      <c r="X39" s="1149" t="s">
        <v>501</v>
      </c>
      <c r="Y39" s="1382" t="s">
        <v>451</v>
      </c>
      <c r="Z39" s="3217" t="s">
        <v>452</v>
      </c>
      <c r="AA39" s="3231"/>
      <c r="AB39" s="3274"/>
      <c r="AC39" s="1379" t="s">
        <v>499</v>
      </c>
      <c r="AD39" s="1149" t="s">
        <v>500</v>
      </c>
      <c r="AE39" s="1149" t="s">
        <v>501</v>
      </c>
      <c r="AF39" s="1382" t="s">
        <v>451</v>
      </c>
      <c r="AG39" s="3217" t="s">
        <v>452</v>
      </c>
      <c r="AH39" s="3231"/>
      <c r="AI39" s="3274"/>
      <c r="AJ39" s="3277"/>
      <c r="AK39" s="31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3265">
        <f ca="1">OFFSET(Z40,0,-1)+1</f>
        <v>7</v>
      </c>
      <c r="AA40" s="3265"/>
      <c r="AB40" s="1378">
        <f ca="1">OFFSET(AB40,0,-2)+1</f>
        <v>8</v>
      </c>
      <c r="AC40" s="1378">
        <f ca="1">OFFSET(AC40,0,-1)+1</f>
        <v>9</v>
      </c>
      <c r="AD40" s="1378">
        <f ca="1">OFFSET(AD40,0,-1)+1</f>
        <v>10</v>
      </c>
      <c r="AE40" s="1378">
        <f ca="1">OFFSET(AE40,0,-1)+1</f>
        <v>11</v>
      </c>
      <c r="AF40" s="1378">
        <f ca="1">OFFSET(AF40,0,-1)+1</f>
        <v>12</v>
      </c>
      <c r="AG40" s="3265">
        <f ca="1">OFFSET(AG40,0,-1)+1</f>
        <v>13</v>
      </c>
      <c r="AH40" s="3265"/>
      <c r="AI40" s="1378">
        <f ca="1">OFFSET(AI40,0,-2)+1</f>
        <v>14</v>
      </c>
      <c r="AJ40" s="1172">
        <f ca="1">OFFSET(AJ40,0,-1)</f>
        <v>14</v>
      </c>
      <c r="AK40" s="1378">
        <f ca="1">OFFSET(AK40,0,-1)+1</f>
        <v>15</v>
      </c>
      <c r="AL40" s="448"/>
      <c r="AM40" s="448"/>
      <c r="AN40" s="448"/>
      <c r="AO40" s="448"/>
      <c r="AP40" s="448"/>
      <c r="AQ40" s="433">
        <v>0</v>
      </c>
    </row>
    <row r="41" spans="1:43" ht="24" customHeight="1">
      <c r="A41" s="1290" t="s">
        <v>244</v>
      </c>
      <c r="B41" s="1290"/>
      <c r="C41" s="1290"/>
      <c r="D41" s="1290"/>
      <c r="E41" s="325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121</v>
      </c>
      <c r="U41" s="238"/>
      <c r="V41" s="3246"/>
      <c r="W41" s="3247"/>
      <c r="X41" s="3247"/>
      <c r="Y41" s="3247"/>
      <c r="Z41" s="3247"/>
      <c r="AA41" s="3247"/>
      <c r="AB41" s="3248"/>
      <c r="AC41" s="3246" t="str">
        <f>INDEX(PT_DIFFERENTIATION_NTAR,MATCH(A41,PT_DIFFERENTIATION_NTAR_ID,0))</f>
        <v/>
      </c>
      <c r="AD41" s="3247"/>
      <c r="AE41" s="3247"/>
      <c r="AF41" s="3247"/>
      <c r="AG41" s="3247"/>
      <c r="AH41" s="3247"/>
      <c r="AI41" s="3247"/>
      <c r="AJ41" s="324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244</v>
      </c>
      <c r="B42" s="1290" t="s">
        <v>245</v>
      </c>
      <c r="C42" s="1290"/>
      <c r="D42" s="1290"/>
      <c r="E42" s="3255"/>
      <c r="F42" s="3254">
        <v>1</v>
      </c>
      <c r="G42" s="1290"/>
      <c r="H42" s="1290"/>
      <c r="I42" s="1290"/>
      <c r="J42" s="1290"/>
      <c r="K42" s="1290"/>
      <c r="L42" s="1291"/>
      <c r="M42" s="1292"/>
      <c r="N42" s="1292"/>
      <c r="O42" s="1292"/>
      <c r="P42" s="1380"/>
      <c r="Q42" s="289"/>
      <c r="R42" s="290"/>
      <c r="S42" s="1384" t="str">
        <f>INDEX(PT_DIFFERENTIATION_NUM_TER,MATCH(B42,PT_DIFFERENTIATION_TER_ID,0))</f>
        <v>.</v>
      </c>
      <c r="T42" s="246" t="s">
        <v>405</v>
      </c>
      <c r="U42" s="238"/>
      <c r="V42" s="3246"/>
      <c r="W42" s="3247"/>
      <c r="X42" s="3247"/>
      <c r="Y42" s="3247"/>
      <c r="Z42" s="3247"/>
      <c r="AA42" s="3247"/>
      <c r="AB42" s="3248"/>
      <c r="AC42" s="3246" t="str">
        <f>INDEX(PT_DIFFERENTIATION_TER,MATCH(B42,PT_DIFFERENTIATION_TER_ID,0))</f>
        <v/>
      </c>
      <c r="AD42" s="3247"/>
      <c r="AE42" s="3247"/>
      <c r="AF42" s="3247"/>
      <c r="AG42" s="3247"/>
      <c r="AH42" s="3247"/>
      <c r="AI42" s="3247"/>
      <c r="AJ42" s="3248"/>
      <c r="AK42" s="1185" t="s">
        <v>406</v>
      </c>
      <c r="AM42" s="437"/>
      <c r="AN42" s="437" t="str">
        <f t="shared" si="1"/>
        <v>Территория действия тарифа</v>
      </c>
      <c r="AO42" s="437"/>
      <c r="AP42" s="437"/>
      <c r="AQ42" s="1082">
        <v>23</v>
      </c>
    </row>
    <row r="43" spans="1:43" ht="24" customHeight="1">
      <c r="A43" s="1290" t="s">
        <v>244</v>
      </c>
      <c r="B43" s="1290" t="s">
        <v>245</v>
      </c>
      <c r="C43" s="1290" t="s">
        <v>246</v>
      </c>
      <c r="D43" s="1290"/>
      <c r="E43" s="3255"/>
      <c r="F43" s="3255"/>
      <c r="G43" s="3254">
        <v>1</v>
      </c>
      <c r="H43" s="1290"/>
      <c r="I43" s="1290"/>
      <c r="J43" s="1290"/>
      <c r="K43" s="1290"/>
      <c r="L43" s="1291"/>
      <c r="M43" s="1292"/>
      <c r="N43" s="1292"/>
      <c r="O43" s="1292"/>
      <c r="P43" s="291"/>
      <c r="Q43" s="289"/>
      <c r="R43" s="290"/>
      <c r="S43" s="1384" t="str">
        <f>INDEX(PT_DIFFERENTIATION_NUM_CS,MATCH(C43,PT_DIFFERENTIATION_CS_ID,0))</f>
        <v>..</v>
      </c>
      <c r="T43" s="247" t="s">
        <v>488</v>
      </c>
      <c r="U43" s="238"/>
      <c r="V43" s="3246"/>
      <c r="W43" s="3247"/>
      <c r="X43" s="3247"/>
      <c r="Y43" s="3247"/>
      <c r="Z43" s="3247"/>
      <c r="AA43" s="3247"/>
      <c r="AB43" s="3248"/>
      <c r="AC43" s="3246" t="str">
        <f>INDEX(PT_DIFFERENTIATION_CS,MATCH(C43,PT_DIFFERENTIATION_CS_ID,0))</f>
        <v/>
      </c>
      <c r="AD43" s="3247"/>
      <c r="AE43" s="3247"/>
      <c r="AF43" s="3247"/>
      <c r="AG43" s="3247"/>
      <c r="AH43" s="3247"/>
      <c r="AI43" s="3247"/>
      <c r="AJ43" s="3248"/>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244</v>
      </c>
      <c r="B44" s="1290" t="s">
        <v>245</v>
      </c>
      <c r="C44" s="1290" t="s">
        <v>246</v>
      </c>
      <c r="D44" s="1290" t="s">
        <v>504</v>
      </c>
      <c r="E44" s="3255"/>
      <c r="F44" s="3255"/>
      <c r="G44" s="3255"/>
      <c r="H44" s="3255"/>
      <c r="I44" s="3256" t="str">
        <f>S43&amp;".1"</f>
        <v>...1</v>
      </c>
      <c r="J44" s="1290"/>
      <c r="K44" s="1290"/>
      <c r="L44" s="1291"/>
      <c r="P44" s="3258">
        <v>1</v>
      </c>
      <c r="Q44" s="1377"/>
      <c r="R44" s="293"/>
      <c r="S44" s="1384" t="str">
        <f>$I44</f>
        <v>...1</v>
      </c>
      <c r="T44" s="223" t="s">
        <v>490</v>
      </c>
      <c r="U44" s="238"/>
      <c r="V44" s="3351"/>
      <c r="W44" s="3352"/>
      <c r="X44" s="3352"/>
      <c r="Y44" s="3352"/>
      <c r="Z44" s="3352"/>
      <c r="AA44" s="3352"/>
      <c r="AB44" s="3353"/>
      <c r="AC44" s="3354"/>
      <c r="AD44" s="3355"/>
      <c r="AE44" s="3355"/>
      <c r="AF44" s="3355"/>
      <c r="AG44" s="3355"/>
      <c r="AH44" s="3355"/>
      <c r="AI44" s="3355"/>
      <c r="AJ44" s="3356"/>
      <c r="AK44" s="1185" t="s">
        <v>491</v>
      </c>
      <c r="AM44" s="437"/>
      <c r="AN44" s="437" t="str">
        <f t="shared" si="1"/>
        <v>Наименование признака дифференциации</v>
      </c>
      <c r="AO44" s="437"/>
      <c r="AP44" s="437"/>
      <c r="AQ44" s="1082">
        <v>23</v>
      </c>
    </row>
    <row r="45" spans="1:43" ht="24" customHeight="1">
      <c r="A45" s="1290" t="s">
        <v>244</v>
      </c>
      <c r="B45" s="1290" t="s">
        <v>245</v>
      </c>
      <c r="C45" s="1290" t="s">
        <v>246</v>
      </c>
      <c r="D45" s="1290" t="s">
        <v>504</v>
      </c>
      <c r="E45" s="3255"/>
      <c r="F45" s="3255"/>
      <c r="G45" s="3255"/>
      <c r="H45" s="3255"/>
      <c r="I45" s="3257"/>
      <c r="J45" s="3256" t="str">
        <f>I44&amp;".1"</f>
        <v>...1.1</v>
      </c>
      <c r="K45" s="1290"/>
      <c r="L45" s="1291" t="s">
        <v>414</v>
      </c>
      <c r="P45" s="3258"/>
      <c r="Q45" s="3258">
        <v>1</v>
      </c>
      <c r="R45" s="294"/>
      <c r="S45" s="1384" t="str">
        <f>$J45</f>
        <v>...1.1</v>
      </c>
      <c r="T45" s="224" t="s">
        <v>415</v>
      </c>
      <c r="U45" s="238"/>
      <c r="V45" s="3239"/>
      <c r="W45" s="3240"/>
      <c r="X45" s="3240"/>
      <c r="Y45" s="3240"/>
      <c r="Z45" s="3240"/>
      <c r="AA45" s="3240"/>
      <c r="AB45" s="3241"/>
      <c r="AC45" s="3239"/>
      <c r="AD45" s="3240"/>
      <c r="AE45" s="3240"/>
      <c r="AF45" s="3240"/>
      <c r="AG45" s="3240"/>
      <c r="AH45" s="3240"/>
      <c r="AI45" s="3240"/>
      <c r="AJ45" s="3241"/>
      <c r="AK45" s="1234" t="s">
        <v>492</v>
      </c>
      <c r="AM45" s="437"/>
      <c r="AN45" s="437" t="str">
        <f t="shared" si="1"/>
        <v>Группа потребителей</v>
      </c>
      <c r="AO45" s="437"/>
      <c r="AP45" s="437"/>
      <c r="AQ45" s="1082">
        <v>23</v>
      </c>
    </row>
    <row r="46" spans="1:43" ht="24" customHeight="1">
      <c r="A46" s="1290" t="s">
        <v>244</v>
      </c>
      <c r="B46" s="1290" t="s">
        <v>245</v>
      </c>
      <c r="C46" s="1290" t="s">
        <v>246</v>
      </c>
      <c r="D46" s="1290" t="s">
        <v>504</v>
      </c>
      <c r="E46" s="3255"/>
      <c r="F46" s="3255"/>
      <c r="G46" s="3255"/>
      <c r="H46" s="3255"/>
      <c r="I46" s="3257"/>
      <c r="J46" s="3257"/>
      <c r="K46" s="3256" t="str">
        <f>J45&amp;".1"</f>
        <v>...1.1.1</v>
      </c>
      <c r="L46" s="1291"/>
      <c r="P46" s="3258"/>
      <c r="Q46" s="3258"/>
      <c r="R46" s="294">
        <v>1</v>
      </c>
      <c r="S46" s="1384" t="str">
        <f>$K46</f>
        <v>...1.1.1</v>
      </c>
      <c r="T46" s="1364"/>
      <c r="U46" s="238"/>
      <c r="V46" s="688"/>
      <c r="W46" s="688"/>
      <c r="X46" s="1184"/>
      <c r="Y46" s="3259"/>
      <c r="Z46" s="3121" t="s">
        <v>67</v>
      </c>
      <c r="AA46" s="3259"/>
      <c r="AB46" s="3121" t="s">
        <v>67</v>
      </c>
      <c r="AC46" s="688"/>
      <c r="AD46" s="688"/>
      <c r="AE46" s="1184"/>
      <c r="AF46" s="3259"/>
      <c r="AG46" s="3121" t="s">
        <v>67</v>
      </c>
      <c r="AH46" s="3261"/>
      <c r="AI46" s="3121" t="s">
        <v>67</v>
      </c>
      <c r="AJ46" s="1365"/>
      <c r="AK46"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244</v>
      </c>
      <c r="B47" s="1290" t="s">
        <v>245</v>
      </c>
      <c r="C47" s="1290" t="s">
        <v>246</v>
      </c>
      <c r="D47" s="1290" t="s">
        <v>504</v>
      </c>
      <c r="E47" s="3255"/>
      <c r="F47" s="3255"/>
      <c r="G47" s="3255"/>
      <c r="H47" s="3255"/>
      <c r="I47" s="3257"/>
      <c r="J47" s="3257"/>
      <c r="K47" s="3256"/>
      <c r="L47" s="1291"/>
      <c r="P47" s="3258"/>
      <c r="Q47" s="3258"/>
      <c r="R47" s="294"/>
      <c r="S47" s="1383"/>
      <c r="T47" s="238"/>
      <c r="U47" s="238"/>
      <c r="V47" s="263"/>
      <c r="W47" s="263"/>
      <c r="X47" s="266" t="str">
        <f>Y46&amp;"-"&amp;AA46</f>
        <v>-</v>
      </c>
      <c r="Y47" s="3260"/>
      <c r="Z47" s="3121"/>
      <c r="AA47" s="3260"/>
      <c r="AB47" s="3121"/>
      <c r="AC47" s="263"/>
      <c r="AD47" s="263"/>
      <c r="AE47" s="266" t="str">
        <f>AF46&amp;"-"&amp;AH46</f>
        <v>-</v>
      </c>
      <c r="AF47" s="3260"/>
      <c r="AG47" s="3121"/>
      <c r="AH47" s="3262"/>
      <c r="AI47" s="3121"/>
      <c r="AJ47" s="1366"/>
      <c r="AK47" s="3357"/>
      <c r="AM47" s="437"/>
      <c r="AN47" s="437" t="str">
        <f t="shared" si="1"/>
        <v/>
      </c>
      <c r="AO47" s="437"/>
      <c r="AP47" s="437"/>
      <c r="AQ47" s="1082">
        <v>0</v>
      </c>
    </row>
    <row r="48" spans="1:43" ht="21" customHeight="1">
      <c r="A48" s="1290" t="s">
        <v>244</v>
      </c>
      <c r="B48" s="1290" t="s">
        <v>245</v>
      </c>
      <c r="C48" s="1290" t="s">
        <v>246</v>
      </c>
      <c r="D48" s="1290" t="s">
        <v>504</v>
      </c>
      <c r="E48" s="3255"/>
      <c r="F48" s="3255"/>
      <c r="G48" s="3255"/>
      <c r="H48" s="3255"/>
      <c r="I48" s="3257"/>
      <c r="J48" s="3256"/>
      <c r="K48" s="1290"/>
      <c r="L48" s="1291"/>
      <c r="P48" s="3258"/>
      <c r="Q48" s="3258"/>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244</v>
      </c>
      <c r="B49" s="1290" t="s">
        <v>245</v>
      </c>
      <c r="C49" s="1290" t="s">
        <v>246</v>
      </c>
      <c r="D49" s="1290" t="s">
        <v>504</v>
      </c>
      <c r="E49" s="3255"/>
      <c r="F49" s="3255"/>
      <c r="G49" s="3255"/>
      <c r="H49" s="3255"/>
      <c r="I49" s="3256"/>
      <c r="J49" s="1290"/>
      <c r="K49" s="1290"/>
      <c r="L49" s="1291"/>
      <c r="P49" s="3258"/>
      <c r="Q49" s="1377"/>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244</v>
      </c>
      <c r="B50" s="1290" t="s">
        <v>245</v>
      </c>
      <c r="C50" s="1290" t="s">
        <v>246</v>
      </c>
      <c r="D50" s="1290" t="s">
        <v>504</v>
      </c>
      <c r="E50" s="3255"/>
      <c r="F50" s="3255"/>
      <c r="G50" s="3255"/>
      <c r="H50" s="3254"/>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244</v>
      </c>
      <c r="B51" s="1270" t="s">
        <v>245</v>
      </c>
      <c r="C51" s="1241"/>
      <c r="D51" s="1241"/>
      <c r="E51" s="3255"/>
      <c r="F51" s="3254"/>
      <c r="G51" s="1241"/>
      <c r="H51" s="1241"/>
      <c r="I51" s="1241"/>
      <c r="J51" s="1241"/>
      <c r="K51" s="1241"/>
      <c r="L51" s="1385"/>
      <c r="M51" s="1248"/>
      <c r="N51" s="1248"/>
      <c r="P51" s="1243"/>
      <c r="Q51" s="1244"/>
      <c r="R51" s="1243"/>
      <c r="S51" s="1249"/>
      <c r="T51" s="1252" t="s">
        <v>167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244</v>
      </c>
      <c r="B52" s="1270"/>
      <c r="C52" s="1270"/>
      <c r="D52" s="1270"/>
      <c r="E52" s="3254"/>
      <c r="F52" s="1270"/>
      <c r="G52" s="1270"/>
      <c r="H52" s="1270"/>
      <c r="I52" s="1270"/>
      <c r="J52" s="1270"/>
      <c r="K52" s="1270"/>
      <c r="L52" s="1273"/>
      <c r="M52" s="1248"/>
      <c r="N52" s="1248"/>
      <c r="O52" s="455"/>
      <c r="P52" s="317"/>
      <c r="Q52" s="1271"/>
      <c r="R52" s="317"/>
      <c r="S52" s="1249"/>
      <c r="T52" s="1252" t="s">
        <v>168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252"/>
      <c r="U55" s="3252"/>
      <c r="V55" s="3252"/>
      <c r="W55" s="3252"/>
      <c r="X55" s="3252"/>
      <c r="Y55" s="3252"/>
      <c r="Z55" s="3252"/>
      <c r="AA55" s="3252"/>
      <c r="AB55" s="3252"/>
      <c r="AC55" s="3252"/>
      <c r="AD55" s="3252"/>
      <c r="AE55" s="3252"/>
      <c r="AF55" s="3252"/>
      <c r="AG55" s="3252"/>
      <c r="AH55" s="3252"/>
      <c r="AI55" s="3252"/>
      <c r="AJ55" s="3252"/>
      <c r="AK55" s="3252"/>
      <c r="AQ55" s="1082">
        <v>14</v>
      </c>
    </row>
    <row r="56" spans="1:43" ht="14.65" customHeight="1">
      <c r="O56" s="474"/>
      <c r="AQ56" s="1082">
        <v>14</v>
      </c>
    </row>
    <row r="57" spans="1:43" ht="14.65" customHeight="1">
      <c r="O57" s="474"/>
      <c r="S57" s="1180"/>
      <c r="T57" s="3252"/>
      <c r="U57" s="3252"/>
      <c r="V57" s="3252"/>
      <c r="W57" s="3252"/>
      <c r="X57" s="3252"/>
      <c r="Y57" s="3252"/>
      <c r="Z57" s="3252"/>
      <c r="AA57" s="3252"/>
      <c r="AB57" s="3252"/>
      <c r="AC57" s="3252"/>
      <c r="AD57" s="3252"/>
      <c r="AE57" s="3252"/>
      <c r="AF57" s="3252"/>
      <c r="AG57" s="3252"/>
      <c r="AH57" s="3252"/>
      <c r="AI57" s="3252"/>
      <c r="AJ57" s="3252"/>
      <c r="AK57" s="325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FD1A4-6E4D-1CFA-EAEA-BC447DB3CC7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3254">
        <v>1</v>
      </c>
      <c r="F2" s="1290"/>
      <c r="G2" s="1290"/>
      <c r="H2" s="1290"/>
      <c r="I2" s="1290"/>
      <c r="J2" s="1290"/>
      <c r="K2" s="1290"/>
      <c r="L2" s="1291"/>
      <c r="M2" s="1292"/>
      <c r="N2" s="1292"/>
      <c r="O2" s="1292"/>
      <c r="P2" s="298"/>
      <c r="Q2" s="297"/>
      <c r="R2" s="292"/>
      <c r="S2" s="1384" t="e">
        <f>INDEX(PT_DIFFERENTIATION_NUM_NTAR,MATCH(A2,PT_DIFFERENTIATION_NTAR_ID,0))</f>
        <v>#N/A</v>
      </c>
      <c r="T2" s="236" t="s">
        <v>121</v>
      </c>
      <c r="U2" s="238"/>
      <c r="V2" s="3246"/>
      <c r="W2" s="3247"/>
      <c r="X2" s="3247"/>
      <c r="Y2" s="3247"/>
      <c r="Z2" s="3247"/>
      <c r="AA2" s="3247"/>
      <c r="AB2" s="3248"/>
      <c r="AC2" s="3246" t="e">
        <f>INDEX(PT_DIFFERENTIATION_NTAR,MATCH(A2,PT_DIFFERENTIATION_NTAR_ID,0))</f>
        <v>#N/A</v>
      </c>
      <c r="AD2" s="3247"/>
      <c r="AE2" s="3247"/>
      <c r="AF2" s="3247"/>
      <c r="AG2" s="3247"/>
      <c r="AH2" s="3247"/>
      <c r="AI2" s="3247"/>
      <c r="AJ2" s="324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255"/>
      <c r="F3" s="3254">
        <v>1</v>
      </c>
      <c r="G3" s="1290"/>
      <c r="H3" s="1290"/>
      <c r="I3" s="1290"/>
      <c r="J3" s="1290"/>
      <c r="K3" s="1290"/>
      <c r="L3" s="1291"/>
      <c r="M3" s="1292"/>
      <c r="N3" s="1292"/>
      <c r="O3" s="1292"/>
      <c r="P3" s="1380"/>
      <c r="Q3" s="289"/>
      <c r="R3" s="290"/>
      <c r="S3" s="1384" t="e">
        <f>INDEX(PT_DIFFERENTIATION_NUM_TER,MATCH(B3,PT_DIFFERENTIATION_TER_ID,0))</f>
        <v>#N/A</v>
      </c>
      <c r="T3" s="246" t="s">
        <v>405</v>
      </c>
      <c r="U3" s="238"/>
      <c r="V3" s="3246"/>
      <c r="W3" s="3247"/>
      <c r="X3" s="3247"/>
      <c r="Y3" s="3247"/>
      <c r="Z3" s="3247"/>
      <c r="AA3" s="3247"/>
      <c r="AB3" s="3248"/>
      <c r="AC3" s="3246" t="e">
        <f>INDEX(PT_DIFFERENTIATION_TER,MATCH(B3,PT_DIFFERENTIATION_TER_ID,0))</f>
        <v>#N/A</v>
      </c>
      <c r="AD3" s="3247"/>
      <c r="AE3" s="3247"/>
      <c r="AF3" s="3247"/>
      <c r="AG3" s="3247"/>
      <c r="AH3" s="3247"/>
      <c r="AI3" s="3247"/>
      <c r="AJ3" s="3248"/>
      <c r="AK3" s="1185" t="s">
        <v>406</v>
      </c>
      <c r="AM3" s="437"/>
      <c r="AN3" s="437" t="str">
        <f t="shared" si="0"/>
        <v>Территория действия тарифа</v>
      </c>
      <c r="AO3" s="437"/>
      <c r="AP3" s="437"/>
      <c r="AQ3" s="1082">
        <v>0</v>
      </c>
    </row>
    <row r="4" spans="1:43" ht="23.25" hidden="1" customHeight="1">
      <c r="A4" s="1290"/>
      <c r="B4" s="1290"/>
      <c r="C4" s="1290"/>
      <c r="D4" s="1290"/>
      <c r="E4" s="3255"/>
      <c r="F4" s="3255"/>
      <c r="G4" s="3254">
        <v>1</v>
      </c>
      <c r="H4" s="1290"/>
      <c r="I4" s="1290"/>
      <c r="J4" s="1290"/>
      <c r="K4" s="1290"/>
      <c r="L4" s="1291"/>
      <c r="M4" s="1292"/>
      <c r="N4" s="1292"/>
      <c r="O4" s="1292"/>
      <c r="P4" s="291"/>
      <c r="Q4" s="289"/>
      <c r="R4" s="290"/>
      <c r="S4" s="1384" t="e">
        <f>INDEX(PT_DIFFERENTIATION_NUM_CS,MATCH(C4,PT_DIFFERENTIATION_CS_ID,0))</f>
        <v>#N/A</v>
      </c>
      <c r="T4" s="247" t="s">
        <v>488</v>
      </c>
      <c r="U4" s="238"/>
      <c r="V4" s="3246"/>
      <c r="W4" s="3247"/>
      <c r="X4" s="3247"/>
      <c r="Y4" s="3247"/>
      <c r="Z4" s="3247"/>
      <c r="AA4" s="3247"/>
      <c r="AB4" s="3248"/>
      <c r="AC4" s="3246" t="e">
        <f>INDEX(PT_DIFFERENTIATION_CS,MATCH(C4,PT_DIFFERENTIATION_CS_ID,0))</f>
        <v>#N/A</v>
      </c>
      <c r="AD4" s="3247"/>
      <c r="AE4" s="3247"/>
      <c r="AF4" s="3247"/>
      <c r="AG4" s="3247"/>
      <c r="AH4" s="3247"/>
      <c r="AI4" s="3247"/>
      <c r="AJ4" s="3248"/>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255"/>
      <c r="F5" s="3255"/>
      <c r="G5" s="3255"/>
      <c r="H5" s="3255"/>
      <c r="I5" s="3256" t="e">
        <f>S4&amp;".1"</f>
        <v>#N/A</v>
      </c>
      <c r="J5" s="1290"/>
      <c r="K5" s="1290"/>
      <c r="L5" s="1291"/>
      <c r="P5" s="3258">
        <v>1</v>
      </c>
      <c r="Q5" s="1377"/>
      <c r="R5" s="293"/>
      <c r="S5" s="1384" t="e">
        <f>$I5</f>
        <v>#N/A</v>
      </c>
      <c r="T5" s="223" t="s">
        <v>490</v>
      </c>
      <c r="U5" s="238"/>
      <c r="V5" s="3351"/>
      <c r="W5" s="3352"/>
      <c r="X5" s="3352"/>
      <c r="Y5" s="3352"/>
      <c r="Z5" s="3352"/>
      <c r="AA5" s="3352"/>
      <c r="AB5" s="3353"/>
      <c r="AC5" s="3354"/>
      <c r="AD5" s="3355"/>
      <c r="AE5" s="3355"/>
      <c r="AF5" s="3355"/>
      <c r="AG5" s="3355"/>
      <c r="AH5" s="3355"/>
      <c r="AI5" s="3355"/>
      <c r="AJ5" s="3356"/>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3255"/>
      <c r="F6" s="3255"/>
      <c r="G6" s="3255"/>
      <c r="H6" s="3255"/>
      <c r="I6" s="3257"/>
      <c r="J6" s="3256" t="e">
        <f>I5&amp;".1"</f>
        <v>#N/A</v>
      </c>
      <c r="K6" s="1290"/>
      <c r="L6" s="1291" t="s">
        <v>414</v>
      </c>
      <c r="P6" s="3258"/>
      <c r="Q6" s="3258">
        <v>1</v>
      </c>
      <c r="R6" s="294"/>
      <c r="S6" s="1384" t="e">
        <f>$J6</f>
        <v>#N/A</v>
      </c>
      <c r="T6" s="224" t="s">
        <v>415</v>
      </c>
      <c r="U6" s="238"/>
      <c r="V6" s="3239"/>
      <c r="W6" s="3240"/>
      <c r="X6" s="3240"/>
      <c r="Y6" s="3240"/>
      <c r="Z6" s="3240"/>
      <c r="AA6" s="3240"/>
      <c r="AB6" s="3241"/>
      <c r="AC6" s="3239"/>
      <c r="AD6" s="3240"/>
      <c r="AE6" s="3240"/>
      <c r="AF6" s="3240"/>
      <c r="AG6" s="3240"/>
      <c r="AH6" s="3240"/>
      <c r="AI6" s="3240"/>
      <c r="AJ6" s="3241"/>
      <c r="AK6" s="1234" t="s">
        <v>492</v>
      </c>
      <c r="AM6" s="437"/>
      <c r="AN6" s="437" t="str">
        <f t="shared" si="0"/>
        <v>Группа потребителей</v>
      </c>
      <c r="AO6" s="437"/>
      <c r="AP6" s="437"/>
      <c r="AQ6" s="1082">
        <v>0</v>
      </c>
    </row>
    <row r="7" spans="1:43" ht="23.25" hidden="1" customHeight="1">
      <c r="A7" s="1290"/>
      <c r="B7" s="1290"/>
      <c r="C7" s="1290"/>
      <c r="D7" s="1290"/>
      <c r="E7" s="3255"/>
      <c r="F7" s="3255"/>
      <c r="G7" s="3255"/>
      <c r="H7" s="3255"/>
      <c r="I7" s="3257"/>
      <c r="J7" s="3257"/>
      <c r="K7" s="3256" t="e">
        <f>J6&amp;".1"</f>
        <v>#N/A</v>
      </c>
      <c r="L7" s="1291"/>
      <c r="P7" s="3258"/>
      <c r="Q7" s="3258"/>
      <c r="R7" s="294">
        <v>1</v>
      </c>
      <c r="S7" s="1384" t="e">
        <f>$K7</f>
        <v>#N/A</v>
      </c>
      <c r="T7" s="1364"/>
      <c r="U7" s="238"/>
      <c r="V7" s="688"/>
      <c r="W7" s="688"/>
      <c r="X7" s="1184"/>
      <c r="Y7" s="3259"/>
      <c r="Z7" s="3121" t="s">
        <v>67</v>
      </c>
      <c r="AA7" s="3259"/>
      <c r="AB7" s="3121" t="s">
        <v>67</v>
      </c>
      <c r="AC7" s="688"/>
      <c r="AD7" s="688"/>
      <c r="AE7" s="1184"/>
      <c r="AF7" s="3259"/>
      <c r="AG7" s="3121" t="s">
        <v>67</v>
      </c>
      <c r="AH7" s="3261"/>
      <c r="AI7" s="3121" t="s">
        <v>67</v>
      </c>
      <c r="AJ7" s="1365"/>
      <c r="AK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255"/>
      <c r="F8" s="3255"/>
      <c r="G8" s="3255"/>
      <c r="H8" s="3255"/>
      <c r="I8" s="3257"/>
      <c r="J8" s="3257"/>
      <c r="K8" s="3256"/>
      <c r="L8" s="1291"/>
      <c r="P8" s="3258"/>
      <c r="Q8" s="3258"/>
      <c r="R8" s="294"/>
      <c r="S8" s="1383"/>
      <c r="T8" s="238"/>
      <c r="U8" s="238"/>
      <c r="V8" s="263"/>
      <c r="W8" s="263"/>
      <c r="X8" s="266" t="str">
        <f>Y7&amp;"-"&amp;AA7</f>
        <v>-</v>
      </c>
      <c r="Y8" s="3260"/>
      <c r="Z8" s="3121"/>
      <c r="AA8" s="3260"/>
      <c r="AB8" s="3121"/>
      <c r="AC8" s="263"/>
      <c r="AD8" s="263"/>
      <c r="AE8" s="266" t="str">
        <f>AF7&amp;"-"&amp;AH7</f>
        <v>-</v>
      </c>
      <c r="AF8" s="3260"/>
      <c r="AG8" s="3121"/>
      <c r="AH8" s="3262"/>
      <c r="AI8" s="3121"/>
      <c r="AJ8" s="1366"/>
      <c r="AK8" s="3357"/>
      <c r="AM8" s="437"/>
      <c r="AN8" s="437" t="str">
        <f t="shared" si="0"/>
        <v/>
      </c>
      <c r="AO8" s="437"/>
      <c r="AP8" s="437"/>
      <c r="AQ8" s="1082">
        <v>0</v>
      </c>
    </row>
    <row r="9" spans="1:43" ht="21" hidden="1" customHeight="1">
      <c r="A9" s="1290"/>
      <c r="B9" s="1290"/>
      <c r="C9" s="1290"/>
      <c r="D9" s="1290"/>
      <c r="E9" s="3255"/>
      <c r="F9" s="3255"/>
      <c r="G9" s="3255"/>
      <c r="H9" s="3255"/>
      <c r="I9" s="3257"/>
      <c r="J9" s="3256"/>
      <c r="K9" s="1290"/>
      <c r="L9" s="1291"/>
      <c r="P9" s="3258"/>
      <c r="Q9" s="3258"/>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255"/>
      <c r="F10" s="3255"/>
      <c r="G10" s="3255"/>
      <c r="H10" s="3255"/>
      <c r="I10" s="3256"/>
      <c r="J10" s="1290"/>
      <c r="K10" s="1290"/>
      <c r="L10" s="1291"/>
      <c r="P10" s="3258"/>
      <c r="Q10" s="1377"/>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255"/>
      <c r="F12" s="3254"/>
      <c r="G12" s="1241"/>
      <c r="H12" s="1241"/>
      <c r="I12" s="1241"/>
      <c r="J12" s="1241"/>
      <c r="K12" s="1241"/>
      <c r="L12" s="1385"/>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3251"/>
      <c r="AG15" s="3250" t="s">
        <v>67</v>
      </c>
      <c r="AH15" s="3251"/>
      <c r="AI15" s="3250" t="s">
        <v>67</v>
      </c>
      <c r="AQ15" s="1082">
        <v>0</v>
      </c>
    </row>
    <row r="16" spans="1:43" ht="14.25" hidden="1" customHeight="1">
      <c r="AC16" s="1287"/>
      <c r="AD16" s="1287"/>
      <c r="AE16" s="266" t="str">
        <f>AF15&amp;"-"&amp;AH15</f>
        <v>-</v>
      </c>
      <c r="AF16" s="3250"/>
      <c r="AG16" s="3250"/>
      <c r="AH16" s="3250"/>
      <c r="AI16" s="3250"/>
      <c r="AQ16" s="1082">
        <v>0</v>
      </c>
    </row>
    <row r="17" spans="1:43" ht="14.25" hidden="1" customHeight="1">
      <c r="AI17" s="265"/>
      <c r="AQ17" s="1082">
        <v>0</v>
      </c>
    </row>
    <row r="18" spans="1:43" s="1293" customFormat="1" ht="22.5" hidden="1" customHeight="1">
      <c r="L18" s="1374"/>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2"/>
      <c r="U24" s="3232"/>
      <c r="V24" s="3232"/>
      <c r="W24" s="3232"/>
      <c r="X24" s="3232"/>
      <c r="Y24" s="3232"/>
      <c r="Z24" s="3232"/>
      <c r="AA24" s="3232"/>
      <c r="AB24" s="3232"/>
      <c r="AC24" s="3232"/>
      <c r="AD24" s="3232"/>
      <c r="AE24" s="3232"/>
      <c r="AF24" s="3232"/>
      <c r="AG24" s="3232"/>
      <c r="AH24" s="3232"/>
      <c r="AI24" s="1170"/>
      <c r="AQ24" s="1082">
        <v>14</v>
      </c>
    </row>
    <row r="25" spans="1:43"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264"/>
      <c r="AC27" s="3245" t="str">
        <f>IF(TITLE_NAME_OR_PR_CHANGE="",IF(TITLE_NAME_OR_PR="","",TITLE_NAME_OR_PR),TITLE_NAME_OR_PR_CHANGE)</f>
        <v/>
      </c>
      <c r="AD27" s="3245"/>
      <c r="AE27" s="3245"/>
      <c r="AF27" s="3245"/>
      <c r="AG27" s="3245"/>
      <c r="AH27" s="324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264"/>
      <c r="AC28" s="3244">
        <f>IF(TITLE_DATE_PR_CHANGE="",IF(TITLE_DATE_PR="","",TITLE_DATE_PR),TITLE_DATE_PR_CHANGE)</f>
        <v>45595.546053240738</v>
      </c>
      <c r="AD28" s="3244"/>
      <c r="AE28" s="3244"/>
      <c r="AF28" s="3244"/>
      <c r="AG28" s="3244"/>
      <c r="AH28" s="324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264"/>
      <c r="AC29" s="3245" t="str">
        <f>IF(TITLE_NUMBER_PR_CHANGE="",IF(TITLE_NUMBER_PR="","",TITLE_NUMBER_PR),TITLE_NUMBER_PR_CHANGE)</f>
        <v>03/3636</v>
      </c>
      <c r="AD29" s="3245"/>
      <c r="AE29" s="3245"/>
      <c r="AF29" s="3245"/>
      <c r="AG29" s="3245"/>
      <c r="AH29" s="324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264"/>
      <c r="AC30" s="3245" t="str">
        <f>IF(TITLE_IST_PUB_CHANGE="",IF(TITLE_IST_PUB="","",TITLE_IST_PUB),TITLE_IST_PUB_CHANGE)</f>
        <v/>
      </c>
      <c r="AD30" s="3245"/>
      <c r="AE30" s="3245"/>
      <c r="AF30" s="3245"/>
      <c r="AG30" s="3245"/>
      <c r="AH30" s="324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264"/>
      <c r="AC32" s="3244">
        <f>IF(TITLE_DATE_PR_CHANGE="",IF(TITLE_DATE_PR="","",TITLE_DATE_PR),TITLE_DATE_PR_CHANGE)</f>
        <v>45595.546053240738</v>
      </c>
      <c r="AD32" s="3244"/>
      <c r="AE32" s="3244"/>
      <c r="AF32" s="3244"/>
      <c r="AG32" s="3244"/>
      <c r="AH32" s="324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264"/>
      <c r="AC33" s="3245" t="str">
        <f>IF(TITLE_NUMBER_PR_CHANGE="",IF(TITLE_NUMBER_PR="","",TITLE_NUMBER_PR),TITLE_NUMBER_PR_CHANGE)</f>
        <v>03/3636</v>
      </c>
      <c r="AD33" s="3245"/>
      <c r="AE33" s="3245"/>
      <c r="AF33" s="3245"/>
      <c r="AG33" s="3245"/>
      <c r="AH33" s="324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432</v>
      </c>
      <c r="AC34" s="264"/>
      <c r="AD34" s="264"/>
      <c r="AE34" s="264"/>
      <c r="AF34" s="264"/>
      <c r="AG34" s="264"/>
      <c r="AH34" s="264"/>
      <c r="AI34" s="216" t="s">
        <v>432</v>
      </c>
      <c r="AL34" s="305"/>
      <c r="AM34" s="305"/>
      <c r="AN34" s="305"/>
      <c r="AO34" s="305"/>
      <c r="AP34" s="305"/>
      <c r="AQ34" s="355">
        <v>1</v>
      </c>
    </row>
    <row r="35" spans="1:43" ht="14.65" customHeight="1">
      <c r="Q35" s="313"/>
      <c r="R35" s="313"/>
      <c r="S35" s="1202"/>
      <c r="T35" s="300"/>
      <c r="U35" s="1171"/>
      <c r="V35" s="3266"/>
      <c r="W35" s="3266"/>
      <c r="X35" s="3266"/>
      <c r="Y35" s="3266"/>
      <c r="Z35" s="3266"/>
      <c r="AA35" s="3266"/>
      <c r="AB35" s="3266"/>
      <c r="AC35" s="3266"/>
      <c r="AD35" s="3266"/>
      <c r="AE35" s="3266"/>
      <c r="AF35" s="3266"/>
      <c r="AG35" s="3266"/>
      <c r="AH35" s="3266"/>
      <c r="AI35" s="3266"/>
      <c r="AQ35" s="1082">
        <v>14</v>
      </c>
    </row>
    <row r="36" spans="1:43"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t="s">
        <v>309</v>
      </c>
      <c r="AQ36" s="1082">
        <v>14</v>
      </c>
    </row>
    <row r="37" spans="1:43" ht="14.65" customHeight="1">
      <c r="Q37" s="313"/>
      <c r="R37" s="313"/>
      <c r="S37" s="3268" t="s">
        <v>85</v>
      </c>
      <c r="T37" s="3212" t="s">
        <v>433</v>
      </c>
      <c r="U37" s="239"/>
      <c r="V37" s="3269" t="s">
        <v>434</v>
      </c>
      <c r="W37" s="3270"/>
      <c r="X37" s="3270"/>
      <c r="Y37" s="3270"/>
      <c r="Z37" s="3270"/>
      <c r="AA37" s="3271"/>
      <c r="AB37" s="3272" t="s">
        <v>435</v>
      </c>
      <c r="AC37" s="3269" t="s">
        <v>434</v>
      </c>
      <c r="AD37" s="3270"/>
      <c r="AE37" s="3270"/>
      <c r="AF37" s="3270"/>
      <c r="AG37" s="3270"/>
      <c r="AH37" s="3271"/>
      <c r="AI37" s="3272" t="s">
        <v>436</v>
      </c>
      <c r="AJ37" s="3275" t="s">
        <v>437</v>
      </c>
      <c r="AK37" s="3111"/>
      <c r="AQ37" s="1082">
        <v>14</v>
      </c>
    </row>
    <row r="38" spans="1:43" ht="35.65" customHeight="1">
      <c r="Q38" s="313"/>
      <c r="R38" s="313"/>
      <c r="S38" s="3268"/>
      <c r="T38" s="3212"/>
      <c r="U38" s="961"/>
      <c r="V38" s="1379" t="s">
        <v>496</v>
      </c>
      <c r="W38" s="3093" t="s">
        <v>440</v>
      </c>
      <c r="X38" s="3092"/>
      <c r="Y38" s="3093" t="s">
        <v>441</v>
      </c>
      <c r="Z38" s="3098"/>
      <c r="AA38" s="3092"/>
      <c r="AB38" s="3273"/>
      <c r="AC38" s="1379" t="s">
        <v>496</v>
      </c>
      <c r="AD38" s="3093" t="s">
        <v>440</v>
      </c>
      <c r="AE38" s="3092"/>
      <c r="AF38" s="3093" t="s">
        <v>441</v>
      </c>
      <c r="AG38" s="3098"/>
      <c r="AH38" s="3092"/>
      <c r="AI38" s="3273"/>
      <c r="AJ38" s="3276"/>
      <c r="AK38" s="3111"/>
      <c r="AQ38" s="1082">
        <v>34</v>
      </c>
    </row>
    <row r="39" spans="1:43" ht="35.65" customHeight="1">
      <c r="A39" s="1297"/>
      <c r="B39" s="1297" t="s">
        <v>133</v>
      </c>
      <c r="C39" s="1297" t="s">
        <v>134</v>
      </c>
      <c r="D39" s="1297" t="s">
        <v>135</v>
      </c>
      <c r="E39" s="1291" t="s">
        <v>442</v>
      </c>
      <c r="F39" s="1291" t="s">
        <v>443</v>
      </c>
      <c r="G39" s="1291" t="s">
        <v>444</v>
      </c>
      <c r="H39" s="1291"/>
      <c r="I39" s="1291" t="s">
        <v>497</v>
      </c>
      <c r="J39" s="1291" t="s">
        <v>447</v>
      </c>
      <c r="K39" s="1291" t="s">
        <v>498</v>
      </c>
      <c r="L39" s="1291" t="s">
        <v>423</v>
      </c>
      <c r="Q39" s="313"/>
      <c r="R39" s="313"/>
      <c r="S39" s="3268"/>
      <c r="T39" s="3212"/>
      <c r="U39" s="240"/>
      <c r="V39" s="1379" t="s">
        <v>499</v>
      </c>
      <c r="W39" s="1149" t="s">
        <v>500</v>
      </c>
      <c r="X39" s="1149" t="s">
        <v>501</v>
      </c>
      <c r="Y39" s="1382" t="s">
        <v>451</v>
      </c>
      <c r="Z39" s="3217" t="s">
        <v>452</v>
      </c>
      <c r="AA39" s="3231"/>
      <c r="AB39" s="3274"/>
      <c r="AC39" s="1379" t="s">
        <v>499</v>
      </c>
      <c r="AD39" s="1149" t="s">
        <v>500</v>
      </c>
      <c r="AE39" s="1149" t="s">
        <v>501</v>
      </c>
      <c r="AF39" s="1382" t="s">
        <v>451</v>
      </c>
      <c r="AG39" s="3217" t="s">
        <v>452</v>
      </c>
      <c r="AH39" s="3231"/>
      <c r="AI39" s="3274"/>
      <c r="AJ39" s="3277"/>
      <c r="AK39" s="31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3265">
        <f ca="1">OFFSET(Z40,0,-1)+1</f>
        <v>7</v>
      </c>
      <c r="AA40" s="3265"/>
      <c r="AB40" s="1378">
        <f ca="1">OFFSET(AB40,0,-2)+1</f>
        <v>8</v>
      </c>
      <c r="AC40" s="1378">
        <f ca="1">OFFSET(AC40,0,-1)+1</f>
        <v>9</v>
      </c>
      <c r="AD40" s="1378">
        <f ca="1">OFFSET(AD40,0,-1)+1</f>
        <v>10</v>
      </c>
      <c r="AE40" s="1378">
        <f ca="1">OFFSET(AE40,0,-1)+1</f>
        <v>11</v>
      </c>
      <c r="AF40" s="1378">
        <f ca="1">OFFSET(AF40,0,-1)+1</f>
        <v>12</v>
      </c>
      <c r="AG40" s="3265">
        <f ca="1">OFFSET(AG40,0,-1)+1</f>
        <v>13</v>
      </c>
      <c r="AH40" s="3265"/>
      <c r="AI40" s="1378">
        <f ca="1">OFFSET(AI40,0,-2)+1</f>
        <v>14</v>
      </c>
      <c r="AJ40" s="1172">
        <f ca="1">OFFSET(AJ40,0,-1)</f>
        <v>14</v>
      </c>
      <c r="AK40" s="1378">
        <f ca="1">OFFSET(AK40,0,-1)+1</f>
        <v>15</v>
      </c>
      <c r="AL40" s="448"/>
      <c r="AM40" s="448"/>
      <c r="AN40" s="448"/>
      <c r="AO40" s="448"/>
      <c r="AP40" s="448"/>
      <c r="AQ40" s="433">
        <v>0</v>
      </c>
    </row>
    <row r="41" spans="1:43" ht="24" customHeight="1">
      <c r="A41" s="1290" t="s">
        <v>249</v>
      </c>
      <c r="B41" s="1290"/>
      <c r="C41" s="1290"/>
      <c r="D41" s="1290"/>
      <c r="E41" s="325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121</v>
      </c>
      <c r="U41" s="238"/>
      <c r="V41" s="3246"/>
      <c r="W41" s="3247"/>
      <c r="X41" s="3247"/>
      <c r="Y41" s="3247"/>
      <c r="Z41" s="3247"/>
      <c r="AA41" s="3247"/>
      <c r="AB41" s="3248"/>
      <c r="AC41" s="3246" t="str">
        <f>INDEX(PT_DIFFERENTIATION_NTAR,MATCH(A41,PT_DIFFERENTIATION_NTAR_ID,0))</f>
        <v/>
      </c>
      <c r="AD41" s="3247"/>
      <c r="AE41" s="3247"/>
      <c r="AF41" s="3247"/>
      <c r="AG41" s="3247"/>
      <c r="AH41" s="3247"/>
      <c r="AI41" s="3247"/>
      <c r="AJ41" s="324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249</v>
      </c>
      <c r="B42" s="1290" t="s">
        <v>250</v>
      </c>
      <c r="C42" s="1290"/>
      <c r="D42" s="1290"/>
      <c r="E42" s="3255"/>
      <c r="F42" s="3254">
        <v>1</v>
      </c>
      <c r="G42" s="1290"/>
      <c r="H42" s="1290"/>
      <c r="I42" s="1290"/>
      <c r="J42" s="1290"/>
      <c r="K42" s="1290"/>
      <c r="L42" s="1291"/>
      <c r="M42" s="1292"/>
      <c r="N42" s="1292"/>
      <c r="O42" s="1292"/>
      <c r="P42" s="1380"/>
      <c r="Q42" s="289"/>
      <c r="R42" s="290"/>
      <c r="S42" s="1384" t="str">
        <f>INDEX(PT_DIFFERENTIATION_NUM_TER,MATCH(B42,PT_DIFFERENTIATION_TER_ID,0))</f>
        <v>.</v>
      </c>
      <c r="T42" s="246" t="s">
        <v>405</v>
      </c>
      <c r="U42" s="238"/>
      <c r="V42" s="3246"/>
      <c r="W42" s="3247"/>
      <c r="X42" s="3247"/>
      <c r="Y42" s="3247"/>
      <c r="Z42" s="3247"/>
      <c r="AA42" s="3247"/>
      <c r="AB42" s="3248"/>
      <c r="AC42" s="3246" t="str">
        <f>INDEX(PT_DIFFERENTIATION_TER,MATCH(B42,PT_DIFFERENTIATION_TER_ID,0))</f>
        <v/>
      </c>
      <c r="AD42" s="3247"/>
      <c r="AE42" s="3247"/>
      <c r="AF42" s="3247"/>
      <c r="AG42" s="3247"/>
      <c r="AH42" s="3247"/>
      <c r="AI42" s="3247"/>
      <c r="AJ42" s="3248"/>
      <c r="AK42" s="1185" t="s">
        <v>406</v>
      </c>
      <c r="AM42" s="437"/>
      <c r="AN42" s="437" t="str">
        <f t="shared" si="1"/>
        <v>Территория действия тарифа</v>
      </c>
      <c r="AO42" s="437"/>
      <c r="AP42" s="437"/>
      <c r="AQ42" s="1082">
        <v>23</v>
      </c>
    </row>
    <row r="43" spans="1:43" ht="24" customHeight="1">
      <c r="A43" s="1290" t="s">
        <v>249</v>
      </c>
      <c r="B43" s="1290" t="s">
        <v>250</v>
      </c>
      <c r="C43" s="1290" t="s">
        <v>251</v>
      </c>
      <c r="D43" s="1290"/>
      <c r="E43" s="3255"/>
      <c r="F43" s="3255"/>
      <c r="G43" s="3254">
        <v>1</v>
      </c>
      <c r="H43" s="1290"/>
      <c r="I43" s="1290"/>
      <c r="J43" s="1290"/>
      <c r="K43" s="1290"/>
      <c r="L43" s="1291"/>
      <c r="M43" s="1292"/>
      <c r="N43" s="1292"/>
      <c r="O43" s="1292"/>
      <c r="P43" s="291"/>
      <c r="Q43" s="289"/>
      <c r="R43" s="290"/>
      <c r="S43" s="1384" t="str">
        <f>INDEX(PT_DIFFERENTIATION_NUM_CS,MATCH(C43,PT_DIFFERENTIATION_CS_ID,0))</f>
        <v>..</v>
      </c>
      <c r="T43" s="247" t="s">
        <v>488</v>
      </c>
      <c r="U43" s="238"/>
      <c r="V43" s="3246"/>
      <c r="W43" s="3247"/>
      <c r="X43" s="3247"/>
      <c r="Y43" s="3247"/>
      <c r="Z43" s="3247"/>
      <c r="AA43" s="3247"/>
      <c r="AB43" s="3248"/>
      <c r="AC43" s="3246" t="str">
        <f>INDEX(PT_DIFFERENTIATION_CS,MATCH(C43,PT_DIFFERENTIATION_CS_ID,0))</f>
        <v/>
      </c>
      <c r="AD43" s="3247"/>
      <c r="AE43" s="3247"/>
      <c r="AF43" s="3247"/>
      <c r="AG43" s="3247"/>
      <c r="AH43" s="3247"/>
      <c r="AI43" s="3247"/>
      <c r="AJ43" s="3248"/>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249</v>
      </c>
      <c r="B44" s="1290" t="s">
        <v>250</v>
      </c>
      <c r="C44" s="1290" t="s">
        <v>251</v>
      </c>
      <c r="D44" s="1290" t="s">
        <v>505</v>
      </c>
      <c r="E44" s="3255"/>
      <c r="F44" s="3255"/>
      <c r="G44" s="3255"/>
      <c r="H44" s="3255"/>
      <c r="I44" s="3256" t="str">
        <f>S43&amp;".1"</f>
        <v>...1</v>
      </c>
      <c r="J44" s="1290"/>
      <c r="K44" s="1290"/>
      <c r="L44" s="1291"/>
      <c r="P44" s="3258">
        <v>1</v>
      </c>
      <c r="Q44" s="1377"/>
      <c r="R44" s="293"/>
      <c r="S44" s="1384" t="str">
        <f>$I44</f>
        <v>...1</v>
      </c>
      <c r="T44" s="223" t="s">
        <v>490</v>
      </c>
      <c r="U44" s="238"/>
      <c r="V44" s="3351"/>
      <c r="W44" s="3352"/>
      <c r="X44" s="3352"/>
      <c r="Y44" s="3352"/>
      <c r="Z44" s="3352"/>
      <c r="AA44" s="3352"/>
      <c r="AB44" s="3353"/>
      <c r="AC44" s="3354"/>
      <c r="AD44" s="3355"/>
      <c r="AE44" s="3355"/>
      <c r="AF44" s="3355"/>
      <c r="AG44" s="3355"/>
      <c r="AH44" s="3355"/>
      <c r="AI44" s="3355"/>
      <c r="AJ44" s="3356"/>
      <c r="AK44" s="1185" t="s">
        <v>491</v>
      </c>
      <c r="AM44" s="437"/>
      <c r="AN44" s="437" t="str">
        <f t="shared" si="1"/>
        <v>Наименование признака дифференциации</v>
      </c>
      <c r="AO44" s="437"/>
      <c r="AP44" s="437"/>
      <c r="AQ44" s="1082">
        <v>23</v>
      </c>
    </row>
    <row r="45" spans="1:43" ht="24" customHeight="1">
      <c r="A45" s="1290" t="s">
        <v>249</v>
      </c>
      <c r="B45" s="1290" t="s">
        <v>250</v>
      </c>
      <c r="C45" s="1290" t="s">
        <v>251</v>
      </c>
      <c r="D45" s="1290" t="s">
        <v>505</v>
      </c>
      <c r="E45" s="3255"/>
      <c r="F45" s="3255"/>
      <c r="G45" s="3255"/>
      <c r="H45" s="3255"/>
      <c r="I45" s="3257"/>
      <c r="J45" s="3256" t="str">
        <f>I44&amp;".1"</f>
        <v>...1.1</v>
      </c>
      <c r="K45" s="1290"/>
      <c r="L45" s="1291" t="s">
        <v>414</v>
      </c>
      <c r="P45" s="3258"/>
      <c r="Q45" s="3258">
        <v>1</v>
      </c>
      <c r="R45" s="294"/>
      <c r="S45" s="1384" t="str">
        <f>$J45</f>
        <v>...1.1</v>
      </c>
      <c r="T45" s="224" t="s">
        <v>415</v>
      </c>
      <c r="U45" s="238"/>
      <c r="V45" s="3239"/>
      <c r="W45" s="3240"/>
      <c r="X45" s="3240"/>
      <c r="Y45" s="3240"/>
      <c r="Z45" s="3240"/>
      <c r="AA45" s="3240"/>
      <c r="AB45" s="3241"/>
      <c r="AC45" s="3239"/>
      <c r="AD45" s="3240"/>
      <c r="AE45" s="3240"/>
      <c r="AF45" s="3240"/>
      <c r="AG45" s="3240"/>
      <c r="AH45" s="3240"/>
      <c r="AI45" s="3240"/>
      <c r="AJ45" s="3241"/>
      <c r="AK45" s="1234" t="s">
        <v>492</v>
      </c>
      <c r="AM45" s="437"/>
      <c r="AN45" s="437" t="str">
        <f t="shared" si="1"/>
        <v>Группа потребителей</v>
      </c>
      <c r="AO45" s="437"/>
      <c r="AP45" s="437"/>
      <c r="AQ45" s="1082">
        <v>23</v>
      </c>
    </row>
    <row r="46" spans="1:43" ht="24" customHeight="1">
      <c r="A46" s="1290" t="s">
        <v>249</v>
      </c>
      <c r="B46" s="1290" t="s">
        <v>250</v>
      </c>
      <c r="C46" s="1290" t="s">
        <v>251</v>
      </c>
      <c r="D46" s="1290" t="s">
        <v>505</v>
      </c>
      <c r="E46" s="3255"/>
      <c r="F46" s="3255"/>
      <c r="G46" s="3255"/>
      <c r="H46" s="3255"/>
      <c r="I46" s="3257"/>
      <c r="J46" s="3257"/>
      <c r="K46" s="3256" t="str">
        <f>J45&amp;".1"</f>
        <v>...1.1.1</v>
      </c>
      <c r="L46" s="1291"/>
      <c r="P46" s="3258"/>
      <c r="Q46" s="3258"/>
      <c r="R46" s="294">
        <v>1</v>
      </c>
      <c r="S46" s="1384" t="str">
        <f>$K46</f>
        <v>...1.1.1</v>
      </c>
      <c r="T46" s="1364"/>
      <c r="U46" s="238"/>
      <c r="V46" s="688"/>
      <c r="W46" s="688"/>
      <c r="X46" s="1184"/>
      <c r="Y46" s="3259"/>
      <c r="Z46" s="3121" t="s">
        <v>67</v>
      </c>
      <c r="AA46" s="3259"/>
      <c r="AB46" s="3121" t="s">
        <v>67</v>
      </c>
      <c r="AC46" s="688"/>
      <c r="AD46" s="688"/>
      <c r="AE46" s="1184"/>
      <c r="AF46" s="3259"/>
      <c r="AG46" s="3121" t="s">
        <v>67</v>
      </c>
      <c r="AH46" s="3261"/>
      <c r="AI46" s="3121" t="s">
        <v>67</v>
      </c>
      <c r="AJ46" s="1365"/>
      <c r="AK46"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249</v>
      </c>
      <c r="B47" s="1290" t="s">
        <v>250</v>
      </c>
      <c r="C47" s="1290" t="s">
        <v>251</v>
      </c>
      <c r="D47" s="1290" t="s">
        <v>505</v>
      </c>
      <c r="E47" s="3255"/>
      <c r="F47" s="3255"/>
      <c r="G47" s="3255"/>
      <c r="H47" s="3255"/>
      <c r="I47" s="3257"/>
      <c r="J47" s="3257"/>
      <c r="K47" s="3256"/>
      <c r="L47" s="1291"/>
      <c r="P47" s="3258"/>
      <c r="Q47" s="3258"/>
      <c r="R47" s="294"/>
      <c r="S47" s="1383"/>
      <c r="T47" s="238"/>
      <c r="U47" s="238"/>
      <c r="V47" s="263"/>
      <c r="W47" s="263"/>
      <c r="X47" s="266" t="str">
        <f>Y46&amp;"-"&amp;AA46</f>
        <v>-</v>
      </c>
      <c r="Y47" s="3260"/>
      <c r="Z47" s="3121"/>
      <c r="AA47" s="3260"/>
      <c r="AB47" s="3121"/>
      <c r="AC47" s="263"/>
      <c r="AD47" s="263"/>
      <c r="AE47" s="266" t="str">
        <f>AF46&amp;"-"&amp;AH46</f>
        <v>-</v>
      </c>
      <c r="AF47" s="3260"/>
      <c r="AG47" s="3121"/>
      <c r="AH47" s="3262"/>
      <c r="AI47" s="3121"/>
      <c r="AJ47" s="1366"/>
      <c r="AK47" s="3357"/>
      <c r="AM47" s="437"/>
      <c r="AN47" s="437" t="str">
        <f t="shared" si="1"/>
        <v/>
      </c>
      <c r="AO47" s="437"/>
      <c r="AP47" s="437"/>
      <c r="AQ47" s="1082">
        <v>0</v>
      </c>
    </row>
    <row r="48" spans="1:43" ht="21" customHeight="1">
      <c r="A48" s="1290" t="s">
        <v>249</v>
      </c>
      <c r="B48" s="1290" t="s">
        <v>250</v>
      </c>
      <c r="C48" s="1290" t="s">
        <v>251</v>
      </c>
      <c r="D48" s="1290" t="s">
        <v>505</v>
      </c>
      <c r="E48" s="3255"/>
      <c r="F48" s="3255"/>
      <c r="G48" s="3255"/>
      <c r="H48" s="3255"/>
      <c r="I48" s="3257"/>
      <c r="J48" s="3256"/>
      <c r="K48" s="1290"/>
      <c r="L48" s="1291"/>
      <c r="P48" s="3258"/>
      <c r="Q48" s="3258"/>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249</v>
      </c>
      <c r="B49" s="1290" t="s">
        <v>250</v>
      </c>
      <c r="C49" s="1290" t="s">
        <v>251</v>
      </c>
      <c r="D49" s="1290" t="s">
        <v>505</v>
      </c>
      <c r="E49" s="3255"/>
      <c r="F49" s="3255"/>
      <c r="G49" s="3255"/>
      <c r="H49" s="3255"/>
      <c r="I49" s="3256"/>
      <c r="J49" s="1290"/>
      <c r="K49" s="1290"/>
      <c r="L49" s="1291"/>
      <c r="P49" s="3258"/>
      <c r="Q49" s="1377"/>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249</v>
      </c>
      <c r="B50" s="1290" t="s">
        <v>250</v>
      </c>
      <c r="C50" s="1290" t="s">
        <v>251</v>
      </c>
      <c r="D50" s="1290" t="s">
        <v>505</v>
      </c>
      <c r="E50" s="3255"/>
      <c r="F50" s="3255"/>
      <c r="G50" s="3255"/>
      <c r="H50" s="3254"/>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249</v>
      </c>
      <c r="B51" s="1270" t="s">
        <v>250</v>
      </c>
      <c r="C51" s="1241"/>
      <c r="D51" s="1241"/>
      <c r="E51" s="3255"/>
      <c r="F51" s="3254"/>
      <c r="G51" s="1241"/>
      <c r="H51" s="1241"/>
      <c r="I51" s="1241"/>
      <c r="J51" s="1241"/>
      <c r="K51" s="1241"/>
      <c r="L51" s="1385"/>
      <c r="M51" s="1248"/>
      <c r="N51" s="1248"/>
      <c r="P51" s="1243"/>
      <c r="Q51" s="1244"/>
      <c r="R51" s="1243"/>
      <c r="S51" s="1249"/>
      <c r="T51" s="1252" t="s">
        <v>167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249</v>
      </c>
      <c r="B52" s="1270"/>
      <c r="C52" s="1270"/>
      <c r="D52" s="1270"/>
      <c r="E52" s="3254"/>
      <c r="F52" s="1270"/>
      <c r="G52" s="1270"/>
      <c r="H52" s="1270"/>
      <c r="I52" s="1270"/>
      <c r="J52" s="1270"/>
      <c r="K52" s="1270"/>
      <c r="L52" s="1273"/>
      <c r="M52" s="1248"/>
      <c r="N52" s="1248"/>
      <c r="O52" s="455"/>
      <c r="P52" s="317"/>
      <c r="Q52" s="1271"/>
      <c r="R52" s="317"/>
      <c r="S52" s="1249"/>
      <c r="T52" s="1252" t="s">
        <v>168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252"/>
      <c r="U55" s="3252"/>
      <c r="V55" s="3252"/>
      <c r="W55" s="3252"/>
      <c r="X55" s="3252"/>
      <c r="Y55" s="3252"/>
      <c r="Z55" s="3252"/>
      <c r="AA55" s="3252"/>
      <c r="AB55" s="3252"/>
      <c r="AC55" s="3252"/>
      <c r="AD55" s="3252"/>
      <c r="AE55" s="3252"/>
      <c r="AF55" s="3252"/>
      <c r="AG55" s="3252"/>
      <c r="AH55" s="3252"/>
      <c r="AI55" s="3252"/>
      <c r="AJ55" s="3252"/>
      <c r="AK55" s="3252"/>
      <c r="AQ55" s="1082">
        <v>14</v>
      </c>
    </row>
    <row r="56" spans="1:43" ht="14.65" customHeight="1">
      <c r="O56" s="474"/>
      <c r="AQ56" s="1082">
        <v>14</v>
      </c>
    </row>
    <row r="57" spans="1:43" ht="14.65" customHeight="1">
      <c r="O57" s="474"/>
      <c r="S57" s="1180"/>
      <c r="T57" s="3252"/>
      <c r="U57" s="3252"/>
      <c r="V57" s="3252"/>
      <c r="W57" s="3252"/>
      <c r="X57" s="3252"/>
      <c r="Y57" s="3252"/>
      <c r="Z57" s="3252"/>
      <c r="AA57" s="3252"/>
      <c r="AB57" s="3252"/>
      <c r="AC57" s="3252"/>
      <c r="AD57" s="3252"/>
      <c r="AE57" s="3252"/>
      <c r="AF57" s="3252"/>
      <c r="AG57" s="3252"/>
      <c r="AH57" s="3252"/>
      <c r="AI57" s="3252"/>
      <c r="AJ57" s="3252"/>
      <c r="AK57" s="325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4D12-9E58-2ED4-43C6-ECCA764D1D34}">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15" hidden="1" customWidth="1"/>
    <col min="16" max="16" width="3" style="1702" customWidth="1"/>
    <col min="17" max="17" width="3" style="1298" customWidth="1"/>
    <col min="18" max="18" width="3" style="282" customWidth="1"/>
    <col min="19" max="19" width="12" style="201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3309">
        <v>1</v>
      </c>
      <c r="F2" s="1194"/>
      <c r="G2" s="1194"/>
      <c r="H2" s="1194"/>
      <c r="I2" s="1194"/>
      <c r="J2" s="1194"/>
      <c r="K2" s="1194"/>
      <c r="L2" s="1237"/>
      <c r="M2" s="1537"/>
      <c r="N2" s="1537"/>
      <c r="O2" s="1537"/>
      <c r="P2" s="1336"/>
      <c r="Q2" s="804"/>
      <c r="R2" s="292"/>
      <c r="S2" s="1880" t="e">
        <f>INDEX(PT_DIFFERENTIATION_NUM_NTAR,MATCH(A2,PT_DIFFERENTIATION_NTAR_ID,0))</f>
        <v>#N/A</v>
      </c>
      <c r="T2" s="1452" t="s">
        <v>121</v>
      </c>
      <c r="U2" s="238"/>
      <c r="V2" s="3247"/>
      <c r="W2" s="3247"/>
      <c r="X2" s="3247"/>
      <c r="Y2" s="3247"/>
      <c r="Z2" s="3247"/>
      <c r="AA2" s="3248"/>
      <c r="AB2" s="1874"/>
      <c r="AC2" s="3247" t="e">
        <f>INDEX(PT_DIFFERENTIATION_NTAR,MATCH(A2,PT_DIFFERENTIATION_NTAR_ID,0))</f>
        <v>#N/A</v>
      </c>
      <c r="AD2" s="3247"/>
      <c r="AE2" s="3247"/>
      <c r="AF2" s="3247"/>
      <c r="AG2" s="3247"/>
      <c r="AH2" s="3247"/>
      <c r="AI2" s="3247"/>
      <c r="AJ2" s="3248"/>
      <c r="AK2" s="1185" t="s">
        <v>404</v>
      </c>
      <c r="AM2" s="1551"/>
      <c r="AN2" s="1551" t="str">
        <f t="shared" ref="AN2:AN14" si="0">IF(T2="","",T2)</f>
        <v>Наименование тарифа</v>
      </c>
      <c r="AO2" s="1551"/>
      <c r="AP2" s="1551"/>
      <c r="AQ2" s="1558">
        <v>0</v>
      </c>
    </row>
    <row r="3" spans="1:43" ht="21" hidden="1" customHeight="1">
      <c r="A3" s="1194"/>
      <c r="B3" s="1194"/>
      <c r="C3" s="1194"/>
      <c r="D3" s="1194"/>
      <c r="E3" s="3310"/>
      <c r="F3" s="3309">
        <v>1</v>
      </c>
      <c r="G3" s="1194"/>
      <c r="H3" s="1194"/>
      <c r="I3" s="1194"/>
      <c r="J3" s="1194"/>
      <c r="K3" s="1194"/>
      <c r="L3" s="1237"/>
      <c r="M3" s="1537"/>
      <c r="N3" s="1537"/>
      <c r="O3" s="1537"/>
      <c r="P3" s="1891"/>
      <c r="Q3" s="1338"/>
      <c r="R3" s="290"/>
      <c r="S3" s="1880" t="e">
        <f>INDEX(PT_DIFFERENTIATION_NUM_TER,MATCH(B3,PT_DIFFERENTIATION_TER_ID,0))</f>
        <v>#N/A</v>
      </c>
      <c r="T3" s="1449" t="s">
        <v>405</v>
      </c>
      <c r="U3" s="238"/>
      <c r="V3" s="3247"/>
      <c r="W3" s="3247"/>
      <c r="X3" s="3247"/>
      <c r="Y3" s="3247"/>
      <c r="Z3" s="3247"/>
      <c r="AA3" s="3248"/>
      <c r="AB3" s="1874"/>
      <c r="AC3" s="3247" t="e">
        <f>INDEX(PT_DIFFERENTIATION_TER,MATCH(B3,PT_DIFFERENTIATION_TER_ID,0))</f>
        <v>#N/A</v>
      </c>
      <c r="AD3" s="3247"/>
      <c r="AE3" s="3247"/>
      <c r="AF3" s="3247"/>
      <c r="AG3" s="3247"/>
      <c r="AH3" s="3247"/>
      <c r="AI3" s="3247"/>
      <c r="AJ3" s="3248"/>
      <c r="AK3" s="1185" t="s">
        <v>406</v>
      </c>
      <c r="AM3" s="1551"/>
      <c r="AN3" s="1551" t="str">
        <f t="shared" si="0"/>
        <v>Территория действия тарифа</v>
      </c>
      <c r="AO3" s="1551"/>
      <c r="AP3" s="1551"/>
      <c r="AQ3" s="1558">
        <v>0</v>
      </c>
    </row>
    <row r="4" spans="1:43" ht="22.5" hidden="1" customHeight="1">
      <c r="A4" s="1194"/>
      <c r="B4" s="1194"/>
      <c r="C4" s="1194"/>
      <c r="D4" s="1194"/>
      <c r="E4" s="3310"/>
      <c r="F4" s="3310"/>
      <c r="G4" s="3309">
        <v>1</v>
      </c>
      <c r="H4" s="1194"/>
      <c r="I4" s="1194"/>
      <c r="J4" s="1194"/>
      <c r="K4" s="1194"/>
      <c r="L4" s="1237"/>
      <c r="M4" s="1537"/>
      <c r="N4" s="1537"/>
      <c r="O4" s="1537"/>
      <c r="P4" s="1339"/>
      <c r="Q4" s="1338"/>
      <c r="R4" s="290"/>
      <c r="S4" s="1880" t="e">
        <f>INDEX(PT_DIFFERENTIATION_NUM_CS,MATCH(C4,PT_DIFFERENTIATION_CS_ID,0))</f>
        <v>#N/A</v>
      </c>
      <c r="T4" s="247" t="s">
        <v>407</v>
      </c>
      <c r="U4" s="238"/>
      <c r="V4" s="3247"/>
      <c r="W4" s="3247"/>
      <c r="X4" s="3247"/>
      <c r="Y4" s="3247"/>
      <c r="Z4" s="3247"/>
      <c r="AA4" s="3248"/>
      <c r="AB4" s="1874"/>
      <c r="AC4" s="3247" t="e">
        <f>INDEX(PT_DIFFERENTIATION_CS,MATCH(C4,PT_DIFFERENTIATION_CS_ID,0))</f>
        <v>#N/A</v>
      </c>
      <c r="AD4" s="3247"/>
      <c r="AE4" s="3247"/>
      <c r="AF4" s="3247"/>
      <c r="AG4" s="3247"/>
      <c r="AH4" s="3247"/>
      <c r="AI4" s="3247"/>
      <c r="AJ4" s="3248"/>
      <c r="AK4" s="1185" t="s">
        <v>408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3310"/>
      <c r="F5" s="3310"/>
      <c r="G5" s="3310"/>
      <c r="H5" s="3309">
        <v>1</v>
      </c>
      <c r="I5" s="1194"/>
      <c r="J5" s="1194"/>
      <c r="K5" s="1194"/>
      <c r="L5" s="1237"/>
      <c r="M5" s="1537"/>
      <c r="N5" s="1537"/>
      <c r="O5" s="1537"/>
      <c r="P5" s="1339"/>
      <c r="Q5" s="1338"/>
      <c r="R5" s="290"/>
      <c r="S5" s="1880" t="e">
        <f>INDEX(PT_DIFFERENTIATION_NUM_IST_TE,MATCH(D5,PT_DIFFERENTIATION_IST_TE_ID,0))</f>
        <v>#N/A</v>
      </c>
      <c r="T5" s="248" t="s">
        <v>409</v>
      </c>
      <c r="U5" s="238"/>
      <c r="V5" s="3247"/>
      <c r="W5" s="3247"/>
      <c r="X5" s="3247"/>
      <c r="Y5" s="3247"/>
      <c r="Z5" s="3247"/>
      <c r="AA5" s="3248"/>
      <c r="AB5" s="1874"/>
      <c r="AC5" s="3247" t="e">
        <f>INDEX(PT_DIFFERENTIATION_IST_TE,MATCH(D5,PT_DIFFERENTIATION_IST_TE_ID,0))</f>
        <v>#N/A</v>
      </c>
      <c r="AD5" s="3247"/>
      <c r="AE5" s="3247"/>
      <c r="AF5" s="3247"/>
      <c r="AG5" s="3247"/>
      <c r="AH5" s="3247"/>
      <c r="AI5" s="3247"/>
      <c r="AJ5" s="3248"/>
      <c r="AK5" s="1185" t="s">
        <v>410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3310"/>
      <c r="F6" s="3310"/>
      <c r="G6" s="3310"/>
      <c r="H6" s="3310"/>
      <c r="I6" s="3111" t="e">
        <f>S5&amp;".1"</f>
        <v>#N/A</v>
      </c>
      <c r="J6" s="1302"/>
      <c r="K6" s="1302"/>
      <c r="L6" s="1308" t="s">
        <v>411</v>
      </c>
      <c r="M6" s="1173"/>
      <c r="N6" s="1173"/>
      <c r="O6" s="1173"/>
      <c r="P6" s="3258">
        <v>1</v>
      </c>
      <c r="Q6" s="1876"/>
      <c r="R6" s="293"/>
      <c r="S6" s="972"/>
      <c r="T6" s="1310"/>
      <c r="U6" s="1311"/>
      <c r="V6" s="3315"/>
      <c r="W6" s="3315"/>
      <c r="X6" s="3315"/>
      <c r="Y6" s="3315"/>
      <c r="Z6" s="3315"/>
      <c r="AA6" s="3316"/>
      <c r="AB6" s="1882"/>
      <c r="AC6" s="3315"/>
      <c r="AD6" s="3315"/>
      <c r="AE6" s="3315"/>
      <c r="AF6" s="3315"/>
      <c r="AG6" s="3315"/>
      <c r="AH6" s="3315"/>
      <c r="AI6" s="3315"/>
      <c r="AJ6" s="3316"/>
      <c r="AK6" s="1312"/>
      <c r="AM6" s="1551"/>
      <c r="AN6" s="1551" t="str">
        <f t="shared" si="0"/>
        <v/>
      </c>
      <c r="AO6" s="1551"/>
      <c r="AP6" s="1551"/>
      <c r="AQ6" s="1563">
        <v>0</v>
      </c>
    </row>
    <row r="7" spans="1:43" s="1569" customFormat="1" ht="0.75" hidden="1" customHeight="1">
      <c r="A7" s="1302"/>
      <c r="B7" s="1302"/>
      <c r="C7" s="1302"/>
      <c r="D7" s="1302"/>
      <c r="E7" s="3310"/>
      <c r="F7" s="3310"/>
      <c r="G7" s="3310"/>
      <c r="H7" s="3310"/>
      <c r="I7" s="3093"/>
      <c r="J7" s="3111" t="e">
        <f>S5&amp;".1"</f>
        <v>#N/A</v>
      </c>
      <c r="K7" s="1302"/>
      <c r="L7" s="1308"/>
      <c r="M7" s="1173"/>
      <c r="N7" s="1173"/>
      <c r="O7" s="1173"/>
      <c r="P7" s="3258"/>
      <c r="Q7" s="3258">
        <v>1</v>
      </c>
      <c r="R7" s="294"/>
      <c r="S7" s="972"/>
      <c r="T7" s="1326"/>
      <c r="U7" s="1311"/>
      <c r="V7" s="3315"/>
      <c r="W7" s="3315"/>
      <c r="X7" s="3315"/>
      <c r="Y7" s="3315"/>
      <c r="Z7" s="3315"/>
      <c r="AA7" s="3316"/>
      <c r="AB7" s="1882"/>
      <c r="AC7" s="3315"/>
      <c r="AD7" s="3315"/>
      <c r="AE7" s="3315"/>
      <c r="AF7" s="3315"/>
      <c r="AG7" s="3315"/>
      <c r="AH7" s="3315"/>
      <c r="AI7" s="3315"/>
      <c r="AJ7" s="3316"/>
      <c r="AK7" s="1312"/>
      <c r="AM7" s="1551"/>
      <c r="AN7" s="1551" t="str">
        <f t="shared" si="0"/>
        <v/>
      </c>
      <c r="AO7" s="1551"/>
      <c r="AP7" s="1551"/>
      <c r="AQ7" s="1563">
        <v>0</v>
      </c>
    </row>
    <row r="8" spans="1:43" ht="21" hidden="1" customHeight="1">
      <c r="A8" s="1194"/>
      <c r="B8" s="1194"/>
      <c r="C8" s="1194"/>
      <c r="D8" s="1194"/>
      <c r="E8" s="3310"/>
      <c r="F8" s="3310"/>
      <c r="G8" s="3310"/>
      <c r="H8" s="3310"/>
      <c r="I8" s="3093"/>
      <c r="J8" s="3093"/>
      <c r="K8" s="1913" t="e">
        <f>S5&amp;".1"</f>
        <v>#N/A</v>
      </c>
      <c r="L8" s="1237"/>
      <c r="P8" s="3258"/>
      <c r="Q8" s="3258"/>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3278" t="s">
        <v>471</v>
      </c>
      <c r="AL8" s="1563" t="e">
        <f ca="1">STRCHECKDATE(#REF!)</f>
        <v>#NAME?</v>
      </c>
      <c r="AM8" s="1551"/>
      <c r="AN8" s="1551" t="str">
        <f t="shared" si="0"/>
        <v/>
      </c>
      <c r="AO8" s="1551"/>
      <c r="AP8" s="1551"/>
      <c r="AQ8" s="1558">
        <v>0</v>
      </c>
    </row>
    <row r="9" spans="1:43" ht="11.25" hidden="1" customHeight="1">
      <c r="A9" s="1194"/>
      <c r="B9" s="1194"/>
      <c r="C9" s="1194"/>
      <c r="D9" s="1194"/>
      <c r="E9" s="3310"/>
      <c r="F9" s="3310"/>
      <c r="G9" s="3310"/>
      <c r="H9" s="3310"/>
      <c r="I9" s="3093"/>
      <c r="J9" s="3111"/>
      <c r="K9" s="1194"/>
      <c r="L9" s="1237"/>
      <c r="P9" s="3258"/>
      <c r="Q9" s="3258"/>
      <c r="R9" s="293"/>
      <c r="S9" s="1205"/>
      <c r="T9" s="225" t="s">
        <v>475</v>
      </c>
      <c r="U9" s="537"/>
      <c r="V9" s="537"/>
      <c r="W9" s="537"/>
      <c r="X9" s="537"/>
      <c r="Y9" s="537"/>
      <c r="Z9" s="537"/>
      <c r="AA9" s="537"/>
      <c r="AB9" s="537"/>
      <c r="AC9" s="537"/>
      <c r="AD9" s="537"/>
      <c r="AE9" s="537"/>
      <c r="AF9" s="537"/>
      <c r="AG9" s="537"/>
      <c r="AH9" s="537"/>
      <c r="AI9" s="537"/>
      <c r="AJ9" s="262"/>
      <c r="AK9" s="3280"/>
      <c r="AM9" s="1551"/>
      <c r="AN9" s="1551" t="str">
        <f t="shared" si="0"/>
        <v>Добавить строку</v>
      </c>
      <c r="AO9" s="1551"/>
      <c r="AP9" s="1551"/>
      <c r="AQ9" s="1558">
        <v>0</v>
      </c>
    </row>
    <row r="10" spans="1:43" s="1569" customFormat="1" ht="0.75" hidden="1" customHeight="1">
      <c r="A10" s="1302"/>
      <c r="B10" s="1302"/>
      <c r="C10" s="1302"/>
      <c r="D10" s="1302"/>
      <c r="E10" s="3310"/>
      <c r="F10" s="3310"/>
      <c r="G10" s="3310"/>
      <c r="H10" s="3310"/>
      <c r="I10" s="3111"/>
      <c r="J10" s="1302"/>
      <c r="K10" s="1302"/>
      <c r="L10" s="1308"/>
      <c r="M10" s="1173"/>
      <c r="N10" s="1173"/>
      <c r="O10" s="1173"/>
      <c r="P10" s="3258"/>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3310"/>
      <c r="F11" s="3310"/>
      <c r="G11" s="3310"/>
      <c r="H11" s="330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3310"/>
      <c r="F12" s="3310"/>
      <c r="G12" s="3309"/>
      <c r="H12" s="1301"/>
      <c r="I12" s="1301"/>
      <c r="J12" s="1301"/>
      <c r="K12" s="1301"/>
      <c r="L12" s="1304"/>
      <c r="M12" s="1305"/>
      <c r="N12" s="1305"/>
      <c r="O12" s="288"/>
      <c r="P12" s="1243"/>
      <c r="Q12" s="1244"/>
      <c r="R12" s="1243"/>
      <c r="S12" s="1249"/>
      <c r="T12" s="1252" t="s">
        <v>166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3310"/>
      <c r="F13" s="3309"/>
      <c r="G13" s="1301"/>
      <c r="H13" s="1301"/>
      <c r="I13" s="1301"/>
      <c r="J13" s="1301"/>
      <c r="K13" s="1301"/>
      <c r="L13" s="1304"/>
      <c r="M13" s="1306"/>
      <c r="N13" s="1306"/>
      <c r="O13" s="288"/>
      <c r="P13" s="1243"/>
      <c r="Q13" s="1244"/>
      <c r="R13" s="1243"/>
      <c r="S13" s="1249"/>
      <c r="T13" s="1252" t="s">
        <v>167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3309"/>
      <c r="F14" s="1302"/>
      <c r="G14" s="1302"/>
      <c r="H14" s="1302"/>
      <c r="I14" s="1302"/>
      <c r="J14" s="1302"/>
      <c r="K14" s="1302"/>
      <c r="L14" s="1308"/>
      <c r="M14" s="1306"/>
      <c r="N14" s="1306"/>
      <c r="O14" s="288"/>
      <c r="P14" s="317"/>
      <c r="Q14" s="1271"/>
      <c r="R14" s="317"/>
      <c r="S14" s="1249"/>
      <c r="T14" s="1252" t="s">
        <v>168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422</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423</v>
      </c>
      <c r="P20" s="1435"/>
      <c r="Q20" s="1437"/>
      <c r="R20" s="1437"/>
      <c r="Y20" s="1434" t="s">
        <v>425</v>
      </c>
      <c r="AA20" s="1434" t="s">
        <v>426</v>
      </c>
      <c r="AC20" s="1434" t="s">
        <v>477</v>
      </c>
      <c r="AG20" s="1434" t="s">
        <v>425</v>
      </c>
      <c r="AI20" s="1434" t="s">
        <v>426</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3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232"/>
      <c r="U24" s="3232"/>
      <c r="V24" s="3232"/>
      <c r="W24" s="3232"/>
      <c r="X24" s="3232"/>
      <c r="Y24" s="3232"/>
      <c r="Z24" s="3232"/>
      <c r="AA24" s="3232"/>
      <c r="AB24" s="3232"/>
      <c r="AC24" s="3232"/>
      <c r="AD24" s="3232"/>
      <c r="AE24" s="3232"/>
      <c r="AF24" s="3232"/>
      <c r="AG24" s="3232"/>
      <c r="AH24" s="3232"/>
      <c r="AI24" s="1170"/>
      <c r="AQ24" s="1558">
        <v>38</v>
      </c>
    </row>
    <row r="25" spans="1:43" ht="14.65" customHeight="1">
      <c r="Q25" s="229"/>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3243" t="s">
        <v>42</v>
      </c>
      <c r="T27" s="3243"/>
      <c r="U27" s="1299"/>
      <c r="V27" s="3245" t="str">
        <f>IF(TITLE_NAME_OR_PR_CHANGE="",IF(TITLE_NAME_OR_PR="","",TITLE_NAME_OR_PR),TITLE_NAME_OR_PR_CHANGE)</f>
        <v/>
      </c>
      <c r="W27" s="3245"/>
      <c r="X27" s="3245"/>
      <c r="Y27" s="3245"/>
      <c r="Z27" s="3245"/>
      <c r="AA27" s="1562"/>
      <c r="AB27" s="1562"/>
      <c r="AC27" s="3245"/>
      <c r="AD27" s="3245"/>
      <c r="AE27" s="3245"/>
      <c r="AF27" s="3245"/>
      <c r="AG27" s="3245"/>
      <c r="AH27" s="3245"/>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3243" t="s">
        <v>428</v>
      </c>
      <c r="T28" s="3243"/>
      <c r="U28" s="1299"/>
      <c r="V28" s="3244">
        <f>IF(TITLE_DATE_PR_CHANGE="",IF(TITLE_DATE_PR="","",TITLE_DATE_PR),TITLE_DATE_PR_CHANGE)</f>
        <v>45595.546053240738</v>
      </c>
      <c r="W28" s="3244"/>
      <c r="X28" s="3244"/>
      <c r="Y28" s="3244"/>
      <c r="Z28" s="3244"/>
      <c r="AA28" s="1562"/>
      <c r="AB28" s="1562"/>
      <c r="AC28" s="3244"/>
      <c r="AD28" s="3244"/>
      <c r="AE28" s="3244"/>
      <c r="AF28" s="3244"/>
      <c r="AG28" s="3244"/>
      <c r="AH28" s="3244"/>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3243" t="s">
        <v>429</v>
      </c>
      <c r="T29" s="3243"/>
      <c r="U29" s="1299"/>
      <c r="V29" s="3245" t="str">
        <f>IF(TITLE_NUMBER_PR_CHANGE="",IF(TITLE_NUMBER_PR="","",TITLE_NUMBER_PR),TITLE_NUMBER_PR_CHANGE)</f>
        <v>03/3636</v>
      </c>
      <c r="W29" s="3245"/>
      <c r="X29" s="3245"/>
      <c r="Y29" s="3245"/>
      <c r="Z29" s="3245"/>
      <c r="AA29" s="1562"/>
      <c r="AB29" s="1562"/>
      <c r="AC29" s="3245"/>
      <c r="AD29" s="3245"/>
      <c r="AE29" s="3245"/>
      <c r="AF29" s="3245"/>
      <c r="AG29" s="3245"/>
      <c r="AH29" s="3245"/>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3243" t="s">
        <v>43</v>
      </c>
      <c r="T30" s="3243"/>
      <c r="U30" s="1299"/>
      <c r="V30" s="3245" t="str">
        <f>IF(TITLE_IST_PUB_CHANGE="",IF(TITLE_IST_PUB="","",TITLE_IST_PUB),TITLE_IST_PUB_CHANGE)</f>
        <v/>
      </c>
      <c r="W30" s="3245"/>
      <c r="X30" s="3245"/>
      <c r="Y30" s="3245"/>
      <c r="Z30" s="3245"/>
      <c r="AA30" s="1562"/>
      <c r="AB30" s="1562"/>
      <c r="AC30" s="3245"/>
      <c r="AD30" s="3245"/>
      <c r="AE30" s="3245"/>
      <c r="AF30" s="3245"/>
      <c r="AG30" s="3245"/>
      <c r="AH30" s="3245"/>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3243" t="s">
        <v>428</v>
      </c>
      <c r="T32" s="3243"/>
      <c r="U32" s="1299"/>
      <c r="V32" s="3244">
        <f>IF(TITLE_DATE_PR_CHANGE="",IF(TITLE_DATE_PR="","",TITLE_DATE_PR),TITLE_DATE_PR_CHANGE)</f>
        <v>45595.546053240738</v>
      </c>
      <c r="W32" s="3244"/>
      <c r="X32" s="3244"/>
      <c r="Y32" s="3244"/>
      <c r="Z32" s="3244"/>
      <c r="AA32" s="1562"/>
      <c r="AB32" s="1562"/>
      <c r="AC32" s="3244"/>
      <c r="AD32" s="3244"/>
      <c r="AE32" s="3244"/>
      <c r="AF32" s="3244"/>
      <c r="AG32" s="3244"/>
      <c r="AH32" s="3244"/>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3243" t="s">
        <v>429</v>
      </c>
      <c r="T33" s="3243"/>
      <c r="U33" s="1299"/>
      <c r="V33" s="3245" t="str">
        <f>IF(TITLE_NUMBER_PR_CHANGE="",IF(TITLE_NUMBER_PR="","",TITLE_NUMBER_PR),TITLE_NUMBER_PR_CHANGE)</f>
        <v>03/3636</v>
      </c>
      <c r="W33" s="3245"/>
      <c r="X33" s="3245"/>
      <c r="Y33" s="3245"/>
      <c r="Z33" s="3245"/>
      <c r="AA33" s="1562"/>
      <c r="AB33" s="1562"/>
      <c r="AC33" s="3245"/>
      <c r="AD33" s="3245"/>
      <c r="AE33" s="3245"/>
      <c r="AF33" s="3245"/>
      <c r="AG33" s="3245"/>
      <c r="AH33" s="3245"/>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432</v>
      </c>
      <c r="AB34" s="1569"/>
      <c r="AC34" s="1562"/>
      <c r="AD34" s="1562"/>
      <c r="AE34" s="1562"/>
      <c r="AF34" s="1562"/>
      <c r="AG34" s="1562"/>
      <c r="AH34" s="1562"/>
      <c r="AI34" s="1569" t="s">
        <v>432</v>
      </c>
      <c r="AL34" s="305"/>
      <c r="AM34" s="305"/>
      <c r="AN34" s="305"/>
      <c r="AO34" s="305"/>
      <c r="AP34" s="305"/>
      <c r="AQ34" s="355">
        <v>1</v>
      </c>
    </row>
    <row r="35" spans="1:43" ht="14.65" customHeight="1">
      <c r="Q35" s="229"/>
      <c r="R35" s="313"/>
      <c r="S35" s="1202"/>
      <c r="T35" s="394"/>
      <c r="U35" s="1171"/>
      <c r="V35" s="3266"/>
      <c r="W35" s="3266"/>
      <c r="X35" s="3266"/>
      <c r="Y35" s="3266"/>
      <c r="Z35" s="3266"/>
      <c r="AA35" s="3266"/>
      <c r="AB35" s="1879"/>
      <c r="AC35" s="3266"/>
      <c r="AD35" s="3266"/>
      <c r="AE35" s="3266"/>
      <c r="AF35" s="3266"/>
      <c r="AG35" s="3266"/>
      <c r="AH35" s="3266"/>
      <c r="AI35" s="3266"/>
      <c r="AQ35" s="1558">
        <v>14</v>
      </c>
    </row>
    <row r="36" spans="1:43" ht="14.65" customHeight="1">
      <c r="Q36" s="229"/>
      <c r="R36" s="313"/>
      <c r="S36" s="3111" t="s">
        <v>308</v>
      </c>
      <c r="T36" s="3111"/>
      <c r="U36" s="3111"/>
      <c r="V36" s="3111"/>
      <c r="W36" s="3111"/>
      <c r="X36" s="3111"/>
      <c r="Y36" s="3111"/>
      <c r="Z36" s="3111"/>
      <c r="AA36" s="3184"/>
      <c r="AB36" s="3184"/>
      <c r="AC36" s="3184"/>
      <c r="AD36" s="3111"/>
      <c r="AE36" s="3111"/>
      <c r="AF36" s="3111"/>
      <c r="AG36" s="3111"/>
      <c r="AH36" s="3111"/>
      <c r="AI36" s="3111"/>
      <c r="AJ36" s="3111"/>
      <c r="AK36" s="3111" t="s">
        <v>309</v>
      </c>
      <c r="AQ36" s="1558">
        <v>14</v>
      </c>
    </row>
    <row r="37" spans="1:43" ht="14.65" customHeight="1">
      <c r="Q37" s="229"/>
      <c r="R37" s="313"/>
      <c r="S37" s="3268" t="s">
        <v>85</v>
      </c>
      <c r="T37" s="3212" t="s">
        <v>506</v>
      </c>
      <c r="U37" s="275"/>
      <c r="V37" s="3270"/>
      <c r="W37" s="3270"/>
      <c r="X37" s="3270"/>
      <c r="Y37" s="3270"/>
      <c r="Z37" s="3270"/>
      <c r="AA37" s="3212" t="s">
        <v>435</v>
      </c>
      <c r="AB37" s="3211" t="s">
        <v>507</v>
      </c>
      <c r="AC37" s="3211" t="s">
        <v>481</v>
      </c>
      <c r="AD37" s="3313" t="s">
        <v>434</v>
      </c>
      <c r="AE37" s="3313"/>
      <c r="AF37" s="3270"/>
      <c r="AG37" s="3270"/>
      <c r="AH37" s="3271"/>
      <c r="AI37" s="3272" t="s">
        <v>435</v>
      </c>
      <c r="AJ37" s="3275" t="s">
        <v>437</v>
      </c>
      <c r="AK37" s="3111"/>
      <c r="AQ37" s="1558">
        <v>14</v>
      </c>
    </row>
    <row r="38" spans="1:43" ht="35.65" customHeight="1">
      <c r="Q38" s="229"/>
      <c r="R38" s="313"/>
      <c r="S38" s="3268"/>
      <c r="T38" s="3212"/>
      <c r="U38" s="961"/>
      <c r="V38" s="3092" t="s">
        <v>484</v>
      </c>
      <c r="W38" s="3111"/>
      <c r="X38" s="3185" t="s">
        <v>441</v>
      </c>
      <c r="Y38" s="3325"/>
      <c r="Z38" s="3325"/>
      <c r="AA38" s="3212"/>
      <c r="AB38" s="3211"/>
      <c r="AC38" s="3211"/>
      <c r="AD38" s="3092" t="s">
        <v>484</v>
      </c>
      <c r="AE38" s="3111"/>
      <c r="AF38" s="3325" t="s">
        <v>441</v>
      </c>
      <c r="AG38" s="3325"/>
      <c r="AH38" s="3186"/>
      <c r="AI38" s="3273"/>
      <c r="AJ38" s="3276"/>
      <c r="AK38" s="3111"/>
      <c r="AQ38" s="1558">
        <v>34</v>
      </c>
    </row>
    <row r="39" spans="1:43" ht="14.65" customHeight="1">
      <c r="Q39" s="229"/>
      <c r="R39" s="313"/>
      <c r="S39" s="3268"/>
      <c r="T39" s="3212"/>
      <c r="U39" s="961"/>
      <c r="V39" s="3349" t="str">
        <f>IF($AD$39&lt;&gt;"",$AD$39,"")</f>
        <v/>
      </c>
      <c r="W39" s="3349"/>
      <c r="X39" s="3190"/>
      <c r="Y39" s="3326"/>
      <c r="Z39" s="3326"/>
      <c r="AA39" s="3212"/>
      <c r="AB39" s="3211"/>
      <c r="AC39" s="3211"/>
      <c r="AD39" s="3358"/>
      <c r="AE39" s="3348"/>
      <c r="AF39" s="3326"/>
      <c r="AG39" s="3326"/>
      <c r="AH39" s="3191"/>
      <c r="AI39" s="3273"/>
      <c r="AJ39" s="3276"/>
      <c r="AK39" s="3111"/>
      <c r="AQ39" s="1558">
        <v>14</v>
      </c>
    </row>
    <row r="40" spans="1:43" ht="14.65" customHeight="1">
      <c r="A40" s="1193"/>
      <c r="B40" s="1193" t="s">
        <v>133</v>
      </c>
      <c r="C40" s="1193" t="s">
        <v>134</v>
      </c>
      <c r="D40" s="1193" t="s">
        <v>135</v>
      </c>
      <c r="E40" s="1237" t="s">
        <v>442</v>
      </c>
      <c r="F40" s="1237" t="s">
        <v>443</v>
      </c>
      <c r="G40" s="1237" t="s">
        <v>444</v>
      </c>
      <c r="H40" s="1237" t="s">
        <v>445</v>
      </c>
      <c r="I40" s="1237" t="s">
        <v>446</v>
      </c>
      <c r="J40" s="1237" t="s">
        <v>447</v>
      </c>
      <c r="K40" s="1237" t="s">
        <v>448</v>
      </c>
      <c r="L40" s="1237" t="s">
        <v>423</v>
      </c>
      <c r="Q40" s="229"/>
      <c r="R40" s="313"/>
      <c r="S40" s="3268"/>
      <c r="T40" s="3212"/>
      <c r="U40" s="240"/>
      <c r="V40" s="1872" t="s">
        <v>485</v>
      </c>
      <c r="W40" s="1872" t="s">
        <v>486</v>
      </c>
      <c r="X40" s="1860" t="s">
        <v>451</v>
      </c>
      <c r="Y40" s="3217" t="s">
        <v>452</v>
      </c>
      <c r="Z40" s="3230"/>
      <c r="AA40" s="3212"/>
      <c r="AB40" s="3211"/>
      <c r="AC40" s="3211"/>
      <c r="AD40" s="1890" t="s">
        <v>485</v>
      </c>
      <c r="AE40" s="1881" t="s">
        <v>486</v>
      </c>
      <c r="AF40" s="1860" t="s">
        <v>451</v>
      </c>
      <c r="AG40" s="3217" t="s">
        <v>452</v>
      </c>
      <c r="AH40" s="3231"/>
      <c r="AI40" s="3274"/>
      <c r="AJ40" s="3277"/>
      <c r="AK40" s="311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107</v>
      </c>
      <c r="T41" s="1182" t="s">
        <v>108</v>
      </c>
      <c r="U41" s="1172" t="str">
        <f ca="1">OFFSET(U41,0,-1)</f>
        <v>2</v>
      </c>
      <c r="V41" s="1878">
        <f ca="1">OFFSET(V41,0,-1)+1</f>
        <v>3</v>
      </c>
      <c r="W41" s="1878">
        <f ca="1">OFFSET(W41,0,-1)+1</f>
        <v>4</v>
      </c>
      <c r="X41" s="1878">
        <f ca="1">OFFSET(X41,0,-1)+1</f>
        <v>5</v>
      </c>
      <c r="Y41" s="3265">
        <f ca="1">OFFSET(Y41,0,-1)+1</f>
        <v>6</v>
      </c>
      <c r="Z41" s="3265"/>
      <c r="AA41" s="1268">
        <f ca="1">OFFSET(AA41,0,-2)+1</f>
        <v>7</v>
      </c>
      <c r="AB41" s="1268"/>
      <c r="AC41" s="1268"/>
      <c r="AD41" s="1878">
        <f ca="1">OFFSET(AD41,0,-1)+1</f>
        <v>1</v>
      </c>
      <c r="AE41" s="1878">
        <f ca="1">OFFSET(AE41,0,-1)+1</f>
        <v>2</v>
      </c>
      <c r="AF41" s="1878">
        <f ca="1">OFFSET(AF41,0,-1)+1</f>
        <v>3</v>
      </c>
      <c r="AG41" s="3265">
        <f ca="1">OFFSET(AG41,0,-1)+1</f>
        <v>4</v>
      </c>
      <c r="AH41" s="3265"/>
      <c r="AI41" s="1878">
        <f ca="1">OFFSET(AI41,0,-2)+1</f>
        <v>5</v>
      </c>
      <c r="AJ41" s="1172">
        <f ca="1">OFFSET(AJ41,0,-1)</f>
        <v>5</v>
      </c>
      <c r="AK41" s="1878">
        <f ca="1">OFFSET(AK41,0,-1)+1</f>
        <v>6</v>
      </c>
      <c r="AL41" s="1563"/>
      <c r="AM41" s="1563"/>
      <c r="AN41" s="1563"/>
      <c r="AO41" s="1563"/>
      <c r="AP41" s="1563"/>
      <c r="AQ41" s="1568">
        <v>0</v>
      </c>
    </row>
    <row r="42" spans="1:43" ht="107.25" customHeight="1">
      <c r="A42" s="1194" t="s">
        <v>214</v>
      </c>
      <c r="B42" s="1194"/>
      <c r="C42" s="1194"/>
      <c r="D42" s="1194"/>
      <c r="E42" s="330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121</v>
      </c>
      <c r="U42" s="238"/>
      <c r="V42" s="3247"/>
      <c r="W42" s="3247"/>
      <c r="X42" s="3247"/>
      <c r="Y42" s="3247"/>
      <c r="Z42" s="3247"/>
      <c r="AA42" s="3248"/>
      <c r="AB42" s="1874"/>
      <c r="AC42" s="3247" t="str">
        <f>INDEX(PT_DIFFERENTIATION_NTAR,MATCH(A42,PT_DIFFERENTIATION_NTAR_ID,0))</f>
        <v/>
      </c>
      <c r="AD42" s="3247"/>
      <c r="AE42" s="3247"/>
      <c r="AF42" s="3247"/>
      <c r="AG42" s="3247"/>
      <c r="AH42" s="3247"/>
      <c r="AI42" s="3247"/>
      <c r="AJ42" s="324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214</v>
      </c>
      <c r="B43" s="1194" t="s">
        <v>215</v>
      </c>
      <c r="C43" s="1194"/>
      <c r="D43" s="1194"/>
      <c r="E43" s="3310"/>
      <c r="F43" s="3309">
        <v>1</v>
      </c>
      <c r="G43" s="1194"/>
      <c r="H43" s="1194"/>
      <c r="I43" s="1194"/>
      <c r="J43" s="1194"/>
      <c r="K43" s="1194"/>
      <c r="L43" s="1237"/>
      <c r="M43" s="1537"/>
      <c r="N43" s="1537"/>
      <c r="O43" s="1537"/>
      <c r="P43" s="1891"/>
      <c r="Q43" s="1338"/>
      <c r="R43" s="290"/>
      <c r="S43" s="1880" t="str">
        <f>INDEX(PT_DIFFERENTIATION_NUM_TER,MATCH(B43,PT_DIFFERENTIATION_TER_ID,0))</f>
        <v>.</v>
      </c>
      <c r="T43" s="1449" t="s">
        <v>405</v>
      </c>
      <c r="U43" s="238"/>
      <c r="V43" s="3247"/>
      <c r="W43" s="3247"/>
      <c r="X43" s="3247"/>
      <c r="Y43" s="3247"/>
      <c r="Z43" s="3247"/>
      <c r="AA43" s="3248"/>
      <c r="AB43" s="1874"/>
      <c r="AC43" s="3247" t="str">
        <f>INDEX(PT_DIFFERENTIATION_TER,MATCH(B43,PT_DIFFERENTIATION_TER_ID,0))</f>
        <v/>
      </c>
      <c r="AD43" s="3247"/>
      <c r="AE43" s="3247"/>
      <c r="AF43" s="3247"/>
      <c r="AG43" s="3247"/>
      <c r="AH43" s="3247"/>
      <c r="AI43" s="3247"/>
      <c r="AJ43" s="3248"/>
      <c r="AK43" s="1185" t="s">
        <v>406</v>
      </c>
      <c r="AM43" s="1551"/>
      <c r="AN43" s="1551" t="str">
        <f t="shared" si="1"/>
        <v>Территория действия тарифа</v>
      </c>
      <c r="AO43" s="1551"/>
      <c r="AP43" s="1551"/>
      <c r="AQ43" s="1558">
        <v>21</v>
      </c>
    </row>
    <row r="44" spans="1:43" ht="24" customHeight="1">
      <c r="A44" s="1194" t="s">
        <v>214</v>
      </c>
      <c r="B44" s="1194" t="s">
        <v>215</v>
      </c>
      <c r="C44" s="1194" t="s">
        <v>216</v>
      </c>
      <c r="D44" s="1194"/>
      <c r="E44" s="3310"/>
      <c r="F44" s="3310"/>
      <c r="G44" s="3309">
        <v>1</v>
      </c>
      <c r="H44" s="1194"/>
      <c r="I44" s="1194"/>
      <c r="J44" s="1194"/>
      <c r="K44" s="1194"/>
      <c r="L44" s="1237"/>
      <c r="M44" s="1537"/>
      <c r="N44" s="1537"/>
      <c r="O44" s="1537"/>
      <c r="P44" s="1339"/>
      <c r="Q44" s="1338"/>
      <c r="R44" s="290"/>
      <c r="S44" s="1880" t="str">
        <f>INDEX(PT_DIFFERENTIATION_NUM_CS,MATCH(C44,PT_DIFFERENTIATION_CS_ID,0))</f>
        <v>..</v>
      </c>
      <c r="T44" s="247" t="s">
        <v>407</v>
      </c>
      <c r="U44" s="238"/>
      <c r="V44" s="3247"/>
      <c r="W44" s="3247"/>
      <c r="X44" s="3247"/>
      <c r="Y44" s="3247"/>
      <c r="Z44" s="3247"/>
      <c r="AA44" s="3248"/>
      <c r="AB44" s="1874"/>
      <c r="AC44" s="3247" t="str">
        <f>INDEX(PT_DIFFERENTIATION_CS,MATCH(C44,PT_DIFFERENTIATION_CS_ID,0))</f>
        <v/>
      </c>
      <c r="AD44" s="3247"/>
      <c r="AE44" s="3247"/>
      <c r="AF44" s="3247"/>
      <c r="AG44" s="3247"/>
      <c r="AH44" s="3247"/>
      <c r="AI44" s="3247"/>
      <c r="AJ44" s="3248"/>
      <c r="AK44" s="1185" t="s">
        <v>408</v>
      </c>
      <c r="AM44" s="1551"/>
      <c r="AN44" s="1551" t="str">
        <f t="shared" si="1"/>
        <v xml:space="preserve">Наименование системы теплоснабжения </v>
      </c>
      <c r="AO44" s="1551"/>
      <c r="AP44" s="1551"/>
      <c r="AQ44" s="1558">
        <v>23</v>
      </c>
    </row>
    <row r="45" spans="1:43" ht="21.95" customHeight="1">
      <c r="A45" s="1194" t="s">
        <v>214</v>
      </c>
      <c r="B45" s="1194" t="s">
        <v>215</v>
      </c>
      <c r="C45" s="1194" t="s">
        <v>216</v>
      </c>
      <c r="D45" s="1194" t="s">
        <v>217</v>
      </c>
      <c r="E45" s="3310"/>
      <c r="F45" s="3310"/>
      <c r="G45" s="3310"/>
      <c r="H45" s="3309">
        <v>1</v>
      </c>
      <c r="I45" s="1194"/>
      <c r="J45" s="1194"/>
      <c r="K45" s="1194"/>
      <c r="L45" s="1237"/>
      <c r="M45" s="1537"/>
      <c r="N45" s="1537"/>
      <c r="O45" s="1537"/>
      <c r="P45" s="1339"/>
      <c r="Q45" s="1338"/>
      <c r="R45" s="290"/>
      <c r="S45" s="1880" t="str">
        <f>INDEX(PT_DIFFERENTIATION_NUM_IST_TE,MATCH(D45,PT_DIFFERENTIATION_IST_TE_ID,0))</f>
        <v>...</v>
      </c>
      <c r="T45" s="248" t="s">
        <v>409</v>
      </c>
      <c r="U45" s="238"/>
      <c r="V45" s="3247"/>
      <c r="W45" s="3247"/>
      <c r="X45" s="3247"/>
      <c r="Y45" s="3247"/>
      <c r="Z45" s="3247"/>
      <c r="AA45" s="3248"/>
      <c r="AB45" s="1874"/>
      <c r="AC45" s="3247" t="str">
        <f>INDEX(PT_DIFFERENTIATION_IST_TE,MATCH(D45,PT_DIFFERENTIATION_IST_TE_ID,0))</f>
        <v/>
      </c>
      <c r="AD45" s="3247"/>
      <c r="AE45" s="3247"/>
      <c r="AF45" s="3247"/>
      <c r="AG45" s="3247"/>
      <c r="AH45" s="3247"/>
      <c r="AI45" s="3247"/>
      <c r="AJ45" s="3248"/>
      <c r="AK45" s="1185" t="s">
        <v>410</v>
      </c>
      <c r="AM45" s="1551"/>
      <c r="AN45" s="1551" t="str">
        <f t="shared" si="1"/>
        <v xml:space="preserve">Источник тепловой энергии  </v>
      </c>
      <c r="AO45" s="1551"/>
      <c r="AP45" s="1551"/>
      <c r="AQ45" s="1558">
        <v>21</v>
      </c>
    </row>
    <row r="46" spans="1:43" s="1569" customFormat="1" ht="0" hidden="1" customHeight="1">
      <c r="A46" s="1302" t="s">
        <v>214</v>
      </c>
      <c r="B46" s="1302" t="s">
        <v>215</v>
      </c>
      <c r="C46" s="1302" t="s">
        <v>216</v>
      </c>
      <c r="D46" s="1302" t="s">
        <v>217</v>
      </c>
      <c r="E46" s="3310"/>
      <c r="F46" s="3310"/>
      <c r="G46" s="3310"/>
      <c r="H46" s="3310"/>
      <c r="I46" s="3111" t="str">
        <f>S45&amp;".1"</f>
        <v>....1</v>
      </c>
      <c r="J46" s="1302"/>
      <c r="K46" s="1302"/>
      <c r="L46" s="1308" t="s">
        <v>411</v>
      </c>
      <c r="M46" s="1173"/>
      <c r="N46" s="1173"/>
      <c r="O46" s="1173"/>
      <c r="P46" s="3258">
        <v>1</v>
      </c>
      <c r="Q46" s="1876"/>
      <c r="R46" s="293"/>
      <c r="S46" s="972"/>
      <c r="T46" s="1310"/>
      <c r="U46" s="1311"/>
      <c r="V46" s="3315"/>
      <c r="W46" s="3315"/>
      <c r="X46" s="3315"/>
      <c r="Y46" s="3315"/>
      <c r="Z46" s="3315"/>
      <c r="AA46" s="3316"/>
      <c r="AB46" s="1882"/>
      <c r="AC46" s="3315"/>
      <c r="AD46" s="3315"/>
      <c r="AE46" s="3315"/>
      <c r="AF46" s="3315"/>
      <c r="AG46" s="3315"/>
      <c r="AH46" s="3315"/>
      <c r="AI46" s="3315"/>
      <c r="AJ46" s="3316"/>
      <c r="AK46" s="1312"/>
      <c r="AM46" s="1551"/>
      <c r="AN46" s="1551" t="str">
        <f t="shared" si="1"/>
        <v/>
      </c>
      <c r="AO46" s="1551"/>
      <c r="AP46" s="1551"/>
      <c r="AQ46" s="1563">
        <v>0</v>
      </c>
    </row>
    <row r="47" spans="1:43" s="1569" customFormat="1" ht="0" hidden="1" customHeight="1">
      <c r="A47" s="1302" t="s">
        <v>214</v>
      </c>
      <c r="B47" s="1302" t="s">
        <v>215</v>
      </c>
      <c r="C47" s="1302" t="s">
        <v>216</v>
      </c>
      <c r="D47" s="1302" t="s">
        <v>217</v>
      </c>
      <c r="E47" s="3310"/>
      <c r="F47" s="3310"/>
      <c r="G47" s="3310"/>
      <c r="H47" s="3310"/>
      <c r="I47" s="3093"/>
      <c r="J47" s="3111" t="str">
        <f>S45&amp;".1"</f>
        <v>....1</v>
      </c>
      <c r="K47" s="1302"/>
      <c r="L47" s="1308"/>
      <c r="M47" s="1173"/>
      <c r="N47" s="1173"/>
      <c r="O47" s="1173"/>
      <c r="P47" s="3258"/>
      <c r="Q47" s="3258">
        <v>1</v>
      </c>
      <c r="R47" s="294"/>
      <c r="S47" s="972"/>
      <c r="T47" s="1326"/>
      <c r="U47" s="1311"/>
      <c r="V47" s="3315"/>
      <c r="W47" s="3315"/>
      <c r="X47" s="3315"/>
      <c r="Y47" s="3315"/>
      <c r="Z47" s="3315"/>
      <c r="AA47" s="3316"/>
      <c r="AB47" s="1882"/>
      <c r="AC47" s="3315"/>
      <c r="AD47" s="3315"/>
      <c r="AE47" s="3315"/>
      <c r="AF47" s="3315"/>
      <c r="AG47" s="3315"/>
      <c r="AH47" s="3315"/>
      <c r="AI47" s="3315"/>
      <c r="AJ47" s="3316"/>
      <c r="AK47" s="1312"/>
      <c r="AM47" s="1551"/>
      <c r="AN47" s="1551" t="str">
        <f t="shared" si="1"/>
        <v/>
      </c>
      <c r="AO47" s="1551"/>
      <c r="AP47" s="1551"/>
      <c r="AQ47" s="1563">
        <v>0</v>
      </c>
    </row>
    <row r="48" spans="1:43" ht="21.95" customHeight="1">
      <c r="A48" s="1194" t="s">
        <v>214</v>
      </c>
      <c r="B48" s="1194" t="s">
        <v>215</v>
      </c>
      <c r="C48" s="1194" t="s">
        <v>216</v>
      </c>
      <c r="D48" s="1194" t="s">
        <v>217</v>
      </c>
      <c r="E48" s="3310"/>
      <c r="F48" s="3310"/>
      <c r="G48" s="3310"/>
      <c r="H48" s="3310"/>
      <c r="I48" s="3093"/>
      <c r="J48" s="3093"/>
      <c r="K48" s="1863" t="str">
        <f>S45&amp;".1"</f>
        <v>....1</v>
      </c>
      <c r="L48" s="1237"/>
      <c r="P48" s="3258"/>
      <c r="Q48" s="3258"/>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3278" t="s">
        <v>487</v>
      </c>
      <c r="AL48" s="1563" t="e">
        <f ca="1">STRCHECKDATE(#REF!)</f>
        <v>#NAME?</v>
      </c>
      <c r="AM48" s="1551"/>
      <c r="AN48" s="1551" t="str">
        <f t="shared" si="1"/>
        <v/>
      </c>
      <c r="AO48" s="1551"/>
      <c r="AP48" s="1551"/>
      <c r="AQ48" s="1558">
        <v>21</v>
      </c>
    </row>
    <row r="49" spans="1:43" ht="11.45" customHeight="1">
      <c r="A49" s="1194" t="s">
        <v>214</v>
      </c>
      <c r="B49" s="1194" t="s">
        <v>215</v>
      </c>
      <c r="C49" s="1194" t="s">
        <v>216</v>
      </c>
      <c r="D49" s="1194" t="s">
        <v>217</v>
      </c>
      <c r="E49" s="3310"/>
      <c r="F49" s="3310"/>
      <c r="G49" s="3310"/>
      <c r="H49" s="3310"/>
      <c r="I49" s="3093"/>
      <c r="J49" s="3111"/>
      <c r="K49" s="1194"/>
      <c r="L49" s="1237"/>
      <c r="P49" s="3258"/>
      <c r="Q49" s="3258"/>
      <c r="R49" s="293"/>
      <c r="S49" s="1205"/>
      <c r="T49" s="225" t="s">
        <v>475</v>
      </c>
      <c r="U49" s="537"/>
      <c r="V49" s="537"/>
      <c r="W49" s="537"/>
      <c r="X49" s="537"/>
      <c r="Y49" s="537"/>
      <c r="Z49" s="537"/>
      <c r="AA49" s="262"/>
      <c r="AB49" s="537"/>
      <c r="AC49" s="537"/>
      <c r="AD49" s="537"/>
      <c r="AE49" s="537"/>
      <c r="AF49" s="537"/>
      <c r="AG49" s="537"/>
      <c r="AH49" s="537"/>
      <c r="AI49" s="537"/>
      <c r="AJ49" s="262"/>
      <c r="AK49" s="3280"/>
      <c r="AM49" s="1551"/>
      <c r="AN49" s="1551" t="str">
        <f t="shared" si="1"/>
        <v>Добавить строку</v>
      </c>
      <c r="AO49" s="1551"/>
      <c r="AP49" s="1551"/>
      <c r="AQ49" s="1558">
        <v>11</v>
      </c>
    </row>
    <row r="50" spans="1:43" s="1569" customFormat="1" ht="1.1499999999999999" customHeight="1">
      <c r="A50" s="1302" t="s">
        <v>214</v>
      </c>
      <c r="B50" s="1302" t="s">
        <v>215</v>
      </c>
      <c r="C50" s="1302" t="s">
        <v>216</v>
      </c>
      <c r="D50" s="1302" t="s">
        <v>217</v>
      </c>
      <c r="E50" s="3310"/>
      <c r="F50" s="3310"/>
      <c r="G50" s="3310"/>
      <c r="H50" s="3310"/>
      <c r="I50" s="3111"/>
      <c r="J50" s="1302"/>
      <c r="K50" s="1302"/>
      <c r="L50" s="1308"/>
      <c r="M50" s="1173"/>
      <c r="N50" s="1173"/>
      <c r="O50" s="1173"/>
      <c r="P50" s="3258"/>
      <c r="Q50" s="1876"/>
      <c r="R50" s="293"/>
      <c r="S50" s="1313"/>
      <c r="T50" s="1314" t="s">
        <v>420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214</v>
      </c>
      <c r="B51" s="1302" t="s">
        <v>215</v>
      </c>
      <c r="C51" s="1302" t="s">
        <v>216</v>
      </c>
      <c r="D51" s="1302" t="s">
        <v>217</v>
      </c>
      <c r="E51" s="3310"/>
      <c r="F51" s="3310"/>
      <c r="G51" s="3310"/>
      <c r="H51" s="330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214</v>
      </c>
      <c r="B52" s="1302" t="s">
        <v>215</v>
      </c>
      <c r="C52" s="1302" t="s">
        <v>216</v>
      </c>
      <c r="D52" s="1301"/>
      <c r="E52" s="3310"/>
      <c r="F52" s="3310"/>
      <c r="G52" s="3309"/>
      <c r="H52" s="1301"/>
      <c r="I52" s="1301"/>
      <c r="J52" s="1301"/>
      <c r="K52" s="1301"/>
      <c r="L52" s="1304"/>
      <c r="M52" s="1305"/>
      <c r="N52" s="1305"/>
      <c r="O52" s="288"/>
      <c r="P52" s="1243"/>
      <c r="Q52" s="1244"/>
      <c r="R52" s="1243"/>
      <c r="S52" s="1249"/>
      <c r="T52" s="1252" t="s">
        <v>166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214</v>
      </c>
      <c r="B53" s="1302" t="s">
        <v>215</v>
      </c>
      <c r="C53" s="1301"/>
      <c r="D53" s="1301"/>
      <c r="E53" s="3310"/>
      <c r="F53" s="3309"/>
      <c r="G53" s="1301"/>
      <c r="H53" s="1301"/>
      <c r="I53" s="1301"/>
      <c r="J53" s="1301"/>
      <c r="K53" s="1301"/>
      <c r="L53" s="1304"/>
      <c r="M53" s="1306"/>
      <c r="N53" s="1306"/>
      <c r="O53" s="288"/>
      <c r="P53" s="1243"/>
      <c r="Q53" s="1244"/>
      <c r="R53" s="1243"/>
      <c r="S53" s="1249"/>
      <c r="T53" s="1252" t="s">
        <v>167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214</v>
      </c>
      <c r="B54" s="1302"/>
      <c r="C54" s="1302"/>
      <c r="D54" s="1302"/>
      <c r="E54" s="3310"/>
      <c r="F54" s="1302"/>
      <c r="G54" s="1302"/>
      <c r="H54" s="1302"/>
      <c r="I54" s="1302"/>
      <c r="J54" s="1302"/>
      <c r="K54" s="1302"/>
      <c r="L54" s="1308"/>
      <c r="M54" s="1306"/>
      <c r="N54" s="1306"/>
      <c r="O54" s="288"/>
      <c r="P54" s="317"/>
      <c r="Q54" s="1271"/>
      <c r="R54" s="317"/>
      <c r="S54" s="1249"/>
      <c r="T54" s="1252" t="s">
        <v>168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214</v>
      </c>
      <c r="B55" s="1302"/>
      <c r="C55" s="1302"/>
      <c r="D55" s="1302"/>
      <c r="E55" s="3309"/>
      <c r="F55" s="1302"/>
      <c r="G55" s="1302"/>
      <c r="H55" s="1302"/>
      <c r="I55" s="1302"/>
      <c r="J55" s="1302"/>
      <c r="K55" s="1302"/>
      <c r="L55" s="1308"/>
      <c r="M55" s="1306"/>
      <c r="N55" s="1306"/>
      <c r="O55" s="288"/>
      <c r="P55" s="317"/>
      <c r="Q55" s="1271"/>
      <c r="R55" s="317"/>
      <c r="S55" s="1249"/>
      <c r="T55" s="1252" t="s">
        <v>168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3252"/>
      <c r="U58" s="3252"/>
      <c r="V58" s="3252"/>
      <c r="W58" s="3252"/>
      <c r="X58" s="3252"/>
      <c r="Y58" s="3252"/>
      <c r="Z58" s="3252"/>
      <c r="AA58" s="3252"/>
      <c r="AB58" s="3252"/>
      <c r="AC58" s="3252"/>
      <c r="AD58" s="3252"/>
      <c r="AE58" s="3252"/>
      <c r="AF58" s="3252"/>
      <c r="AG58" s="3252"/>
      <c r="AH58" s="3252"/>
      <c r="AI58" s="3252"/>
      <c r="AJ58" s="3252"/>
      <c r="AK58" s="3252"/>
      <c r="AQ58" s="1558">
        <v>19</v>
      </c>
    </row>
    <row r="59" spans="1:43" ht="21" customHeight="1">
      <c r="O59" s="1562"/>
      <c r="T59" s="3252"/>
      <c r="U59" s="3252"/>
      <c r="V59" s="3252"/>
      <c r="W59" s="3252"/>
      <c r="X59" s="3252"/>
      <c r="Y59" s="3252"/>
      <c r="Z59" s="3252"/>
      <c r="AA59" s="3252"/>
      <c r="AB59" s="3252"/>
      <c r="AC59" s="3252"/>
      <c r="AD59" s="3252"/>
      <c r="AE59" s="3252"/>
      <c r="AF59" s="3252"/>
      <c r="AG59" s="3252"/>
      <c r="AH59" s="3252"/>
      <c r="AI59" s="3252"/>
      <c r="AJ59" s="3252"/>
      <c r="AK59" s="325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3252"/>
      <c r="U61" s="3252"/>
      <c r="V61" s="3252"/>
      <c r="W61" s="3252"/>
      <c r="X61" s="3252"/>
      <c r="Y61" s="3252"/>
      <c r="Z61" s="3252"/>
      <c r="AA61" s="3252"/>
      <c r="AB61" s="3252"/>
      <c r="AC61" s="3252"/>
      <c r="AD61" s="3252"/>
      <c r="AE61" s="3252"/>
      <c r="AF61" s="3252"/>
      <c r="AG61" s="3252"/>
      <c r="AH61" s="3252"/>
      <c r="AI61" s="3252"/>
      <c r="AJ61" s="3252"/>
      <c r="AK61" s="3252"/>
      <c r="AQ61" s="1558">
        <v>19</v>
      </c>
    </row>
    <row r="62" spans="1:43" ht="16.899999999999999" customHeight="1">
      <c r="O62" s="1562"/>
      <c r="T62" s="3252"/>
      <c r="U62" s="3252"/>
      <c r="V62" s="3252"/>
      <c r="W62" s="3252"/>
      <c r="X62" s="3252"/>
      <c r="Y62" s="3252"/>
      <c r="Z62" s="3252"/>
      <c r="AA62" s="3252"/>
      <c r="AB62" s="3252"/>
      <c r="AC62" s="3252"/>
      <c r="AD62" s="3252"/>
      <c r="AE62" s="3252"/>
      <c r="AF62" s="3252"/>
      <c r="AG62" s="3252"/>
      <c r="AH62" s="3252"/>
      <c r="AI62" s="3252"/>
      <c r="AJ62" s="3252"/>
      <c r="AK62" s="3252"/>
      <c r="AQ62" s="1558">
        <v>16</v>
      </c>
    </row>
    <row r="63" spans="1:43" ht="14.65" customHeight="1">
      <c r="O63" s="1562"/>
      <c r="AQ63" s="1558">
        <v>14</v>
      </c>
    </row>
    <row r="64" spans="1:43" ht="22.5" hidden="1" customHeight="1">
      <c r="A64" s="1558" t="s">
        <v>79</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96F5-995B-F293-9617-9EB5CC36455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3254">
        <v>1</v>
      </c>
      <c r="F2" s="1290"/>
      <c r="G2" s="1290"/>
      <c r="H2" s="1290"/>
      <c r="I2" s="1290"/>
      <c r="J2" s="1290"/>
      <c r="K2" s="1290"/>
      <c r="L2" s="1291"/>
      <c r="M2" s="1292"/>
      <c r="N2" s="1292"/>
      <c r="O2" s="1292"/>
      <c r="P2" s="1336"/>
      <c r="Q2" s="804"/>
      <c r="R2" s="292"/>
      <c r="S2" s="1392" t="e">
        <f>INDEX(PT_DIFFERENTIATION_NUM_NTAR,MATCH(A2,PT_DIFFERENTIATION_NTAR_ID,0))</f>
        <v>#N/A</v>
      </c>
      <c r="T2" s="236" t="s">
        <v>121</v>
      </c>
      <c r="U2" s="238"/>
      <c r="V2" s="3247"/>
      <c r="W2" s="3247"/>
      <c r="X2" s="3247"/>
      <c r="Y2" s="3247"/>
      <c r="Z2" s="3247"/>
      <c r="AA2" s="3247"/>
      <c r="AB2" s="3247"/>
      <c r="AC2" s="3248"/>
      <c r="AD2" s="3246" t="e">
        <f>INDEX(PT_DIFFERENTIATION_NTAR,MATCH(A2,PT_DIFFERENTIATION_NTAR_ID,0))</f>
        <v>#N/A</v>
      </c>
      <c r="AE2" s="3247"/>
      <c r="AF2" s="3247"/>
      <c r="AG2" s="3247"/>
      <c r="AH2" s="3247"/>
      <c r="AI2" s="3247"/>
      <c r="AJ2" s="3247"/>
      <c r="AK2" s="3247"/>
      <c r="AL2" s="3247"/>
      <c r="AM2" s="3247"/>
      <c r="AN2" s="3247"/>
      <c r="AO2" s="3247"/>
      <c r="AP2" s="3247"/>
      <c r="AQ2" s="3247"/>
      <c r="AR2" s="3247"/>
      <c r="AS2" s="3247"/>
      <c r="AT2" s="3247"/>
      <c r="AU2" s="3247"/>
      <c r="AV2" s="3247"/>
      <c r="AW2" s="3247"/>
      <c r="AX2" s="3247"/>
      <c r="AY2" s="3247"/>
      <c r="AZ2" s="3247"/>
      <c r="BA2" s="3247"/>
      <c r="BB2" s="324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255"/>
      <c r="F3" s="3254">
        <v>1</v>
      </c>
      <c r="G3" s="1290"/>
      <c r="H3" s="1290"/>
      <c r="I3" s="1290"/>
      <c r="J3" s="1290"/>
      <c r="K3" s="1290"/>
      <c r="L3" s="1291"/>
      <c r="M3" s="1292"/>
      <c r="N3" s="1292"/>
      <c r="O3" s="1292"/>
      <c r="P3" s="1337"/>
      <c r="Q3" s="1338"/>
      <c r="R3" s="290"/>
      <c r="S3" s="1392" t="e">
        <f>INDEX(PT_DIFFERENTIATION_NUM_TER,MATCH(B3,PT_DIFFERENTIATION_TER_ID,0))</f>
        <v>#N/A</v>
      </c>
      <c r="T3" s="246" t="s">
        <v>405</v>
      </c>
      <c r="U3" s="238"/>
      <c r="V3" s="3247"/>
      <c r="W3" s="3247"/>
      <c r="X3" s="3247"/>
      <c r="Y3" s="3247"/>
      <c r="Z3" s="3247"/>
      <c r="AA3" s="3247"/>
      <c r="AB3" s="3247"/>
      <c r="AC3" s="3248"/>
      <c r="AD3" s="3246" t="e">
        <f>INDEX(PT_DIFFERENTIATION_TER,MATCH(B3,PT_DIFFERENTIATION_TER_ID,0))</f>
        <v>#N/A</v>
      </c>
      <c r="AE3" s="3247"/>
      <c r="AF3" s="3247"/>
      <c r="AG3" s="3247"/>
      <c r="AH3" s="3247"/>
      <c r="AI3" s="3247"/>
      <c r="AJ3" s="3247"/>
      <c r="AK3" s="3247"/>
      <c r="AL3" s="3247"/>
      <c r="AM3" s="3247"/>
      <c r="AN3" s="3247"/>
      <c r="AO3" s="3247"/>
      <c r="AP3" s="3247"/>
      <c r="AQ3" s="3247"/>
      <c r="AR3" s="3247"/>
      <c r="AS3" s="3247"/>
      <c r="AT3" s="3247"/>
      <c r="AU3" s="3247"/>
      <c r="AV3" s="3247"/>
      <c r="AW3" s="3247"/>
      <c r="AX3" s="3247"/>
      <c r="AY3" s="3247"/>
      <c r="AZ3" s="3247"/>
      <c r="BA3" s="3247"/>
      <c r="BB3" s="3248"/>
      <c r="BC3" s="1185" t="s">
        <v>406</v>
      </c>
      <c r="BE3" s="437"/>
      <c r="BF3" s="437" t="str">
        <f t="shared" si="0"/>
        <v>Территория действия тарифа</v>
      </c>
      <c r="BG3" s="437"/>
      <c r="BH3" s="437"/>
      <c r="BI3" s="1082">
        <v>0</v>
      </c>
    </row>
    <row r="4" spans="1:61" ht="42" hidden="1" customHeight="1">
      <c r="A4" s="1290"/>
      <c r="B4" s="1290"/>
      <c r="C4" s="1290"/>
      <c r="D4" s="1290"/>
      <c r="E4" s="3255"/>
      <c r="F4" s="3255"/>
      <c r="G4" s="3254">
        <v>1</v>
      </c>
      <c r="H4" s="1290"/>
      <c r="I4" s="1290"/>
      <c r="J4" s="1290"/>
      <c r="K4" s="1290"/>
      <c r="L4" s="1291"/>
      <c r="M4" s="1292"/>
      <c r="N4" s="1292"/>
      <c r="O4" s="1292"/>
      <c r="P4" s="1339"/>
      <c r="Q4" s="1338"/>
      <c r="R4" s="290"/>
      <c r="S4" s="1392" t="e">
        <f>INDEX(PT_DIFFERENTIATION_NUM_CS,MATCH(C4,PT_DIFFERENTIATION_CS_ID,0))</f>
        <v>#N/A</v>
      </c>
      <c r="T4" s="247" t="s">
        <v>488</v>
      </c>
      <c r="U4" s="238"/>
      <c r="V4" s="3247"/>
      <c r="W4" s="3247"/>
      <c r="X4" s="3247"/>
      <c r="Y4" s="3247"/>
      <c r="Z4" s="3247"/>
      <c r="AA4" s="3247"/>
      <c r="AB4" s="3247"/>
      <c r="AC4" s="3248"/>
      <c r="AD4" s="3246" t="e">
        <f>INDEX(PT_DIFFERENTIATION_CS,MATCH(C4,PT_DIFFERENTIATION_CS_ID,0))</f>
        <v>#N/A</v>
      </c>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247"/>
      <c r="BB4" s="3248"/>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3255"/>
      <c r="F5" s="3255"/>
      <c r="G5" s="3255"/>
      <c r="H5" s="3254">
        <v>1</v>
      </c>
      <c r="I5" s="1270"/>
      <c r="J5" s="1270"/>
      <c r="K5" s="1270"/>
      <c r="L5" s="1273"/>
      <c r="M5" s="1242"/>
      <c r="N5" s="1242"/>
      <c r="O5" s="1242"/>
      <c r="P5" s="1424"/>
      <c r="Q5" s="1425"/>
      <c r="R5" s="294"/>
      <c r="S5" s="972"/>
      <c r="T5" s="1426"/>
      <c r="U5" s="1311"/>
      <c r="V5" s="3315"/>
      <c r="W5" s="3315"/>
      <c r="X5" s="3315"/>
      <c r="Y5" s="3315"/>
      <c r="Z5" s="3315"/>
      <c r="AA5" s="3315"/>
      <c r="AB5" s="3315"/>
      <c r="AC5" s="3316"/>
      <c r="AD5" s="3314"/>
      <c r="AE5" s="3315"/>
      <c r="AF5" s="3315"/>
      <c r="AG5" s="3315"/>
      <c r="AH5" s="3315"/>
      <c r="AI5" s="3315"/>
      <c r="AJ5" s="3315"/>
      <c r="AK5" s="3315"/>
      <c r="AL5" s="3315"/>
      <c r="AM5" s="3315"/>
      <c r="AN5" s="3315"/>
      <c r="AO5" s="3315"/>
      <c r="AP5" s="3315"/>
      <c r="AQ5" s="3315"/>
      <c r="AR5" s="3315"/>
      <c r="AS5" s="3315"/>
      <c r="AT5" s="3315"/>
      <c r="AU5" s="3315"/>
      <c r="AV5" s="3315"/>
      <c r="AW5" s="3315"/>
      <c r="AX5" s="3315"/>
      <c r="AY5" s="3315"/>
      <c r="AZ5" s="3315"/>
      <c r="BA5" s="3315"/>
      <c r="BB5" s="3316"/>
      <c r="BC5" s="1312" t="s">
        <v>410</v>
      </c>
      <c r="BE5" s="437"/>
      <c r="BF5" s="437" t="str">
        <f t="shared" si="0"/>
        <v/>
      </c>
      <c r="BG5" s="437"/>
      <c r="BH5" s="437"/>
      <c r="BI5" s="448">
        <v>0</v>
      </c>
    </row>
    <row r="6" spans="1:61" s="1569" customFormat="1" ht="14.25" hidden="1" customHeight="1">
      <c r="A6" s="1270"/>
      <c r="B6" s="1270"/>
      <c r="C6" s="1270"/>
      <c r="D6" s="1270"/>
      <c r="E6" s="3255"/>
      <c r="F6" s="3255"/>
      <c r="G6" s="3255"/>
      <c r="H6" s="3255"/>
      <c r="I6" s="3256" t="str">
        <f>S5&amp;".1"</f>
        <v>.1</v>
      </c>
      <c r="J6" s="1270"/>
      <c r="K6" s="1270"/>
      <c r="L6" s="1273" t="s">
        <v>411</v>
      </c>
      <c r="M6" s="447"/>
      <c r="N6" s="447"/>
      <c r="O6" s="447"/>
      <c r="P6" s="3258">
        <v>1</v>
      </c>
      <c r="Q6" s="1389"/>
      <c r="R6" s="293"/>
      <c r="S6" s="972"/>
      <c r="T6" s="1310"/>
      <c r="U6" s="1311"/>
      <c r="V6" s="3315"/>
      <c r="W6" s="3315"/>
      <c r="X6" s="3315"/>
      <c r="Y6" s="3315"/>
      <c r="Z6" s="3315"/>
      <c r="AA6" s="3315"/>
      <c r="AB6" s="3315"/>
      <c r="AC6" s="3316"/>
      <c r="AD6" s="3314"/>
      <c r="AE6" s="3315"/>
      <c r="AF6" s="3315"/>
      <c r="AG6" s="3315"/>
      <c r="AH6" s="3315"/>
      <c r="AI6" s="3315"/>
      <c r="AJ6" s="3315"/>
      <c r="AK6" s="3315"/>
      <c r="AL6" s="3315"/>
      <c r="AM6" s="3315"/>
      <c r="AN6" s="3315"/>
      <c r="AO6" s="3315"/>
      <c r="AP6" s="3315"/>
      <c r="AQ6" s="3315"/>
      <c r="AR6" s="3315"/>
      <c r="AS6" s="3315"/>
      <c r="AT6" s="3315"/>
      <c r="AU6" s="3315"/>
      <c r="AV6" s="3315"/>
      <c r="AW6" s="3315"/>
      <c r="AX6" s="3315"/>
      <c r="AY6" s="3315"/>
      <c r="AZ6" s="3315"/>
      <c r="BA6" s="3315"/>
      <c r="BB6" s="3316"/>
      <c r="BC6" s="1312"/>
      <c r="BE6" s="437"/>
      <c r="BF6" s="437" t="str">
        <f t="shared" si="0"/>
        <v/>
      </c>
      <c r="BG6" s="437"/>
      <c r="BH6" s="437"/>
      <c r="BI6" s="448">
        <v>0</v>
      </c>
    </row>
    <row r="7" spans="1:61" s="1569" customFormat="1" ht="14.25" hidden="1" customHeight="1">
      <c r="A7" s="1270"/>
      <c r="B7" s="1270"/>
      <c r="C7" s="1270"/>
      <c r="D7" s="1270"/>
      <c r="E7" s="3255"/>
      <c r="F7" s="3255"/>
      <c r="G7" s="3255"/>
      <c r="H7" s="3255"/>
      <c r="I7" s="3257"/>
      <c r="J7" s="3256" t="str">
        <f>S5&amp;".1"</f>
        <v>.1</v>
      </c>
      <c r="K7" s="1270"/>
      <c r="L7" s="1273"/>
      <c r="M7" s="447"/>
      <c r="N7" s="447"/>
      <c r="O7" s="447"/>
      <c r="P7" s="3258"/>
      <c r="Q7" s="3258">
        <v>1</v>
      </c>
      <c r="R7" s="294"/>
      <c r="S7" s="972"/>
      <c r="T7" s="1326"/>
      <c r="U7" s="1311"/>
      <c r="V7" s="3315"/>
      <c r="W7" s="3315"/>
      <c r="X7" s="3315"/>
      <c r="Y7" s="3315"/>
      <c r="Z7" s="3315"/>
      <c r="AA7" s="3315"/>
      <c r="AB7" s="3315"/>
      <c r="AC7" s="3316"/>
      <c r="AD7" s="3314"/>
      <c r="AE7" s="3315"/>
      <c r="AF7" s="3315"/>
      <c r="AG7" s="3315"/>
      <c r="AH7" s="3315"/>
      <c r="AI7" s="3315"/>
      <c r="AJ7" s="3315"/>
      <c r="AK7" s="3315"/>
      <c r="AL7" s="3315"/>
      <c r="AM7" s="3315"/>
      <c r="AN7" s="3315"/>
      <c r="AO7" s="3315"/>
      <c r="AP7" s="3315"/>
      <c r="AQ7" s="3315"/>
      <c r="AR7" s="3315"/>
      <c r="AS7" s="3315"/>
      <c r="AT7" s="3315"/>
      <c r="AU7" s="3315"/>
      <c r="AV7" s="3315"/>
      <c r="AW7" s="3315"/>
      <c r="AX7" s="3315"/>
      <c r="AY7" s="3315"/>
      <c r="AZ7" s="3315"/>
      <c r="BA7" s="3315"/>
      <c r="BB7" s="3316"/>
      <c r="BC7" s="1312"/>
      <c r="BE7" s="437"/>
      <c r="BF7" s="437" t="str">
        <f t="shared" si="0"/>
        <v/>
      </c>
      <c r="BG7" s="437"/>
      <c r="BH7" s="437"/>
      <c r="BI7" s="448">
        <v>0</v>
      </c>
    </row>
    <row r="8" spans="1:61" ht="11.25" hidden="1" customHeight="1">
      <c r="A8" s="1290"/>
      <c r="B8" s="1290"/>
      <c r="C8" s="1290"/>
      <c r="D8" s="1290"/>
      <c r="E8" s="3255"/>
      <c r="F8" s="3255"/>
      <c r="G8" s="3255"/>
      <c r="H8" s="3255"/>
      <c r="I8" s="3257"/>
      <c r="J8" s="3257"/>
      <c r="K8" s="3256" t="e">
        <f>S4&amp;".1"</f>
        <v>#N/A</v>
      </c>
      <c r="L8" s="1291"/>
      <c r="P8" s="3258"/>
      <c r="Q8" s="3258"/>
      <c r="R8" s="3343">
        <v>1</v>
      </c>
      <c r="S8" s="3340" t="e">
        <f>$K8</f>
        <v>#N/A</v>
      </c>
      <c r="T8" s="3360"/>
      <c r="U8" s="238"/>
      <c r="V8" s="688"/>
      <c r="W8" s="1184"/>
      <c r="X8" s="688"/>
      <c r="Y8" s="1184"/>
      <c r="Z8" s="1660"/>
      <c r="AA8" s="1386" t="s">
        <v>67</v>
      </c>
      <c r="AB8" s="1660"/>
      <c r="AC8" s="1386" t="s">
        <v>67</v>
      </c>
      <c r="AD8" s="3176" t="s">
        <v>67</v>
      </c>
      <c r="AE8" s="3336"/>
      <c r="AF8" s="3208">
        <v>1</v>
      </c>
      <c r="AG8" s="3359"/>
      <c r="AH8" s="3121" t="s">
        <v>67</v>
      </c>
      <c r="AI8" s="3336"/>
      <c r="AJ8" s="3208">
        <v>1</v>
      </c>
      <c r="AK8" s="3350" t="s">
        <v>28</v>
      </c>
      <c r="AL8" s="3121" t="s">
        <v>67</v>
      </c>
      <c r="AM8" s="3185"/>
      <c r="AN8" s="3208">
        <v>1</v>
      </c>
      <c r="AO8" s="3363"/>
      <c r="AP8" s="3364" t="s">
        <v>67</v>
      </c>
      <c r="AQ8" s="249"/>
      <c r="AR8" s="1390">
        <v>1</v>
      </c>
      <c r="AS8" s="1393" t="s">
        <v>28</v>
      </c>
      <c r="AT8" s="688"/>
      <c r="AU8" s="1184"/>
      <c r="AV8" s="688"/>
      <c r="AW8" s="1184"/>
      <c r="AX8" s="1660"/>
      <c r="AY8" s="1386" t="s">
        <v>67</v>
      </c>
      <c r="AZ8" s="1660"/>
      <c r="BA8" s="1386" t="s">
        <v>67</v>
      </c>
      <c r="BB8" s="1275"/>
      <c r="BC8" s="3278" t="s">
        <v>508</v>
      </c>
      <c r="BE8" s="437"/>
      <c r="BF8" s="437" t="str">
        <f t="shared" si="0"/>
        <v/>
      </c>
      <c r="BG8" s="437"/>
      <c r="BH8" s="437"/>
      <c r="BI8" s="1082">
        <v>0</v>
      </c>
    </row>
    <row r="9" spans="1:61" ht="11.25" hidden="1" customHeight="1">
      <c r="A9" s="1290"/>
      <c r="B9" s="1290"/>
      <c r="C9" s="1290"/>
      <c r="D9" s="1290"/>
      <c r="E9" s="3255"/>
      <c r="F9" s="3255"/>
      <c r="G9" s="3255"/>
      <c r="H9" s="3255"/>
      <c r="I9" s="3257"/>
      <c r="J9" s="3257"/>
      <c r="K9" s="3256"/>
      <c r="L9" s="1291"/>
      <c r="P9" s="3258"/>
      <c r="Q9" s="3258"/>
      <c r="R9" s="3343"/>
      <c r="S9" s="3341"/>
      <c r="T9" s="3361"/>
      <c r="U9" s="238"/>
      <c r="V9" s="1320"/>
      <c r="W9" s="1423"/>
      <c r="X9" s="1320"/>
      <c r="Y9" s="1423"/>
      <c r="Z9" s="1320"/>
      <c r="AA9" s="1320"/>
      <c r="AB9" s="1320"/>
      <c r="AC9" s="1320"/>
      <c r="AD9" s="3177"/>
      <c r="AE9" s="3336"/>
      <c r="AF9" s="3208"/>
      <c r="AG9" s="3359"/>
      <c r="AH9" s="3121"/>
      <c r="AI9" s="3336"/>
      <c r="AJ9" s="3208"/>
      <c r="AK9" s="3350"/>
      <c r="AL9" s="3121"/>
      <c r="AM9" s="3190"/>
      <c r="AN9" s="3208"/>
      <c r="AO9" s="3363"/>
      <c r="AP9" s="3365"/>
      <c r="AQ9" s="254"/>
      <c r="AR9" s="353"/>
      <c r="AS9" s="353" t="s">
        <v>509</v>
      </c>
      <c r="AT9" s="1320"/>
      <c r="AU9" s="1423"/>
      <c r="AV9" s="1320"/>
      <c r="AW9" s="1423"/>
      <c r="AX9" s="1320"/>
      <c r="AY9" s="1320"/>
      <c r="AZ9" s="1320"/>
      <c r="BA9" s="1320"/>
      <c r="BB9" s="1324"/>
      <c r="BC9" s="3279"/>
      <c r="BE9" s="437"/>
      <c r="BF9" s="437"/>
      <c r="BG9" s="437"/>
      <c r="BH9" s="437"/>
      <c r="BI9" s="1082">
        <v>0</v>
      </c>
    </row>
    <row r="10" spans="1:61" ht="11.25" hidden="1" customHeight="1">
      <c r="A10" s="1290"/>
      <c r="B10" s="1290"/>
      <c r="C10" s="1290"/>
      <c r="D10" s="1290"/>
      <c r="E10" s="3255"/>
      <c r="F10" s="3255"/>
      <c r="G10" s="3255"/>
      <c r="H10" s="3255"/>
      <c r="I10" s="3257"/>
      <c r="J10" s="3257"/>
      <c r="K10" s="3256"/>
      <c r="L10" s="1291"/>
      <c r="P10" s="3258"/>
      <c r="Q10" s="3258"/>
      <c r="R10" s="3343"/>
      <c r="S10" s="3341"/>
      <c r="T10" s="3361"/>
      <c r="U10" s="238"/>
      <c r="V10" s="1320"/>
      <c r="W10" s="1423"/>
      <c r="X10" s="1320"/>
      <c r="Y10" s="1423"/>
      <c r="Z10" s="1320"/>
      <c r="AA10" s="1320"/>
      <c r="AB10" s="1320"/>
      <c r="AC10" s="1320"/>
      <c r="AD10" s="3177"/>
      <c r="AE10" s="3336"/>
      <c r="AF10" s="3208"/>
      <c r="AG10" s="3359"/>
      <c r="AH10" s="3121"/>
      <c r="AI10" s="3336"/>
      <c r="AJ10" s="3208"/>
      <c r="AK10" s="3350"/>
      <c r="AL10" s="3121"/>
      <c r="AM10" s="254"/>
      <c r="AN10" s="1427"/>
      <c r="AO10" s="1427" t="s">
        <v>510</v>
      </c>
      <c r="AP10" s="353"/>
      <c r="AQ10" s="353"/>
      <c r="AR10" s="353"/>
      <c r="AS10" s="1320"/>
      <c r="AT10" s="1320"/>
      <c r="AU10" s="1423"/>
      <c r="AV10" s="1320"/>
      <c r="AW10" s="1423"/>
      <c r="AX10" s="1320"/>
      <c r="AY10" s="1320"/>
      <c r="AZ10" s="1320"/>
      <c r="BA10" s="1320"/>
      <c r="BB10" s="1324"/>
      <c r="BC10" s="3279"/>
      <c r="BE10" s="437"/>
      <c r="BF10" s="437"/>
      <c r="BG10" s="437"/>
      <c r="BH10" s="437"/>
      <c r="BI10" s="1082">
        <v>0</v>
      </c>
    </row>
    <row r="11" spans="1:61" ht="11.25" hidden="1" customHeight="1">
      <c r="A11" s="1290"/>
      <c r="B11" s="1290"/>
      <c r="C11" s="1290"/>
      <c r="D11" s="1290"/>
      <c r="E11" s="3255"/>
      <c r="F11" s="3255"/>
      <c r="G11" s="3255"/>
      <c r="H11" s="3255"/>
      <c r="I11" s="3257"/>
      <c r="J11" s="3257"/>
      <c r="K11" s="3256"/>
      <c r="L11" s="1291"/>
      <c r="P11" s="3258"/>
      <c r="Q11" s="3258"/>
      <c r="R11" s="3343"/>
      <c r="S11" s="3341"/>
      <c r="T11" s="3361"/>
      <c r="U11" s="238"/>
      <c r="V11" s="1320"/>
      <c r="W11" s="1423"/>
      <c r="X11" s="1320"/>
      <c r="Y11" s="1423"/>
      <c r="Z11" s="1320"/>
      <c r="AA11" s="1320"/>
      <c r="AB11" s="1320"/>
      <c r="AC11" s="1320"/>
      <c r="AD11" s="3177"/>
      <c r="AE11" s="3336"/>
      <c r="AF11" s="3208"/>
      <c r="AG11" s="3359"/>
      <c r="AH11" s="3121"/>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3279"/>
      <c r="BE11" s="437"/>
      <c r="BF11" s="437"/>
      <c r="BG11" s="437"/>
      <c r="BH11" s="437"/>
      <c r="BI11" s="1082">
        <v>0</v>
      </c>
    </row>
    <row r="12" spans="1:61" ht="11.25" hidden="1" customHeight="1">
      <c r="A12" s="1290"/>
      <c r="B12" s="1290"/>
      <c r="C12" s="1290"/>
      <c r="D12" s="1290"/>
      <c r="E12" s="3255"/>
      <c r="F12" s="3255"/>
      <c r="G12" s="3255"/>
      <c r="H12" s="3255"/>
      <c r="I12" s="3257"/>
      <c r="J12" s="3257"/>
      <c r="K12" s="3256"/>
      <c r="L12" s="1291"/>
      <c r="P12" s="3258"/>
      <c r="Q12" s="3258"/>
      <c r="R12" s="3343"/>
      <c r="S12" s="3342"/>
      <c r="T12" s="3362"/>
      <c r="U12" s="238"/>
      <c r="V12" s="1320"/>
      <c r="W12" s="1321" t="str">
        <f>Z8&amp;"-"&amp;AB8</f>
        <v>-</v>
      </c>
      <c r="X12" s="1320"/>
      <c r="Y12" s="1321" t="str">
        <f>AB8&amp;"-"&amp;AD8</f>
        <v>-да</v>
      </c>
      <c r="Z12" s="1320"/>
      <c r="AA12" s="1320"/>
      <c r="AB12" s="1320"/>
      <c r="AC12" s="1320"/>
      <c r="AD12" s="3126"/>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279"/>
      <c r="BE12" s="437"/>
      <c r="BF12" s="437" t="str">
        <f t="shared" ref="BF12:BF18" si="1">IF(T12="","",T12)</f>
        <v/>
      </c>
      <c r="BG12" s="437"/>
      <c r="BH12" s="437"/>
      <c r="BI12" s="1082">
        <v>0</v>
      </c>
    </row>
    <row r="13" spans="1:61" ht="11.25" hidden="1" customHeight="1">
      <c r="A13" s="1290"/>
      <c r="B13" s="1290"/>
      <c r="C13" s="1290"/>
      <c r="D13" s="1290"/>
      <c r="E13" s="3255"/>
      <c r="F13" s="3255"/>
      <c r="G13" s="3255"/>
      <c r="H13" s="3255"/>
      <c r="I13" s="3257"/>
      <c r="J13" s="3256"/>
      <c r="K13" s="1290"/>
      <c r="L13" s="1291"/>
      <c r="P13" s="3258"/>
      <c r="Q13" s="3258"/>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3280"/>
      <c r="BE13" s="437"/>
      <c r="BF13" s="437" t="str">
        <f t="shared" si="1"/>
        <v>Добавить строку</v>
      </c>
      <c r="BG13" s="437"/>
      <c r="BH13" s="437"/>
      <c r="BI13" s="1082">
        <v>0</v>
      </c>
    </row>
    <row r="14" spans="1:61" s="1569" customFormat="1" ht="14.25" hidden="1" customHeight="1">
      <c r="A14" s="1270"/>
      <c r="B14" s="1270"/>
      <c r="C14" s="1270"/>
      <c r="D14" s="1270"/>
      <c r="E14" s="3255"/>
      <c r="F14" s="3255"/>
      <c r="G14" s="3255"/>
      <c r="H14" s="3255"/>
      <c r="I14" s="3256"/>
      <c r="J14" s="1270"/>
      <c r="K14" s="1270"/>
      <c r="L14" s="1273"/>
      <c r="M14" s="447"/>
      <c r="N14" s="447"/>
      <c r="O14" s="447"/>
      <c r="P14" s="3258"/>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255"/>
      <c r="F15" s="3255"/>
      <c r="G15" s="3255"/>
      <c r="H15" s="325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255"/>
      <c r="F16" s="3255"/>
      <c r="G16" s="3254"/>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255"/>
      <c r="F17" s="3254"/>
      <c r="G17" s="1241"/>
      <c r="H17" s="1241"/>
      <c r="I17" s="1241"/>
      <c r="J17" s="1241"/>
      <c r="K17" s="1241"/>
      <c r="L17" s="1391"/>
      <c r="M17" s="1248"/>
      <c r="N17" s="1248"/>
      <c r="P17" s="1243"/>
      <c r="Q17" s="1244"/>
      <c r="R17" s="1243"/>
      <c r="S17" s="1249"/>
      <c r="T17" s="1252" t="s">
        <v>167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254"/>
      <c r="F18" s="1270"/>
      <c r="G18" s="1270"/>
      <c r="H18" s="1270"/>
      <c r="I18" s="1270"/>
      <c r="J18" s="1270"/>
      <c r="K18" s="1270"/>
      <c r="L18" s="1273"/>
      <c r="M18" s="1248"/>
      <c r="N18" s="1248"/>
      <c r="O18" s="455"/>
      <c r="P18" s="317"/>
      <c r="Q18" s="1271"/>
      <c r="R18" s="317"/>
      <c r="S18" s="1249"/>
      <c r="T18" s="1252" t="s">
        <v>168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422</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423</v>
      </c>
      <c r="P24" s="1435"/>
      <c r="Q24" s="1437"/>
      <c r="R24" s="1437"/>
      <c r="AA24" s="1434" t="s">
        <v>425</v>
      </c>
      <c r="AC24" s="1434" t="s">
        <v>426</v>
      </c>
      <c r="AD24" s="1434" t="s">
        <v>476</v>
      </c>
      <c r="AH24" s="1434" t="s">
        <v>476</v>
      </c>
      <c r="AK24" s="1434" t="s">
        <v>513</v>
      </c>
      <c r="AL24" s="1434" t="s">
        <v>476</v>
      </c>
      <c r="AP24" s="1434" t="s">
        <v>476</v>
      </c>
      <c r="AY24" s="1434" t="s">
        <v>425</v>
      </c>
      <c r="BA24" s="1434" t="s">
        <v>426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323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232"/>
      <c r="U28" s="3232"/>
      <c r="V28" s="3232"/>
      <c r="W28" s="3232"/>
      <c r="X28" s="3232"/>
      <c r="Y28" s="3232"/>
      <c r="Z28" s="3232"/>
      <c r="AA28" s="3232"/>
      <c r="AB28" s="3232"/>
      <c r="AC28" s="3232"/>
      <c r="AD28" s="3232"/>
      <c r="AE28" s="3232"/>
      <c r="AF28" s="3232"/>
      <c r="AG28" s="3232"/>
      <c r="AH28" s="3232"/>
      <c r="AI28" s="3232"/>
      <c r="AJ28" s="3232"/>
      <c r="AK28" s="3232"/>
      <c r="AL28" s="3232"/>
      <c r="AM28" s="3232"/>
      <c r="AN28" s="3232"/>
      <c r="AO28" s="3232"/>
      <c r="AP28" s="3232"/>
      <c r="AQ28" s="3232"/>
      <c r="AR28" s="3232"/>
      <c r="AS28" s="3232"/>
      <c r="AT28" s="3232"/>
      <c r="AU28" s="3232"/>
      <c r="AV28" s="3232"/>
      <c r="AW28" s="3232"/>
      <c r="AX28" s="3232"/>
      <c r="AY28" s="3232"/>
      <c r="AZ28" s="3232"/>
      <c r="BA28" s="1170"/>
      <c r="BI28" s="1082">
        <v>14</v>
      </c>
    </row>
    <row r="29" spans="1:61" ht="14.65" customHeight="1">
      <c r="Q29" s="229"/>
      <c r="R29" s="313"/>
      <c r="S29" s="3204" t="str">
        <f>IF(org=0,"Не определено",org)</f>
        <v>АО Нижневартовская ГРЭС</v>
      </c>
      <c r="T29" s="3204"/>
      <c r="U29" s="3204"/>
      <c r="V29" s="3204"/>
      <c r="W29" s="3204"/>
      <c r="X29" s="3204"/>
      <c r="Y29" s="3204"/>
      <c r="Z29" s="3204"/>
      <c r="AA29" s="3204"/>
      <c r="AB29" s="3204"/>
      <c r="AC29" s="3204"/>
      <c r="AD29" s="3204"/>
      <c r="AE29" s="3204"/>
      <c r="AF29" s="3204"/>
      <c r="AG29" s="3204"/>
      <c r="AH29" s="3204"/>
      <c r="AI29" s="3204"/>
      <c r="AJ29" s="3204"/>
      <c r="AK29" s="3204"/>
      <c r="AL29" s="3204"/>
      <c r="AM29" s="3204"/>
      <c r="AN29" s="3204"/>
      <c r="AO29" s="3204"/>
      <c r="AP29" s="3204"/>
      <c r="AQ29" s="3204"/>
      <c r="AR29" s="3204"/>
      <c r="AS29" s="3204"/>
      <c r="AT29" s="3204"/>
      <c r="AU29" s="3204"/>
      <c r="AV29" s="3204"/>
      <c r="AW29" s="3204"/>
      <c r="AX29" s="3204"/>
      <c r="AY29" s="3204"/>
      <c r="AZ29" s="320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3243" t="s">
        <v>42</v>
      </c>
      <c r="T31" s="3243"/>
      <c r="U31" s="1299"/>
      <c r="V31" s="3245" t="str">
        <f>IF(TITLE_NAME_OR_PR_CHANGE="",IF(TITLE_NAME_OR_PR="","",TITLE_NAME_OR_PR),TITLE_NAME_OR_PR_CHANGE)</f>
        <v/>
      </c>
      <c r="W31" s="3245"/>
      <c r="X31" s="3245"/>
      <c r="Y31" s="3245"/>
      <c r="Z31" s="3245"/>
      <c r="AA31" s="3245"/>
      <c r="AB31" s="3245"/>
      <c r="AC31" s="264"/>
      <c r="AD31" s="3245" t="str">
        <f>IF(TITLE_NAME_OR_PR_CHANGE="",IF(TITLE_NAME_OR_PR="","",TITLE_NAME_OR_PR),TITLE_NAME_OR_PR_CHANGE)</f>
        <v/>
      </c>
      <c r="AE31" s="3245"/>
      <c r="AF31" s="3245"/>
      <c r="AG31" s="3245"/>
      <c r="AH31" s="3245"/>
      <c r="AI31" s="3245"/>
      <c r="AJ31" s="3245"/>
      <c r="AK31" s="3245"/>
      <c r="AL31" s="3245"/>
      <c r="AM31" s="3245"/>
      <c r="AN31" s="3245"/>
      <c r="AO31" s="3245"/>
      <c r="AP31" s="3245"/>
      <c r="AQ31" s="3245"/>
      <c r="AR31" s="3245"/>
      <c r="AS31" s="3245"/>
      <c r="AT31" s="3245"/>
      <c r="AU31" s="3245"/>
      <c r="AV31" s="3245"/>
      <c r="AW31" s="3245"/>
      <c r="AX31" s="3245"/>
      <c r="AY31" s="3245"/>
      <c r="AZ31" s="324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243" t="s">
        <v>428</v>
      </c>
      <c r="T32" s="3243"/>
      <c r="U32" s="1299"/>
      <c r="V32" s="3244">
        <f>IF(TITLE_DATE_PR_CHANGE="",IF(TITLE_DATE_PR="","",TITLE_DATE_PR),TITLE_DATE_PR_CHANGE)</f>
        <v>45595.546053240738</v>
      </c>
      <c r="W32" s="3244"/>
      <c r="X32" s="3244"/>
      <c r="Y32" s="3244"/>
      <c r="Z32" s="3244"/>
      <c r="AA32" s="3244"/>
      <c r="AB32" s="3244"/>
      <c r="AC32" s="264"/>
      <c r="AD32" s="3244">
        <f>IF(TITLE_DATE_PR_CHANGE="",IF(TITLE_DATE_PR="","",TITLE_DATE_PR),TITLE_DATE_PR_CHANGE)</f>
        <v>45595.546053240738</v>
      </c>
      <c r="AE32" s="3244"/>
      <c r="AF32" s="3244"/>
      <c r="AG32" s="3244"/>
      <c r="AH32" s="3244"/>
      <c r="AI32" s="3244"/>
      <c r="AJ32" s="3244"/>
      <c r="AK32" s="3244"/>
      <c r="AL32" s="3244"/>
      <c r="AM32" s="3244"/>
      <c r="AN32" s="3244"/>
      <c r="AO32" s="3244"/>
      <c r="AP32" s="3244"/>
      <c r="AQ32" s="3244"/>
      <c r="AR32" s="3244"/>
      <c r="AS32" s="3244"/>
      <c r="AT32" s="3244"/>
      <c r="AU32" s="3244"/>
      <c r="AV32" s="3244"/>
      <c r="AW32" s="3244"/>
      <c r="AX32" s="3244"/>
      <c r="AY32" s="3244"/>
      <c r="AZ32" s="324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243" t="s">
        <v>429</v>
      </c>
      <c r="T33" s="3243"/>
      <c r="U33" s="1299"/>
      <c r="V33" s="3245" t="str">
        <f>IF(TITLE_NUMBER_PR_CHANGE="",IF(TITLE_NUMBER_PR="","",TITLE_NUMBER_PR),TITLE_NUMBER_PR_CHANGE)</f>
        <v>03/3636</v>
      </c>
      <c r="W33" s="3245"/>
      <c r="X33" s="3245"/>
      <c r="Y33" s="3245"/>
      <c r="Z33" s="3245"/>
      <c r="AA33" s="3245"/>
      <c r="AB33" s="3245"/>
      <c r="AC33" s="264"/>
      <c r="AD33" s="3245" t="str">
        <f>IF(TITLE_NUMBER_PR_CHANGE="",IF(TITLE_NUMBER_PR="","",TITLE_NUMBER_PR),TITLE_NUMBER_PR_CHANGE)</f>
        <v>03/3636</v>
      </c>
      <c r="AE33" s="3245"/>
      <c r="AF33" s="3245"/>
      <c r="AG33" s="3245"/>
      <c r="AH33" s="3245"/>
      <c r="AI33" s="3245"/>
      <c r="AJ33" s="3245"/>
      <c r="AK33" s="3245"/>
      <c r="AL33" s="3245"/>
      <c r="AM33" s="3245"/>
      <c r="AN33" s="3245"/>
      <c r="AO33" s="3245"/>
      <c r="AP33" s="3245"/>
      <c r="AQ33" s="3245"/>
      <c r="AR33" s="3245"/>
      <c r="AS33" s="3245"/>
      <c r="AT33" s="3245"/>
      <c r="AU33" s="3245"/>
      <c r="AV33" s="3245"/>
      <c r="AW33" s="3245"/>
      <c r="AX33" s="3245"/>
      <c r="AY33" s="3245"/>
      <c r="AZ33" s="324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3243" t="s">
        <v>43</v>
      </c>
      <c r="T34" s="3243"/>
      <c r="U34" s="1299"/>
      <c r="V34" s="3245" t="str">
        <f>IF(TITLE_IST_PUB_CHANGE="",IF(TITLE_IST_PUB="","",TITLE_IST_PUB),TITLE_IST_PUB_CHANGE)</f>
        <v/>
      </c>
      <c r="W34" s="3245"/>
      <c r="X34" s="3245"/>
      <c r="Y34" s="3245"/>
      <c r="Z34" s="3245"/>
      <c r="AA34" s="3245"/>
      <c r="AB34" s="3245"/>
      <c r="AC34" s="264"/>
      <c r="AD34" s="3245" t="str">
        <f>IF(TITLE_IST_PUB_CHANGE="",IF(TITLE_IST_PUB="","",TITLE_IST_PUB),TITLE_IST_PUB_CHANGE)</f>
        <v/>
      </c>
      <c r="AE34" s="3245"/>
      <c r="AF34" s="3245"/>
      <c r="AG34" s="3245"/>
      <c r="AH34" s="3245"/>
      <c r="AI34" s="3245"/>
      <c r="AJ34" s="3245"/>
      <c r="AK34" s="3245"/>
      <c r="AL34" s="3245"/>
      <c r="AM34" s="3245"/>
      <c r="AN34" s="3245"/>
      <c r="AO34" s="3245"/>
      <c r="AP34" s="3245"/>
      <c r="AQ34" s="3245"/>
      <c r="AR34" s="3245"/>
      <c r="AS34" s="3245"/>
      <c r="AT34" s="3245"/>
      <c r="AU34" s="3245"/>
      <c r="AV34" s="3245"/>
      <c r="AW34" s="3245"/>
      <c r="AX34" s="3245"/>
      <c r="AY34" s="3245"/>
      <c r="AZ34" s="324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3243" t="s">
        <v>428</v>
      </c>
      <c r="T36" s="3243"/>
      <c r="U36" s="1299"/>
      <c r="V36" s="3244">
        <f>IF(TITLE_DATE_PR_CHANGE="",IF(TITLE_DATE_PR="","",TITLE_DATE_PR),TITLE_DATE_PR_CHANGE)</f>
        <v>45595.546053240738</v>
      </c>
      <c r="W36" s="3244"/>
      <c r="X36" s="3244"/>
      <c r="Y36" s="3244"/>
      <c r="Z36" s="3244"/>
      <c r="AA36" s="3244"/>
      <c r="AB36" s="3244"/>
      <c r="AC36" s="264"/>
      <c r="AD36" s="3244">
        <f>IF(TITLE_DATE_PR_CHANGE="",IF(TITLE_DATE_PR="","",TITLE_DATE_PR),TITLE_DATE_PR_CHANGE)</f>
        <v>45595.546053240738</v>
      </c>
      <c r="AE36" s="3244"/>
      <c r="AF36" s="3244"/>
      <c r="AG36" s="3244"/>
      <c r="AH36" s="3244"/>
      <c r="AI36" s="3244"/>
      <c r="AJ36" s="3244"/>
      <c r="AK36" s="3244"/>
      <c r="AL36" s="3244"/>
      <c r="AM36" s="3244"/>
      <c r="AN36" s="3244"/>
      <c r="AO36" s="3244"/>
      <c r="AP36" s="3244"/>
      <c r="AQ36" s="3244"/>
      <c r="AR36" s="3244"/>
      <c r="AS36" s="3244"/>
      <c r="AT36" s="3244"/>
      <c r="AU36" s="3244"/>
      <c r="AV36" s="3244"/>
      <c r="AW36" s="3244"/>
      <c r="AX36" s="3244"/>
      <c r="AY36" s="3244"/>
      <c r="AZ36" s="324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3243" t="s">
        <v>429</v>
      </c>
      <c r="T37" s="3243"/>
      <c r="U37" s="1299"/>
      <c r="V37" s="3245" t="str">
        <f>IF(TITLE_NUMBER_PR_CHANGE="",IF(TITLE_NUMBER_PR="","",TITLE_NUMBER_PR),TITLE_NUMBER_PR_CHANGE)</f>
        <v>03/3636</v>
      </c>
      <c r="W37" s="3245"/>
      <c r="X37" s="3245"/>
      <c r="Y37" s="3245"/>
      <c r="Z37" s="3245"/>
      <c r="AA37" s="3245"/>
      <c r="AB37" s="3245"/>
      <c r="AC37" s="264"/>
      <c r="AD37" s="3245" t="str">
        <f>IF(TITLE_NUMBER_PR_CHANGE="",IF(TITLE_NUMBER_PR="","",TITLE_NUMBER_PR),TITLE_NUMBER_PR_CHANGE)</f>
        <v>03/3636</v>
      </c>
      <c r="AE37" s="3245"/>
      <c r="AF37" s="3245"/>
      <c r="AG37" s="3245"/>
      <c r="AH37" s="3245"/>
      <c r="AI37" s="3245"/>
      <c r="AJ37" s="3245"/>
      <c r="AK37" s="3245"/>
      <c r="AL37" s="3245"/>
      <c r="AM37" s="3245"/>
      <c r="AN37" s="3245"/>
      <c r="AO37" s="3245"/>
      <c r="AP37" s="3245"/>
      <c r="AQ37" s="3245"/>
      <c r="AR37" s="3245"/>
      <c r="AS37" s="3245"/>
      <c r="AT37" s="3245"/>
      <c r="AU37" s="3245"/>
      <c r="AV37" s="3245"/>
      <c r="AW37" s="3245"/>
      <c r="AX37" s="3245"/>
      <c r="AY37" s="3245"/>
      <c r="AZ37" s="324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432</v>
      </c>
      <c r="BD38" s="305"/>
      <c r="BE38" s="305"/>
      <c r="BF38" s="305"/>
      <c r="BG38" s="305"/>
      <c r="BH38" s="305"/>
      <c r="BI38" s="355">
        <v>0</v>
      </c>
    </row>
    <row r="39" spans="1:61" ht="14.65" customHeight="1">
      <c r="Q39" s="229"/>
      <c r="R39" s="313"/>
      <c r="S39" s="1202"/>
      <c r="T39" s="300"/>
      <c r="U39" s="1171"/>
      <c r="V39" s="3266"/>
      <c r="W39" s="3266"/>
      <c r="X39" s="3266"/>
      <c r="Y39" s="3266"/>
      <c r="Z39" s="3266"/>
      <c r="AA39" s="3266"/>
      <c r="AB39" s="3266"/>
      <c r="AC39" s="3266"/>
      <c r="AD39" s="3266"/>
      <c r="AE39" s="3266"/>
      <c r="AF39" s="3266"/>
      <c r="AG39" s="3266"/>
      <c r="AH39" s="3266"/>
      <c r="AI39" s="3266"/>
      <c r="AJ39" s="3266"/>
      <c r="AK39" s="3266"/>
      <c r="AL39" s="3266"/>
      <c r="AM39" s="3266"/>
      <c r="AN39" s="3266"/>
      <c r="AO39" s="3266"/>
      <c r="AP39" s="3266"/>
      <c r="AQ39" s="3266"/>
      <c r="AR39" s="3266"/>
      <c r="AS39" s="3266"/>
      <c r="AT39" s="3266"/>
      <c r="AU39" s="3266"/>
      <c r="AV39" s="3266"/>
      <c r="AW39" s="3266"/>
      <c r="AX39" s="3266"/>
      <c r="AY39" s="3266"/>
      <c r="AZ39" s="3266"/>
      <c r="BA39" s="3266"/>
      <c r="BI39" s="1082">
        <v>14</v>
      </c>
    </row>
    <row r="40" spans="1:61" ht="14.65" customHeight="1">
      <c r="Q40" s="229"/>
      <c r="R40" s="313"/>
      <c r="S40" s="3111" t="s">
        <v>308</v>
      </c>
      <c r="T40" s="3111"/>
      <c r="U40" s="3111"/>
      <c r="V40" s="3111"/>
      <c r="W40" s="3111"/>
      <c r="X40" s="3111"/>
      <c r="Y40" s="3111"/>
      <c r="Z40" s="3111"/>
      <c r="AA40" s="3111"/>
      <c r="AB40" s="3111"/>
      <c r="AC40" s="3111"/>
      <c r="AD40" s="3111"/>
      <c r="AE40" s="3111"/>
      <c r="AF40" s="3111"/>
      <c r="AG40" s="3111"/>
      <c r="AH40" s="3111"/>
      <c r="AI40" s="3111"/>
      <c r="AJ40" s="3111"/>
      <c r="AK40" s="3111"/>
      <c r="AL40" s="3111"/>
      <c r="AM40" s="3111"/>
      <c r="AN40" s="3111"/>
      <c r="AO40" s="3111"/>
      <c r="AP40" s="3111"/>
      <c r="AQ40" s="3111"/>
      <c r="AR40" s="3111"/>
      <c r="AS40" s="3111"/>
      <c r="AT40" s="3111"/>
      <c r="AU40" s="3111"/>
      <c r="AV40" s="3111"/>
      <c r="AW40" s="3111"/>
      <c r="AX40" s="3111"/>
      <c r="AY40" s="3111"/>
      <c r="AZ40" s="3111"/>
      <c r="BA40" s="3111"/>
      <c r="BB40" s="3111"/>
      <c r="BC40" s="3111" t="s">
        <v>309</v>
      </c>
      <c r="BI40" s="1082">
        <v>14</v>
      </c>
    </row>
    <row r="41" spans="1:61" ht="14.65" customHeight="1">
      <c r="Q41" s="229"/>
      <c r="R41" s="313"/>
      <c r="S41" s="3268" t="s">
        <v>85</v>
      </c>
      <c r="T41" s="3212" t="s">
        <v>514</v>
      </c>
      <c r="U41" s="239"/>
      <c r="V41" s="3269" t="s">
        <v>434</v>
      </c>
      <c r="W41" s="3270"/>
      <c r="X41" s="3270"/>
      <c r="Y41" s="3270"/>
      <c r="Z41" s="3270"/>
      <c r="AA41" s="3270"/>
      <c r="AB41" s="3271"/>
      <c r="AC41" s="3272" t="s">
        <v>435</v>
      </c>
      <c r="AD41" s="3329" t="s">
        <v>515</v>
      </c>
      <c r="AE41" s="3313"/>
      <c r="AF41" s="3313"/>
      <c r="AG41" s="3330"/>
      <c r="AH41" s="3329" t="s">
        <v>516</v>
      </c>
      <c r="AI41" s="3313"/>
      <c r="AJ41" s="3313"/>
      <c r="AK41" s="3330"/>
      <c r="AL41" s="3329" t="s">
        <v>517</v>
      </c>
      <c r="AM41" s="3313"/>
      <c r="AN41" s="3313"/>
      <c r="AO41" s="3330"/>
      <c r="AP41" s="3329" t="s">
        <v>518</v>
      </c>
      <c r="AQ41" s="3313"/>
      <c r="AR41" s="3313"/>
      <c r="AS41" s="3330"/>
      <c r="AT41" s="3269" t="s">
        <v>434</v>
      </c>
      <c r="AU41" s="3270"/>
      <c r="AV41" s="3270"/>
      <c r="AW41" s="3270"/>
      <c r="AX41" s="3270"/>
      <c r="AY41" s="3270"/>
      <c r="AZ41" s="3271"/>
      <c r="BA41" s="3272" t="s">
        <v>435</v>
      </c>
      <c r="BB41" s="3275" t="s">
        <v>437</v>
      </c>
      <c r="BC41" s="3111"/>
      <c r="BI41" s="1082">
        <v>14</v>
      </c>
    </row>
    <row r="42" spans="1:61" ht="35.65" customHeight="1">
      <c r="Q42" s="229"/>
      <c r="R42" s="313"/>
      <c r="S42" s="3268"/>
      <c r="T42" s="3212"/>
      <c r="U42" s="961"/>
      <c r="V42" s="3185" t="s">
        <v>519</v>
      </c>
      <c r="W42" s="3186"/>
      <c r="X42" s="3185" t="s">
        <v>520</v>
      </c>
      <c r="Y42" s="3186"/>
      <c r="Z42" s="3185" t="s">
        <v>521</v>
      </c>
      <c r="AA42" s="3325"/>
      <c r="AB42" s="3186"/>
      <c r="AC42" s="3273"/>
      <c r="AD42" s="3331"/>
      <c r="AE42" s="3332"/>
      <c r="AF42" s="3332"/>
      <c r="AG42" s="3344"/>
      <c r="AH42" s="3331"/>
      <c r="AI42" s="3332"/>
      <c r="AJ42" s="3332"/>
      <c r="AK42" s="3344"/>
      <c r="AL42" s="3331"/>
      <c r="AM42" s="3332"/>
      <c r="AN42" s="3332"/>
      <c r="AO42" s="3344"/>
      <c r="AP42" s="3331"/>
      <c r="AQ42" s="3332"/>
      <c r="AR42" s="3332"/>
      <c r="AS42" s="3344"/>
      <c r="AT42" s="3185" t="s">
        <v>519</v>
      </c>
      <c r="AU42" s="3186"/>
      <c r="AV42" s="3185" t="s">
        <v>520</v>
      </c>
      <c r="AW42" s="3186"/>
      <c r="AX42" s="3185" t="s">
        <v>521</v>
      </c>
      <c r="AY42" s="3325"/>
      <c r="AZ42" s="3186"/>
      <c r="BA42" s="3273"/>
      <c r="BB42" s="3276"/>
      <c r="BC42" s="3111"/>
      <c r="BI42" s="1082">
        <v>34</v>
      </c>
    </row>
    <row r="43" spans="1:61" ht="14.65" customHeight="1">
      <c r="Q43" s="229"/>
      <c r="R43" s="313"/>
      <c r="S43" s="3268"/>
      <c r="T43" s="3212"/>
      <c r="U43" s="961"/>
      <c r="V43" s="3190"/>
      <c r="W43" s="3191"/>
      <c r="X43" s="3190"/>
      <c r="Y43" s="3191"/>
      <c r="Z43" s="3190"/>
      <c r="AA43" s="3326"/>
      <c r="AB43" s="3191"/>
      <c r="AC43" s="3273"/>
      <c r="AD43" s="3331"/>
      <c r="AE43" s="3332"/>
      <c r="AF43" s="3332"/>
      <c r="AG43" s="3344"/>
      <c r="AH43" s="3331"/>
      <c r="AI43" s="3332"/>
      <c r="AJ43" s="3332"/>
      <c r="AK43" s="3344"/>
      <c r="AL43" s="3331"/>
      <c r="AM43" s="3332"/>
      <c r="AN43" s="3332"/>
      <c r="AO43" s="3344"/>
      <c r="AP43" s="3331"/>
      <c r="AQ43" s="3332"/>
      <c r="AR43" s="3332"/>
      <c r="AS43" s="3344"/>
      <c r="AT43" s="3190"/>
      <c r="AU43" s="3191"/>
      <c r="AV43" s="3190"/>
      <c r="AW43" s="3191"/>
      <c r="AX43" s="3190"/>
      <c r="AY43" s="3326"/>
      <c r="AZ43" s="3191"/>
      <c r="BA43" s="3273"/>
      <c r="BB43" s="3276"/>
      <c r="BC43" s="3111"/>
      <c r="BI43" s="1082">
        <v>14</v>
      </c>
    </row>
    <row r="44" spans="1:61" ht="14.65" customHeight="1">
      <c r="A44" s="1297"/>
      <c r="B44" s="1297" t="s">
        <v>133</v>
      </c>
      <c r="C44" s="1297" t="s">
        <v>134</v>
      </c>
      <c r="D44" s="1297" t="s">
        <v>135</v>
      </c>
      <c r="E44" s="1291" t="s">
        <v>442</v>
      </c>
      <c r="F44" s="1291" t="s">
        <v>443</v>
      </c>
      <c r="G44" s="1291" t="s">
        <v>444</v>
      </c>
      <c r="H44" s="1291" t="s">
        <v>445</v>
      </c>
      <c r="I44" s="1291" t="s">
        <v>446</v>
      </c>
      <c r="J44" s="1291" t="s">
        <v>447</v>
      </c>
      <c r="K44" s="1291" t="s">
        <v>448</v>
      </c>
      <c r="L44" s="1291" t="s">
        <v>423</v>
      </c>
      <c r="Q44" s="229"/>
      <c r="R44" s="313"/>
      <c r="S44" s="3268"/>
      <c r="T44" s="3212"/>
      <c r="U44" s="240"/>
      <c r="V44" s="1375" t="s">
        <v>485</v>
      </c>
      <c r="W44" s="1375" t="s">
        <v>486</v>
      </c>
      <c r="X44" s="1375" t="s">
        <v>485</v>
      </c>
      <c r="Y44" s="1375" t="s">
        <v>486</v>
      </c>
      <c r="Z44" s="1382" t="s">
        <v>451</v>
      </c>
      <c r="AA44" s="3217" t="s">
        <v>452</v>
      </c>
      <c r="AB44" s="3231"/>
      <c r="AC44" s="3274"/>
      <c r="AD44" s="3333"/>
      <c r="AE44" s="3334"/>
      <c r="AF44" s="3334"/>
      <c r="AG44" s="3335"/>
      <c r="AH44" s="3333"/>
      <c r="AI44" s="3334"/>
      <c r="AJ44" s="3334"/>
      <c r="AK44" s="3335"/>
      <c r="AL44" s="3333"/>
      <c r="AM44" s="3334"/>
      <c r="AN44" s="3334"/>
      <c r="AO44" s="3335"/>
      <c r="AP44" s="3333"/>
      <c r="AQ44" s="3334"/>
      <c r="AR44" s="3334"/>
      <c r="AS44" s="3335"/>
      <c r="AT44" s="1375" t="s">
        <v>485</v>
      </c>
      <c r="AU44" s="1375" t="s">
        <v>486</v>
      </c>
      <c r="AV44" s="1375" t="s">
        <v>485</v>
      </c>
      <c r="AW44" s="1375" t="s">
        <v>486</v>
      </c>
      <c r="AX44" s="1382" t="s">
        <v>451</v>
      </c>
      <c r="AY44" s="3217" t="s">
        <v>452</v>
      </c>
      <c r="AZ44" s="3231"/>
      <c r="BA44" s="3274"/>
      <c r="BB44" s="3277"/>
      <c r="BC44" s="311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378">
        <f t="shared" ref="V45:AA45" ca="1" si="2">OFFSET(V45,0,-1)+1</f>
        <v>3</v>
      </c>
      <c r="W45" s="1378">
        <f t="shared" ca="1" si="2"/>
        <v>4</v>
      </c>
      <c r="X45" s="1378">
        <f t="shared" ca="1" si="2"/>
        <v>5</v>
      </c>
      <c r="Y45" s="1378">
        <f t="shared" ca="1" si="2"/>
        <v>6</v>
      </c>
      <c r="Z45" s="1378">
        <f t="shared" ca="1" si="2"/>
        <v>7</v>
      </c>
      <c r="AA45" s="3265">
        <f t="shared" ca="1" si="2"/>
        <v>8</v>
      </c>
      <c r="AB45" s="3265"/>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3265">
        <f ca="1">OFFSET(AY45,0,-1)+1</f>
        <v>3</v>
      </c>
      <c r="AZ45" s="3265"/>
      <c r="BA45" s="1378">
        <f ca="1">OFFSET(BA45,0,-2)+1</f>
        <v>4</v>
      </c>
      <c r="BB45" s="1172">
        <f ca="1">OFFSET(BB45,0,-1)</f>
        <v>4</v>
      </c>
      <c r="BC45" s="1378">
        <f ca="1">OFFSET(BC45,0,-1)+1</f>
        <v>5</v>
      </c>
      <c r="BD45" s="448"/>
      <c r="BE45" s="448"/>
      <c r="BF45" s="448"/>
      <c r="BG45" s="448"/>
      <c r="BH45" s="448"/>
      <c r="BI45" s="433">
        <v>0</v>
      </c>
    </row>
    <row r="46" spans="1:61" ht="21.95" customHeight="1">
      <c r="A46" s="1290" t="s">
        <v>254</v>
      </c>
      <c r="B46" s="1290"/>
      <c r="C46" s="1290"/>
      <c r="D46" s="1290"/>
      <c r="E46" s="3254">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121</v>
      </c>
      <c r="U46" s="238"/>
      <c r="V46" s="3247"/>
      <c r="W46" s="3247"/>
      <c r="X46" s="3247"/>
      <c r="Y46" s="3247"/>
      <c r="Z46" s="3247"/>
      <c r="AA46" s="3247"/>
      <c r="AB46" s="3247"/>
      <c r="AC46" s="3248"/>
      <c r="AD46" s="3246" t="str">
        <f>INDEX(PT_DIFFERENTIATION_NTAR,MATCH(A46,PT_DIFFERENTIATION_NTAR_ID,0))</f>
        <v/>
      </c>
      <c r="AE46" s="3247"/>
      <c r="AF46" s="3247"/>
      <c r="AG46" s="3247"/>
      <c r="AH46" s="3247"/>
      <c r="AI46" s="3247"/>
      <c r="AJ46" s="3247"/>
      <c r="AK46" s="3247"/>
      <c r="AL46" s="3247"/>
      <c r="AM46" s="3247"/>
      <c r="AN46" s="3247"/>
      <c r="AO46" s="3247"/>
      <c r="AP46" s="3247"/>
      <c r="AQ46" s="3247"/>
      <c r="AR46" s="3247"/>
      <c r="AS46" s="3247"/>
      <c r="AT46" s="3247"/>
      <c r="AU46" s="3247"/>
      <c r="AV46" s="3247"/>
      <c r="AW46" s="3247"/>
      <c r="AX46" s="3247"/>
      <c r="AY46" s="3247"/>
      <c r="AZ46" s="3247"/>
      <c r="BA46" s="3247"/>
      <c r="BB46" s="324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254</v>
      </c>
      <c r="B47" s="1290" t="s">
        <v>255</v>
      </c>
      <c r="C47" s="1290"/>
      <c r="D47" s="1290"/>
      <c r="E47" s="3255"/>
      <c r="F47" s="3254">
        <v>1</v>
      </c>
      <c r="G47" s="1290"/>
      <c r="H47" s="1290"/>
      <c r="I47" s="1290"/>
      <c r="J47" s="1290"/>
      <c r="K47" s="1290"/>
      <c r="L47" s="1291"/>
      <c r="M47" s="1292"/>
      <c r="N47" s="1292"/>
      <c r="O47" s="1292"/>
      <c r="P47" s="1337"/>
      <c r="Q47" s="1338"/>
      <c r="R47" s="290"/>
      <c r="S47" s="1384" t="str">
        <f>INDEX(PT_DIFFERENTIATION_NUM_TER,MATCH(B47,PT_DIFFERENTIATION_TER_ID,0))</f>
        <v>.</v>
      </c>
      <c r="T47" s="246" t="s">
        <v>405</v>
      </c>
      <c r="U47" s="238"/>
      <c r="V47" s="3247"/>
      <c r="W47" s="3247"/>
      <c r="X47" s="3247"/>
      <c r="Y47" s="3247"/>
      <c r="Z47" s="3247"/>
      <c r="AA47" s="3247"/>
      <c r="AB47" s="3247"/>
      <c r="AC47" s="3248"/>
      <c r="AD47" s="3246" t="str">
        <f>INDEX(PT_DIFFERENTIATION_TER,MATCH(B47,PT_DIFFERENTIATION_TER_ID,0))</f>
        <v/>
      </c>
      <c r="AE47" s="3247"/>
      <c r="AF47" s="3247"/>
      <c r="AG47" s="3247"/>
      <c r="AH47" s="3247"/>
      <c r="AI47" s="3247"/>
      <c r="AJ47" s="3247"/>
      <c r="AK47" s="3247"/>
      <c r="AL47" s="3247"/>
      <c r="AM47" s="3247"/>
      <c r="AN47" s="3247"/>
      <c r="AO47" s="3247"/>
      <c r="AP47" s="3247"/>
      <c r="AQ47" s="3247"/>
      <c r="AR47" s="3247"/>
      <c r="AS47" s="3247"/>
      <c r="AT47" s="3247"/>
      <c r="AU47" s="3247"/>
      <c r="AV47" s="3247"/>
      <c r="AW47" s="3247"/>
      <c r="AX47" s="3247"/>
      <c r="AY47" s="3247"/>
      <c r="AZ47" s="3247"/>
      <c r="BA47" s="3247"/>
      <c r="BB47" s="3248"/>
      <c r="BC47" s="1185" t="s">
        <v>406</v>
      </c>
      <c r="BE47" s="437"/>
      <c r="BF47" s="437" t="str">
        <f t="shared" si="3"/>
        <v>Территория действия тарифа</v>
      </c>
      <c r="BG47" s="437"/>
      <c r="BH47" s="437"/>
      <c r="BI47" s="1082">
        <v>21</v>
      </c>
    </row>
    <row r="48" spans="1:61" ht="43.15" customHeight="1">
      <c r="A48" s="1290" t="s">
        <v>254</v>
      </c>
      <c r="B48" s="1290" t="s">
        <v>255</v>
      </c>
      <c r="C48" s="1290" t="s">
        <v>256</v>
      </c>
      <c r="D48" s="1290"/>
      <c r="E48" s="3255"/>
      <c r="F48" s="3255"/>
      <c r="G48" s="3254">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3247"/>
      <c r="W48" s="3247"/>
      <c r="X48" s="3247"/>
      <c r="Y48" s="3247"/>
      <c r="Z48" s="3247"/>
      <c r="AA48" s="3247"/>
      <c r="AB48" s="3247"/>
      <c r="AC48" s="3248"/>
      <c r="AD48" s="3246" t="str">
        <f>INDEX(PT_DIFFERENTIATION_CS,MATCH(C48,PT_DIFFERENTIATION_CS_ID,0))</f>
        <v/>
      </c>
      <c r="AE48" s="3247"/>
      <c r="AF48" s="3247"/>
      <c r="AG48" s="3247"/>
      <c r="AH48" s="3247"/>
      <c r="AI48" s="3247"/>
      <c r="AJ48" s="3247"/>
      <c r="AK48" s="3247"/>
      <c r="AL48" s="3247"/>
      <c r="AM48" s="3247"/>
      <c r="AN48" s="3247"/>
      <c r="AO48" s="3247"/>
      <c r="AP48" s="3247"/>
      <c r="AQ48" s="3247"/>
      <c r="AR48" s="3247"/>
      <c r="AS48" s="3247"/>
      <c r="AT48" s="3247"/>
      <c r="AU48" s="3247"/>
      <c r="AV48" s="3247"/>
      <c r="AW48" s="3247"/>
      <c r="AX48" s="3247"/>
      <c r="AY48" s="3247"/>
      <c r="AZ48" s="3247"/>
      <c r="BA48" s="3247"/>
      <c r="BB48" s="3248"/>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254</v>
      </c>
      <c r="B49" s="1270" t="s">
        <v>255</v>
      </c>
      <c r="C49" s="1270" t="s">
        <v>256</v>
      </c>
      <c r="D49" s="1270" t="s">
        <v>522</v>
      </c>
      <c r="E49" s="3255"/>
      <c r="F49" s="3255"/>
      <c r="G49" s="3255"/>
      <c r="H49" s="3254">
        <v>1</v>
      </c>
      <c r="I49" s="1270"/>
      <c r="J49" s="1270"/>
      <c r="K49" s="1270"/>
      <c r="L49" s="1273"/>
      <c r="M49" s="1242"/>
      <c r="N49" s="1242"/>
      <c r="O49" s="1242"/>
      <c r="P49" s="1424"/>
      <c r="Q49" s="1425"/>
      <c r="R49" s="294"/>
      <c r="S49" s="972"/>
      <c r="T49" s="1426"/>
      <c r="U49" s="1311"/>
      <c r="V49" s="3315"/>
      <c r="W49" s="3315"/>
      <c r="X49" s="3315"/>
      <c r="Y49" s="3315"/>
      <c r="Z49" s="3315"/>
      <c r="AA49" s="3315"/>
      <c r="AB49" s="3315"/>
      <c r="AC49" s="3316"/>
      <c r="AD49" s="3314"/>
      <c r="AE49" s="3315"/>
      <c r="AF49" s="3315"/>
      <c r="AG49" s="3315"/>
      <c r="AH49" s="3315"/>
      <c r="AI49" s="3315"/>
      <c r="AJ49" s="3315"/>
      <c r="AK49" s="3315"/>
      <c r="AL49" s="3315"/>
      <c r="AM49" s="3315"/>
      <c r="AN49" s="3315"/>
      <c r="AO49" s="3315"/>
      <c r="AP49" s="3315"/>
      <c r="AQ49" s="3315"/>
      <c r="AR49" s="3315"/>
      <c r="AS49" s="3315"/>
      <c r="AT49" s="3315"/>
      <c r="AU49" s="3315"/>
      <c r="AV49" s="3315"/>
      <c r="AW49" s="3315"/>
      <c r="AX49" s="3315"/>
      <c r="AY49" s="3315"/>
      <c r="AZ49" s="3315"/>
      <c r="BA49" s="3315"/>
      <c r="BB49" s="3316"/>
      <c r="BC49" s="1312" t="s">
        <v>410</v>
      </c>
      <c r="BE49" s="437"/>
      <c r="BF49" s="437" t="str">
        <f t="shared" si="3"/>
        <v/>
      </c>
      <c r="BG49" s="437"/>
      <c r="BH49" s="437"/>
      <c r="BI49" s="448">
        <v>0</v>
      </c>
    </row>
    <row r="50" spans="1:61" s="1569" customFormat="1" ht="0" hidden="1" customHeight="1">
      <c r="A50" s="1270" t="s">
        <v>254</v>
      </c>
      <c r="B50" s="1270" t="s">
        <v>255</v>
      </c>
      <c r="C50" s="1270" t="s">
        <v>256</v>
      </c>
      <c r="D50" s="1270" t="s">
        <v>522</v>
      </c>
      <c r="E50" s="3255"/>
      <c r="F50" s="3255"/>
      <c r="G50" s="3255"/>
      <c r="H50" s="3255"/>
      <c r="I50" s="3256" t="str">
        <f>S49&amp;".1"</f>
        <v>.1</v>
      </c>
      <c r="J50" s="1270"/>
      <c r="K50" s="1270"/>
      <c r="L50" s="1273" t="s">
        <v>411</v>
      </c>
      <c r="M50" s="447"/>
      <c r="N50" s="447"/>
      <c r="O50" s="447"/>
      <c r="P50" s="3258">
        <v>1</v>
      </c>
      <c r="Q50" s="1389"/>
      <c r="R50" s="293"/>
      <c r="S50" s="972"/>
      <c r="T50" s="1310"/>
      <c r="U50" s="1311"/>
      <c r="V50" s="3315"/>
      <c r="W50" s="3315"/>
      <c r="X50" s="3315"/>
      <c r="Y50" s="3315"/>
      <c r="Z50" s="3315"/>
      <c r="AA50" s="3315"/>
      <c r="AB50" s="3315"/>
      <c r="AC50" s="3316"/>
      <c r="AD50" s="3314"/>
      <c r="AE50" s="3315"/>
      <c r="AF50" s="3315"/>
      <c r="AG50" s="3315"/>
      <c r="AH50" s="3315"/>
      <c r="AI50" s="3315"/>
      <c r="AJ50" s="3315"/>
      <c r="AK50" s="3315"/>
      <c r="AL50" s="3315"/>
      <c r="AM50" s="3315"/>
      <c r="AN50" s="3315"/>
      <c r="AO50" s="3315"/>
      <c r="AP50" s="3315"/>
      <c r="AQ50" s="3315"/>
      <c r="AR50" s="3315"/>
      <c r="AS50" s="3315"/>
      <c r="AT50" s="3315"/>
      <c r="AU50" s="3315"/>
      <c r="AV50" s="3315"/>
      <c r="AW50" s="3315"/>
      <c r="AX50" s="3315"/>
      <c r="AY50" s="3315"/>
      <c r="AZ50" s="3315"/>
      <c r="BA50" s="3315"/>
      <c r="BB50" s="3316"/>
      <c r="BC50" s="1312"/>
      <c r="BE50" s="437"/>
      <c r="BF50" s="437" t="str">
        <f t="shared" si="3"/>
        <v/>
      </c>
      <c r="BG50" s="437"/>
      <c r="BH50" s="437"/>
      <c r="BI50" s="448">
        <v>0</v>
      </c>
    </row>
    <row r="51" spans="1:61" s="1569" customFormat="1" ht="0" hidden="1" customHeight="1">
      <c r="A51" s="1270" t="s">
        <v>254</v>
      </c>
      <c r="B51" s="1270" t="s">
        <v>255</v>
      </c>
      <c r="C51" s="1270" t="s">
        <v>256</v>
      </c>
      <c r="D51" s="1270" t="s">
        <v>522</v>
      </c>
      <c r="E51" s="3255"/>
      <c r="F51" s="3255"/>
      <c r="G51" s="3255"/>
      <c r="H51" s="3255"/>
      <c r="I51" s="3257"/>
      <c r="J51" s="3256" t="str">
        <f>S49&amp;".1"</f>
        <v>.1</v>
      </c>
      <c r="K51" s="1270"/>
      <c r="L51" s="1273"/>
      <c r="M51" s="447"/>
      <c r="N51" s="447"/>
      <c r="O51" s="447"/>
      <c r="P51" s="3258"/>
      <c r="Q51" s="3258">
        <v>1</v>
      </c>
      <c r="R51" s="294"/>
      <c r="S51" s="972"/>
      <c r="T51" s="1326"/>
      <c r="U51" s="1311"/>
      <c r="V51" s="3315"/>
      <c r="W51" s="3315"/>
      <c r="X51" s="3315"/>
      <c r="Y51" s="3315"/>
      <c r="Z51" s="3315"/>
      <c r="AA51" s="3315"/>
      <c r="AB51" s="3315"/>
      <c r="AC51" s="3316"/>
      <c r="AD51" s="3314"/>
      <c r="AE51" s="3315"/>
      <c r="AF51" s="3315"/>
      <c r="AG51" s="3315"/>
      <c r="AH51" s="3315"/>
      <c r="AI51" s="3315"/>
      <c r="AJ51" s="3315"/>
      <c r="AK51" s="3315"/>
      <c r="AL51" s="3315"/>
      <c r="AM51" s="3315"/>
      <c r="AN51" s="3366"/>
      <c r="AO51" s="3366"/>
      <c r="AP51" s="3315"/>
      <c r="AQ51" s="3315"/>
      <c r="AR51" s="3315"/>
      <c r="AS51" s="3315"/>
      <c r="AT51" s="3315"/>
      <c r="AU51" s="3315"/>
      <c r="AV51" s="3315"/>
      <c r="AW51" s="3315"/>
      <c r="AX51" s="3315"/>
      <c r="AY51" s="3315"/>
      <c r="AZ51" s="3315"/>
      <c r="BA51" s="3315"/>
      <c r="BB51" s="3316"/>
      <c r="BC51" s="1312"/>
      <c r="BE51" s="437"/>
      <c r="BF51" s="437" t="str">
        <f t="shared" si="3"/>
        <v/>
      </c>
      <c r="BG51" s="437"/>
      <c r="BH51" s="437"/>
      <c r="BI51" s="448">
        <v>0</v>
      </c>
    </row>
    <row r="52" spans="1:61" ht="11.45" customHeight="1">
      <c r="A52" s="1290" t="s">
        <v>254</v>
      </c>
      <c r="B52" s="1290" t="s">
        <v>255</v>
      </c>
      <c r="C52" s="1290" t="s">
        <v>256</v>
      </c>
      <c r="D52" s="1290" t="s">
        <v>522</v>
      </c>
      <c r="E52" s="3255"/>
      <c r="F52" s="3255"/>
      <c r="G52" s="3255"/>
      <c r="H52" s="3255"/>
      <c r="I52" s="3257"/>
      <c r="J52" s="3257"/>
      <c r="K52" s="3256" t="str">
        <f>S48&amp;".1"</f>
        <v>...1</v>
      </c>
      <c r="L52" s="1291"/>
      <c r="P52" s="3258"/>
      <c r="Q52" s="3258"/>
      <c r="R52" s="294">
        <v>1</v>
      </c>
      <c r="S52" s="3340" t="str">
        <f>$K52</f>
        <v>...1</v>
      </c>
      <c r="T52" s="3360"/>
      <c r="U52" s="238"/>
      <c r="V52" s="688"/>
      <c r="W52" s="1184"/>
      <c r="X52" s="688"/>
      <c r="Y52" s="1184"/>
      <c r="Z52" s="1660"/>
      <c r="AA52" s="1386" t="s">
        <v>67</v>
      </c>
      <c r="AB52" s="1660"/>
      <c r="AC52" s="1386" t="s">
        <v>67</v>
      </c>
      <c r="AD52" s="3176" t="s">
        <v>67</v>
      </c>
      <c r="AE52" s="3336"/>
      <c r="AF52" s="3208">
        <v>1</v>
      </c>
      <c r="AG52" s="3359"/>
      <c r="AH52" s="3121" t="s">
        <v>67</v>
      </c>
      <c r="AI52" s="3336"/>
      <c r="AJ52" s="3208">
        <v>1</v>
      </c>
      <c r="AK52" s="3350" t="s">
        <v>28</v>
      </c>
      <c r="AL52" s="3121" t="s">
        <v>67</v>
      </c>
      <c r="AM52" s="3185"/>
      <c r="AN52" s="3208">
        <v>1</v>
      </c>
      <c r="AO52" s="3363"/>
      <c r="AP52" s="3364" t="s">
        <v>67</v>
      </c>
      <c r="AQ52" s="249"/>
      <c r="AR52" s="1390">
        <v>1</v>
      </c>
      <c r="AS52" s="1393" t="s">
        <v>28</v>
      </c>
      <c r="AT52" s="688"/>
      <c r="AU52" s="1184"/>
      <c r="AV52" s="688"/>
      <c r="AW52" s="1184"/>
      <c r="AX52" s="1660"/>
      <c r="AY52" s="1386" t="s">
        <v>67</v>
      </c>
      <c r="AZ52" s="1660"/>
      <c r="BA52" s="1386" t="s">
        <v>67</v>
      </c>
      <c r="BB52" s="1275"/>
      <c r="BC52" s="3278" t="s">
        <v>508</v>
      </c>
      <c r="BE52" s="437"/>
      <c r="BF52" s="437" t="str">
        <f t="shared" si="3"/>
        <v/>
      </c>
      <c r="BG52" s="437"/>
      <c r="BH52" s="437"/>
      <c r="BI52" s="1082">
        <v>11</v>
      </c>
    </row>
    <row r="53" spans="1:61" ht="11.45" customHeight="1">
      <c r="A53" s="1290"/>
      <c r="B53" s="1290"/>
      <c r="C53" s="1290"/>
      <c r="D53" s="1290"/>
      <c r="E53" s="3255"/>
      <c r="F53" s="3255"/>
      <c r="G53" s="3255"/>
      <c r="H53" s="3255"/>
      <c r="I53" s="3257"/>
      <c r="J53" s="3257"/>
      <c r="K53" s="3256"/>
      <c r="L53" s="1291"/>
      <c r="P53" s="3258"/>
      <c r="Q53" s="3258"/>
      <c r="R53" s="294"/>
      <c r="S53" s="3341"/>
      <c r="T53" s="3361"/>
      <c r="U53" s="238"/>
      <c r="V53" s="1320"/>
      <c r="W53" s="1423"/>
      <c r="X53" s="1320"/>
      <c r="Y53" s="1423"/>
      <c r="Z53" s="1320"/>
      <c r="AA53" s="1320"/>
      <c r="AB53" s="1320"/>
      <c r="AC53" s="1320"/>
      <c r="AD53" s="3177"/>
      <c r="AE53" s="3336"/>
      <c r="AF53" s="3208"/>
      <c r="AG53" s="3359"/>
      <c r="AH53" s="3121"/>
      <c r="AI53" s="3336"/>
      <c r="AJ53" s="3208"/>
      <c r="AK53" s="3350"/>
      <c r="AL53" s="3121"/>
      <c r="AM53" s="3190"/>
      <c r="AN53" s="3208"/>
      <c r="AO53" s="3363"/>
      <c r="AP53" s="3365"/>
      <c r="AQ53" s="254"/>
      <c r="AR53" s="353"/>
      <c r="AS53" s="353" t="s">
        <v>509</v>
      </c>
      <c r="AT53" s="1320"/>
      <c r="AU53" s="1423"/>
      <c r="AV53" s="1320"/>
      <c r="AW53" s="1423"/>
      <c r="AX53" s="1320"/>
      <c r="AY53" s="1320"/>
      <c r="AZ53" s="1320"/>
      <c r="BA53" s="1320"/>
      <c r="BB53" s="1324"/>
      <c r="BC53" s="3279"/>
      <c r="BE53" s="437"/>
      <c r="BF53" s="437"/>
      <c r="BG53" s="437"/>
      <c r="BH53" s="437"/>
      <c r="BI53" s="1082">
        <v>11</v>
      </c>
    </row>
    <row r="54" spans="1:61" ht="11.45" customHeight="1">
      <c r="A54" s="1290" t="s">
        <v>254</v>
      </c>
      <c r="B54" s="1290"/>
      <c r="C54" s="1290"/>
      <c r="D54" s="1290"/>
      <c r="E54" s="3255"/>
      <c r="F54" s="3255"/>
      <c r="G54" s="3255"/>
      <c r="H54" s="3255"/>
      <c r="I54" s="3257"/>
      <c r="J54" s="3257"/>
      <c r="K54" s="3256"/>
      <c r="L54" s="1291"/>
      <c r="P54" s="3258"/>
      <c r="Q54" s="3258"/>
      <c r="R54" s="294"/>
      <c r="S54" s="3341"/>
      <c r="T54" s="3361"/>
      <c r="U54" s="238"/>
      <c r="V54" s="1320"/>
      <c r="W54" s="1423"/>
      <c r="X54" s="1320"/>
      <c r="Y54" s="1423"/>
      <c r="Z54" s="1320"/>
      <c r="AA54" s="1320"/>
      <c r="AB54" s="1320"/>
      <c r="AC54" s="1320"/>
      <c r="AD54" s="3177"/>
      <c r="AE54" s="3336"/>
      <c r="AF54" s="3208"/>
      <c r="AG54" s="3359"/>
      <c r="AH54" s="3121"/>
      <c r="AI54" s="3336"/>
      <c r="AJ54" s="3208"/>
      <c r="AK54" s="3350"/>
      <c r="AL54" s="3121"/>
      <c r="AM54" s="254"/>
      <c r="AN54" s="1427"/>
      <c r="AO54" s="1427" t="s">
        <v>510</v>
      </c>
      <c r="AP54" s="353"/>
      <c r="AQ54" s="353"/>
      <c r="AR54" s="353"/>
      <c r="AS54" s="1320"/>
      <c r="AT54" s="1320"/>
      <c r="AU54" s="1423"/>
      <c r="AV54" s="1320"/>
      <c r="AW54" s="1423"/>
      <c r="AX54" s="1320"/>
      <c r="AY54" s="1320"/>
      <c r="AZ54" s="1320"/>
      <c r="BA54" s="1320"/>
      <c r="BB54" s="1324"/>
      <c r="BC54" s="3279"/>
      <c r="BE54" s="437"/>
      <c r="BF54" s="437"/>
      <c r="BG54" s="437"/>
      <c r="BH54" s="437"/>
      <c r="BI54" s="1082">
        <v>11</v>
      </c>
    </row>
    <row r="55" spans="1:61" ht="11.45" customHeight="1">
      <c r="A55" s="1290" t="s">
        <v>254</v>
      </c>
      <c r="B55" s="1290"/>
      <c r="C55" s="1290"/>
      <c r="D55" s="1290"/>
      <c r="E55" s="3255"/>
      <c r="F55" s="3255"/>
      <c r="G55" s="3255"/>
      <c r="H55" s="3255"/>
      <c r="I55" s="3257"/>
      <c r="J55" s="3257"/>
      <c r="K55" s="3256"/>
      <c r="L55" s="1291"/>
      <c r="P55" s="3258"/>
      <c r="Q55" s="3258"/>
      <c r="R55" s="294"/>
      <c r="S55" s="3341"/>
      <c r="T55" s="3361"/>
      <c r="U55" s="238"/>
      <c r="V55" s="1320"/>
      <c r="W55" s="1423"/>
      <c r="X55" s="1320"/>
      <c r="Y55" s="1423"/>
      <c r="Z55" s="1320"/>
      <c r="AA55" s="1320"/>
      <c r="AB55" s="1320"/>
      <c r="AC55" s="1320"/>
      <c r="AD55" s="3177"/>
      <c r="AE55" s="3336"/>
      <c r="AF55" s="3208"/>
      <c r="AG55" s="3359"/>
      <c r="AH55" s="3121"/>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3279"/>
      <c r="BE55" s="437"/>
      <c r="BF55" s="437"/>
      <c r="BG55" s="437"/>
      <c r="BH55" s="437"/>
      <c r="BI55" s="1082">
        <v>11</v>
      </c>
    </row>
    <row r="56" spans="1:61" ht="11.45" customHeight="1">
      <c r="A56" s="1290" t="s">
        <v>254</v>
      </c>
      <c r="B56" s="1290" t="s">
        <v>255</v>
      </c>
      <c r="C56" s="1290" t="s">
        <v>256</v>
      </c>
      <c r="D56" s="1290" t="s">
        <v>522</v>
      </c>
      <c r="E56" s="3255"/>
      <c r="F56" s="3255"/>
      <c r="G56" s="3255"/>
      <c r="H56" s="3255"/>
      <c r="I56" s="3257"/>
      <c r="J56" s="3257"/>
      <c r="K56" s="3256"/>
      <c r="L56" s="1291"/>
      <c r="P56" s="3258"/>
      <c r="Q56" s="3258"/>
      <c r="R56" s="294"/>
      <c r="S56" s="3342"/>
      <c r="T56" s="3362"/>
      <c r="U56" s="238"/>
      <c r="V56" s="1320"/>
      <c r="W56" s="1321" t="str">
        <f>Z52&amp;"-"&amp;AB52</f>
        <v>-</v>
      </c>
      <c r="X56" s="1320"/>
      <c r="Y56" s="1321" t="str">
        <f>AB52&amp;"-"&amp;AD52</f>
        <v>-да</v>
      </c>
      <c r="Z56" s="1320"/>
      <c r="AA56" s="1320"/>
      <c r="AB56" s="1320"/>
      <c r="AC56" s="1320"/>
      <c r="AD56" s="3126"/>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279"/>
      <c r="BE56" s="437"/>
      <c r="BF56" s="437" t="str">
        <f t="shared" ref="BF56:BF63" si="4">IF(T56="","",T56)</f>
        <v/>
      </c>
      <c r="BG56" s="437"/>
      <c r="BH56" s="437"/>
      <c r="BI56" s="1082">
        <v>11</v>
      </c>
    </row>
    <row r="57" spans="1:61" ht="11.45" customHeight="1">
      <c r="A57" s="1290" t="s">
        <v>254</v>
      </c>
      <c r="B57" s="1290" t="s">
        <v>255</v>
      </c>
      <c r="C57" s="1290" t="s">
        <v>256</v>
      </c>
      <c r="D57" s="1290" t="s">
        <v>522</v>
      </c>
      <c r="E57" s="3255"/>
      <c r="F57" s="3255"/>
      <c r="G57" s="3255"/>
      <c r="H57" s="3255"/>
      <c r="I57" s="3257"/>
      <c r="J57" s="3256"/>
      <c r="K57" s="1290"/>
      <c r="L57" s="1291"/>
      <c r="P57" s="3258"/>
      <c r="Q57" s="3258"/>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3280"/>
      <c r="BE57" s="437"/>
      <c r="BF57" s="437" t="str">
        <f t="shared" si="4"/>
        <v>Добавить строку</v>
      </c>
      <c r="BG57" s="437"/>
      <c r="BH57" s="437"/>
      <c r="BI57" s="1082">
        <v>11</v>
      </c>
    </row>
    <row r="58" spans="1:61" s="1569" customFormat="1" ht="0" hidden="1" customHeight="1">
      <c r="A58" s="1270" t="s">
        <v>254</v>
      </c>
      <c r="B58" s="1270" t="s">
        <v>255</v>
      </c>
      <c r="C58" s="1270" t="s">
        <v>256</v>
      </c>
      <c r="D58" s="1270" t="s">
        <v>522</v>
      </c>
      <c r="E58" s="3255"/>
      <c r="F58" s="3255"/>
      <c r="G58" s="3255"/>
      <c r="H58" s="3255"/>
      <c r="I58" s="3256"/>
      <c r="J58" s="1270"/>
      <c r="K58" s="1270"/>
      <c r="L58" s="1273"/>
      <c r="M58" s="447"/>
      <c r="N58" s="447"/>
      <c r="O58" s="447"/>
      <c r="P58" s="3258"/>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254</v>
      </c>
      <c r="B59" s="1270" t="s">
        <v>255</v>
      </c>
      <c r="C59" s="1270" t="s">
        <v>256</v>
      </c>
      <c r="D59" s="1270" t="s">
        <v>522</v>
      </c>
      <c r="E59" s="3255"/>
      <c r="F59" s="3255"/>
      <c r="G59" s="3255"/>
      <c r="H59" s="325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254</v>
      </c>
      <c r="B60" s="1270" t="s">
        <v>255</v>
      </c>
      <c r="C60" s="1270" t="s">
        <v>256</v>
      </c>
      <c r="D60" s="1241"/>
      <c r="E60" s="3255"/>
      <c r="F60" s="3255"/>
      <c r="G60" s="3254"/>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254</v>
      </c>
      <c r="B61" s="1270" t="s">
        <v>255</v>
      </c>
      <c r="C61" s="1241"/>
      <c r="D61" s="1241"/>
      <c r="E61" s="3255"/>
      <c r="F61" s="3254"/>
      <c r="G61" s="1241"/>
      <c r="H61" s="1241"/>
      <c r="I61" s="1241"/>
      <c r="J61" s="1241"/>
      <c r="K61" s="1241"/>
      <c r="L61" s="1391"/>
      <c r="M61" s="1248"/>
      <c r="N61" s="1248"/>
      <c r="P61" s="1243"/>
      <c r="Q61" s="1244"/>
      <c r="R61" s="1243"/>
      <c r="S61" s="1249"/>
      <c r="T61" s="1252" t="s">
        <v>167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254</v>
      </c>
      <c r="B62" s="1270"/>
      <c r="C62" s="1270"/>
      <c r="D62" s="1270"/>
      <c r="E62" s="3254"/>
      <c r="F62" s="1270"/>
      <c r="G62" s="1270"/>
      <c r="H62" s="1270"/>
      <c r="I62" s="1270"/>
      <c r="J62" s="1270"/>
      <c r="K62" s="1270"/>
      <c r="L62" s="1273"/>
      <c r="M62" s="1248"/>
      <c r="N62" s="1248"/>
      <c r="O62" s="455"/>
      <c r="P62" s="317"/>
      <c r="Q62" s="1271"/>
      <c r="R62" s="317"/>
      <c r="S62" s="1249"/>
      <c r="T62" s="1252" t="s">
        <v>168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3252"/>
      <c r="U65" s="3252"/>
      <c r="V65" s="3252"/>
      <c r="W65" s="3252"/>
      <c r="X65" s="3252"/>
      <c r="Y65" s="3252"/>
      <c r="Z65" s="3252"/>
      <c r="AA65" s="3252"/>
      <c r="AB65" s="3252"/>
      <c r="AC65" s="3252"/>
      <c r="AD65" s="3252"/>
      <c r="AE65" s="3252"/>
      <c r="AF65" s="3252"/>
      <c r="AG65" s="3252"/>
      <c r="AH65" s="3252"/>
      <c r="AI65" s="3252"/>
      <c r="AJ65" s="3252"/>
      <c r="AK65" s="3252"/>
      <c r="AL65" s="3252"/>
      <c r="AM65" s="3252"/>
      <c r="AN65" s="3252"/>
      <c r="AO65" s="3252"/>
      <c r="AP65" s="3252"/>
      <c r="AQ65" s="3252"/>
      <c r="AR65" s="3252"/>
      <c r="AS65" s="3252"/>
      <c r="AT65" s="3252"/>
      <c r="AU65" s="3252"/>
      <c r="AV65" s="3252"/>
      <c r="AW65" s="3252"/>
      <c r="AX65" s="3252"/>
      <c r="AY65" s="3252"/>
      <c r="AZ65" s="3252"/>
      <c r="BA65" s="3252"/>
      <c r="BB65" s="3252"/>
      <c r="BC65" s="325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3252"/>
      <c r="U67" s="3252"/>
      <c r="V67" s="3252"/>
      <c r="W67" s="3252"/>
      <c r="X67" s="3252"/>
      <c r="Y67" s="3252"/>
      <c r="Z67" s="3252"/>
      <c r="AA67" s="3252"/>
      <c r="AB67" s="3252"/>
      <c r="AC67" s="3252"/>
      <c r="AD67" s="3252"/>
      <c r="AE67" s="3252"/>
      <c r="AF67" s="3252"/>
      <c r="AG67" s="3252"/>
      <c r="AH67" s="3252"/>
      <c r="AI67" s="3252"/>
      <c r="AJ67" s="3252"/>
      <c r="AK67" s="3252"/>
      <c r="AL67" s="3252"/>
      <c r="AM67" s="3252"/>
      <c r="AN67" s="3252"/>
      <c r="AO67" s="3252"/>
      <c r="AP67" s="3252"/>
      <c r="AQ67" s="3252"/>
      <c r="AR67" s="3252"/>
      <c r="AS67" s="3252"/>
      <c r="AT67" s="3252"/>
      <c r="AU67" s="3252"/>
      <c r="AV67" s="3252"/>
      <c r="AW67" s="3252"/>
      <c r="AX67" s="3252"/>
      <c r="AY67" s="3252"/>
      <c r="AZ67" s="3252"/>
      <c r="BA67" s="3252"/>
      <c r="BB67" s="3252"/>
      <c r="BC67" s="3252"/>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5D3AE-DA0B-53DE-E80E-D4943DBBCBF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3254">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3246"/>
      <c r="W2" s="3247"/>
      <c r="X2" s="3247"/>
      <c r="Y2" s="3247"/>
      <c r="Z2" s="3247"/>
      <c r="AA2" s="3247"/>
      <c r="AB2" s="3248"/>
      <c r="AC2" s="3246" t="e">
        <f>INDEX(PT_DIFFERENTIATION_NTAR,MATCH(A2,PT_DIFFERENTIATION_NTAR_ID,0))</f>
        <v>#N/A</v>
      </c>
      <c r="AD2" s="3247"/>
      <c r="AE2" s="3247"/>
      <c r="AF2" s="3247"/>
      <c r="AG2" s="3247"/>
      <c r="AH2" s="3247"/>
      <c r="AI2" s="3247"/>
      <c r="AJ2" s="324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255"/>
      <c r="F3" s="3254">
        <v>1</v>
      </c>
      <c r="G3" s="1290"/>
      <c r="H3" s="1290"/>
      <c r="I3" s="1290"/>
      <c r="J3" s="1290"/>
      <c r="K3" s="1290"/>
      <c r="L3" s="1291"/>
      <c r="M3" s="1292"/>
      <c r="N3" s="1292"/>
      <c r="O3" s="1292"/>
      <c r="P3" s="1414"/>
      <c r="Q3" s="289"/>
      <c r="R3" s="290"/>
      <c r="S3" s="1420" t="e">
        <f>INDEX(PT_DIFFERENTIATION_NUM_TER,MATCH(B3,PT_DIFFERENTIATION_TER_ID,0))</f>
        <v>#N/A</v>
      </c>
      <c r="T3" s="246" t="s">
        <v>405</v>
      </c>
      <c r="U3" s="238"/>
      <c r="V3" s="3246"/>
      <c r="W3" s="3247"/>
      <c r="X3" s="3247"/>
      <c r="Y3" s="3247"/>
      <c r="Z3" s="3247"/>
      <c r="AA3" s="3247"/>
      <c r="AB3" s="3248"/>
      <c r="AC3" s="3246" t="e">
        <f>INDEX(PT_DIFFERENTIATION_TER,MATCH(B3,PT_DIFFERENTIATION_TER_ID,0))</f>
        <v>#N/A</v>
      </c>
      <c r="AD3" s="3247"/>
      <c r="AE3" s="3247"/>
      <c r="AF3" s="3247"/>
      <c r="AG3" s="3247"/>
      <c r="AH3" s="3247"/>
      <c r="AI3" s="3247"/>
      <c r="AJ3" s="3248"/>
      <c r="AK3" s="1185" t="s">
        <v>406</v>
      </c>
      <c r="AM3" s="437"/>
      <c r="AN3" s="437" t="str">
        <f t="shared" si="0"/>
        <v>Территория действия тарифа</v>
      </c>
      <c r="AO3" s="437"/>
      <c r="AP3" s="437"/>
      <c r="AQ3" s="1082">
        <v>0</v>
      </c>
    </row>
    <row r="4" spans="1:43" ht="23.25" hidden="1" customHeight="1">
      <c r="A4" s="1290"/>
      <c r="B4" s="1290"/>
      <c r="C4" s="1290"/>
      <c r="D4" s="1290"/>
      <c r="E4" s="3255"/>
      <c r="F4" s="3255"/>
      <c r="G4" s="3254">
        <v>1</v>
      </c>
      <c r="H4" s="1290"/>
      <c r="I4" s="1290"/>
      <c r="J4" s="1290"/>
      <c r="K4" s="1290"/>
      <c r="L4" s="1291"/>
      <c r="M4" s="1292"/>
      <c r="N4" s="1292"/>
      <c r="O4" s="1292"/>
      <c r="P4" s="291"/>
      <c r="Q4" s="289"/>
      <c r="R4" s="290"/>
      <c r="S4" s="1420" t="e">
        <f>INDEX(PT_DIFFERENTIATION_NUM_CS,MATCH(C4,PT_DIFFERENTIATION_CS_ID,0))</f>
        <v>#N/A</v>
      </c>
      <c r="T4" s="247" t="s">
        <v>523</v>
      </c>
      <c r="U4" s="238"/>
      <c r="V4" s="3246"/>
      <c r="W4" s="3247"/>
      <c r="X4" s="3247"/>
      <c r="Y4" s="3247"/>
      <c r="Z4" s="3247"/>
      <c r="AA4" s="3247"/>
      <c r="AB4" s="3248"/>
      <c r="AC4" s="3246" t="e">
        <f>INDEX(PT_DIFFERENTIATION_CS,MATCH(C4,PT_DIFFERENTIATION_CS_ID,0))</f>
        <v>#N/A</v>
      </c>
      <c r="AD4" s="3247"/>
      <c r="AE4" s="3247"/>
      <c r="AF4" s="3247"/>
      <c r="AG4" s="3247"/>
      <c r="AH4" s="3247"/>
      <c r="AI4" s="3247"/>
      <c r="AJ4" s="3248"/>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3255"/>
      <c r="F5" s="3255"/>
      <c r="G5" s="3255"/>
      <c r="H5" s="3255"/>
      <c r="I5" s="3256" t="e">
        <f>S4&amp;".1"</f>
        <v>#N/A</v>
      </c>
      <c r="J5" s="1290"/>
      <c r="K5" s="1290"/>
      <c r="L5" s="1291"/>
      <c r="P5" s="3258">
        <v>1</v>
      </c>
      <c r="Q5" s="1408"/>
      <c r="R5" s="293"/>
      <c r="S5" s="1420" t="e">
        <f>$I5</f>
        <v>#N/A</v>
      </c>
      <c r="T5" s="223" t="s">
        <v>490</v>
      </c>
      <c r="U5" s="238"/>
      <c r="V5" s="3351"/>
      <c r="W5" s="3352"/>
      <c r="X5" s="3352"/>
      <c r="Y5" s="3352"/>
      <c r="Z5" s="3352"/>
      <c r="AA5" s="3352"/>
      <c r="AB5" s="3353"/>
      <c r="AC5" s="3354"/>
      <c r="AD5" s="3355"/>
      <c r="AE5" s="3355"/>
      <c r="AF5" s="3355"/>
      <c r="AG5" s="3355"/>
      <c r="AH5" s="3355"/>
      <c r="AI5" s="3355"/>
      <c r="AJ5" s="3356"/>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3255"/>
      <c r="F6" s="3255"/>
      <c r="G6" s="3255"/>
      <c r="H6" s="3255"/>
      <c r="I6" s="3257"/>
      <c r="J6" s="3256" t="e">
        <f>I5&amp;".1"</f>
        <v>#N/A</v>
      </c>
      <c r="K6" s="1290"/>
      <c r="L6" s="1291" t="s">
        <v>414</v>
      </c>
      <c r="P6" s="3258"/>
      <c r="Q6" s="3258">
        <v>1</v>
      </c>
      <c r="R6" s="294"/>
      <c r="S6" s="1420" t="e">
        <f>$J6</f>
        <v>#N/A</v>
      </c>
      <c r="T6" s="224" t="s">
        <v>415</v>
      </c>
      <c r="U6" s="238"/>
      <c r="V6" s="3239"/>
      <c r="W6" s="3240"/>
      <c r="X6" s="3240"/>
      <c r="Y6" s="3240"/>
      <c r="Z6" s="3240"/>
      <c r="AA6" s="3240"/>
      <c r="AB6" s="3241"/>
      <c r="AC6" s="3239"/>
      <c r="AD6" s="3240"/>
      <c r="AE6" s="3240"/>
      <c r="AF6" s="3240"/>
      <c r="AG6" s="3240"/>
      <c r="AH6" s="3240"/>
      <c r="AI6" s="3240"/>
      <c r="AJ6" s="3241"/>
      <c r="AK6" s="1234" t="s">
        <v>492</v>
      </c>
      <c r="AM6" s="437"/>
      <c r="AN6" s="437" t="str">
        <f t="shared" si="0"/>
        <v>Группа потребителей</v>
      </c>
      <c r="AO6" s="437"/>
      <c r="AP6" s="437"/>
      <c r="AQ6" s="1082">
        <v>0</v>
      </c>
    </row>
    <row r="7" spans="1:43" ht="23.25" hidden="1" customHeight="1">
      <c r="A7" s="1290"/>
      <c r="B7" s="1290"/>
      <c r="C7" s="1290"/>
      <c r="D7" s="1290"/>
      <c r="E7" s="3255"/>
      <c r="F7" s="3255"/>
      <c r="G7" s="3255"/>
      <c r="H7" s="3255"/>
      <c r="I7" s="3257"/>
      <c r="J7" s="3257"/>
      <c r="K7" s="3256" t="e">
        <f>J6&amp;".1"</f>
        <v>#N/A</v>
      </c>
      <c r="L7" s="1291"/>
      <c r="P7" s="3258"/>
      <c r="Q7" s="3258"/>
      <c r="R7" s="294">
        <v>1</v>
      </c>
      <c r="S7" s="1420" t="e">
        <f>$K7</f>
        <v>#N/A</v>
      </c>
      <c r="T7" s="1364"/>
      <c r="U7" s="238"/>
      <c r="V7" s="688"/>
      <c r="W7" s="688"/>
      <c r="X7" s="1184"/>
      <c r="Y7" s="3259"/>
      <c r="Z7" s="3121" t="s">
        <v>67</v>
      </c>
      <c r="AA7" s="3259"/>
      <c r="AB7" s="3121" t="s">
        <v>67</v>
      </c>
      <c r="AC7" s="688"/>
      <c r="AD7" s="688"/>
      <c r="AE7" s="1184"/>
      <c r="AF7" s="3259"/>
      <c r="AG7" s="3121" t="s">
        <v>67</v>
      </c>
      <c r="AH7" s="3261"/>
      <c r="AI7" s="3121" t="s">
        <v>67</v>
      </c>
      <c r="AJ7" s="1365"/>
      <c r="AK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255"/>
      <c r="F8" s="3255"/>
      <c r="G8" s="3255"/>
      <c r="H8" s="3255"/>
      <c r="I8" s="3257"/>
      <c r="J8" s="3257"/>
      <c r="K8" s="3256"/>
      <c r="L8" s="1291"/>
      <c r="P8" s="3258"/>
      <c r="Q8" s="3258"/>
      <c r="R8" s="294"/>
      <c r="S8" s="1417"/>
      <c r="T8" s="238"/>
      <c r="U8" s="238"/>
      <c r="V8" s="263"/>
      <c r="W8" s="263"/>
      <c r="X8" s="266" t="str">
        <f>Y7&amp;"-"&amp;AA7</f>
        <v>-</v>
      </c>
      <c r="Y8" s="3260"/>
      <c r="Z8" s="3121"/>
      <c r="AA8" s="3260"/>
      <c r="AB8" s="3121"/>
      <c r="AC8" s="263"/>
      <c r="AD8" s="263"/>
      <c r="AE8" s="266" t="str">
        <f>AF7&amp;"-"&amp;AH7</f>
        <v>-</v>
      </c>
      <c r="AF8" s="3260"/>
      <c r="AG8" s="3121"/>
      <c r="AH8" s="3262"/>
      <c r="AI8" s="3121"/>
      <c r="AJ8" s="1366"/>
      <c r="AK8" s="3357"/>
      <c r="AM8" s="437"/>
      <c r="AN8" s="437" t="str">
        <f t="shared" si="0"/>
        <v/>
      </c>
      <c r="AO8" s="437"/>
      <c r="AP8" s="437"/>
      <c r="AQ8" s="1082">
        <v>0</v>
      </c>
    </row>
    <row r="9" spans="1:43" ht="21" hidden="1" customHeight="1">
      <c r="A9" s="1290"/>
      <c r="B9" s="1290"/>
      <c r="C9" s="1290"/>
      <c r="D9" s="1290"/>
      <c r="E9" s="3255"/>
      <c r="F9" s="3255"/>
      <c r="G9" s="3255"/>
      <c r="H9" s="3255"/>
      <c r="I9" s="3257"/>
      <c r="J9" s="3256"/>
      <c r="K9" s="1290"/>
      <c r="L9" s="1291"/>
      <c r="P9" s="3258"/>
      <c r="Q9" s="3258"/>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255"/>
      <c r="F10" s="3255"/>
      <c r="G10" s="3255"/>
      <c r="H10" s="3255"/>
      <c r="I10" s="3256"/>
      <c r="J10" s="1290"/>
      <c r="K10" s="1290"/>
      <c r="L10" s="1291"/>
      <c r="P10" s="3258"/>
      <c r="Q10" s="1408"/>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255"/>
      <c r="F12" s="3254"/>
      <c r="G12" s="1241"/>
      <c r="H12" s="1241"/>
      <c r="I12" s="1241"/>
      <c r="J12" s="1241"/>
      <c r="K12" s="1241"/>
      <c r="L12" s="1421"/>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3251"/>
      <c r="AG15" s="3250" t="s">
        <v>67</v>
      </c>
      <c r="AH15" s="3251"/>
      <c r="AI15" s="3250" t="s">
        <v>67</v>
      </c>
      <c r="AQ15" s="1082">
        <v>0</v>
      </c>
    </row>
    <row r="16" spans="1:43" ht="14.25" hidden="1" customHeight="1">
      <c r="AC16" s="1287"/>
      <c r="AD16" s="1287"/>
      <c r="AE16" s="266" t="str">
        <f>AF15&amp;"-"&amp;AH15</f>
        <v>-</v>
      </c>
      <c r="AF16" s="3250"/>
      <c r="AG16" s="3250"/>
      <c r="AH16" s="3250"/>
      <c r="AI16" s="3250"/>
      <c r="AQ16" s="1082">
        <v>0</v>
      </c>
    </row>
    <row r="17" spans="1:43" ht="14.25" hidden="1" customHeight="1">
      <c r="AI17" s="265"/>
      <c r="AQ17" s="1082">
        <v>0</v>
      </c>
    </row>
    <row r="18" spans="1:43" s="1293" customFormat="1" ht="22.5" hidden="1" customHeight="1">
      <c r="L18" s="1405"/>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232"/>
      <c r="U24" s="3232"/>
      <c r="V24" s="3232"/>
      <c r="W24" s="3232"/>
      <c r="X24" s="3232"/>
      <c r="Y24" s="3232"/>
      <c r="Z24" s="3232"/>
      <c r="AA24" s="3232"/>
      <c r="AB24" s="3232"/>
      <c r="AC24" s="3232"/>
      <c r="AD24" s="3232"/>
      <c r="AE24" s="3232"/>
      <c r="AF24" s="3232"/>
      <c r="AG24" s="3232"/>
      <c r="AH24" s="3232"/>
      <c r="AI24" s="1170"/>
      <c r="AQ24" s="1082">
        <v>14</v>
      </c>
    </row>
    <row r="25" spans="1:43"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264"/>
      <c r="AC27" s="3245" t="str">
        <f>IF(TITLE_NAME_OR_PR_CHANGE="",IF(TITLE_NAME_OR_PR="","",TITLE_NAME_OR_PR),TITLE_NAME_OR_PR_CHANGE)</f>
        <v/>
      </c>
      <c r="AD27" s="3245"/>
      <c r="AE27" s="3245"/>
      <c r="AF27" s="3245"/>
      <c r="AG27" s="3245"/>
      <c r="AH27" s="324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264"/>
      <c r="AC28" s="3244">
        <f>IF(TITLE_DATE_PR_CHANGE="",IF(TITLE_DATE_PR="","",TITLE_DATE_PR),TITLE_DATE_PR_CHANGE)</f>
        <v>45595.546053240738</v>
      </c>
      <c r="AD28" s="3244"/>
      <c r="AE28" s="3244"/>
      <c r="AF28" s="3244"/>
      <c r="AG28" s="3244"/>
      <c r="AH28" s="324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264"/>
      <c r="AC29" s="3245" t="str">
        <f>IF(TITLE_NUMBER_PR_CHANGE="",IF(TITLE_NUMBER_PR="","",TITLE_NUMBER_PR),TITLE_NUMBER_PR_CHANGE)</f>
        <v>03/3636</v>
      </c>
      <c r="AD29" s="3245"/>
      <c r="AE29" s="3245"/>
      <c r="AF29" s="3245"/>
      <c r="AG29" s="3245"/>
      <c r="AH29" s="324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264"/>
      <c r="AC30" s="3245" t="str">
        <f>IF(TITLE_IST_PUB_CHANGE="",IF(TITLE_IST_PUB="","",TITLE_IST_PUB),TITLE_IST_PUB_CHANGE)</f>
        <v/>
      </c>
      <c r="AD30" s="3245"/>
      <c r="AE30" s="3245"/>
      <c r="AF30" s="3245"/>
      <c r="AG30" s="3245"/>
      <c r="AH30" s="324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264"/>
      <c r="AC32" s="3244">
        <f>IF(TITLE_DATE_PR_CHANGE="",IF(TITLE_DATE_PR="","",TITLE_DATE_PR),TITLE_DATE_PR_CHANGE)</f>
        <v>45595.546053240738</v>
      </c>
      <c r="AD32" s="3244"/>
      <c r="AE32" s="3244"/>
      <c r="AF32" s="3244"/>
      <c r="AG32" s="3244"/>
      <c r="AH32" s="324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264"/>
      <c r="AC33" s="3245" t="str">
        <f>IF(TITLE_NUMBER_PR_CHANGE="",IF(TITLE_NUMBER_PR="","",TITLE_NUMBER_PR),TITLE_NUMBER_PR_CHANGE)</f>
        <v>03/3636</v>
      </c>
      <c r="AD33" s="3245"/>
      <c r="AE33" s="3245"/>
      <c r="AF33" s="3245"/>
      <c r="AG33" s="3245"/>
      <c r="AH33" s="324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432</v>
      </c>
      <c r="AC34" s="264"/>
      <c r="AD34" s="264"/>
      <c r="AE34" s="264"/>
      <c r="AF34" s="264"/>
      <c r="AG34" s="264"/>
      <c r="AH34" s="264"/>
      <c r="AI34" s="216" t="s">
        <v>432</v>
      </c>
      <c r="AL34" s="305"/>
      <c r="AM34" s="305"/>
      <c r="AN34" s="305"/>
      <c r="AO34" s="305"/>
      <c r="AP34" s="305"/>
      <c r="AQ34" s="355">
        <v>1</v>
      </c>
    </row>
    <row r="35" spans="1:43" ht="14.65" customHeight="1">
      <c r="Q35" s="313"/>
      <c r="R35" s="313"/>
      <c r="S35" s="1202"/>
      <c r="T35" s="300"/>
      <c r="U35" s="1171"/>
      <c r="V35" s="3266"/>
      <c r="W35" s="3266"/>
      <c r="X35" s="3266"/>
      <c r="Y35" s="3266"/>
      <c r="Z35" s="3266"/>
      <c r="AA35" s="3266"/>
      <c r="AB35" s="3266"/>
      <c r="AC35" s="3266"/>
      <c r="AD35" s="3266"/>
      <c r="AE35" s="3266"/>
      <c r="AF35" s="3266"/>
      <c r="AG35" s="3266"/>
      <c r="AH35" s="3266"/>
      <c r="AI35" s="3266"/>
      <c r="AQ35" s="1082">
        <v>14</v>
      </c>
    </row>
    <row r="36" spans="1:43"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t="s">
        <v>309</v>
      </c>
      <c r="AQ36" s="1082">
        <v>14</v>
      </c>
    </row>
    <row r="37" spans="1:43" ht="14.65" customHeight="1">
      <c r="Q37" s="313"/>
      <c r="R37" s="313"/>
      <c r="S37" s="3268" t="s">
        <v>85</v>
      </c>
      <c r="T37" s="3212" t="s">
        <v>433</v>
      </c>
      <c r="U37" s="239"/>
      <c r="V37" s="3269" t="s">
        <v>434</v>
      </c>
      <c r="W37" s="3270"/>
      <c r="X37" s="3270"/>
      <c r="Y37" s="3270"/>
      <c r="Z37" s="3270"/>
      <c r="AA37" s="3271"/>
      <c r="AB37" s="3272" t="s">
        <v>435</v>
      </c>
      <c r="AC37" s="3269" t="s">
        <v>434</v>
      </c>
      <c r="AD37" s="3270"/>
      <c r="AE37" s="3270"/>
      <c r="AF37" s="3270"/>
      <c r="AG37" s="3270"/>
      <c r="AH37" s="3271"/>
      <c r="AI37" s="3272" t="s">
        <v>436</v>
      </c>
      <c r="AJ37" s="3275" t="s">
        <v>437</v>
      </c>
      <c r="AK37" s="3111"/>
      <c r="AQ37" s="1082">
        <v>14</v>
      </c>
    </row>
    <row r="38" spans="1:43" ht="35.65" customHeight="1">
      <c r="Q38" s="313"/>
      <c r="R38" s="313"/>
      <c r="S38" s="3268"/>
      <c r="T38" s="3212"/>
      <c r="U38" s="961"/>
      <c r="V38" s="1410" t="s">
        <v>496</v>
      </c>
      <c r="W38" s="3093" t="s">
        <v>440</v>
      </c>
      <c r="X38" s="3092"/>
      <c r="Y38" s="3093" t="s">
        <v>441</v>
      </c>
      <c r="Z38" s="3098"/>
      <c r="AA38" s="3092"/>
      <c r="AB38" s="3273"/>
      <c r="AC38" s="1410" t="s">
        <v>496</v>
      </c>
      <c r="AD38" s="3093" t="s">
        <v>440</v>
      </c>
      <c r="AE38" s="3092"/>
      <c r="AF38" s="3093" t="s">
        <v>441</v>
      </c>
      <c r="AG38" s="3098"/>
      <c r="AH38" s="3092"/>
      <c r="AI38" s="3273"/>
      <c r="AJ38" s="3276"/>
      <c r="AK38" s="3111"/>
      <c r="AQ38" s="1082">
        <v>34</v>
      </c>
    </row>
    <row r="39" spans="1:43" ht="90.4" customHeight="1">
      <c r="A39" s="1297"/>
      <c r="B39" s="1297" t="s">
        <v>133</v>
      </c>
      <c r="C39" s="1297" t="s">
        <v>134</v>
      </c>
      <c r="D39" s="1297" t="s">
        <v>135</v>
      </c>
      <c r="E39" s="1291" t="s">
        <v>442</v>
      </c>
      <c r="F39" s="1291" t="s">
        <v>443</v>
      </c>
      <c r="G39" s="1291" t="s">
        <v>444</v>
      </c>
      <c r="H39" s="1291"/>
      <c r="I39" s="1291" t="s">
        <v>497</v>
      </c>
      <c r="J39" s="1291" t="s">
        <v>447</v>
      </c>
      <c r="K39" s="1291" t="s">
        <v>498</v>
      </c>
      <c r="L39" s="1291" t="s">
        <v>423</v>
      </c>
      <c r="Q39" s="313"/>
      <c r="R39" s="313"/>
      <c r="S39" s="3268"/>
      <c r="T39" s="3212"/>
      <c r="U39" s="240"/>
      <c r="V39" s="1410" t="s">
        <v>525</v>
      </c>
      <c r="W39" s="1149" t="s">
        <v>526</v>
      </c>
      <c r="X39" s="1149" t="s">
        <v>501</v>
      </c>
      <c r="Y39" s="1416" t="s">
        <v>451</v>
      </c>
      <c r="Z39" s="3217" t="s">
        <v>452</v>
      </c>
      <c r="AA39" s="3231"/>
      <c r="AB39" s="3274"/>
      <c r="AC39" s="1410" t="s">
        <v>525</v>
      </c>
      <c r="AD39" s="1149" t="s">
        <v>526</v>
      </c>
      <c r="AE39" s="1149" t="s">
        <v>501</v>
      </c>
      <c r="AF39" s="1416" t="s">
        <v>451</v>
      </c>
      <c r="AG39" s="3217" t="s">
        <v>452</v>
      </c>
      <c r="AH39" s="3231"/>
      <c r="AI39" s="3274"/>
      <c r="AJ39" s="3277"/>
      <c r="AK39" s="311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3265">
        <f ca="1">OFFSET(Z40,0,-1)+1</f>
        <v>7</v>
      </c>
      <c r="AA40" s="3265"/>
      <c r="AB40" s="1409">
        <f ca="1">OFFSET(AB40,0,-2)+1</f>
        <v>8</v>
      </c>
      <c r="AC40" s="1409">
        <f ca="1">OFFSET(AC40,0,-1)+1</f>
        <v>9</v>
      </c>
      <c r="AD40" s="1409">
        <f ca="1">OFFSET(AD40,0,-1)+1</f>
        <v>10</v>
      </c>
      <c r="AE40" s="1409">
        <f ca="1">OFFSET(AE40,0,-1)+1</f>
        <v>11</v>
      </c>
      <c r="AF40" s="1409">
        <f ca="1">OFFSET(AF40,0,-1)+1</f>
        <v>12</v>
      </c>
      <c r="AG40" s="3265">
        <f ca="1">OFFSET(AG40,0,-1)+1</f>
        <v>13</v>
      </c>
      <c r="AH40" s="3265"/>
      <c r="AI40" s="1409">
        <f ca="1">OFFSET(AI40,0,-2)+1</f>
        <v>14</v>
      </c>
      <c r="AJ40" s="1172">
        <f ca="1">OFFSET(AJ40,0,-1)</f>
        <v>14</v>
      </c>
      <c r="AK40" s="1409">
        <f ca="1">OFFSET(AK40,0,-1)+1</f>
        <v>15</v>
      </c>
      <c r="AL40" s="448"/>
      <c r="AM40" s="448"/>
      <c r="AN40" s="448"/>
      <c r="AO40" s="448"/>
      <c r="AP40" s="448"/>
      <c r="AQ40" s="433">
        <v>0</v>
      </c>
    </row>
    <row r="41" spans="1:43" ht="24" customHeight="1">
      <c r="A41" s="1290" t="s">
        <v>274</v>
      </c>
      <c r="B41" s="1290"/>
      <c r="C41" s="1290"/>
      <c r="D41" s="1290"/>
      <c r="E41" s="325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121</v>
      </c>
      <c r="U41" s="238"/>
      <c r="V41" s="3246"/>
      <c r="W41" s="3247"/>
      <c r="X41" s="3247"/>
      <c r="Y41" s="3247"/>
      <c r="Z41" s="3247"/>
      <c r="AA41" s="3247"/>
      <c r="AB41" s="3248"/>
      <c r="AC41" s="3246" t="str">
        <f>INDEX(PT_DIFFERENTIATION_NTAR,MATCH(A41,PT_DIFFERENTIATION_NTAR_ID,0))</f>
        <v/>
      </c>
      <c r="AD41" s="3247"/>
      <c r="AE41" s="3247"/>
      <c r="AF41" s="3247"/>
      <c r="AG41" s="3247"/>
      <c r="AH41" s="3247"/>
      <c r="AI41" s="3247"/>
      <c r="AJ41" s="324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3255"/>
      <c r="F42" s="3254">
        <v>1</v>
      </c>
      <c r="G42" s="1290"/>
      <c r="H42" s="1290"/>
      <c r="I42" s="1290"/>
      <c r="J42" s="1290"/>
      <c r="K42" s="1290"/>
      <c r="L42" s="1291"/>
      <c r="M42" s="1292"/>
      <c r="N42" s="1292"/>
      <c r="O42" s="1292"/>
      <c r="P42" s="1414"/>
      <c r="Q42" s="289"/>
      <c r="R42" s="290"/>
      <c r="S42" s="1420" t="str">
        <f>INDEX(PT_DIFFERENTIATION_NUM_TER,MATCH(B42,PT_DIFFERENTIATION_TER_ID,0))</f>
        <v>.</v>
      </c>
      <c r="T42" s="246" t="s">
        <v>405</v>
      </c>
      <c r="U42" s="238"/>
      <c r="V42" s="3246"/>
      <c r="W42" s="3247"/>
      <c r="X42" s="3247"/>
      <c r="Y42" s="3247"/>
      <c r="Z42" s="3247"/>
      <c r="AA42" s="3247"/>
      <c r="AB42" s="3248"/>
      <c r="AC42" s="3246" t="str">
        <f>INDEX(PT_DIFFERENTIATION_TER,MATCH(B42,PT_DIFFERENTIATION_TER_ID,0))</f>
        <v/>
      </c>
      <c r="AD42" s="3247"/>
      <c r="AE42" s="3247"/>
      <c r="AF42" s="3247"/>
      <c r="AG42" s="3247"/>
      <c r="AH42" s="3247"/>
      <c r="AI42" s="3247"/>
      <c r="AJ42" s="3248"/>
      <c r="AK42" s="1185" t="s">
        <v>406</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3255"/>
      <c r="F43" s="3255"/>
      <c r="G43" s="3254">
        <v>1</v>
      </c>
      <c r="H43" s="1290"/>
      <c r="I43" s="1290"/>
      <c r="J43" s="1290"/>
      <c r="K43" s="1290"/>
      <c r="L43" s="1291"/>
      <c r="M43" s="1292"/>
      <c r="N43" s="1292"/>
      <c r="O43" s="1292"/>
      <c r="P43" s="291"/>
      <c r="Q43" s="289"/>
      <c r="R43" s="290"/>
      <c r="S43" s="1420" t="str">
        <f>INDEX(PT_DIFFERENTIATION_NUM_CS,MATCH(C43,PT_DIFFERENTIATION_CS_ID,0))</f>
        <v>..</v>
      </c>
      <c r="T43" s="247" t="s">
        <v>523</v>
      </c>
      <c r="U43" s="238"/>
      <c r="V43" s="3246"/>
      <c r="W43" s="3247"/>
      <c r="X43" s="3247"/>
      <c r="Y43" s="3247"/>
      <c r="Z43" s="3247"/>
      <c r="AA43" s="3247"/>
      <c r="AB43" s="3248"/>
      <c r="AC43" s="3246" t="str">
        <f>INDEX(PT_DIFFERENTIATION_CS,MATCH(C43,PT_DIFFERENTIATION_CS_ID,0))</f>
        <v/>
      </c>
      <c r="AD43" s="3247"/>
      <c r="AE43" s="3247"/>
      <c r="AF43" s="3247"/>
      <c r="AG43" s="3247"/>
      <c r="AH43" s="3247"/>
      <c r="AI43" s="3247"/>
      <c r="AJ43" s="3248"/>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274</v>
      </c>
      <c r="B44" s="1290" t="s">
        <v>275</v>
      </c>
      <c r="C44" s="1290" t="s">
        <v>276</v>
      </c>
      <c r="D44" s="1290" t="s">
        <v>527</v>
      </c>
      <c r="E44" s="3255"/>
      <c r="F44" s="3255"/>
      <c r="G44" s="3255"/>
      <c r="H44" s="3255"/>
      <c r="I44" s="3256" t="str">
        <f>S43&amp;".1"</f>
        <v>...1</v>
      </c>
      <c r="J44" s="1290"/>
      <c r="K44" s="1290"/>
      <c r="L44" s="1291"/>
      <c r="P44" s="3258">
        <v>1</v>
      </c>
      <c r="Q44" s="1408"/>
      <c r="R44" s="293"/>
      <c r="S44" s="1420" t="str">
        <f>$I44</f>
        <v>...1</v>
      </c>
      <c r="T44" s="223" t="s">
        <v>490</v>
      </c>
      <c r="U44" s="238"/>
      <c r="V44" s="3351"/>
      <c r="W44" s="3352"/>
      <c r="X44" s="3352"/>
      <c r="Y44" s="3352"/>
      <c r="Z44" s="3352"/>
      <c r="AA44" s="3352"/>
      <c r="AB44" s="3353"/>
      <c r="AC44" s="3354"/>
      <c r="AD44" s="3355"/>
      <c r="AE44" s="3355"/>
      <c r="AF44" s="3355"/>
      <c r="AG44" s="3355"/>
      <c r="AH44" s="3355"/>
      <c r="AI44" s="3355"/>
      <c r="AJ44" s="3356"/>
      <c r="AK44" s="1185" t="s">
        <v>491</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527</v>
      </c>
      <c r="E45" s="3255"/>
      <c r="F45" s="3255"/>
      <c r="G45" s="3255"/>
      <c r="H45" s="3255"/>
      <c r="I45" s="3257"/>
      <c r="J45" s="3256" t="str">
        <f>I44&amp;".1"</f>
        <v>...1.1</v>
      </c>
      <c r="K45" s="1290"/>
      <c r="L45" s="1291" t="s">
        <v>414</v>
      </c>
      <c r="P45" s="3258"/>
      <c r="Q45" s="3258">
        <v>1</v>
      </c>
      <c r="R45" s="294"/>
      <c r="S45" s="1420" t="str">
        <f>$J45</f>
        <v>...1.1</v>
      </c>
      <c r="T45" s="224" t="s">
        <v>415</v>
      </c>
      <c r="U45" s="238"/>
      <c r="V45" s="3239"/>
      <c r="W45" s="3240"/>
      <c r="X45" s="3240"/>
      <c r="Y45" s="3240"/>
      <c r="Z45" s="3240"/>
      <c r="AA45" s="3240"/>
      <c r="AB45" s="3241"/>
      <c r="AC45" s="3239"/>
      <c r="AD45" s="3240"/>
      <c r="AE45" s="3240"/>
      <c r="AF45" s="3240"/>
      <c r="AG45" s="3240"/>
      <c r="AH45" s="3240"/>
      <c r="AI45" s="3240"/>
      <c r="AJ45" s="3241"/>
      <c r="AK45" s="1234" t="s">
        <v>492</v>
      </c>
      <c r="AM45" s="437"/>
      <c r="AN45" s="437" t="str">
        <f t="shared" si="1"/>
        <v>Группа потребителей</v>
      </c>
      <c r="AO45" s="437"/>
      <c r="AP45" s="437"/>
      <c r="AQ45" s="1082">
        <v>23</v>
      </c>
    </row>
    <row r="46" spans="1:43" ht="24" customHeight="1">
      <c r="A46" s="1290" t="s">
        <v>274</v>
      </c>
      <c r="B46" s="1290" t="s">
        <v>275</v>
      </c>
      <c r="C46" s="1290" t="s">
        <v>276</v>
      </c>
      <c r="D46" s="1290" t="s">
        <v>527</v>
      </c>
      <c r="E46" s="3255"/>
      <c r="F46" s="3255"/>
      <c r="G46" s="3255"/>
      <c r="H46" s="3255"/>
      <c r="I46" s="3257"/>
      <c r="J46" s="3257"/>
      <c r="K46" s="3256" t="str">
        <f>J45&amp;".1"</f>
        <v>...1.1.1</v>
      </c>
      <c r="L46" s="1291"/>
      <c r="P46" s="3258"/>
      <c r="Q46" s="3258"/>
      <c r="R46" s="294">
        <v>1</v>
      </c>
      <c r="S46" s="1420" t="str">
        <f>$K46</f>
        <v>...1.1.1</v>
      </c>
      <c r="T46" s="1364"/>
      <c r="U46" s="238"/>
      <c r="V46" s="1287"/>
      <c r="W46" s="1287"/>
      <c r="X46" s="1288"/>
      <c r="Y46" s="3251"/>
      <c r="Z46" s="3250" t="s">
        <v>67</v>
      </c>
      <c r="AA46" s="3251"/>
      <c r="AB46" s="3250" t="s">
        <v>67</v>
      </c>
      <c r="AC46" s="688"/>
      <c r="AD46" s="688"/>
      <c r="AE46" s="1184"/>
      <c r="AF46" s="3259"/>
      <c r="AG46" s="3121" t="s">
        <v>67</v>
      </c>
      <c r="AH46" s="3261"/>
      <c r="AI46" s="3121" t="s">
        <v>19</v>
      </c>
      <c r="AJ46" s="1365"/>
      <c r="AK46"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527</v>
      </c>
      <c r="E47" s="3255"/>
      <c r="F47" s="3255"/>
      <c r="G47" s="3255"/>
      <c r="H47" s="3255"/>
      <c r="I47" s="3257"/>
      <c r="J47" s="3257"/>
      <c r="K47" s="3256"/>
      <c r="L47" s="1291"/>
      <c r="P47" s="3258"/>
      <c r="Q47" s="3258"/>
      <c r="R47" s="294"/>
      <c r="S47" s="1417"/>
      <c r="T47" s="238"/>
      <c r="U47" s="238"/>
      <c r="V47" s="1287"/>
      <c r="W47" s="1287"/>
      <c r="X47" s="266" t="str">
        <f>Y46&amp;"-"&amp;AA46</f>
        <v>-</v>
      </c>
      <c r="Y47" s="3250"/>
      <c r="Z47" s="3250"/>
      <c r="AA47" s="3250"/>
      <c r="AB47" s="3250"/>
      <c r="AC47" s="263"/>
      <c r="AD47" s="263"/>
      <c r="AE47" s="266" t="str">
        <f>AF46&amp;"-"&amp;AH46</f>
        <v>-</v>
      </c>
      <c r="AF47" s="3260"/>
      <c r="AG47" s="3121"/>
      <c r="AH47" s="3262"/>
      <c r="AI47" s="3121"/>
      <c r="AJ47" s="1366"/>
      <c r="AK47" s="3357"/>
      <c r="AM47" s="437"/>
      <c r="AN47" s="437" t="str">
        <f t="shared" si="1"/>
        <v/>
      </c>
      <c r="AO47" s="437"/>
      <c r="AP47" s="437"/>
      <c r="AQ47" s="1082">
        <v>0</v>
      </c>
    </row>
    <row r="48" spans="1:43" ht="21" customHeight="1">
      <c r="A48" s="1290" t="s">
        <v>274</v>
      </c>
      <c r="B48" s="1290" t="s">
        <v>275</v>
      </c>
      <c r="C48" s="1290" t="s">
        <v>276</v>
      </c>
      <c r="D48" s="1290" t="s">
        <v>527</v>
      </c>
      <c r="E48" s="3255"/>
      <c r="F48" s="3255"/>
      <c r="G48" s="3255"/>
      <c r="H48" s="3255"/>
      <c r="I48" s="3257"/>
      <c r="J48" s="3256"/>
      <c r="K48" s="1290"/>
      <c r="L48" s="1291"/>
      <c r="P48" s="3258"/>
      <c r="Q48" s="3258"/>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274</v>
      </c>
      <c r="B49" s="1290" t="s">
        <v>275</v>
      </c>
      <c r="C49" s="1290" t="s">
        <v>276</v>
      </c>
      <c r="D49" s="1290" t="s">
        <v>527</v>
      </c>
      <c r="E49" s="3255"/>
      <c r="F49" s="3255"/>
      <c r="G49" s="3255"/>
      <c r="H49" s="3255"/>
      <c r="I49" s="3256"/>
      <c r="J49" s="1290"/>
      <c r="K49" s="1290"/>
      <c r="L49" s="1291"/>
      <c r="P49" s="3258"/>
      <c r="Q49" s="1408"/>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274</v>
      </c>
      <c r="B50" s="1290" t="s">
        <v>275</v>
      </c>
      <c r="C50" s="1290" t="s">
        <v>276</v>
      </c>
      <c r="D50" s="1290" t="s">
        <v>527</v>
      </c>
      <c r="E50" s="3255"/>
      <c r="F50" s="3255"/>
      <c r="G50" s="3255"/>
      <c r="H50" s="3254"/>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3255"/>
      <c r="F51" s="3254"/>
      <c r="G51" s="1241"/>
      <c r="H51" s="1241"/>
      <c r="I51" s="1241"/>
      <c r="J51" s="1241"/>
      <c r="K51" s="1241"/>
      <c r="L51" s="1421"/>
      <c r="M51" s="1248"/>
      <c r="N51" s="1248"/>
      <c r="P51" s="1243"/>
      <c r="Q51" s="1244"/>
      <c r="R51" s="1243"/>
      <c r="S51" s="1249"/>
      <c r="T51" s="1252" t="s">
        <v>167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3254"/>
      <c r="F52" s="1270"/>
      <c r="G52" s="1270"/>
      <c r="H52" s="1270"/>
      <c r="I52" s="1270"/>
      <c r="J52" s="1270"/>
      <c r="K52" s="1270"/>
      <c r="L52" s="1273"/>
      <c r="M52" s="1248"/>
      <c r="N52" s="1248"/>
      <c r="O52" s="455"/>
      <c r="P52" s="317"/>
      <c r="Q52" s="1271"/>
      <c r="R52" s="317"/>
      <c r="S52" s="1249"/>
      <c r="T52" s="1252" t="s">
        <v>168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252"/>
      <c r="U55" s="3252"/>
      <c r="V55" s="3252"/>
      <c r="W55" s="3252"/>
      <c r="X55" s="3252"/>
      <c r="Y55" s="3252"/>
      <c r="Z55" s="3252"/>
      <c r="AA55" s="3252"/>
      <c r="AB55" s="3252"/>
      <c r="AC55" s="3252"/>
      <c r="AD55" s="3252"/>
      <c r="AE55" s="3252"/>
      <c r="AF55" s="3252"/>
      <c r="AG55" s="3252"/>
      <c r="AH55" s="3252"/>
      <c r="AI55" s="3252"/>
      <c r="AJ55" s="3252"/>
      <c r="AK55" s="3252"/>
      <c r="AQ55" s="1082">
        <v>14</v>
      </c>
    </row>
    <row r="56" spans="1:43" ht="14.65" customHeight="1">
      <c r="O56" s="474"/>
      <c r="AQ56" s="1082">
        <v>14</v>
      </c>
    </row>
    <row r="57" spans="1:43" ht="14.65" customHeight="1">
      <c r="O57" s="474"/>
      <c r="S57" s="1180"/>
      <c r="T57" s="3252"/>
      <c r="U57" s="3252"/>
      <c r="V57" s="3252"/>
      <c r="W57" s="3252"/>
      <c r="X57" s="3252"/>
      <c r="Y57" s="3252"/>
      <c r="Z57" s="3252"/>
      <c r="AA57" s="3252"/>
      <c r="AB57" s="3252"/>
      <c r="AC57" s="3252"/>
      <c r="AD57" s="3252"/>
      <c r="AE57" s="3252"/>
      <c r="AF57" s="3252"/>
      <c r="AG57" s="3252"/>
      <c r="AH57" s="3252"/>
      <c r="AI57" s="3252"/>
      <c r="AJ57" s="3252"/>
      <c r="AK57" s="325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AE1F6-C759-733E-E3C9-200C999DD01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3254">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3246"/>
      <c r="W2" s="3247"/>
      <c r="X2" s="3247"/>
      <c r="Y2" s="3247"/>
      <c r="Z2" s="3247"/>
      <c r="AA2" s="3247"/>
      <c r="AB2" s="3248"/>
      <c r="AC2" s="3246" t="e">
        <f>INDEX(PT_DIFFERENTIATION_NTAR,MATCH(A2,PT_DIFFERENTIATION_NTAR_ID,0))</f>
        <v>#N/A</v>
      </c>
      <c r="AD2" s="3247"/>
      <c r="AE2" s="3247"/>
      <c r="AF2" s="3247"/>
      <c r="AG2" s="3247"/>
      <c r="AH2" s="3247"/>
      <c r="AI2" s="3247"/>
      <c r="AJ2" s="324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255"/>
      <c r="F3" s="3254">
        <v>1</v>
      </c>
      <c r="G3" s="1290"/>
      <c r="H3" s="1290"/>
      <c r="I3" s="1290"/>
      <c r="J3" s="1290"/>
      <c r="K3" s="1290"/>
      <c r="L3" s="1291"/>
      <c r="M3" s="1292"/>
      <c r="N3" s="1292"/>
      <c r="O3" s="1292"/>
      <c r="P3" s="1414"/>
      <c r="Q3" s="289"/>
      <c r="R3" s="290"/>
      <c r="S3" s="1420" t="e">
        <f>INDEX(PT_DIFFERENTIATION_NUM_TER,MATCH(B3,PT_DIFFERENTIATION_TER_ID,0))</f>
        <v>#N/A</v>
      </c>
      <c r="T3" s="246" t="s">
        <v>405</v>
      </c>
      <c r="U3" s="238"/>
      <c r="V3" s="3246"/>
      <c r="W3" s="3247"/>
      <c r="X3" s="3247"/>
      <c r="Y3" s="3247"/>
      <c r="Z3" s="3247"/>
      <c r="AA3" s="3247"/>
      <c r="AB3" s="3248"/>
      <c r="AC3" s="3246" t="e">
        <f>INDEX(PT_DIFFERENTIATION_TER,MATCH(B3,PT_DIFFERENTIATION_TER_ID,0))</f>
        <v>#N/A</v>
      </c>
      <c r="AD3" s="3247"/>
      <c r="AE3" s="3247"/>
      <c r="AF3" s="3247"/>
      <c r="AG3" s="3247"/>
      <c r="AH3" s="3247"/>
      <c r="AI3" s="3247"/>
      <c r="AJ3" s="3248"/>
      <c r="AK3" s="1185" t="s">
        <v>406</v>
      </c>
      <c r="AM3" s="437"/>
      <c r="AN3" s="437" t="str">
        <f t="shared" si="0"/>
        <v>Территория действия тарифа</v>
      </c>
      <c r="AO3" s="437"/>
      <c r="AP3" s="437"/>
      <c r="AQ3" s="1082">
        <v>0</v>
      </c>
    </row>
    <row r="4" spans="1:43" ht="23.25" hidden="1" customHeight="1">
      <c r="A4" s="1290"/>
      <c r="B4" s="1290"/>
      <c r="C4" s="1290"/>
      <c r="D4" s="1290"/>
      <c r="E4" s="3255"/>
      <c r="F4" s="3255"/>
      <c r="G4" s="3254">
        <v>1</v>
      </c>
      <c r="H4" s="1290"/>
      <c r="I4" s="1290"/>
      <c r="J4" s="1290"/>
      <c r="K4" s="1290"/>
      <c r="L4" s="1291"/>
      <c r="M4" s="1292"/>
      <c r="N4" s="1292"/>
      <c r="O4" s="1292"/>
      <c r="P4" s="291"/>
      <c r="Q4" s="289"/>
      <c r="R4" s="290"/>
      <c r="S4" s="1420" t="e">
        <f>INDEX(PT_DIFFERENTIATION_NUM_CS,MATCH(C4,PT_DIFFERENTIATION_CS_ID,0))</f>
        <v>#N/A</v>
      </c>
      <c r="T4" s="247" t="s">
        <v>523</v>
      </c>
      <c r="U4" s="238"/>
      <c r="V4" s="3246"/>
      <c r="W4" s="3247"/>
      <c r="X4" s="3247"/>
      <c r="Y4" s="3247"/>
      <c r="Z4" s="3247"/>
      <c r="AA4" s="3247"/>
      <c r="AB4" s="3248"/>
      <c r="AC4" s="3246" t="e">
        <f>INDEX(PT_DIFFERENTIATION_CS,MATCH(C4,PT_DIFFERENTIATION_CS_ID,0))</f>
        <v>#N/A</v>
      </c>
      <c r="AD4" s="3247"/>
      <c r="AE4" s="3247"/>
      <c r="AF4" s="3247"/>
      <c r="AG4" s="3247"/>
      <c r="AH4" s="3247"/>
      <c r="AI4" s="3247"/>
      <c r="AJ4" s="3248"/>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3255"/>
      <c r="F5" s="3255"/>
      <c r="G5" s="3255"/>
      <c r="H5" s="3255"/>
      <c r="I5" s="3256" t="e">
        <f>S4&amp;".1"</f>
        <v>#N/A</v>
      </c>
      <c r="J5" s="1290"/>
      <c r="K5" s="1290"/>
      <c r="L5" s="1291"/>
      <c r="P5" s="3258">
        <v>1</v>
      </c>
      <c r="Q5" s="1408"/>
      <c r="R5" s="293"/>
      <c r="S5" s="1420" t="e">
        <f>$I5</f>
        <v>#N/A</v>
      </c>
      <c r="T5" s="223" t="s">
        <v>490</v>
      </c>
      <c r="U5" s="238"/>
      <c r="V5" s="3351"/>
      <c r="W5" s="3352"/>
      <c r="X5" s="3352"/>
      <c r="Y5" s="3352"/>
      <c r="Z5" s="3352"/>
      <c r="AA5" s="3352"/>
      <c r="AB5" s="3353"/>
      <c r="AC5" s="3354"/>
      <c r="AD5" s="3355"/>
      <c r="AE5" s="3355"/>
      <c r="AF5" s="3355"/>
      <c r="AG5" s="3355"/>
      <c r="AH5" s="3355"/>
      <c r="AI5" s="3355"/>
      <c r="AJ5" s="3356"/>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3255"/>
      <c r="F6" s="3255"/>
      <c r="G6" s="3255"/>
      <c r="H6" s="3255"/>
      <c r="I6" s="3257"/>
      <c r="J6" s="3256" t="e">
        <f>I5&amp;".1"</f>
        <v>#N/A</v>
      </c>
      <c r="K6" s="1290"/>
      <c r="L6" s="1291" t="s">
        <v>414</v>
      </c>
      <c r="P6" s="3258"/>
      <c r="Q6" s="3258">
        <v>1</v>
      </c>
      <c r="R6" s="294"/>
      <c r="S6" s="1420" t="e">
        <f>$J6</f>
        <v>#N/A</v>
      </c>
      <c r="T6" s="224" t="s">
        <v>415</v>
      </c>
      <c r="U6" s="238"/>
      <c r="V6" s="3239"/>
      <c r="W6" s="3240"/>
      <c r="X6" s="3240"/>
      <c r="Y6" s="3240"/>
      <c r="Z6" s="3240"/>
      <c r="AA6" s="3240"/>
      <c r="AB6" s="3241"/>
      <c r="AC6" s="3239"/>
      <c r="AD6" s="3240"/>
      <c r="AE6" s="3240"/>
      <c r="AF6" s="3240"/>
      <c r="AG6" s="3240"/>
      <c r="AH6" s="3240"/>
      <c r="AI6" s="3240"/>
      <c r="AJ6" s="3241"/>
      <c r="AK6" s="1234" t="s">
        <v>492</v>
      </c>
      <c r="AM6" s="437"/>
      <c r="AN6" s="437" t="str">
        <f t="shared" si="0"/>
        <v>Группа потребителей</v>
      </c>
      <c r="AO6" s="437"/>
      <c r="AP6" s="437"/>
      <c r="AQ6" s="1082">
        <v>0</v>
      </c>
    </row>
    <row r="7" spans="1:43" ht="23.25" hidden="1" customHeight="1">
      <c r="A7" s="1290"/>
      <c r="B7" s="1290"/>
      <c r="C7" s="1290"/>
      <c r="D7" s="1290"/>
      <c r="E7" s="3255"/>
      <c r="F7" s="3255"/>
      <c r="G7" s="3255"/>
      <c r="H7" s="3255"/>
      <c r="I7" s="3257"/>
      <c r="J7" s="3257"/>
      <c r="K7" s="3256" t="e">
        <f>J6&amp;".1"</f>
        <v>#N/A</v>
      </c>
      <c r="L7" s="1291"/>
      <c r="P7" s="3258"/>
      <c r="Q7" s="3258"/>
      <c r="R7" s="294">
        <v>1</v>
      </c>
      <c r="S7" s="1420" t="e">
        <f>$K7</f>
        <v>#N/A</v>
      </c>
      <c r="T7" s="1364"/>
      <c r="U7" s="238"/>
      <c r="V7" s="688"/>
      <c r="W7" s="688"/>
      <c r="X7" s="1184"/>
      <c r="Y7" s="3259"/>
      <c r="Z7" s="3121" t="s">
        <v>67</v>
      </c>
      <c r="AA7" s="3259"/>
      <c r="AB7" s="3121" t="s">
        <v>67</v>
      </c>
      <c r="AC7" s="688"/>
      <c r="AD7" s="688"/>
      <c r="AE7" s="1184"/>
      <c r="AF7" s="3259"/>
      <c r="AG7" s="3121" t="s">
        <v>67</v>
      </c>
      <c r="AH7" s="3261"/>
      <c r="AI7" s="3121" t="s">
        <v>67</v>
      </c>
      <c r="AJ7" s="1365"/>
      <c r="AK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255"/>
      <c r="F8" s="3255"/>
      <c r="G8" s="3255"/>
      <c r="H8" s="3255"/>
      <c r="I8" s="3257"/>
      <c r="J8" s="3257"/>
      <c r="K8" s="3256"/>
      <c r="L8" s="1291"/>
      <c r="P8" s="3258"/>
      <c r="Q8" s="3258"/>
      <c r="R8" s="294"/>
      <c r="S8" s="1417"/>
      <c r="T8" s="238"/>
      <c r="U8" s="238"/>
      <c r="V8" s="263"/>
      <c r="W8" s="263"/>
      <c r="X8" s="266" t="str">
        <f>Y7&amp;"-"&amp;AA7</f>
        <v>-</v>
      </c>
      <c r="Y8" s="3260"/>
      <c r="Z8" s="3121"/>
      <c r="AA8" s="3260"/>
      <c r="AB8" s="3121"/>
      <c r="AC8" s="263"/>
      <c r="AD8" s="263"/>
      <c r="AE8" s="266" t="str">
        <f>AF7&amp;"-"&amp;AH7</f>
        <v>-</v>
      </c>
      <c r="AF8" s="3260"/>
      <c r="AG8" s="3121"/>
      <c r="AH8" s="3262"/>
      <c r="AI8" s="3121"/>
      <c r="AJ8" s="1366"/>
      <c r="AK8" s="3357"/>
      <c r="AM8" s="437"/>
      <c r="AN8" s="437" t="str">
        <f t="shared" si="0"/>
        <v/>
      </c>
      <c r="AO8" s="437"/>
      <c r="AP8" s="437"/>
      <c r="AQ8" s="1082">
        <v>0</v>
      </c>
    </row>
    <row r="9" spans="1:43" ht="21" hidden="1" customHeight="1">
      <c r="A9" s="1290"/>
      <c r="B9" s="1290"/>
      <c r="C9" s="1290"/>
      <c r="D9" s="1290"/>
      <c r="E9" s="3255"/>
      <c r="F9" s="3255"/>
      <c r="G9" s="3255"/>
      <c r="H9" s="3255"/>
      <c r="I9" s="3257"/>
      <c r="J9" s="3256"/>
      <c r="K9" s="1290"/>
      <c r="L9" s="1291"/>
      <c r="P9" s="3258"/>
      <c r="Q9" s="3258"/>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255"/>
      <c r="F10" s="3255"/>
      <c r="G10" s="3255"/>
      <c r="H10" s="3255"/>
      <c r="I10" s="3256"/>
      <c r="J10" s="1290"/>
      <c r="K10" s="1290"/>
      <c r="L10" s="1291"/>
      <c r="P10" s="3258"/>
      <c r="Q10" s="1408"/>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255"/>
      <c r="F12" s="3254"/>
      <c r="G12" s="1241"/>
      <c r="H12" s="1241"/>
      <c r="I12" s="1241"/>
      <c r="J12" s="1241"/>
      <c r="K12" s="1241"/>
      <c r="L12" s="1421"/>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3251"/>
      <c r="AG15" s="3250" t="s">
        <v>67</v>
      </c>
      <c r="AH15" s="3251"/>
      <c r="AI15" s="3250" t="s">
        <v>67</v>
      </c>
      <c r="AQ15" s="1082">
        <v>0</v>
      </c>
    </row>
    <row r="16" spans="1:43" ht="14.25" hidden="1" customHeight="1">
      <c r="AC16" s="1287"/>
      <c r="AD16" s="1287"/>
      <c r="AE16" s="266" t="str">
        <f>AF15&amp;"-"&amp;AH15</f>
        <v>-</v>
      </c>
      <c r="AF16" s="3250"/>
      <c r="AG16" s="3250"/>
      <c r="AH16" s="3250"/>
      <c r="AI16" s="3250"/>
      <c r="AQ16" s="1082">
        <v>0</v>
      </c>
    </row>
    <row r="17" spans="1:43" ht="14.25" hidden="1" customHeight="1">
      <c r="AI17" s="265"/>
      <c r="AQ17" s="1082">
        <v>0</v>
      </c>
    </row>
    <row r="18" spans="1:43" s="1293" customFormat="1" ht="22.5" hidden="1" customHeight="1">
      <c r="L18" s="1405"/>
      <c r="M18" s="1289"/>
      <c r="N18" s="1289"/>
      <c r="O18" s="1294" t="s">
        <v>422</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423</v>
      </c>
      <c r="P20" s="1289"/>
      <c r="Q20" s="1369"/>
      <c r="R20" s="1369"/>
      <c r="S20" s="666"/>
      <c r="T20" s="1087" t="s">
        <v>424</v>
      </c>
      <c r="Z20" s="124" t="s">
        <v>425</v>
      </c>
      <c r="AB20" s="124" t="s">
        <v>426</v>
      </c>
      <c r="AC20" s="1087" t="s">
        <v>424</v>
      </c>
      <c r="AG20" s="124" t="s">
        <v>427</v>
      </c>
      <c r="AI20" s="124" t="s">
        <v>426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232"/>
      <c r="U24" s="3232"/>
      <c r="V24" s="3232"/>
      <c r="W24" s="3232"/>
      <c r="X24" s="3232"/>
      <c r="Y24" s="3232"/>
      <c r="Z24" s="3232"/>
      <c r="AA24" s="3232"/>
      <c r="AB24" s="3232"/>
      <c r="AC24" s="3232"/>
      <c r="AD24" s="3232"/>
      <c r="AE24" s="3232"/>
      <c r="AF24" s="3232"/>
      <c r="AG24" s="3232"/>
      <c r="AH24" s="3232"/>
      <c r="AI24" s="1170"/>
      <c r="AQ24" s="1082">
        <v>14</v>
      </c>
    </row>
    <row r="25" spans="1:43"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264"/>
      <c r="AC27" s="3245" t="str">
        <f>IF(TITLE_NAME_OR_PR_CHANGE="",IF(TITLE_NAME_OR_PR="","",TITLE_NAME_OR_PR),TITLE_NAME_OR_PR_CHANGE)</f>
        <v/>
      </c>
      <c r="AD27" s="3245"/>
      <c r="AE27" s="3245"/>
      <c r="AF27" s="3245"/>
      <c r="AG27" s="3245"/>
      <c r="AH27" s="324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264"/>
      <c r="AC28" s="3244">
        <f>IF(TITLE_DATE_PR_CHANGE="",IF(TITLE_DATE_PR="","",TITLE_DATE_PR),TITLE_DATE_PR_CHANGE)</f>
        <v>45595.546053240738</v>
      </c>
      <c r="AD28" s="3244"/>
      <c r="AE28" s="3244"/>
      <c r="AF28" s="3244"/>
      <c r="AG28" s="3244"/>
      <c r="AH28" s="324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264"/>
      <c r="AC29" s="3245" t="str">
        <f>IF(TITLE_NUMBER_PR_CHANGE="",IF(TITLE_NUMBER_PR="","",TITLE_NUMBER_PR),TITLE_NUMBER_PR_CHANGE)</f>
        <v>03/3636</v>
      </c>
      <c r="AD29" s="3245"/>
      <c r="AE29" s="3245"/>
      <c r="AF29" s="3245"/>
      <c r="AG29" s="3245"/>
      <c r="AH29" s="324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264"/>
      <c r="AC30" s="3245" t="str">
        <f>IF(TITLE_IST_PUB_CHANGE="",IF(TITLE_IST_PUB="","",TITLE_IST_PUB),TITLE_IST_PUB_CHANGE)</f>
        <v/>
      </c>
      <c r="AD30" s="3245"/>
      <c r="AE30" s="3245"/>
      <c r="AF30" s="3245"/>
      <c r="AG30" s="3245"/>
      <c r="AH30" s="324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264"/>
      <c r="AC32" s="3244">
        <f>IF(TITLE_DATE_PR_CHANGE="",IF(TITLE_DATE_PR="","",TITLE_DATE_PR),TITLE_DATE_PR_CHANGE)</f>
        <v>45595.546053240738</v>
      </c>
      <c r="AD32" s="3244"/>
      <c r="AE32" s="3244"/>
      <c r="AF32" s="3244"/>
      <c r="AG32" s="3244"/>
      <c r="AH32" s="324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264"/>
      <c r="AC33" s="3245" t="str">
        <f>IF(TITLE_NUMBER_PR_CHANGE="",IF(TITLE_NUMBER_PR="","",TITLE_NUMBER_PR),TITLE_NUMBER_PR_CHANGE)</f>
        <v>03/3636</v>
      </c>
      <c r="AD33" s="3245"/>
      <c r="AE33" s="3245"/>
      <c r="AF33" s="3245"/>
      <c r="AG33" s="3245"/>
      <c r="AH33" s="324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432</v>
      </c>
      <c r="AC34" s="264"/>
      <c r="AD34" s="264"/>
      <c r="AE34" s="264"/>
      <c r="AF34" s="264"/>
      <c r="AG34" s="264"/>
      <c r="AH34" s="264"/>
      <c r="AI34" s="216" t="s">
        <v>432</v>
      </c>
      <c r="AL34" s="305"/>
      <c r="AM34" s="305"/>
      <c r="AN34" s="305"/>
      <c r="AO34" s="305"/>
      <c r="AP34" s="305"/>
      <c r="AQ34" s="355">
        <v>1</v>
      </c>
    </row>
    <row r="35" spans="1:43" ht="14.65" customHeight="1">
      <c r="Q35" s="313"/>
      <c r="R35" s="313"/>
      <c r="S35" s="1202"/>
      <c r="T35" s="300"/>
      <c r="U35" s="1171"/>
      <c r="V35" s="3266"/>
      <c r="W35" s="3266"/>
      <c r="X35" s="3266"/>
      <c r="Y35" s="3266"/>
      <c r="Z35" s="3266"/>
      <c r="AA35" s="3266"/>
      <c r="AB35" s="3266"/>
      <c r="AC35" s="3266"/>
      <c r="AD35" s="3266"/>
      <c r="AE35" s="3266"/>
      <c r="AF35" s="3266"/>
      <c r="AG35" s="3266"/>
      <c r="AH35" s="3266"/>
      <c r="AI35" s="3266"/>
      <c r="AQ35" s="1082">
        <v>14</v>
      </c>
    </row>
    <row r="36" spans="1:43"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t="s">
        <v>309</v>
      </c>
      <c r="AQ36" s="1082">
        <v>14</v>
      </c>
    </row>
    <row r="37" spans="1:43" ht="14.65" customHeight="1">
      <c r="Q37" s="313"/>
      <c r="R37" s="313"/>
      <c r="S37" s="3268" t="s">
        <v>85</v>
      </c>
      <c r="T37" s="3212" t="s">
        <v>433</v>
      </c>
      <c r="U37" s="239"/>
      <c r="V37" s="3269" t="s">
        <v>434</v>
      </c>
      <c r="W37" s="3270"/>
      <c r="X37" s="3270"/>
      <c r="Y37" s="3270"/>
      <c r="Z37" s="3270"/>
      <c r="AA37" s="3271"/>
      <c r="AB37" s="3272" t="s">
        <v>435</v>
      </c>
      <c r="AC37" s="3269" t="s">
        <v>434</v>
      </c>
      <c r="AD37" s="3270"/>
      <c r="AE37" s="3270"/>
      <c r="AF37" s="3270"/>
      <c r="AG37" s="3270"/>
      <c r="AH37" s="3271"/>
      <c r="AI37" s="3272" t="s">
        <v>436</v>
      </c>
      <c r="AJ37" s="3275" t="s">
        <v>437</v>
      </c>
      <c r="AK37" s="3111"/>
      <c r="AQ37" s="1082">
        <v>14</v>
      </c>
    </row>
    <row r="38" spans="1:43" ht="35.65" customHeight="1">
      <c r="Q38" s="313"/>
      <c r="R38" s="313"/>
      <c r="S38" s="3268"/>
      <c r="T38" s="3212"/>
      <c r="U38" s="961"/>
      <c r="V38" s="1410" t="s">
        <v>496</v>
      </c>
      <c r="W38" s="3093" t="s">
        <v>440</v>
      </c>
      <c r="X38" s="3092"/>
      <c r="Y38" s="3093" t="s">
        <v>441</v>
      </c>
      <c r="Z38" s="3098"/>
      <c r="AA38" s="3092"/>
      <c r="AB38" s="3273"/>
      <c r="AC38" s="1410" t="s">
        <v>496</v>
      </c>
      <c r="AD38" s="3093" t="s">
        <v>440</v>
      </c>
      <c r="AE38" s="3092"/>
      <c r="AF38" s="3093" t="s">
        <v>441</v>
      </c>
      <c r="AG38" s="3098"/>
      <c r="AH38" s="3092"/>
      <c r="AI38" s="3273"/>
      <c r="AJ38" s="3276"/>
      <c r="AK38" s="3111"/>
      <c r="AQ38" s="1082">
        <v>34</v>
      </c>
    </row>
    <row r="39" spans="1:43" ht="90.4" customHeight="1">
      <c r="A39" s="1297"/>
      <c r="B39" s="1297" t="s">
        <v>133</v>
      </c>
      <c r="C39" s="1297" t="s">
        <v>134</v>
      </c>
      <c r="D39" s="1297" t="s">
        <v>135</v>
      </c>
      <c r="E39" s="1291" t="s">
        <v>442</v>
      </c>
      <c r="F39" s="1291" t="s">
        <v>443</v>
      </c>
      <c r="G39" s="1291" t="s">
        <v>444</v>
      </c>
      <c r="H39" s="1291"/>
      <c r="I39" s="1291" t="s">
        <v>497</v>
      </c>
      <c r="J39" s="1291" t="s">
        <v>447</v>
      </c>
      <c r="K39" s="1291" t="s">
        <v>498</v>
      </c>
      <c r="L39" s="1291" t="s">
        <v>423</v>
      </c>
      <c r="Q39" s="313"/>
      <c r="R39" s="313"/>
      <c r="S39" s="3268"/>
      <c r="T39" s="3212"/>
      <c r="U39" s="240"/>
      <c r="V39" s="1410" t="s">
        <v>525</v>
      </c>
      <c r="W39" s="1149" t="s">
        <v>526</v>
      </c>
      <c r="X39" s="1149" t="s">
        <v>501</v>
      </c>
      <c r="Y39" s="1416" t="s">
        <v>451</v>
      </c>
      <c r="Z39" s="3217" t="s">
        <v>452</v>
      </c>
      <c r="AA39" s="3231"/>
      <c r="AB39" s="3274"/>
      <c r="AC39" s="1410" t="s">
        <v>525</v>
      </c>
      <c r="AD39" s="1149" t="s">
        <v>526</v>
      </c>
      <c r="AE39" s="1149" t="s">
        <v>501</v>
      </c>
      <c r="AF39" s="1416" t="s">
        <v>451</v>
      </c>
      <c r="AG39" s="3217" t="s">
        <v>452</v>
      </c>
      <c r="AH39" s="3231"/>
      <c r="AI39" s="3274"/>
      <c r="AJ39" s="3277"/>
      <c r="AK39" s="311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3265">
        <f ca="1">OFFSET(Z40,0,-1)+1</f>
        <v>7</v>
      </c>
      <c r="AA40" s="3265"/>
      <c r="AB40" s="1409">
        <f ca="1">OFFSET(AB40,0,-2)+1</f>
        <v>8</v>
      </c>
      <c r="AC40" s="1409">
        <f ca="1">OFFSET(AC40,0,-1)+1</f>
        <v>9</v>
      </c>
      <c r="AD40" s="1409">
        <f ca="1">OFFSET(AD40,0,-1)+1</f>
        <v>10</v>
      </c>
      <c r="AE40" s="1409">
        <f ca="1">OFFSET(AE40,0,-1)+1</f>
        <v>11</v>
      </c>
      <c r="AF40" s="1409">
        <f ca="1">OFFSET(AF40,0,-1)+1</f>
        <v>12</v>
      </c>
      <c r="AG40" s="3265">
        <f ca="1">OFFSET(AG40,0,-1)+1</f>
        <v>13</v>
      </c>
      <c r="AH40" s="3265"/>
      <c r="AI40" s="1409">
        <f ca="1">OFFSET(AI40,0,-2)+1</f>
        <v>14</v>
      </c>
      <c r="AJ40" s="1172">
        <f ca="1">OFFSET(AJ40,0,-1)</f>
        <v>14</v>
      </c>
      <c r="AK40" s="1409">
        <f ca="1">OFFSET(AK40,0,-1)+1</f>
        <v>15</v>
      </c>
      <c r="AL40" s="448"/>
      <c r="AM40" s="448"/>
      <c r="AN40" s="448"/>
      <c r="AO40" s="448"/>
      <c r="AP40" s="448"/>
      <c r="AQ40" s="433">
        <v>0</v>
      </c>
    </row>
    <row r="41" spans="1:43" ht="24" customHeight="1">
      <c r="A41" s="1290" t="s">
        <v>279</v>
      </c>
      <c r="B41" s="1290"/>
      <c r="C41" s="1290"/>
      <c r="D41" s="1290"/>
      <c r="E41" s="325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121</v>
      </c>
      <c r="U41" s="238"/>
      <c r="V41" s="3246"/>
      <c r="W41" s="3247"/>
      <c r="X41" s="3247"/>
      <c r="Y41" s="3247"/>
      <c r="Z41" s="3247"/>
      <c r="AA41" s="3247"/>
      <c r="AB41" s="3248"/>
      <c r="AC41" s="3246" t="str">
        <f>INDEX(PT_DIFFERENTIATION_NTAR,MATCH(A41,PT_DIFFERENTIATION_NTAR_ID,0))</f>
        <v/>
      </c>
      <c r="AD41" s="3247"/>
      <c r="AE41" s="3247"/>
      <c r="AF41" s="3247"/>
      <c r="AG41" s="3247"/>
      <c r="AH41" s="3247"/>
      <c r="AI41" s="3247"/>
      <c r="AJ41" s="324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279</v>
      </c>
      <c r="B42" s="1290" t="s">
        <v>280</v>
      </c>
      <c r="C42" s="1290"/>
      <c r="D42" s="1290"/>
      <c r="E42" s="3255"/>
      <c r="F42" s="3254">
        <v>1</v>
      </c>
      <c r="G42" s="1290"/>
      <c r="H42" s="1290"/>
      <c r="I42" s="1290"/>
      <c r="J42" s="1290"/>
      <c r="K42" s="1290"/>
      <c r="L42" s="1291"/>
      <c r="M42" s="1292"/>
      <c r="N42" s="1292"/>
      <c r="O42" s="1292"/>
      <c r="P42" s="1414"/>
      <c r="Q42" s="289"/>
      <c r="R42" s="290"/>
      <c r="S42" s="1420" t="str">
        <f>INDEX(PT_DIFFERENTIATION_NUM_TER,MATCH(B42,PT_DIFFERENTIATION_TER_ID,0))</f>
        <v>.</v>
      </c>
      <c r="T42" s="246" t="s">
        <v>405</v>
      </c>
      <c r="U42" s="238"/>
      <c r="V42" s="3246"/>
      <c r="W42" s="3247"/>
      <c r="X42" s="3247"/>
      <c r="Y42" s="3247"/>
      <c r="Z42" s="3247"/>
      <c r="AA42" s="3247"/>
      <c r="AB42" s="3248"/>
      <c r="AC42" s="3246" t="str">
        <f>INDEX(PT_DIFFERENTIATION_TER,MATCH(B42,PT_DIFFERENTIATION_TER_ID,0))</f>
        <v/>
      </c>
      <c r="AD42" s="3247"/>
      <c r="AE42" s="3247"/>
      <c r="AF42" s="3247"/>
      <c r="AG42" s="3247"/>
      <c r="AH42" s="3247"/>
      <c r="AI42" s="3247"/>
      <c r="AJ42" s="3248"/>
      <c r="AK42" s="1185" t="s">
        <v>406</v>
      </c>
      <c r="AM42" s="437"/>
      <c r="AN42" s="437" t="str">
        <f t="shared" si="1"/>
        <v>Территория действия тарифа</v>
      </c>
      <c r="AO42" s="437"/>
      <c r="AP42" s="437"/>
      <c r="AQ42" s="1082">
        <v>23</v>
      </c>
    </row>
    <row r="43" spans="1:43" ht="24" customHeight="1">
      <c r="A43" s="1290" t="s">
        <v>279</v>
      </c>
      <c r="B43" s="1290" t="s">
        <v>280</v>
      </c>
      <c r="C43" s="1290" t="s">
        <v>281</v>
      </c>
      <c r="D43" s="1290"/>
      <c r="E43" s="3255"/>
      <c r="F43" s="3255"/>
      <c r="G43" s="3254">
        <v>1</v>
      </c>
      <c r="H43" s="1290"/>
      <c r="I43" s="1290"/>
      <c r="J43" s="1290"/>
      <c r="K43" s="1290"/>
      <c r="L43" s="1291"/>
      <c r="M43" s="1292"/>
      <c r="N43" s="1292"/>
      <c r="O43" s="1292"/>
      <c r="P43" s="291"/>
      <c r="Q43" s="289"/>
      <c r="R43" s="290"/>
      <c r="S43" s="1420" t="str">
        <f>INDEX(PT_DIFFERENTIATION_NUM_CS,MATCH(C43,PT_DIFFERENTIATION_CS_ID,0))</f>
        <v>..</v>
      </c>
      <c r="T43" s="247" t="s">
        <v>523</v>
      </c>
      <c r="U43" s="238"/>
      <c r="V43" s="3246"/>
      <c r="W43" s="3247"/>
      <c r="X43" s="3247"/>
      <c r="Y43" s="3247"/>
      <c r="Z43" s="3247"/>
      <c r="AA43" s="3247"/>
      <c r="AB43" s="3248"/>
      <c r="AC43" s="3246" t="str">
        <f>INDEX(PT_DIFFERENTIATION_CS,MATCH(C43,PT_DIFFERENTIATION_CS_ID,0))</f>
        <v/>
      </c>
      <c r="AD43" s="3247"/>
      <c r="AE43" s="3247"/>
      <c r="AF43" s="3247"/>
      <c r="AG43" s="3247"/>
      <c r="AH43" s="3247"/>
      <c r="AI43" s="3247"/>
      <c r="AJ43" s="3248"/>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279</v>
      </c>
      <c r="B44" s="1290" t="s">
        <v>280</v>
      </c>
      <c r="C44" s="1290" t="s">
        <v>281</v>
      </c>
      <c r="D44" s="1290" t="s">
        <v>528</v>
      </c>
      <c r="E44" s="3255"/>
      <c r="F44" s="3255"/>
      <c r="G44" s="3255"/>
      <c r="H44" s="3255"/>
      <c r="I44" s="3256" t="str">
        <f>S43&amp;".1"</f>
        <v>...1</v>
      </c>
      <c r="J44" s="1290"/>
      <c r="K44" s="1290"/>
      <c r="L44" s="1291"/>
      <c r="P44" s="3258">
        <v>1</v>
      </c>
      <c r="Q44" s="1408"/>
      <c r="R44" s="293"/>
      <c r="S44" s="1420" t="str">
        <f>$I44</f>
        <v>...1</v>
      </c>
      <c r="T44" s="223" t="s">
        <v>490</v>
      </c>
      <c r="U44" s="238"/>
      <c r="V44" s="3351"/>
      <c r="W44" s="3352"/>
      <c r="X44" s="3352"/>
      <c r="Y44" s="3352"/>
      <c r="Z44" s="3352"/>
      <c r="AA44" s="3352"/>
      <c r="AB44" s="3353"/>
      <c r="AC44" s="3354"/>
      <c r="AD44" s="3355"/>
      <c r="AE44" s="3355"/>
      <c r="AF44" s="3355"/>
      <c r="AG44" s="3355"/>
      <c r="AH44" s="3355"/>
      <c r="AI44" s="3355"/>
      <c r="AJ44" s="3356"/>
      <c r="AK44" s="1185" t="s">
        <v>491</v>
      </c>
      <c r="AM44" s="437"/>
      <c r="AN44" s="437" t="str">
        <f t="shared" si="1"/>
        <v>Наименование признака дифференциации</v>
      </c>
      <c r="AO44" s="437"/>
      <c r="AP44" s="437"/>
      <c r="AQ44" s="1082">
        <v>23</v>
      </c>
    </row>
    <row r="45" spans="1:43" ht="24" customHeight="1">
      <c r="A45" s="1290" t="s">
        <v>279</v>
      </c>
      <c r="B45" s="1290" t="s">
        <v>280</v>
      </c>
      <c r="C45" s="1290" t="s">
        <v>281</v>
      </c>
      <c r="D45" s="1290" t="s">
        <v>528</v>
      </c>
      <c r="E45" s="3255"/>
      <c r="F45" s="3255"/>
      <c r="G45" s="3255"/>
      <c r="H45" s="3255"/>
      <c r="I45" s="3257"/>
      <c r="J45" s="3256" t="str">
        <f>I44&amp;".1"</f>
        <v>...1.1</v>
      </c>
      <c r="K45" s="1290"/>
      <c r="L45" s="1291" t="s">
        <v>414</v>
      </c>
      <c r="P45" s="3258"/>
      <c r="Q45" s="3258">
        <v>1</v>
      </c>
      <c r="R45" s="294"/>
      <c r="S45" s="1420" t="str">
        <f>$J45</f>
        <v>...1.1</v>
      </c>
      <c r="T45" s="224" t="s">
        <v>415</v>
      </c>
      <c r="U45" s="238"/>
      <c r="V45" s="3239"/>
      <c r="W45" s="3240"/>
      <c r="X45" s="3240"/>
      <c r="Y45" s="3240"/>
      <c r="Z45" s="3240"/>
      <c r="AA45" s="3240"/>
      <c r="AB45" s="3241"/>
      <c r="AC45" s="3239"/>
      <c r="AD45" s="3240"/>
      <c r="AE45" s="3240"/>
      <c r="AF45" s="3240"/>
      <c r="AG45" s="3240"/>
      <c r="AH45" s="3240"/>
      <c r="AI45" s="3240"/>
      <c r="AJ45" s="3241"/>
      <c r="AK45" s="1234" t="s">
        <v>492</v>
      </c>
      <c r="AM45" s="437"/>
      <c r="AN45" s="437" t="str">
        <f t="shared" si="1"/>
        <v>Группа потребителей</v>
      </c>
      <c r="AO45" s="437"/>
      <c r="AP45" s="437"/>
      <c r="AQ45" s="1082">
        <v>23</v>
      </c>
    </row>
    <row r="46" spans="1:43" ht="24" customHeight="1">
      <c r="A46" s="1290" t="s">
        <v>279</v>
      </c>
      <c r="B46" s="1290" t="s">
        <v>280</v>
      </c>
      <c r="C46" s="1290" t="s">
        <v>281</v>
      </c>
      <c r="D46" s="1290" t="s">
        <v>528</v>
      </c>
      <c r="E46" s="3255"/>
      <c r="F46" s="3255"/>
      <c r="G46" s="3255"/>
      <c r="H46" s="3255"/>
      <c r="I46" s="3257"/>
      <c r="J46" s="3257"/>
      <c r="K46" s="3256" t="str">
        <f>J45&amp;".1"</f>
        <v>...1.1.1</v>
      </c>
      <c r="L46" s="1291"/>
      <c r="P46" s="3258"/>
      <c r="Q46" s="3258"/>
      <c r="R46" s="294">
        <v>1</v>
      </c>
      <c r="S46" s="1420" t="str">
        <f>$K46</f>
        <v>...1.1.1</v>
      </c>
      <c r="T46" s="1364"/>
      <c r="U46" s="238"/>
      <c r="V46" s="1287"/>
      <c r="W46" s="1287"/>
      <c r="X46" s="1288"/>
      <c r="Y46" s="3251"/>
      <c r="Z46" s="3250" t="s">
        <v>67</v>
      </c>
      <c r="AA46" s="3251"/>
      <c r="AB46" s="3250" t="s">
        <v>67</v>
      </c>
      <c r="AC46" s="688"/>
      <c r="AD46" s="688"/>
      <c r="AE46" s="1184"/>
      <c r="AF46" s="3259"/>
      <c r="AG46" s="3121" t="s">
        <v>67</v>
      </c>
      <c r="AH46" s="3261"/>
      <c r="AI46" s="3121" t="s">
        <v>19</v>
      </c>
      <c r="AJ46" s="1365"/>
      <c r="AK46"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279</v>
      </c>
      <c r="B47" s="1290" t="s">
        <v>280</v>
      </c>
      <c r="C47" s="1290" t="s">
        <v>281</v>
      </c>
      <c r="D47" s="1290" t="s">
        <v>528</v>
      </c>
      <c r="E47" s="3255"/>
      <c r="F47" s="3255"/>
      <c r="G47" s="3255"/>
      <c r="H47" s="3255"/>
      <c r="I47" s="3257"/>
      <c r="J47" s="3257"/>
      <c r="K47" s="3256"/>
      <c r="L47" s="1291"/>
      <c r="P47" s="3258"/>
      <c r="Q47" s="3258"/>
      <c r="R47" s="294"/>
      <c r="S47" s="1417"/>
      <c r="T47" s="238"/>
      <c r="U47" s="238"/>
      <c r="V47" s="1287"/>
      <c r="W47" s="1287"/>
      <c r="X47" s="266" t="str">
        <f>Y46&amp;"-"&amp;AA46</f>
        <v>-</v>
      </c>
      <c r="Y47" s="3250"/>
      <c r="Z47" s="3250"/>
      <c r="AA47" s="3250"/>
      <c r="AB47" s="3250"/>
      <c r="AC47" s="263"/>
      <c r="AD47" s="263"/>
      <c r="AE47" s="266" t="str">
        <f>AF46&amp;"-"&amp;AH46</f>
        <v>-</v>
      </c>
      <c r="AF47" s="3260"/>
      <c r="AG47" s="3121"/>
      <c r="AH47" s="3262"/>
      <c r="AI47" s="3121"/>
      <c r="AJ47" s="1366"/>
      <c r="AK47" s="3357"/>
      <c r="AM47" s="437"/>
      <c r="AN47" s="437" t="str">
        <f t="shared" si="1"/>
        <v/>
      </c>
      <c r="AO47" s="437"/>
      <c r="AP47" s="437"/>
      <c r="AQ47" s="1082">
        <v>0</v>
      </c>
    </row>
    <row r="48" spans="1:43" ht="21" customHeight="1">
      <c r="A48" s="1290" t="s">
        <v>279</v>
      </c>
      <c r="B48" s="1290" t="s">
        <v>280</v>
      </c>
      <c r="C48" s="1290" t="s">
        <v>281</v>
      </c>
      <c r="D48" s="1290" t="s">
        <v>528</v>
      </c>
      <c r="E48" s="3255"/>
      <c r="F48" s="3255"/>
      <c r="G48" s="3255"/>
      <c r="H48" s="3255"/>
      <c r="I48" s="3257"/>
      <c r="J48" s="3256"/>
      <c r="K48" s="1290"/>
      <c r="L48" s="1291"/>
      <c r="P48" s="3258"/>
      <c r="Q48" s="3258"/>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279</v>
      </c>
      <c r="B49" s="1290" t="s">
        <v>280</v>
      </c>
      <c r="C49" s="1290" t="s">
        <v>281</v>
      </c>
      <c r="D49" s="1290" t="s">
        <v>528</v>
      </c>
      <c r="E49" s="3255"/>
      <c r="F49" s="3255"/>
      <c r="G49" s="3255"/>
      <c r="H49" s="3255"/>
      <c r="I49" s="3256"/>
      <c r="J49" s="1290"/>
      <c r="K49" s="1290"/>
      <c r="L49" s="1291"/>
      <c r="P49" s="3258"/>
      <c r="Q49" s="1408"/>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279</v>
      </c>
      <c r="B50" s="1290" t="s">
        <v>280</v>
      </c>
      <c r="C50" s="1290" t="s">
        <v>281</v>
      </c>
      <c r="D50" s="1290" t="s">
        <v>528</v>
      </c>
      <c r="E50" s="3255"/>
      <c r="F50" s="3255"/>
      <c r="G50" s="3255"/>
      <c r="H50" s="3254"/>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279</v>
      </c>
      <c r="B51" s="1270" t="s">
        <v>280</v>
      </c>
      <c r="C51" s="1241"/>
      <c r="D51" s="1241"/>
      <c r="E51" s="3255"/>
      <c r="F51" s="3254"/>
      <c r="G51" s="1241"/>
      <c r="H51" s="1241"/>
      <c r="I51" s="1241"/>
      <c r="J51" s="1241"/>
      <c r="K51" s="1241"/>
      <c r="L51" s="1421"/>
      <c r="M51" s="1248"/>
      <c r="N51" s="1248"/>
      <c r="P51" s="1243"/>
      <c r="Q51" s="1244"/>
      <c r="R51" s="1243"/>
      <c r="S51" s="1249"/>
      <c r="T51" s="1252" t="s">
        <v>167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279</v>
      </c>
      <c r="B52" s="1270"/>
      <c r="C52" s="1270"/>
      <c r="D52" s="1270"/>
      <c r="E52" s="3254"/>
      <c r="F52" s="1270"/>
      <c r="G52" s="1270"/>
      <c r="H52" s="1270"/>
      <c r="I52" s="1270"/>
      <c r="J52" s="1270"/>
      <c r="K52" s="1270"/>
      <c r="L52" s="1273"/>
      <c r="M52" s="1248"/>
      <c r="N52" s="1248"/>
      <c r="O52" s="455"/>
      <c r="P52" s="317"/>
      <c r="Q52" s="1271"/>
      <c r="R52" s="317"/>
      <c r="S52" s="1249"/>
      <c r="T52" s="1252" t="s">
        <v>168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252"/>
      <c r="U55" s="3252"/>
      <c r="V55" s="3252"/>
      <c r="W55" s="3252"/>
      <c r="X55" s="3252"/>
      <c r="Y55" s="3252"/>
      <c r="Z55" s="3252"/>
      <c r="AA55" s="3252"/>
      <c r="AB55" s="3252"/>
      <c r="AC55" s="3252"/>
      <c r="AD55" s="3252"/>
      <c r="AE55" s="3252"/>
      <c r="AF55" s="3252"/>
      <c r="AG55" s="3252"/>
      <c r="AH55" s="3252"/>
      <c r="AI55" s="3252"/>
      <c r="AJ55" s="3252"/>
      <c r="AK55" s="3252"/>
      <c r="AQ55" s="1082">
        <v>14</v>
      </c>
    </row>
    <row r="56" spans="1:43" ht="14.65" customHeight="1">
      <c r="O56" s="474"/>
      <c r="AQ56" s="1082">
        <v>14</v>
      </c>
    </row>
    <row r="57" spans="1:43" ht="14.65" customHeight="1">
      <c r="O57" s="474"/>
      <c r="S57" s="1180"/>
      <c r="T57" s="3252"/>
      <c r="U57" s="3252"/>
      <c r="V57" s="3252"/>
      <c r="W57" s="3252"/>
      <c r="X57" s="3252"/>
      <c r="Y57" s="3252"/>
      <c r="Z57" s="3252"/>
      <c r="AA57" s="3252"/>
      <c r="AB57" s="3252"/>
      <c r="AC57" s="3252"/>
      <c r="AD57" s="3252"/>
      <c r="AE57" s="3252"/>
      <c r="AF57" s="3252"/>
      <c r="AG57" s="3252"/>
      <c r="AH57" s="3252"/>
      <c r="AI57" s="3252"/>
      <c r="AJ57" s="3252"/>
      <c r="AK57" s="325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F4D2C-76CE-B0ED-47EC-69B8786CFE8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3254">
        <v>1</v>
      </c>
      <c r="F2" s="1290"/>
      <c r="G2" s="1290"/>
      <c r="H2" s="1290"/>
      <c r="I2" s="1290"/>
      <c r="J2" s="1290"/>
      <c r="K2" s="1290"/>
      <c r="L2" s="1291"/>
      <c r="M2" s="1292"/>
      <c r="N2" s="1292"/>
      <c r="O2" s="1292"/>
      <c r="P2" s="1336"/>
      <c r="Q2" s="804"/>
      <c r="R2" s="292"/>
      <c r="S2" s="1420" t="e">
        <f>INDEX(PT_DIFFERENTIATION_NUM_NTAR,MATCH(A2,PT_DIFFERENTIATION_NTAR_ID,0))</f>
        <v>#N/A</v>
      </c>
      <c r="T2" s="236" t="s">
        <v>121</v>
      </c>
      <c r="U2" s="238"/>
      <c r="V2" s="3247"/>
      <c r="W2" s="3247"/>
      <c r="X2" s="3247"/>
      <c r="Y2" s="3247"/>
      <c r="Z2" s="3247"/>
      <c r="AA2" s="3247"/>
      <c r="AB2" s="3247"/>
      <c r="AC2" s="3248"/>
      <c r="AD2" s="3246" t="e">
        <f>INDEX(PT_DIFFERENTIATION_NTAR,MATCH(A2,PT_DIFFERENTIATION_NTAR_ID,0))</f>
        <v>#N/A</v>
      </c>
      <c r="AE2" s="3247"/>
      <c r="AF2" s="3247"/>
      <c r="AG2" s="3247"/>
      <c r="AH2" s="3247"/>
      <c r="AI2" s="3247"/>
      <c r="AJ2" s="3247"/>
      <c r="AK2" s="3247"/>
      <c r="AL2" s="3247"/>
      <c r="AM2" s="3247"/>
      <c r="AN2" s="3247"/>
      <c r="AO2" s="3247"/>
      <c r="AP2" s="3247"/>
      <c r="AQ2" s="3247"/>
      <c r="AR2" s="3247"/>
      <c r="AS2" s="3247"/>
      <c r="AT2" s="3247"/>
      <c r="AU2" s="3247"/>
      <c r="AV2" s="3247"/>
      <c r="AW2" s="3247"/>
      <c r="AX2" s="3247"/>
      <c r="AY2" s="3247"/>
      <c r="AZ2" s="3247"/>
      <c r="BA2" s="3247"/>
      <c r="BB2" s="324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255"/>
      <c r="F3" s="3254">
        <v>1</v>
      </c>
      <c r="G3" s="1290"/>
      <c r="H3" s="1290"/>
      <c r="I3" s="1290"/>
      <c r="J3" s="1290"/>
      <c r="K3" s="1290"/>
      <c r="L3" s="1291"/>
      <c r="M3" s="1292"/>
      <c r="N3" s="1292"/>
      <c r="O3" s="1292"/>
      <c r="P3" s="1337"/>
      <c r="Q3" s="1338"/>
      <c r="R3" s="290"/>
      <c r="S3" s="1420" t="e">
        <f>INDEX(PT_DIFFERENTIATION_NUM_TER,MATCH(B3,PT_DIFFERENTIATION_TER_ID,0))</f>
        <v>#N/A</v>
      </c>
      <c r="T3" s="246" t="s">
        <v>405</v>
      </c>
      <c r="U3" s="238"/>
      <c r="V3" s="3247"/>
      <c r="W3" s="3247"/>
      <c r="X3" s="3247"/>
      <c r="Y3" s="3247"/>
      <c r="Z3" s="3247"/>
      <c r="AA3" s="3247"/>
      <c r="AB3" s="3247"/>
      <c r="AC3" s="3248"/>
      <c r="AD3" s="3246" t="e">
        <f>INDEX(PT_DIFFERENTIATION_TER,MATCH(B3,PT_DIFFERENTIATION_TER_ID,0))</f>
        <v>#N/A</v>
      </c>
      <c r="AE3" s="3247"/>
      <c r="AF3" s="3247"/>
      <c r="AG3" s="3247"/>
      <c r="AH3" s="3247"/>
      <c r="AI3" s="3247"/>
      <c r="AJ3" s="3247"/>
      <c r="AK3" s="3247"/>
      <c r="AL3" s="3247"/>
      <c r="AM3" s="3247"/>
      <c r="AN3" s="3247"/>
      <c r="AO3" s="3247"/>
      <c r="AP3" s="3247"/>
      <c r="AQ3" s="3247"/>
      <c r="AR3" s="3247"/>
      <c r="AS3" s="3247"/>
      <c r="AT3" s="3247"/>
      <c r="AU3" s="3247"/>
      <c r="AV3" s="3247"/>
      <c r="AW3" s="3247"/>
      <c r="AX3" s="3247"/>
      <c r="AY3" s="3247"/>
      <c r="AZ3" s="3247"/>
      <c r="BA3" s="3247"/>
      <c r="BB3" s="3248"/>
      <c r="BC3" s="1185" t="s">
        <v>406</v>
      </c>
      <c r="BE3" s="437"/>
      <c r="BF3" s="437" t="str">
        <f t="shared" si="0"/>
        <v>Территория действия тарифа</v>
      </c>
      <c r="BG3" s="437"/>
      <c r="BH3" s="437"/>
      <c r="BI3" s="1082">
        <v>0</v>
      </c>
    </row>
    <row r="4" spans="1:61" ht="33.75" hidden="1" customHeight="1">
      <c r="A4" s="1290"/>
      <c r="B4" s="1290"/>
      <c r="C4" s="1290"/>
      <c r="D4" s="1290"/>
      <c r="E4" s="3255"/>
      <c r="F4" s="3255"/>
      <c r="G4" s="3254">
        <v>1</v>
      </c>
      <c r="H4" s="1290"/>
      <c r="I4" s="1290"/>
      <c r="J4" s="1290"/>
      <c r="K4" s="1290"/>
      <c r="L4" s="1291"/>
      <c r="M4" s="1292"/>
      <c r="N4" s="1292"/>
      <c r="O4" s="1292"/>
      <c r="P4" s="1339"/>
      <c r="Q4" s="1338"/>
      <c r="R4" s="290"/>
      <c r="S4" s="1420" t="e">
        <f>INDEX(PT_DIFFERENTIATION_NUM_CS,MATCH(C4,PT_DIFFERENTIATION_CS_ID,0))</f>
        <v>#N/A</v>
      </c>
      <c r="T4" s="247" t="s">
        <v>523</v>
      </c>
      <c r="U4" s="238"/>
      <c r="V4" s="3247"/>
      <c r="W4" s="3247"/>
      <c r="X4" s="3247"/>
      <c r="Y4" s="3247"/>
      <c r="Z4" s="3247"/>
      <c r="AA4" s="3247"/>
      <c r="AB4" s="3247"/>
      <c r="AC4" s="3248"/>
      <c r="AD4" s="3246" t="e">
        <f>INDEX(PT_DIFFERENTIATION_CS,MATCH(C4,PT_DIFFERENTIATION_CS_ID,0))</f>
        <v>#N/A</v>
      </c>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247"/>
      <c r="BB4" s="3248"/>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3255"/>
      <c r="F5" s="3255"/>
      <c r="G5" s="3255"/>
      <c r="H5" s="3254">
        <v>1</v>
      </c>
      <c r="I5" s="1270"/>
      <c r="J5" s="1270"/>
      <c r="K5" s="1270"/>
      <c r="L5" s="1273"/>
      <c r="M5" s="1242"/>
      <c r="N5" s="1242"/>
      <c r="O5" s="1242"/>
      <c r="P5" s="1424"/>
      <c r="Q5" s="1425"/>
      <c r="R5" s="294"/>
      <c r="S5" s="972"/>
      <c r="T5" s="1426"/>
      <c r="U5" s="1311"/>
      <c r="V5" s="3315"/>
      <c r="W5" s="3315"/>
      <c r="X5" s="3315"/>
      <c r="Y5" s="3315"/>
      <c r="Z5" s="3315"/>
      <c r="AA5" s="3315"/>
      <c r="AB5" s="3315"/>
      <c r="AC5" s="3316"/>
      <c r="AD5" s="3314"/>
      <c r="AE5" s="3315"/>
      <c r="AF5" s="3315"/>
      <c r="AG5" s="3315"/>
      <c r="AH5" s="3315"/>
      <c r="AI5" s="3315"/>
      <c r="AJ5" s="3315"/>
      <c r="AK5" s="3315"/>
      <c r="AL5" s="3315"/>
      <c r="AM5" s="3315"/>
      <c r="AN5" s="3315"/>
      <c r="AO5" s="3315"/>
      <c r="AP5" s="3315"/>
      <c r="AQ5" s="3315"/>
      <c r="AR5" s="3315"/>
      <c r="AS5" s="3315"/>
      <c r="AT5" s="3315"/>
      <c r="AU5" s="3315"/>
      <c r="AV5" s="3315"/>
      <c r="AW5" s="3315"/>
      <c r="AX5" s="3315"/>
      <c r="AY5" s="3315"/>
      <c r="AZ5" s="3315"/>
      <c r="BA5" s="3315"/>
      <c r="BB5" s="3316"/>
      <c r="BC5" s="1312" t="s">
        <v>410</v>
      </c>
      <c r="BE5" s="437"/>
      <c r="BF5" s="437" t="str">
        <f t="shared" si="0"/>
        <v/>
      </c>
      <c r="BG5" s="437"/>
      <c r="BH5" s="437"/>
      <c r="BI5" s="448">
        <v>0</v>
      </c>
    </row>
    <row r="6" spans="1:61" s="1569" customFormat="1" ht="14.25" hidden="1" customHeight="1">
      <c r="A6" s="1270"/>
      <c r="B6" s="1270"/>
      <c r="C6" s="1270"/>
      <c r="D6" s="1270"/>
      <c r="E6" s="3255"/>
      <c r="F6" s="3255"/>
      <c r="G6" s="3255"/>
      <c r="H6" s="3255"/>
      <c r="I6" s="3256" t="str">
        <f>S5&amp;".1"</f>
        <v>.1</v>
      </c>
      <c r="J6" s="1270"/>
      <c r="K6" s="1270"/>
      <c r="L6" s="1273" t="s">
        <v>411</v>
      </c>
      <c r="M6" s="447"/>
      <c r="N6" s="447"/>
      <c r="O6" s="447"/>
      <c r="P6" s="3258">
        <v>1</v>
      </c>
      <c r="Q6" s="1408"/>
      <c r="R6" s="293"/>
      <c r="S6" s="972"/>
      <c r="T6" s="1310"/>
      <c r="U6" s="1311"/>
      <c r="V6" s="3315"/>
      <c r="W6" s="3315"/>
      <c r="X6" s="3315"/>
      <c r="Y6" s="3315"/>
      <c r="Z6" s="3315"/>
      <c r="AA6" s="3315"/>
      <c r="AB6" s="3315"/>
      <c r="AC6" s="3316"/>
      <c r="AD6" s="3314"/>
      <c r="AE6" s="3315"/>
      <c r="AF6" s="3315"/>
      <c r="AG6" s="3315"/>
      <c r="AH6" s="3315"/>
      <c r="AI6" s="3315"/>
      <c r="AJ6" s="3315"/>
      <c r="AK6" s="3315"/>
      <c r="AL6" s="3315"/>
      <c r="AM6" s="3315"/>
      <c r="AN6" s="3315"/>
      <c r="AO6" s="3315"/>
      <c r="AP6" s="3315"/>
      <c r="AQ6" s="3315"/>
      <c r="AR6" s="3315"/>
      <c r="AS6" s="3315"/>
      <c r="AT6" s="3315"/>
      <c r="AU6" s="3315"/>
      <c r="AV6" s="3315"/>
      <c r="AW6" s="3315"/>
      <c r="AX6" s="3315"/>
      <c r="AY6" s="3315"/>
      <c r="AZ6" s="3315"/>
      <c r="BA6" s="3315"/>
      <c r="BB6" s="3316"/>
      <c r="BC6" s="1312"/>
      <c r="BE6" s="437"/>
      <c r="BF6" s="437" t="str">
        <f t="shared" si="0"/>
        <v/>
      </c>
      <c r="BG6" s="437"/>
      <c r="BH6" s="437"/>
      <c r="BI6" s="448">
        <v>0</v>
      </c>
    </row>
    <row r="7" spans="1:61" s="1569" customFormat="1" ht="14.25" hidden="1" customHeight="1">
      <c r="A7" s="1270"/>
      <c r="B7" s="1270"/>
      <c r="C7" s="1270"/>
      <c r="D7" s="1270"/>
      <c r="E7" s="3255"/>
      <c r="F7" s="3255"/>
      <c r="G7" s="3255"/>
      <c r="H7" s="3255"/>
      <c r="I7" s="3257"/>
      <c r="J7" s="3256" t="str">
        <f>S5&amp;".1"</f>
        <v>.1</v>
      </c>
      <c r="K7" s="1270"/>
      <c r="L7" s="1273"/>
      <c r="M7" s="447"/>
      <c r="N7" s="447"/>
      <c r="O7" s="447"/>
      <c r="P7" s="3258"/>
      <c r="Q7" s="3258">
        <v>1</v>
      </c>
      <c r="R7" s="294"/>
      <c r="S7" s="972"/>
      <c r="T7" s="1326"/>
      <c r="U7" s="1311"/>
      <c r="V7" s="3315"/>
      <c r="W7" s="3315"/>
      <c r="X7" s="3315"/>
      <c r="Y7" s="3315"/>
      <c r="Z7" s="3315"/>
      <c r="AA7" s="3315"/>
      <c r="AB7" s="3315"/>
      <c r="AC7" s="3316"/>
      <c r="AD7" s="3314"/>
      <c r="AE7" s="3315"/>
      <c r="AF7" s="3315"/>
      <c r="AG7" s="3315"/>
      <c r="AH7" s="3315"/>
      <c r="AI7" s="3315"/>
      <c r="AJ7" s="3315"/>
      <c r="AK7" s="3315"/>
      <c r="AL7" s="3315"/>
      <c r="AM7" s="3315"/>
      <c r="AN7" s="3315"/>
      <c r="AO7" s="3315"/>
      <c r="AP7" s="3315"/>
      <c r="AQ7" s="3315"/>
      <c r="AR7" s="3315"/>
      <c r="AS7" s="3315"/>
      <c r="AT7" s="3315"/>
      <c r="AU7" s="3315"/>
      <c r="AV7" s="3315"/>
      <c r="AW7" s="3315"/>
      <c r="AX7" s="3315"/>
      <c r="AY7" s="3315"/>
      <c r="AZ7" s="3315"/>
      <c r="BA7" s="3315"/>
      <c r="BB7" s="3316"/>
      <c r="BC7" s="1312"/>
      <c r="BE7" s="437"/>
      <c r="BF7" s="437" t="str">
        <f t="shared" si="0"/>
        <v/>
      </c>
      <c r="BG7" s="437"/>
      <c r="BH7" s="437"/>
      <c r="BI7" s="448">
        <v>0</v>
      </c>
    </row>
    <row r="8" spans="1:61" ht="11.25" hidden="1" customHeight="1">
      <c r="A8" s="1290"/>
      <c r="B8" s="1290"/>
      <c r="C8" s="1290"/>
      <c r="D8" s="1290"/>
      <c r="E8" s="3255"/>
      <c r="F8" s="3255"/>
      <c r="G8" s="3255"/>
      <c r="H8" s="3255"/>
      <c r="I8" s="3257"/>
      <c r="J8" s="3257"/>
      <c r="K8" s="3256" t="e">
        <f>S4&amp;".1"</f>
        <v>#N/A</v>
      </c>
      <c r="L8" s="1291"/>
      <c r="P8" s="3258"/>
      <c r="Q8" s="3258"/>
      <c r="R8" s="3343">
        <v>1</v>
      </c>
      <c r="S8" s="3340" t="e">
        <f>$K8</f>
        <v>#N/A</v>
      </c>
      <c r="T8" s="3360"/>
      <c r="U8" s="238"/>
      <c r="V8" s="688"/>
      <c r="W8" s="1184"/>
      <c r="X8" s="688"/>
      <c r="Y8" s="1184"/>
      <c r="Z8" s="1660"/>
      <c r="AA8" s="1396" t="s">
        <v>67</v>
      </c>
      <c r="AB8" s="1660"/>
      <c r="AC8" s="1396" t="s">
        <v>67</v>
      </c>
      <c r="AD8" s="3176" t="s">
        <v>67</v>
      </c>
      <c r="AE8" s="3336"/>
      <c r="AF8" s="3208">
        <v>1</v>
      </c>
      <c r="AG8" s="3359"/>
      <c r="AH8" s="3121" t="s">
        <v>67</v>
      </c>
      <c r="AI8" s="3336"/>
      <c r="AJ8" s="3208">
        <v>1</v>
      </c>
      <c r="AK8" s="3350" t="s">
        <v>28</v>
      </c>
      <c r="AL8" s="3121" t="s">
        <v>67</v>
      </c>
      <c r="AM8" s="3185"/>
      <c r="AN8" s="3208">
        <v>1</v>
      </c>
      <c r="AO8" s="3363"/>
      <c r="AP8" s="3364" t="s">
        <v>67</v>
      </c>
      <c r="AQ8" s="249"/>
      <c r="AR8" s="1413">
        <v>1</v>
      </c>
      <c r="AS8" s="1419" t="s">
        <v>28</v>
      </c>
      <c r="AT8" s="688"/>
      <c r="AU8" s="1184"/>
      <c r="AV8" s="688"/>
      <c r="AW8" s="1184"/>
      <c r="AX8" s="1660"/>
      <c r="AY8" s="1396" t="s">
        <v>67</v>
      </c>
      <c r="AZ8" s="1660"/>
      <c r="BA8" s="1396" t="s">
        <v>67</v>
      </c>
      <c r="BB8" s="1275"/>
      <c r="BC8" s="3278" t="s">
        <v>508</v>
      </c>
      <c r="BE8" s="437"/>
      <c r="BF8" s="437" t="str">
        <f t="shared" si="0"/>
        <v/>
      </c>
      <c r="BG8" s="437"/>
      <c r="BH8" s="437"/>
      <c r="BI8" s="1082">
        <v>0</v>
      </c>
    </row>
    <row r="9" spans="1:61" ht="11.25" hidden="1" customHeight="1">
      <c r="A9" s="1290"/>
      <c r="B9" s="1290"/>
      <c r="C9" s="1290"/>
      <c r="D9" s="1290"/>
      <c r="E9" s="3255"/>
      <c r="F9" s="3255"/>
      <c r="G9" s="3255"/>
      <c r="H9" s="3255"/>
      <c r="I9" s="3257"/>
      <c r="J9" s="3257"/>
      <c r="K9" s="3256"/>
      <c r="L9" s="1291"/>
      <c r="P9" s="3258"/>
      <c r="Q9" s="3258"/>
      <c r="R9" s="3343"/>
      <c r="S9" s="3341"/>
      <c r="T9" s="3361"/>
      <c r="U9" s="238"/>
      <c r="V9" s="1320"/>
      <c r="W9" s="1423"/>
      <c r="X9" s="1320"/>
      <c r="Y9" s="1423"/>
      <c r="Z9" s="1320"/>
      <c r="AA9" s="1320"/>
      <c r="AB9" s="1320"/>
      <c r="AC9" s="1320"/>
      <c r="AD9" s="3177"/>
      <c r="AE9" s="3336"/>
      <c r="AF9" s="3208"/>
      <c r="AG9" s="3359"/>
      <c r="AH9" s="3121"/>
      <c r="AI9" s="3336"/>
      <c r="AJ9" s="3208"/>
      <c r="AK9" s="3350"/>
      <c r="AL9" s="3121"/>
      <c r="AM9" s="3190"/>
      <c r="AN9" s="3208"/>
      <c r="AO9" s="3363"/>
      <c r="AP9" s="3365"/>
      <c r="AQ9" s="254"/>
      <c r="AR9" s="353"/>
      <c r="AS9" s="353" t="s">
        <v>509</v>
      </c>
      <c r="AT9" s="1320"/>
      <c r="AU9" s="1423"/>
      <c r="AV9" s="1320"/>
      <c r="AW9" s="1423"/>
      <c r="AX9" s="1320"/>
      <c r="AY9" s="1320"/>
      <c r="AZ9" s="1320"/>
      <c r="BA9" s="1320"/>
      <c r="BB9" s="1324"/>
      <c r="BC9" s="3279"/>
      <c r="BE9" s="437"/>
      <c r="BF9" s="437"/>
      <c r="BG9" s="437"/>
      <c r="BH9" s="437"/>
      <c r="BI9" s="1082">
        <v>0</v>
      </c>
    </row>
    <row r="10" spans="1:61" ht="11.25" hidden="1" customHeight="1">
      <c r="A10" s="1290"/>
      <c r="B10" s="1290"/>
      <c r="C10" s="1290"/>
      <c r="D10" s="1290"/>
      <c r="E10" s="3255"/>
      <c r="F10" s="3255"/>
      <c r="G10" s="3255"/>
      <c r="H10" s="3255"/>
      <c r="I10" s="3257"/>
      <c r="J10" s="3257"/>
      <c r="K10" s="3256"/>
      <c r="L10" s="1291"/>
      <c r="P10" s="3258"/>
      <c r="Q10" s="3258"/>
      <c r="R10" s="3343"/>
      <c r="S10" s="3341"/>
      <c r="T10" s="3361"/>
      <c r="U10" s="238"/>
      <c r="V10" s="1320"/>
      <c r="W10" s="1423"/>
      <c r="X10" s="1320"/>
      <c r="Y10" s="1423"/>
      <c r="Z10" s="1320"/>
      <c r="AA10" s="1320"/>
      <c r="AB10" s="1320"/>
      <c r="AC10" s="1320"/>
      <c r="AD10" s="3177"/>
      <c r="AE10" s="3336"/>
      <c r="AF10" s="3208"/>
      <c r="AG10" s="3359"/>
      <c r="AH10" s="3121"/>
      <c r="AI10" s="3336"/>
      <c r="AJ10" s="3208"/>
      <c r="AK10" s="3350"/>
      <c r="AL10" s="3121"/>
      <c r="AM10" s="254"/>
      <c r="AN10" s="1427"/>
      <c r="AO10" s="1427" t="s">
        <v>529</v>
      </c>
      <c r="AP10" s="353"/>
      <c r="AQ10" s="353"/>
      <c r="AR10" s="353"/>
      <c r="AS10" s="1320"/>
      <c r="AT10" s="1320"/>
      <c r="AU10" s="1423"/>
      <c r="AV10" s="1320"/>
      <c r="AW10" s="1423"/>
      <c r="AX10" s="1320"/>
      <c r="AY10" s="1320"/>
      <c r="AZ10" s="1320"/>
      <c r="BA10" s="1320"/>
      <c r="BB10" s="1324"/>
      <c r="BC10" s="3279"/>
      <c r="BE10" s="437"/>
      <c r="BF10" s="437"/>
      <c r="BG10" s="437"/>
      <c r="BH10" s="437"/>
      <c r="BI10" s="1082">
        <v>0</v>
      </c>
    </row>
    <row r="11" spans="1:61" ht="11.25" hidden="1" customHeight="1">
      <c r="A11" s="1290"/>
      <c r="B11" s="1290"/>
      <c r="C11" s="1290"/>
      <c r="D11" s="1290"/>
      <c r="E11" s="3255"/>
      <c r="F11" s="3255"/>
      <c r="G11" s="3255"/>
      <c r="H11" s="3255"/>
      <c r="I11" s="3257"/>
      <c r="J11" s="3257"/>
      <c r="K11" s="3256"/>
      <c r="L11" s="1291"/>
      <c r="P11" s="3258"/>
      <c r="Q11" s="3258"/>
      <c r="R11" s="3343"/>
      <c r="S11" s="3341"/>
      <c r="T11" s="3361"/>
      <c r="U11" s="238"/>
      <c r="V11" s="1320"/>
      <c r="W11" s="1423"/>
      <c r="X11" s="1320"/>
      <c r="Y11" s="1423"/>
      <c r="Z11" s="1320"/>
      <c r="AA11" s="1320"/>
      <c r="AB11" s="1320"/>
      <c r="AC11" s="1320"/>
      <c r="AD11" s="3177"/>
      <c r="AE11" s="3336"/>
      <c r="AF11" s="3208"/>
      <c r="AG11" s="3359"/>
      <c r="AH11" s="3121"/>
      <c r="AI11" s="232"/>
      <c r="AJ11" s="352"/>
      <c r="AK11" s="251" t="s">
        <v>530</v>
      </c>
      <c r="AL11" s="1320"/>
      <c r="AM11" s="1320"/>
      <c r="AN11" s="1320"/>
      <c r="AO11" s="1320"/>
      <c r="AP11" s="1320"/>
      <c r="AQ11" s="1320"/>
      <c r="AR11" s="1320"/>
      <c r="AS11" s="1320"/>
      <c r="AT11" s="1320"/>
      <c r="AU11" s="1423"/>
      <c r="AV11" s="1320"/>
      <c r="AW11" s="1423"/>
      <c r="AX11" s="1320"/>
      <c r="AY11" s="1320"/>
      <c r="AZ11" s="1320"/>
      <c r="BA11" s="1320"/>
      <c r="BB11" s="1324"/>
      <c r="BC11" s="3279"/>
      <c r="BE11" s="437"/>
      <c r="BF11" s="437"/>
      <c r="BG11" s="437"/>
      <c r="BH11" s="437"/>
      <c r="BI11" s="1082">
        <v>0</v>
      </c>
    </row>
    <row r="12" spans="1:61" ht="11.25" hidden="1" customHeight="1">
      <c r="A12" s="1290"/>
      <c r="B12" s="1290"/>
      <c r="C12" s="1290"/>
      <c r="D12" s="1290"/>
      <c r="E12" s="3255"/>
      <c r="F12" s="3255"/>
      <c r="G12" s="3255"/>
      <c r="H12" s="3255"/>
      <c r="I12" s="3257"/>
      <c r="J12" s="3257"/>
      <c r="K12" s="3256"/>
      <c r="L12" s="1291"/>
      <c r="P12" s="3258"/>
      <c r="Q12" s="3258"/>
      <c r="R12" s="3343"/>
      <c r="S12" s="3342"/>
      <c r="T12" s="3362"/>
      <c r="U12" s="238"/>
      <c r="V12" s="1320"/>
      <c r="W12" s="1321" t="str">
        <f>Z8&amp;"-"&amp;AB8</f>
        <v>-</v>
      </c>
      <c r="X12" s="1320"/>
      <c r="Y12" s="1321" t="str">
        <f>AB8&amp;"-"&amp;AD8</f>
        <v>-да</v>
      </c>
      <c r="Z12" s="1320"/>
      <c r="AA12" s="1320"/>
      <c r="AB12" s="1320"/>
      <c r="AC12" s="1320"/>
      <c r="AD12" s="3126"/>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279"/>
      <c r="BE12" s="437"/>
      <c r="BF12" s="437" t="str">
        <f t="shared" ref="BF12:BF18" si="1">IF(T12="","",T12)</f>
        <v/>
      </c>
      <c r="BG12" s="437"/>
      <c r="BH12" s="437"/>
      <c r="BI12" s="1082">
        <v>0</v>
      </c>
    </row>
    <row r="13" spans="1:61" ht="11.25" hidden="1" customHeight="1">
      <c r="A13" s="1290"/>
      <c r="B13" s="1290"/>
      <c r="C13" s="1290"/>
      <c r="D13" s="1290"/>
      <c r="E13" s="3255"/>
      <c r="F13" s="3255"/>
      <c r="G13" s="3255"/>
      <c r="H13" s="3255"/>
      <c r="I13" s="3257"/>
      <c r="J13" s="3256"/>
      <c r="K13" s="1290"/>
      <c r="L13" s="1291"/>
      <c r="P13" s="3258"/>
      <c r="Q13" s="3258"/>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3280"/>
      <c r="BE13" s="437"/>
      <c r="BF13" s="437" t="str">
        <f t="shared" si="1"/>
        <v>Добавить строку</v>
      </c>
      <c r="BG13" s="437"/>
      <c r="BH13" s="437"/>
      <c r="BI13" s="1082">
        <v>0</v>
      </c>
    </row>
    <row r="14" spans="1:61" s="1569" customFormat="1" ht="14.25" hidden="1" customHeight="1">
      <c r="A14" s="1270"/>
      <c r="B14" s="1270"/>
      <c r="C14" s="1270"/>
      <c r="D14" s="1270"/>
      <c r="E14" s="3255"/>
      <c r="F14" s="3255"/>
      <c r="G14" s="3255"/>
      <c r="H14" s="3255"/>
      <c r="I14" s="3256"/>
      <c r="J14" s="1270"/>
      <c r="K14" s="1270"/>
      <c r="L14" s="1273"/>
      <c r="M14" s="447"/>
      <c r="N14" s="447"/>
      <c r="O14" s="447"/>
      <c r="P14" s="325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255"/>
      <c r="F15" s="3255"/>
      <c r="G15" s="3255"/>
      <c r="H15" s="325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255"/>
      <c r="F16" s="3255"/>
      <c r="G16" s="325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255"/>
      <c r="F17" s="3254"/>
      <c r="G17" s="1241"/>
      <c r="H17" s="1241"/>
      <c r="I17" s="1241"/>
      <c r="J17" s="1241"/>
      <c r="K17" s="1241"/>
      <c r="L17" s="1421"/>
      <c r="M17" s="1248"/>
      <c r="N17" s="1248"/>
      <c r="P17" s="1243"/>
      <c r="Q17" s="1244"/>
      <c r="R17" s="1243"/>
      <c r="S17" s="1249"/>
      <c r="T17" s="1252" t="s">
        <v>167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254"/>
      <c r="F18" s="1270"/>
      <c r="G18" s="1270"/>
      <c r="H18" s="1270"/>
      <c r="I18" s="1270"/>
      <c r="J18" s="1270"/>
      <c r="K18" s="1270"/>
      <c r="L18" s="1273"/>
      <c r="M18" s="1248"/>
      <c r="N18" s="1248"/>
      <c r="O18" s="455"/>
      <c r="P18" s="317"/>
      <c r="Q18" s="1271"/>
      <c r="R18" s="317"/>
      <c r="S18" s="1249"/>
      <c r="T18" s="1252" t="s">
        <v>168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422</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423</v>
      </c>
      <c r="P24" s="1435"/>
      <c r="Q24" s="1437"/>
      <c r="R24" s="1437"/>
      <c r="AA24" s="1434" t="s">
        <v>425</v>
      </c>
      <c r="AC24" s="1434" t="s">
        <v>426</v>
      </c>
      <c r="AD24" s="1434" t="s">
        <v>476</v>
      </c>
      <c r="AH24" s="1434" t="s">
        <v>476</v>
      </c>
      <c r="AK24" s="1434" t="s">
        <v>513</v>
      </c>
      <c r="AL24" s="1434" t="s">
        <v>476</v>
      </c>
      <c r="AP24" s="1434" t="s">
        <v>476</v>
      </c>
      <c r="AY24" s="1434" t="s">
        <v>425</v>
      </c>
      <c r="BA24" s="1434" t="s">
        <v>426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323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232"/>
      <c r="U28" s="3232"/>
      <c r="V28" s="3232"/>
      <c r="W28" s="3232"/>
      <c r="X28" s="3232"/>
      <c r="Y28" s="3232"/>
      <c r="Z28" s="3232"/>
      <c r="AA28" s="3232"/>
      <c r="AB28" s="3232"/>
      <c r="AC28" s="3232"/>
      <c r="AD28" s="3232"/>
      <c r="AE28" s="3232"/>
      <c r="AF28" s="3232"/>
      <c r="AG28" s="3232"/>
      <c r="AH28" s="3232"/>
      <c r="AI28" s="3232"/>
      <c r="AJ28" s="3232"/>
      <c r="AK28" s="3232"/>
      <c r="AL28" s="3232"/>
      <c r="AM28" s="3232"/>
      <c r="AN28" s="3232"/>
      <c r="AO28" s="3232"/>
      <c r="AP28" s="3232"/>
      <c r="AQ28" s="3232"/>
      <c r="AR28" s="3232"/>
      <c r="AS28" s="3232"/>
      <c r="AT28" s="3232"/>
      <c r="AU28" s="3232"/>
      <c r="AV28" s="3232"/>
      <c r="AW28" s="3232"/>
      <c r="AX28" s="3232"/>
      <c r="AY28" s="3232"/>
      <c r="AZ28" s="3232"/>
      <c r="BA28" s="1170"/>
      <c r="BI28" s="1082">
        <v>14</v>
      </c>
    </row>
    <row r="29" spans="1:61" ht="14.65" customHeight="1">
      <c r="Q29" s="229"/>
      <c r="R29" s="313"/>
      <c r="S29" s="3204" t="str">
        <f>IF(org=0,"Не определено",org)</f>
        <v>АО Нижневартовская ГРЭС</v>
      </c>
      <c r="T29" s="3204"/>
      <c r="U29" s="3204"/>
      <c r="V29" s="3204"/>
      <c r="W29" s="3204"/>
      <c r="X29" s="3204"/>
      <c r="Y29" s="3204"/>
      <c r="Z29" s="3204"/>
      <c r="AA29" s="3204"/>
      <c r="AB29" s="3204"/>
      <c r="AC29" s="3204"/>
      <c r="AD29" s="3204"/>
      <c r="AE29" s="3204"/>
      <c r="AF29" s="3204"/>
      <c r="AG29" s="3204"/>
      <c r="AH29" s="3204"/>
      <c r="AI29" s="3204"/>
      <c r="AJ29" s="3204"/>
      <c r="AK29" s="3204"/>
      <c r="AL29" s="3204"/>
      <c r="AM29" s="3204"/>
      <c r="AN29" s="3204"/>
      <c r="AO29" s="3204"/>
      <c r="AP29" s="3204"/>
      <c r="AQ29" s="3204"/>
      <c r="AR29" s="3204"/>
      <c r="AS29" s="3204"/>
      <c r="AT29" s="3204"/>
      <c r="AU29" s="3204"/>
      <c r="AV29" s="3204"/>
      <c r="AW29" s="3204"/>
      <c r="AX29" s="3204"/>
      <c r="AY29" s="3204"/>
      <c r="AZ29" s="320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3243" t="s">
        <v>42</v>
      </c>
      <c r="T31" s="3243"/>
      <c r="U31" s="1299"/>
      <c r="V31" s="3245" t="str">
        <f>IF(TITLE_NAME_OR_PR_CHANGE="",IF(TITLE_NAME_OR_PR="","",TITLE_NAME_OR_PR),TITLE_NAME_OR_PR_CHANGE)</f>
        <v/>
      </c>
      <c r="W31" s="3245"/>
      <c r="X31" s="3245"/>
      <c r="Y31" s="3245"/>
      <c r="Z31" s="3245"/>
      <c r="AA31" s="3245"/>
      <c r="AB31" s="3245"/>
      <c r="AC31" s="264"/>
      <c r="AD31" s="3245" t="str">
        <f>IF(TITLE_NAME_OR_PR_CHANGE="",IF(TITLE_NAME_OR_PR="","",TITLE_NAME_OR_PR),TITLE_NAME_OR_PR_CHANGE)</f>
        <v/>
      </c>
      <c r="AE31" s="3245"/>
      <c r="AF31" s="3245"/>
      <c r="AG31" s="3245"/>
      <c r="AH31" s="3245"/>
      <c r="AI31" s="3245"/>
      <c r="AJ31" s="3245"/>
      <c r="AK31" s="3245"/>
      <c r="AL31" s="3245"/>
      <c r="AM31" s="3245"/>
      <c r="AN31" s="3245"/>
      <c r="AO31" s="3245"/>
      <c r="AP31" s="3245"/>
      <c r="AQ31" s="3245"/>
      <c r="AR31" s="3245"/>
      <c r="AS31" s="3245"/>
      <c r="AT31" s="3245"/>
      <c r="AU31" s="3245"/>
      <c r="AV31" s="3245"/>
      <c r="AW31" s="3245"/>
      <c r="AX31" s="3245"/>
      <c r="AY31" s="3245"/>
      <c r="AZ31" s="324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243" t="s">
        <v>428</v>
      </c>
      <c r="T32" s="3243"/>
      <c r="U32" s="1299"/>
      <c r="V32" s="3244">
        <f>IF(TITLE_DATE_PR_CHANGE="",IF(TITLE_DATE_PR="","",TITLE_DATE_PR),TITLE_DATE_PR_CHANGE)</f>
        <v>45595.546053240738</v>
      </c>
      <c r="W32" s="3244"/>
      <c r="X32" s="3244"/>
      <c r="Y32" s="3244"/>
      <c r="Z32" s="3244"/>
      <c r="AA32" s="3244"/>
      <c r="AB32" s="3244"/>
      <c r="AC32" s="264"/>
      <c r="AD32" s="3244">
        <f>IF(TITLE_DATE_PR_CHANGE="",IF(TITLE_DATE_PR="","",TITLE_DATE_PR),TITLE_DATE_PR_CHANGE)</f>
        <v>45595.546053240738</v>
      </c>
      <c r="AE32" s="3244"/>
      <c r="AF32" s="3244"/>
      <c r="AG32" s="3244"/>
      <c r="AH32" s="3244"/>
      <c r="AI32" s="3244"/>
      <c r="AJ32" s="3244"/>
      <c r="AK32" s="3244"/>
      <c r="AL32" s="3244"/>
      <c r="AM32" s="3244"/>
      <c r="AN32" s="3244"/>
      <c r="AO32" s="3244"/>
      <c r="AP32" s="3244"/>
      <c r="AQ32" s="3244"/>
      <c r="AR32" s="3244"/>
      <c r="AS32" s="3244"/>
      <c r="AT32" s="3244"/>
      <c r="AU32" s="3244"/>
      <c r="AV32" s="3244"/>
      <c r="AW32" s="3244"/>
      <c r="AX32" s="3244"/>
      <c r="AY32" s="3244"/>
      <c r="AZ32" s="324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243" t="s">
        <v>429</v>
      </c>
      <c r="T33" s="3243"/>
      <c r="U33" s="1299"/>
      <c r="V33" s="3245" t="str">
        <f>IF(TITLE_NUMBER_PR_CHANGE="",IF(TITLE_NUMBER_PR="","",TITLE_NUMBER_PR),TITLE_NUMBER_PR_CHANGE)</f>
        <v>03/3636</v>
      </c>
      <c r="W33" s="3245"/>
      <c r="X33" s="3245"/>
      <c r="Y33" s="3245"/>
      <c r="Z33" s="3245"/>
      <c r="AA33" s="3245"/>
      <c r="AB33" s="3245"/>
      <c r="AC33" s="264"/>
      <c r="AD33" s="3245" t="str">
        <f>IF(TITLE_NUMBER_PR_CHANGE="",IF(TITLE_NUMBER_PR="","",TITLE_NUMBER_PR),TITLE_NUMBER_PR_CHANGE)</f>
        <v>03/3636</v>
      </c>
      <c r="AE33" s="3245"/>
      <c r="AF33" s="3245"/>
      <c r="AG33" s="3245"/>
      <c r="AH33" s="3245"/>
      <c r="AI33" s="3245"/>
      <c r="AJ33" s="3245"/>
      <c r="AK33" s="3245"/>
      <c r="AL33" s="3245"/>
      <c r="AM33" s="3245"/>
      <c r="AN33" s="3245"/>
      <c r="AO33" s="3245"/>
      <c r="AP33" s="3245"/>
      <c r="AQ33" s="3245"/>
      <c r="AR33" s="3245"/>
      <c r="AS33" s="3245"/>
      <c r="AT33" s="3245"/>
      <c r="AU33" s="3245"/>
      <c r="AV33" s="3245"/>
      <c r="AW33" s="3245"/>
      <c r="AX33" s="3245"/>
      <c r="AY33" s="3245"/>
      <c r="AZ33" s="324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3243" t="s">
        <v>43</v>
      </c>
      <c r="T34" s="3243"/>
      <c r="U34" s="1299"/>
      <c r="V34" s="3245" t="str">
        <f>IF(TITLE_IST_PUB_CHANGE="",IF(TITLE_IST_PUB="","",TITLE_IST_PUB),TITLE_IST_PUB_CHANGE)</f>
        <v/>
      </c>
      <c r="W34" s="3245"/>
      <c r="X34" s="3245"/>
      <c r="Y34" s="3245"/>
      <c r="Z34" s="3245"/>
      <c r="AA34" s="3245"/>
      <c r="AB34" s="3245"/>
      <c r="AC34" s="264"/>
      <c r="AD34" s="3245" t="str">
        <f>IF(TITLE_IST_PUB_CHANGE="",IF(TITLE_IST_PUB="","",TITLE_IST_PUB),TITLE_IST_PUB_CHANGE)</f>
        <v/>
      </c>
      <c r="AE34" s="3245"/>
      <c r="AF34" s="3245"/>
      <c r="AG34" s="3245"/>
      <c r="AH34" s="3245"/>
      <c r="AI34" s="3245"/>
      <c r="AJ34" s="3245"/>
      <c r="AK34" s="3245"/>
      <c r="AL34" s="3245"/>
      <c r="AM34" s="3245"/>
      <c r="AN34" s="3245"/>
      <c r="AO34" s="3245"/>
      <c r="AP34" s="3245"/>
      <c r="AQ34" s="3245"/>
      <c r="AR34" s="3245"/>
      <c r="AS34" s="3245"/>
      <c r="AT34" s="3245"/>
      <c r="AU34" s="3245"/>
      <c r="AV34" s="3245"/>
      <c r="AW34" s="3245"/>
      <c r="AX34" s="3245"/>
      <c r="AY34" s="3245"/>
      <c r="AZ34" s="324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3243" t="s">
        <v>428</v>
      </c>
      <c r="T36" s="3243"/>
      <c r="U36" s="1299"/>
      <c r="V36" s="3244">
        <f>IF(TITLE_DATE_PR_CHANGE="",IF(TITLE_DATE_PR="","",TITLE_DATE_PR),TITLE_DATE_PR_CHANGE)</f>
        <v>45595.546053240738</v>
      </c>
      <c r="W36" s="3244"/>
      <c r="X36" s="3244"/>
      <c r="Y36" s="3244"/>
      <c r="Z36" s="3244"/>
      <c r="AA36" s="3244"/>
      <c r="AB36" s="3244"/>
      <c r="AC36" s="264"/>
      <c r="AD36" s="3244">
        <f>IF(TITLE_DATE_PR_CHANGE="",IF(TITLE_DATE_PR="","",TITLE_DATE_PR),TITLE_DATE_PR_CHANGE)</f>
        <v>45595.546053240738</v>
      </c>
      <c r="AE36" s="3244"/>
      <c r="AF36" s="3244"/>
      <c r="AG36" s="3244"/>
      <c r="AH36" s="3244"/>
      <c r="AI36" s="3244"/>
      <c r="AJ36" s="3244"/>
      <c r="AK36" s="3244"/>
      <c r="AL36" s="3244"/>
      <c r="AM36" s="3244"/>
      <c r="AN36" s="3244"/>
      <c r="AO36" s="3244"/>
      <c r="AP36" s="3244"/>
      <c r="AQ36" s="3244"/>
      <c r="AR36" s="3244"/>
      <c r="AS36" s="3244"/>
      <c r="AT36" s="3244"/>
      <c r="AU36" s="3244"/>
      <c r="AV36" s="3244"/>
      <c r="AW36" s="3244"/>
      <c r="AX36" s="3244"/>
      <c r="AY36" s="3244"/>
      <c r="AZ36" s="324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3243" t="s">
        <v>429</v>
      </c>
      <c r="T37" s="3243"/>
      <c r="U37" s="1299"/>
      <c r="V37" s="3245" t="str">
        <f>IF(TITLE_NUMBER_PR_CHANGE="",IF(TITLE_NUMBER_PR="","",TITLE_NUMBER_PR),TITLE_NUMBER_PR_CHANGE)</f>
        <v>03/3636</v>
      </c>
      <c r="W37" s="3245"/>
      <c r="X37" s="3245"/>
      <c r="Y37" s="3245"/>
      <c r="Z37" s="3245"/>
      <c r="AA37" s="3245"/>
      <c r="AB37" s="3245"/>
      <c r="AC37" s="264"/>
      <c r="AD37" s="3245" t="str">
        <f>IF(TITLE_NUMBER_PR_CHANGE="",IF(TITLE_NUMBER_PR="","",TITLE_NUMBER_PR),TITLE_NUMBER_PR_CHANGE)</f>
        <v>03/3636</v>
      </c>
      <c r="AE37" s="3245"/>
      <c r="AF37" s="3245"/>
      <c r="AG37" s="3245"/>
      <c r="AH37" s="3245"/>
      <c r="AI37" s="3245"/>
      <c r="AJ37" s="3245"/>
      <c r="AK37" s="3245"/>
      <c r="AL37" s="3245"/>
      <c r="AM37" s="3245"/>
      <c r="AN37" s="3245"/>
      <c r="AO37" s="3245"/>
      <c r="AP37" s="3245"/>
      <c r="AQ37" s="3245"/>
      <c r="AR37" s="3245"/>
      <c r="AS37" s="3245"/>
      <c r="AT37" s="3245"/>
      <c r="AU37" s="3245"/>
      <c r="AV37" s="3245"/>
      <c r="AW37" s="3245"/>
      <c r="AX37" s="3245"/>
      <c r="AY37" s="3245"/>
      <c r="AZ37" s="324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432</v>
      </c>
      <c r="BD38" s="305"/>
      <c r="BE38" s="305"/>
      <c r="BF38" s="305"/>
      <c r="BG38" s="305"/>
      <c r="BH38" s="305"/>
      <c r="BI38" s="355">
        <v>0</v>
      </c>
    </row>
    <row r="39" spans="1:61" ht="14.65" customHeight="1">
      <c r="Q39" s="229"/>
      <c r="R39" s="313"/>
      <c r="S39" s="1202"/>
      <c r="T39" s="300"/>
      <c r="U39" s="1171"/>
      <c r="V39" s="3266"/>
      <c r="W39" s="3266"/>
      <c r="X39" s="3266"/>
      <c r="Y39" s="3266"/>
      <c r="Z39" s="3266"/>
      <c r="AA39" s="3266"/>
      <c r="AB39" s="3266"/>
      <c r="AC39" s="3266"/>
      <c r="AD39" s="3266"/>
      <c r="AE39" s="3266"/>
      <c r="AF39" s="3266"/>
      <c r="AG39" s="3266"/>
      <c r="AH39" s="3266"/>
      <c r="AI39" s="3266"/>
      <c r="AJ39" s="3266"/>
      <c r="AK39" s="3266"/>
      <c r="AL39" s="3266"/>
      <c r="AM39" s="3266"/>
      <c r="AN39" s="3266"/>
      <c r="AO39" s="3266"/>
      <c r="AP39" s="3266"/>
      <c r="AQ39" s="3266"/>
      <c r="AR39" s="3266"/>
      <c r="AS39" s="3266"/>
      <c r="AT39" s="3266"/>
      <c r="AU39" s="3266"/>
      <c r="AV39" s="3266"/>
      <c r="AW39" s="3266"/>
      <c r="AX39" s="3266"/>
      <c r="AY39" s="3266"/>
      <c r="AZ39" s="3266"/>
      <c r="BA39" s="3266"/>
      <c r="BI39" s="1082">
        <v>14</v>
      </c>
    </row>
    <row r="40" spans="1:61" ht="14.65" customHeight="1">
      <c r="Q40" s="229"/>
      <c r="R40" s="313"/>
      <c r="S40" s="3111" t="s">
        <v>308</v>
      </c>
      <c r="T40" s="3111"/>
      <c r="U40" s="3111"/>
      <c r="V40" s="3111"/>
      <c r="W40" s="3111"/>
      <c r="X40" s="3111"/>
      <c r="Y40" s="3111"/>
      <c r="Z40" s="3111"/>
      <c r="AA40" s="3111"/>
      <c r="AB40" s="3111"/>
      <c r="AC40" s="3111"/>
      <c r="AD40" s="3111"/>
      <c r="AE40" s="3111"/>
      <c r="AF40" s="3111"/>
      <c r="AG40" s="3111"/>
      <c r="AH40" s="3111"/>
      <c r="AI40" s="3111"/>
      <c r="AJ40" s="3111"/>
      <c r="AK40" s="3111"/>
      <c r="AL40" s="3111"/>
      <c r="AM40" s="3111"/>
      <c r="AN40" s="3111"/>
      <c r="AO40" s="3111"/>
      <c r="AP40" s="3111"/>
      <c r="AQ40" s="3111"/>
      <c r="AR40" s="3111"/>
      <c r="AS40" s="3111"/>
      <c r="AT40" s="3111"/>
      <c r="AU40" s="3111"/>
      <c r="AV40" s="3111"/>
      <c r="AW40" s="3111"/>
      <c r="AX40" s="3111"/>
      <c r="AY40" s="3111"/>
      <c r="AZ40" s="3111"/>
      <c r="BA40" s="3111"/>
      <c r="BB40" s="3111"/>
      <c r="BC40" s="3111" t="s">
        <v>309</v>
      </c>
      <c r="BI40" s="1082">
        <v>14</v>
      </c>
    </row>
    <row r="41" spans="1:61" ht="14.65" customHeight="1">
      <c r="Q41" s="229"/>
      <c r="R41" s="313"/>
      <c r="S41" s="3268" t="s">
        <v>85</v>
      </c>
      <c r="T41" s="3212" t="s">
        <v>514</v>
      </c>
      <c r="U41" s="239"/>
      <c r="V41" s="3269" t="s">
        <v>434</v>
      </c>
      <c r="W41" s="3270"/>
      <c r="X41" s="3270"/>
      <c r="Y41" s="3270"/>
      <c r="Z41" s="3270"/>
      <c r="AA41" s="3270"/>
      <c r="AB41" s="3271"/>
      <c r="AC41" s="3272" t="s">
        <v>435</v>
      </c>
      <c r="AD41" s="3329" t="s">
        <v>531</v>
      </c>
      <c r="AE41" s="3313"/>
      <c r="AF41" s="3313"/>
      <c r="AG41" s="3330"/>
      <c r="AH41" s="3329" t="s">
        <v>532</v>
      </c>
      <c r="AI41" s="3313"/>
      <c r="AJ41" s="3313"/>
      <c r="AK41" s="3330"/>
      <c r="AL41" s="3329" t="s">
        <v>533</v>
      </c>
      <c r="AM41" s="3313"/>
      <c r="AN41" s="3313"/>
      <c r="AO41" s="3330"/>
      <c r="AP41" s="3329" t="s">
        <v>518</v>
      </c>
      <c r="AQ41" s="3313"/>
      <c r="AR41" s="3313"/>
      <c r="AS41" s="3330"/>
      <c r="AT41" s="3269" t="s">
        <v>434</v>
      </c>
      <c r="AU41" s="3270"/>
      <c r="AV41" s="3270"/>
      <c r="AW41" s="3270"/>
      <c r="AX41" s="3270"/>
      <c r="AY41" s="3270"/>
      <c r="AZ41" s="3271"/>
      <c r="BA41" s="3272" t="s">
        <v>435</v>
      </c>
      <c r="BB41" s="3275" t="s">
        <v>437</v>
      </c>
      <c r="BC41" s="3111"/>
      <c r="BI41" s="1082">
        <v>14</v>
      </c>
    </row>
    <row r="42" spans="1:61" ht="35.65" customHeight="1">
      <c r="Q42" s="229"/>
      <c r="R42" s="313"/>
      <c r="S42" s="3268"/>
      <c r="T42" s="3212"/>
      <c r="U42" s="961"/>
      <c r="V42" s="3185" t="s">
        <v>519</v>
      </c>
      <c r="W42" s="3186"/>
      <c r="X42" s="3185" t="s">
        <v>520</v>
      </c>
      <c r="Y42" s="3186"/>
      <c r="Z42" s="3185" t="s">
        <v>521</v>
      </c>
      <c r="AA42" s="3325"/>
      <c r="AB42" s="3186"/>
      <c r="AC42" s="3273"/>
      <c r="AD42" s="3331"/>
      <c r="AE42" s="3332"/>
      <c r="AF42" s="3332"/>
      <c r="AG42" s="3344"/>
      <c r="AH42" s="3331"/>
      <c r="AI42" s="3332"/>
      <c r="AJ42" s="3332"/>
      <c r="AK42" s="3344"/>
      <c r="AL42" s="3331"/>
      <c r="AM42" s="3332"/>
      <c r="AN42" s="3332"/>
      <c r="AO42" s="3344"/>
      <c r="AP42" s="3331"/>
      <c r="AQ42" s="3332"/>
      <c r="AR42" s="3332"/>
      <c r="AS42" s="3344"/>
      <c r="AT42" s="3185" t="s">
        <v>534</v>
      </c>
      <c r="AU42" s="3186"/>
      <c r="AV42" s="3185" t="s">
        <v>535</v>
      </c>
      <c r="AW42" s="3186"/>
      <c r="AX42" s="3185" t="s">
        <v>521</v>
      </c>
      <c r="AY42" s="3325"/>
      <c r="AZ42" s="3186"/>
      <c r="BA42" s="3273"/>
      <c r="BB42" s="3276"/>
      <c r="BC42" s="3111"/>
      <c r="BI42" s="1082">
        <v>34</v>
      </c>
    </row>
    <row r="43" spans="1:61" ht="14.65" customHeight="1">
      <c r="Q43" s="229"/>
      <c r="R43" s="313"/>
      <c r="S43" s="3268"/>
      <c r="T43" s="3212"/>
      <c r="U43" s="961"/>
      <c r="V43" s="3190"/>
      <c r="W43" s="3191"/>
      <c r="X43" s="3190"/>
      <c r="Y43" s="3191"/>
      <c r="Z43" s="3190"/>
      <c r="AA43" s="3326"/>
      <c r="AB43" s="3191"/>
      <c r="AC43" s="3273"/>
      <c r="AD43" s="3331"/>
      <c r="AE43" s="3332"/>
      <c r="AF43" s="3332"/>
      <c r="AG43" s="3344"/>
      <c r="AH43" s="3331"/>
      <c r="AI43" s="3332"/>
      <c r="AJ43" s="3332"/>
      <c r="AK43" s="3344"/>
      <c r="AL43" s="3331"/>
      <c r="AM43" s="3332"/>
      <c r="AN43" s="3332"/>
      <c r="AO43" s="3344"/>
      <c r="AP43" s="3331"/>
      <c r="AQ43" s="3332"/>
      <c r="AR43" s="3332"/>
      <c r="AS43" s="3344"/>
      <c r="AT43" s="3190"/>
      <c r="AU43" s="3191"/>
      <c r="AV43" s="3190"/>
      <c r="AW43" s="3191"/>
      <c r="AX43" s="3190"/>
      <c r="AY43" s="3326"/>
      <c r="AZ43" s="3191"/>
      <c r="BA43" s="3273"/>
      <c r="BB43" s="3276"/>
      <c r="BC43" s="3111"/>
      <c r="BI43" s="1082">
        <v>14</v>
      </c>
    </row>
    <row r="44" spans="1:61" ht="14.65" customHeight="1">
      <c r="A44" s="1297"/>
      <c r="B44" s="1297" t="s">
        <v>133</v>
      </c>
      <c r="C44" s="1297" t="s">
        <v>134</v>
      </c>
      <c r="D44" s="1297" t="s">
        <v>135</v>
      </c>
      <c r="E44" s="1291" t="s">
        <v>442</v>
      </c>
      <c r="F44" s="1291" t="s">
        <v>443</v>
      </c>
      <c r="G44" s="1291" t="s">
        <v>444</v>
      </c>
      <c r="H44" s="1291" t="s">
        <v>445</v>
      </c>
      <c r="I44" s="1291" t="s">
        <v>446</v>
      </c>
      <c r="J44" s="1291" t="s">
        <v>447</v>
      </c>
      <c r="K44" s="1291" t="s">
        <v>448</v>
      </c>
      <c r="L44" s="1291" t="s">
        <v>423</v>
      </c>
      <c r="Q44" s="229"/>
      <c r="R44" s="313"/>
      <c r="S44" s="3268"/>
      <c r="T44" s="3212"/>
      <c r="U44" s="240"/>
      <c r="V44" s="1406" t="s">
        <v>485</v>
      </c>
      <c r="W44" s="1406" t="s">
        <v>486</v>
      </c>
      <c r="X44" s="1406" t="s">
        <v>485</v>
      </c>
      <c r="Y44" s="1406" t="s">
        <v>486</v>
      </c>
      <c r="Z44" s="1416" t="s">
        <v>451</v>
      </c>
      <c r="AA44" s="3217" t="s">
        <v>452</v>
      </c>
      <c r="AB44" s="3231"/>
      <c r="AC44" s="3274"/>
      <c r="AD44" s="3333"/>
      <c r="AE44" s="3334"/>
      <c r="AF44" s="3334"/>
      <c r="AG44" s="3335"/>
      <c r="AH44" s="3333"/>
      <c r="AI44" s="3334"/>
      <c r="AJ44" s="3334"/>
      <c r="AK44" s="3335"/>
      <c r="AL44" s="3333"/>
      <c r="AM44" s="3334"/>
      <c r="AN44" s="3334"/>
      <c r="AO44" s="3335"/>
      <c r="AP44" s="3333"/>
      <c r="AQ44" s="3334"/>
      <c r="AR44" s="3334"/>
      <c r="AS44" s="3335"/>
      <c r="AT44" s="1406" t="s">
        <v>485</v>
      </c>
      <c r="AU44" s="1406" t="s">
        <v>486</v>
      </c>
      <c r="AV44" s="1406" t="s">
        <v>485</v>
      </c>
      <c r="AW44" s="1406" t="s">
        <v>486</v>
      </c>
      <c r="AX44" s="1416" t="s">
        <v>451</v>
      </c>
      <c r="AY44" s="3217" t="s">
        <v>452</v>
      </c>
      <c r="AZ44" s="3231"/>
      <c r="BA44" s="3274"/>
      <c r="BB44" s="3277"/>
      <c r="BC44" s="311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3265">
        <f t="shared" ca="1" si="2"/>
        <v>8</v>
      </c>
      <c r="AB45" s="326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265">
        <f ca="1">OFFSET(AY45,0,-1)+1</f>
        <v>3</v>
      </c>
      <c r="AZ45" s="3265"/>
      <c r="BA45" s="1409">
        <f ca="1">OFFSET(BA45,0,-2)+1</f>
        <v>4</v>
      </c>
      <c r="BB45" s="1172">
        <f ca="1">OFFSET(BB45,0,-1)</f>
        <v>4</v>
      </c>
      <c r="BC45" s="1409">
        <f ca="1">OFFSET(BC45,0,-1)+1</f>
        <v>5</v>
      </c>
      <c r="BD45" s="448"/>
      <c r="BE45" s="448"/>
      <c r="BF45" s="448"/>
      <c r="BG45" s="448"/>
      <c r="BH45" s="448"/>
      <c r="BI45" s="433">
        <v>0</v>
      </c>
    </row>
    <row r="46" spans="1:61" ht="21.95" customHeight="1">
      <c r="A46" s="1290" t="s">
        <v>284</v>
      </c>
      <c r="B46" s="1290"/>
      <c r="C46" s="1290"/>
      <c r="D46" s="1290"/>
      <c r="E46" s="325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121</v>
      </c>
      <c r="U46" s="238"/>
      <c r="V46" s="3247"/>
      <c r="W46" s="3247"/>
      <c r="X46" s="3247"/>
      <c r="Y46" s="3247"/>
      <c r="Z46" s="3247"/>
      <c r="AA46" s="3247"/>
      <c r="AB46" s="3247"/>
      <c r="AC46" s="3248"/>
      <c r="AD46" s="3246" t="str">
        <f>INDEX(PT_DIFFERENTIATION_NTAR,MATCH(A46,PT_DIFFERENTIATION_NTAR_ID,0))</f>
        <v/>
      </c>
      <c r="AE46" s="3247"/>
      <c r="AF46" s="3247"/>
      <c r="AG46" s="3247"/>
      <c r="AH46" s="3247"/>
      <c r="AI46" s="3247"/>
      <c r="AJ46" s="3247"/>
      <c r="AK46" s="3247"/>
      <c r="AL46" s="3247"/>
      <c r="AM46" s="3247"/>
      <c r="AN46" s="3247"/>
      <c r="AO46" s="3247"/>
      <c r="AP46" s="3247"/>
      <c r="AQ46" s="3247"/>
      <c r="AR46" s="3247"/>
      <c r="AS46" s="3247"/>
      <c r="AT46" s="3247"/>
      <c r="AU46" s="3247"/>
      <c r="AV46" s="3247"/>
      <c r="AW46" s="3247"/>
      <c r="AX46" s="3247"/>
      <c r="AY46" s="3247"/>
      <c r="AZ46" s="3247"/>
      <c r="BA46" s="3247"/>
      <c r="BB46" s="324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284</v>
      </c>
      <c r="B47" s="1290" t="s">
        <v>285</v>
      </c>
      <c r="C47" s="1290"/>
      <c r="D47" s="1290"/>
      <c r="E47" s="3255"/>
      <c r="F47" s="3254">
        <v>1</v>
      </c>
      <c r="G47" s="1290"/>
      <c r="H47" s="1290"/>
      <c r="I47" s="1290"/>
      <c r="J47" s="1290"/>
      <c r="K47" s="1290"/>
      <c r="L47" s="1291"/>
      <c r="M47" s="1292"/>
      <c r="N47" s="1292"/>
      <c r="O47" s="1292"/>
      <c r="P47" s="1337"/>
      <c r="Q47" s="1338"/>
      <c r="R47" s="290"/>
      <c r="S47" s="1420" t="str">
        <f>INDEX(PT_DIFFERENTIATION_NUM_TER,MATCH(B47,PT_DIFFERENTIATION_TER_ID,0))</f>
        <v>.</v>
      </c>
      <c r="T47" s="246" t="s">
        <v>405</v>
      </c>
      <c r="U47" s="238"/>
      <c r="V47" s="3247"/>
      <c r="W47" s="3247"/>
      <c r="X47" s="3247"/>
      <c r="Y47" s="3247"/>
      <c r="Z47" s="3247"/>
      <c r="AA47" s="3247"/>
      <c r="AB47" s="3247"/>
      <c r="AC47" s="3248"/>
      <c r="AD47" s="3246" t="str">
        <f>INDEX(PT_DIFFERENTIATION_TER,MATCH(B47,PT_DIFFERENTIATION_TER_ID,0))</f>
        <v/>
      </c>
      <c r="AE47" s="3247"/>
      <c r="AF47" s="3247"/>
      <c r="AG47" s="3247"/>
      <c r="AH47" s="3247"/>
      <c r="AI47" s="3247"/>
      <c r="AJ47" s="3247"/>
      <c r="AK47" s="3247"/>
      <c r="AL47" s="3247"/>
      <c r="AM47" s="3247"/>
      <c r="AN47" s="3247"/>
      <c r="AO47" s="3247"/>
      <c r="AP47" s="3247"/>
      <c r="AQ47" s="3247"/>
      <c r="AR47" s="3247"/>
      <c r="AS47" s="3247"/>
      <c r="AT47" s="3247"/>
      <c r="AU47" s="3247"/>
      <c r="AV47" s="3247"/>
      <c r="AW47" s="3247"/>
      <c r="AX47" s="3247"/>
      <c r="AY47" s="3247"/>
      <c r="AZ47" s="3247"/>
      <c r="BA47" s="3247"/>
      <c r="BB47" s="3248"/>
      <c r="BC47" s="1185" t="s">
        <v>406</v>
      </c>
      <c r="BE47" s="437"/>
      <c r="BF47" s="437" t="str">
        <f t="shared" si="3"/>
        <v>Территория действия тарифа</v>
      </c>
      <c r="BG47" s="437"/>
      <c r="BH47" s="437"/>
      <c r="BI47" s="1082">
        <v>21</v>
      </c>
    </row>
    <row r="48" spans="1:61" ht="35.65" customHeight="1">
      <c r="A48" s="1290" t="s">
        <v>284</v>
      </c>
      <c r="B48" s="1290" t="s">
        <v>285</v>
      </c>
      <c r="C48" s="1290" t="s">
        <v>286</v>
      </c>
      <c r="D48" s="1290"/>
      <c r="E48" s="3255"/>
      <c r="F48" s="3255"/>
      <c r="G48" s="3254">
        <v>1</v>
      </c>
      <c r="H48" s="1290"/>
      <c r="I48" s="1290"/>
      <c r="J48" s="1290"/>
      <c r="K48" s="1290"/>
      <c r="L48" s="1291"/>
      <c r="M48" s="1292"/>
      <c r="N48" s="1292"/>
      <c r="O48" s="1292"/>
      <c r="P48" s="1339"/>
      <c r="Q48" s="1338"/>
      <c r="R48" s="290"/>
      <c r="S48" s="1420" t="str">
        <f>INDEX(PT_DIFFERENTIATION_NUM_CS,MATCH(C48,PT_DIFFERENTIATION_CS_ID,0))</f>
        <v>..</v>
      </c>
      <c r="T48" s="247" t="s">
        <v>523</v>
      </c>
      <c r="U48" s="238"/>
      <c r="V48" s="3247"/>
      <c r="W48" s="3247"/>
      <c r="X48" s="3247"/>
      <c r="Y48" s="3247"/>
      <c r="Z48" s="3247"/>
      <c r="AA48" s="3247"/>
      <c r="AB48" s="3247"/>
      <c r="AC48" s="3248"/>
      <c r="AD48" s="3246" t="str">
        <f>INDEX(PT_DIFFERENTIATION_CS,MATCH(C48,PT_DIFFERENTIATION_CS_ID,0))</f>
        <v/>
      </c>
      <c r="AE48" s="3247"/>
      <c r="AF48" s="3247"/>
      <c r="AG48" s="3247"/>
      <c r="AH48" s="3247"/>
      <c r="AI48" s="3247"/>
      <c r="AJ48" s="3247"/>
      <c r="AK48" s="3247"/>
      <c r="AL48" s="3247"/>
      <c r="AM48" s="3247"/>
      <c r="AN48" s="3247"/>
      <c r="AO48" s="3247"/>
      <c r="AP48" s="3247"/>
      <c r="AQ48" s="3247"/>
      <c r="AR48" s="3247"/>
      <c r="AS48" s="3247"/>
      <c r="AT48" s="3247"/>
      <c r="AU48" s="3247"/>
      <c r="AV48" s="3247"/>
      <c r="AW48" s="3247"/>
      <c r="AX48" s="3247"/>
      <c r="AY48" s="3247"/>
      <c r="AZ48" s="3247"/>
      <c r="BA48" s="3247"/>
      <c r="BB48" s="3248"/>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284</v>
      </c>
      <c r="B49" s="1270" t="s">
        <v>285</v>
      </c>
      <c r="C49" s="1270" t="s">
        <v>286</v>
      </c>
      <c r="D49" s="1270" t="s">
        <v>536</v>
      </c>
      <c r="E49" s="3255"/>
      <c r="F49" s="3255"/>
      <c r="G49" s="3255"/>
      <c r="H49" s="3254">
        <v>1</v>
      </c>
      <c r="I49" s="1270"/>
      <c r="J49" s="1270"/>
      <c r="K49" s="1270"/>
      <c r="L49" s="1273"/>
      <c r="M49" s="1242"/>
      <c r="N49" s="1242"/>
      <c r="O49" s="1242"/>
      <c r="P49" s="1424"/>
      <c r="Q49" s="1425"/>
      <c r="R49" s="294"/>
      <c r="S49" s="972"/>
      <c r="T49" s="1426"/>
      <c r="U49" s="1311"/>
      <c r="V49" s="3315"/>
      <c r="W49" s="3315"/>
      <c r="X49" s="3315"/>
      <c r="Y49" s="3315"/>
      <c r="Z49" s="3315"/>
      <c r="AA49" s="3315"/>
      <c r="AB49" s="3315"/>
      <c r="AC49" s="3316"/>
      <c r="AD49" s="3314"/>
      <c r="AE49" s="3315"/>
      <c r="AF49" s="3315"/>
      <c r="AG49" s="3315"/>
      <c r="AH49" s="3315"/>
      <c r="AI49" s="3315"/>
      <c r="AJ49" s="3315"/>
      <c r="AK49" s="3315"/>
      <c r="AL49" s="3315"/>
      <c r="AM49" s="3315"/>
      <c r="AN49" s="3315"/>
      <c r="AO49" s="3315"/>
      <c r="AP49" s="3315"/>
      <c r="AQ49" s="3315"/>
      <c r="AR49" s="3315"/>
      <c r="AS49" s="3315"/>
      <c r="AT49" s="3315"/>
      <c r="AU49" s="3315"/>
      <c r="AV49" s="3315"/>
      <c r="AW49" s="3315"/>
      <c r="AX49" s="3315"/>
      <c r="AY49" s="3315"/>
      <c r="AZ49" s="3315"/>
      <c r="BA49" s="3315"/>
      <c r="BB49" s="3316"/>
      <c r="BC49" s="1312" t="s">
        <v>410</v>
      </c>
      <c r="BE49" s="437"/>
      <c r="BF49" s="437" t="str">
        <f t="shared" si="3"/>
        <v/>
      </c>
      <c r="BG49" s="437"/>
      <c r="BH49" s="437"/>
      <c r="BI49" s="448">
        <v>0</v>
      </c>
    </row>
    <row r="50" spans="1:61" s="1569" customFormat="1" ht="0" hidden="1" customHeight="1">
      <c r="A50" s="1270" t="s">
        <v>284</v>
      </c>
      <c r="B50" s="1270" t="s">
        <v>285</v>
      </c>
      <c r="C50" s="1270" t="s">
        <v>286</v>
      </c>
      <c r="D50" s="1270" t="s">
        <v>536</v>
      </c>
      <c r="E50" s="3255"/>
      <c r="F50" s="3255"/>
      <c r="G50" s="3255"/>
      <c r="H50" s="3255"/>
      <c r="I50" s="3256" t="str">
        <f>S49&amp;".1"</f>
        <v>.1</v>
      </c>
      <c r="J50" s="1270"/>
      <c r="K50" s="1270"/>
      <c r="L50" s="1273" t="s">
        <v>411</v>
      </c>
      <c r="M50" s="447"/>
      <c r="N50" s="447"/>
      <c r="O50" s="447"/>
      <c r="P50" s="3258">
        <v>1</v>
      </c>
      <c r="Q50" s="1408"/>
      <c r="R50" s="293"/>
      <c r="S50" s="972"/>
      <c r="T50" s="1310"/>
      <c r="U50" s="1311"/>
      <c r="V50" s="3315"/>
      <c r="W50" s="3315"/>
      <c r="X50" s="3315"/>
      <c r="Y50" s="3315"/>
      <c r="Z50" s="3315"/>
      <c r="AA50" s="3315"/>
      <c r="AB50" s="3315"/>
      <c r="AC50" s="3316"/>
      <c r="AD50" s="3314"/>
      <c r="AE50" s="3315"/>
      <c r="AF50" s="3315"/>
      <c r="AG50" s="3315"/>
      <c r="AH50" s="3315"/>
      <c r="AI50" s="3315"/>
      <c r="AJ50" s="3315"/>
      <c r="AK50" s="3315"/>
      <c r="AL50" s="3315"/>
      <c r="AM50" s="3315"/>
      <c r="AN50" s="3315"/>
      <c r="AO50" s="3315"/>
      <c r="AP50" s="3315"/>
      <c r="AQ50" s="3315"/>
      <c r="AR50" s="3315"/>
      <c r="AS50" s="3315"/>
      <c r="AT50" s="3315"/>
      <c r="AU50" s="3315"/>
      <c r="AV50" s="3315"/>
      <c r="AW50" s="3315"/>
      <c r="AX50" s="3315"/>
      <c r="AY50" s="3315"/>
      <c r="AZ50" s="3315"/>
      <c r="BA50" s="3315"/>
      <c r="BB50" s="3316"/>
      <c r="BC50" s="1312"/>
      <c r="BE50" s="437"/>
      <c r="BF50" s="437" t="str">
        <f t="shared" si="3"/>
        <v/>
      </c>
      <c r="BG50" s="437"/>
      <c r="BH50" s="437"/>
      <c r="BI50" s="448">
        <v>0</v>
      </c>
    </row>
    <row r="51" spans="1:61" s="1569" customFormat="1" ht="0" hidden="1" customHeight="1">
      <c r="A51" s="1270" t="s">
        <v>284</v>
      </c>
      <c r="B51" s="1270" t="s">
        <v>285</v>
      </c>
      <c r="C51" s="1270" t="s">
        <v>286</v>
      </c>
      <c r="D51" s="1270" t="s">
        <v>536</v>
      </c>
      <c r="E51" s="3255"/>
      <c r="F51" s="3255"/>
      <c r="G51" s="3255"/>
      <c r="H51" s="3255"/>
      <c r="I51" s="3257"/>
      <c r="J51" s="3256" t="str">
        <f>S49&amp;".1"</f>
        <v>.1</v>
      </c>
      <c r="K51" s="1270"/>
      <c r="L51" s="1273"/>
      <c r="M51" s="447"/>
      <c r="N51" s="447"/>
      <c r="O51" s="447"/>
      <c r="P51" s="3258"/>
      <c r="Q51" s="3258">
        <v>1</v>
      </c>
      <c r="R51" s="294"/>
      <c r="S51" s="972"/>
      <c r="T51" s="1326"/>
      <c r="U51" s="1311"/>
      <c r="V51" s="3315"/>
      <c r="W51" s="3315"/>
      <c r="X51" s="3315"/>
      <c r="Y51" s="3315"/>
      <c r="Z51" s="3315"/>
      <c r="AA51" s="3315"/>
      <c r="AB51" s="3315"/>
      <c r="AC51" s="3316"/>
      <c r="AD51" s="3314"/>
      <c r="AE51" s="3315"/>
      <c r="AF51" s="3315"/>
      <c r="AG51" s="3315"/>
      <c r="AH51" s="3315"/>
      <c r="AI51" s="3315"/>
      <c r="AJ51" s="3315"/>
      <c r="AK51" s="3315"/>
      <c r="AL51" s="3315"/>
      <c r="AM51" s="3315"/>
      <c r="AN51" s="3366"/>
      <c r="AO51" s="3366"/>
      <c r="AP51" s="3315"/>
      <c r="AQ51" s="3315"/>
      <c r="AR51" s="3315"/>
      <c r="AS51" s="3315"/>
      <c r="AT51" s="3315"/>
      <c r="AU51" s="3315"/>
      <c r="AV51" s="3315"/>
      <c r="AW51" s="3315"/>
      <c r="AX51" s="3315"/>
      <c r="AY51" s="3315"/>
      <c r="AZ51" s="3315"/>
      <c r="BA51" s="3315"/>
      <c r="BB51" s="3316"/>
      <c r="BC51" s="1312"/>
      <c r="BE51" s="437"/>
      <c r="BF51" s="437" t="str">
        <f t="shared" si="3"/>
        <v/>
      </c>
      <c r="BG51" s="437"/>
      <c r="BH51" s="437"/>
      <c r="BI51" s="448">
        <v>0</v>
      </c>
    </row>
    <row r="52" spans="1:61" ht="11.45" customHeight="1">
      <c r="A52" s="1290" t="s">
        <v>284</v>
      </c>
      <c r="B52" s="1290" t="s">
        <v>285</v>
      </c>
      <c r="C52" s="1290" t="s">
        <v>286</v>
      </c>
      <c r="D52" s="1290" t="s">
        <v>536</v>
      </c>
      <c r="E52" s="3255"/>
      <c r="F52" s="3255"/>
      <c r="G52" s="3255"/>
      <c r="H52" s="3255"/>
      <c r="I52" s="3257"/>
      <c r="J52" s="3257"/>
      <c r="K52" s="3256" t="str">
        <f>S48&amp;".1"</f>
        <v>...1</v>
      </c>
      <c r="L52" s="1291"/>
      <c r="P52" s="3258"/>
      <c r="Q52" s="3258"/>
      <c r="R52" s="294">
        <v>1</v>
      </c>
      <c r="S52" s="3340" t="str">
        <f>$K52</f>
        <v>...1</v>
      </c>
      <c r="T52" s="3360"/>
      <c r="U52" s="238"/>
      <c r="V52" s="688"/>
      <c r="W52" s="1184"/>
      <c r="X52" s="688"/>
      <c r="Y52" s="1184"/>
      <c r="Z52" s="1660"/>
      <c r="AA52" s="1396" t="s">
        <v>67</v>
      </c>
      <c r="AB52" s="1660"/>
      <c r="AC52" s="1396" t="s">
        <v>67</v>
      </c>
      <c r="AD52" s="3176" t="s">
        <v>67</v>
      </c>
      <c r="AE52" s="3336"/>
      <c r="AF52" s="3208">
        <v>1</v>
      </c>
      <c r="AG52" s="3359"/>
      <c r="AH52" s="3121" t="s">
        <v>67</v>
      </c>
      <c r="AI52" s="3336"/>
      <c r="AJ52" s="3208">
        <v>1</v>
      </c>
      <c r="AK52" s="3350" t="s">
        <v>28</v>
      </c>
      <c r="AL52" s="3121" t="s">
        <v>67</v>
      </c>
      <c r="AM52" s="3185"/>
      <c r="AN52" s="3208">
        <v>1</v>
      </c>
      <c r="AO52" s="3363"/>
      <c r="AP52" s="3364" t="s">
        <v>67</v>
      </c>
      <c r="AQ52" s="249"/>
      <c r="AR52" s="1413">
        <v>1</v>
      </c>
      <c r="AS52" s="1419" t="s">
        <v>28</v>
      </c>
      <c r="AT52" s="688"/>
      <c r="AU52" s="1184"/>
      <c r="AV52" s="688"/>
      <c r="AW52" s="1184"/>
      <c r="AX52" s="1660"/>
      <c r="AY52" s="1396" t="s">
        <v>67</v>
      </c>
      <c r="AZ52" s="1660"/>
      <c r="BA52" s="1396" t="s">
        <v>67</v>
      </c>
      <c r="BB52" s="1275"/>
      <c r="BC52" s="3278" t="s">
        <v>508</v>
      </c>
      <c r="BE52" s="437"/>
      <c r="BF52" s="437" t="str">
        <f t="shared" si="3"/>
        <v/>
      </c>
      <c r="BG52" s="437"/>
      <c r="BH52" s="437"/>
      <c r="BI52" s="1082">
        <v>11</v>
      </c>
    </row>
    <row r="53" spans="1:61" ht="11.45" customHeight="1">
      <c r="A53" s="1290"/>
      <c r="B53" s="1290"/>
      <c r="C53" s="1290"/>
      <c r="D53" s="1290"/>
      <c r="E53" s="3255"/>
      <c r="F53" s="3255"/>
      <c r="G53" s="3255"/>
      <c r="H53" s="3255"/>
      <c r="I53" s="3257"/>
      <c r="J53" s="3257"/>
      <c r="K53" s="3256"/>
      <c r="L53" s="1291"/>
      <c r="P53" s="3258"/>
      <c r="Q53" s="3258"/>
      <c r="R53" s="294"/>
      <c r="S53" s="3341"/>
      <c r="T53" s="3361"/>
      <c r="U53" s="238"/>
      <c r="V53" s="1320"/>
      <c r="W53" s="1423"/>
      <c r="X53" s="1320"/>
      <c r="Y53" s="1423"/>
      <c r="Z53" s="1320"/>
      <c r="AA53" s="1320"/>
      <c r="AB53" s="1320"/>
      <c r="AC53" s="1320"/>
      <c r="AD53" s="3177"/>
      <c r="AE53" s="3336"/>
      <c r="AF53" s="3208"/>
      <c r="AG53" s="3359"/>
      <c r="AH53" s="3121"/>
      <c r="AI53" s="3336"/>
      <c r="AJ53" s="3208"/>
      <c r="AK53" s="3350"/>
      <c r="AL53" s="3121"/>
      <c r="AM53" s="3190"/>
      <c r="AN53" s="3208"/>
      <c r="AO53" s="3363"/>
      <c r="AP53" s="3365"/>
      <c r="AQ53" s="254"/>
      <c r="AR53" s="353"/>
      <c r="AS53" s="353" t="s">
        <v>509</v>
      </c>
      <c r="AT53" s="1320"/>
      <c r="AU53" s="1423"/>
      <c r="AV53" s="1320"/>
      <c r="AW53" s="1423"/>
      <c r="AX53" s="1320"/>
      <c r="AY53" s="1320"/>
      <c r="AZ53" s="1320"/>
      <c r="BA53" s="1320"/>
      <c r="BB53" s="1324"/>
      <c r="BC53" s="3279"/>
      <c r="BE53" s="437"/>
      <c r="BF53" s="437"/>
      <c r="BG53" s="437"/>
      <c r="BH53" s="437"/>
      <c r="BI53" s="1082">
        <v>11</v>
      </c>
    </row>
    <row r="54" spans="1:61" ht="11.45" customHeight="1">
      <c r="A54" s="1290" t="s">
        <v>284</v>
      </c>
      <c r="B54" s="1290"/>
      <c r="C54" s="1290"/>
      <c r="D54" s="1290"/>
      <c r="E54" s="3255"/>
      <c r="F54" s="3255"/>
      <c r="G54" s="3255"/>
      <c r="H54" s="3255"/>
      <c r="I54" s="3257"/>
      <c r="J54" s="3257"/>
      <c r="K54" s="3256"/>
      <c r="L54" s="1291"/>
      <c r="P54" s="3258"/>
      <c r="Q54" s="3258"/>
      <c r="R54" s="294"/>
      <c r="S54" s="3341"/>
      <c r="T54" s="3361"/>
      <c r="U54" s="238"/>
      <c r="V54" s="1320"/>
      <c r="W54" s="1423"/>
      <c r="X54" s="1320"/>
      <c r="Y54" s="1423"/>
      <c r="Z54" s="1320"/>
      <c r="AA54" s="1320"/>
      <c r="AB54" s="1320"/>
      <c r="AC54" s="1320"/>
      <c r="AD54" s="3177"/>
      <c r="AE54" s="3336"/>
      <c r="AF54" s="3208"/>
      <c r="AG54" s="3359"/>
      <c r="AH54" s="3121"/>
      <c r="AI54" s="3336"/>
      <c r="AJ54" s="3208"/>
      <c r="AK54" s="3350"/>
      <c r="AL54" s="3121"/>
      <c r="AM54" s="254"/>
      <c r="AN54" s="1427"/>
      <c r="AO54" s="1427" t="s">
        <v>529</v>
      </c>
      <c r="AP54" s="353"/>
      <c r="AQ54" s="353"/>
      <c r="AR54" s="353"/>
      <c r="AS54" s="1320"/>
      <c r="AT54" s="1320"/>
      <c r="AU54" s="1423"/>
      <c r="AV54" s="1320"/>
      <c r="AW54" s="1423"/>
      <c r="AX54" s="1320"/>
      <c r="AY54" s="1320"/>
      <c r="AZ54" s="1320"/>
      <c r="BA54" s="1320"/>
      <c r="BB54" s="1324"/>
      <c r="BC54" s="3279"/>
      <c r="BE54" s="437"/>
      <c r="BF54" s="437"/>
      <c r="BG54" s="437"/>
      <c r="BH54" s="437"/>
      <c r="BI54" s="1082">
        <v>11</v>
      </c>
    </row>
    <row r="55" spans="1:61" ht="11.45" customHeight="1">
      <c r="A55" s="1290" t="s">
        <v>284</v>
      </c>
      <c r="B55" s="1290"/>
      <c r="C55" s="1290"/>
      <c r="D55" s="1290"/>
      <c r="E55" s="3255"/>
      <c r="F55" s="3255"/>
      <c r="G55" s="3255"/>
      <c r="H55" s="3255"/>
      <c r="I55" s="3257"/>
      <c r="J55" s="3257"/>
      <c r="K55" s="3256"/>
      <c r="L55" s="1291"/>
      <c r="P55" s="3258"/>
      <c r="Q55" s="3258"/>
      <c r="R55" s="294"/>
      <c r="S55" s="3341"/>
      <c r="T55" s="3361"/>
      <c r="U55" s="238"/>
      <c r="V55" s="1320"/>
      <c r="W55" s="1423"/>
      <c r="X55" s="1320"/>
      <c r="Y55" s="1423"/>
      <c r="Z55" s="1320"/>
      <c r="AA55" s="1320"/>
      <c r="AB55" s="1320"/>
      <c r="AC55" s="1320"/>
      <c r="AD55" s="3177"/>
      <c r="AE55" s="3336"/>
      <c r="AF55" s="3208"/>
      <c r="AG55" s="3359"/>
      <c r="AH55" s="3121"/>
      <c r="AI55" s="232"/>
      <c r="AJ55" s="352"/>
      <c r="AK55" s="251" t="s">
        <v>530</v>
      </c>
      <c r="AL55" s="1320"/>
      <c r="AM55" s="1320"/>
      <c r="AN55" s="1320"/>
      <c r="AO55" s="1320"/>
      <c r="AP55" s="1320"/>
      <c r="AQ55" s="1320"/>
      <c r="AR55" s="1320"/>
      <c r="AS55" s="1320"/>
      <c r="AT55" s="1320"/>
      <c r="AU55" s="1423"/>
      <c r="AV55" s="1320"/>
      <c r="AW55" s="1423"/>
      <c r="AX55" s="1320"/>
      <c r="AY55" s="1320"/>
      <c r="AZ55" s="1320"/>
      <c r="BA55" s="1320"/>
      <c r="BB55" s="1324"/>
      <c r="BC55" s="3279"/>
      <c r="BE55" s="437"/>
      <c r="BF55" s="437"/>
      <c r="BG55" s="437"/>
      <c r="BH55" s="437"/>
      <c r="BI55" s="1082">
        <v>11</v>
      </c>
    </row>
    <row r="56" spans="1:61" ht="11.45" customHeight="1">
      <c r="A56" s="1290" t="s">
        <v>284</v>
      </c>
      <c r="B56" s="1290" t="s">
        <v>285</v>
      </c>
      <c r="C56" s="1290" t="s">
        <v>286</v>
      </c>
      <c r="D56" s="1290" t="s">
        <v>536</v>
      </c>
      <c r="E56" s="3255"/>
      <c r="F56" s="3255"/>
      <c r="G56" s="3255"/>
      <c r="H56" s="3255"/>
      <c r="I56" s="3257"/>
      <c r="J56" s="3257"/>
      <c r="K56" s="3256"/>
      <c r="L56" s="1291"/>
      <c r="P56" s="3258"/>
      <c r="Q56" s="3258"/>
      <c r="R56" s="294"/>
      <c r="S56" s="3342"/>
      <c r="T56" s="3362"/>
      <c r="U56" s="238"/>
      <c r="V56" s="1320"/>
      <c r="W56" s="1321" t="str">
        <f>Z52&amp;"-"&amp;AB52</f>
        <v>-</v>
      </c>
      <c r="X56" s="1320"/>
      <c r="Y56" s="1321" t="str">
        <f>AB52&amp;"-"&amp;AD52</f>
        <v>-да</v>
      </c>
      <c r="Z56" s="1320"/>
      <c r="AA56" s="1320"/>
      <c r="AB56" s="1320"/>
      <c r="AC56" s="1320"/>
      <c r="AD56" s="3126"/>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279"/>
      <c r="BE56" s="437"/>
      <c r="BF56" s="437" t="str">
        <f t="shared" ref="BF56:BF63" si="4">IF(T56="","",T56)</f>
        <v/>
      </c>
      <c r="BG56" s="437"/>
      <c r="BH56" s="437"/>
      <c r="BI56" s="1082">
        <v>11</v>
      </c>
    </row>
    <row r="57" spans="1:61" ht="11.45" customHeight="1">
      <c r="A57" s="1290" t="s">
        <v>284</v>
      </c>
      <c r="B57" s="1290" t="s">
        <v>285</v>
      </c>
      <c r="C57" s="1290" t="s">
        <v>286</v>
      </c>
      <c r="D57" s="1290" t="s">
        <v>536</v>
      </c>
      <c r="E57" s="3255"/>
      <c r="F57" s="3255"/>
      <c r="G57" s="3255"/>
      <c r="H57" s="3255"/>
      <c r="I57" s="3257"/>
      <c r="J57" s="3256"/>
      <c r="K57" s="1290"/>
      <c r="L57" s="1291"/>
      <c r="P57" s="3258"/>
      <c r="Q57" s="3258"/>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3280"/>
      <c r="BE57" s="437"/>
      <c r="BF57" s="437" t="str">
        <f t="shared" si="4"/>
        <v>Добавить строку</v>
      </c>
      <c r="BG57" s="437"/>
      <c r="BH57" s="437"/>
      <c r="BI57" s="1082">
        <v>11</v>
      </c>
    </row>
    <row r="58" spans="1:61" s="1569" customFormat="1" ht="0" hidden="1" customHeight="1">
      <c r="A58" s="1270" t="s">
        <v>284</v>
      </c>
      <c r="B58" s="1270" t="s">
        <v>285</v>
      </c>
      <c r="C58" s="1270" t="s">
        <v>286</v>
      </c>
      <c r="D58" s="1270" t="s">
        <v>536</v>
      </c>
      <c r="E58" s="3255"/>
      <c r="F58" s="3255"/>
      <c r="G58" s="3255"/>
      <c r="H58" s="3255"/>
      <c r="I58" s="3256"/>
      <c r="J58" s="1270"/>
      <c r="K58" s="1270"/>
      <c r="L58" s="1273"/>
      <c r="M58" s="447"/>
      <c r="N58" s="447"/>
      <c r="O58" s="447"/>
      <c r="P58" s="325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284</v>
      </c>
      <c r="B59" s="1270" t="s">
        <v>285</v>
      </c>
      <c r="C59" s="1270" t="s">
        <v>286</v>
      </c>
      <c r="D59" s="1270" t="s">
        <v>536</v>
      </c>
      <c r="E59" s="3255"/>
      <c r="F59" s="3255"/>
      <c r="G59" s="3255"/>
      <c r="H59" s="325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284</v>
      </c>
      <c r="B60" s="1270" t="s">
        <v>285</v>
      </c>
      <c r="C60" s="1270" t="s">
        <v>286</v>
      </c>
      <c r="D60" s="1241"/>
      <c r="E60" s="3255"/>
      <c r="F60" s="3255"/>
      <c r="G60" s="325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284</v>
      </c>
      <c r="B61" s="1270" t="s">
        <v>285</v>
      </c>
      <c r="C61" s="1241"/>
      <c r="D61" s="1241"/>
      <c r="E61" s="3255"/>
      <c r="F61" s="3254"/>
      <c r="G61" s="1241"/>
      <c r="H61" s="1241"/>
      <c r="I61" s="1241"/>
      <c r="J61" s="1241"/>
      <c r="K61" s="1241"/>
      <c r="L61" s="1421"/>
      <c r="M61" s="1248"/>
      <c r="N61" s="1248"/>
      <c r="P61" s="1243"/>
      <c r="Q61" s="1244"/>
      <c r="R61" s="1243"/>
      <c r="S61" s="1249"/>
      <c r="T61" s="1252" t="s">
        <v>167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284</v>
      </c>
      <c r="B62" s="1270"/>
      <c r="C62" s="1270"/>
      <c r="D62" s="1270"/>
      <c r="E62" s="3254"/>
      <c r="F62" s="1270"/>
      <c r="G62" s="1270"/>
      <c r="H62" s="1270"/>
      <c r="I62" s="1270"/>
      <c r="J62" s="1270"/>
      <c r="K62" s="1270"/>
      <c r="L62" s="1273"/>
      <c r="M62" s="1248"/>
      <c r="N62" s="1248"/>
      <c r="O62" s="455"/>
      <c r="P62" s="317"/>
      <c r="Q62" s="1271"/>
      <c r="R62" s="317"/>
      <c r="S62" s="1249"/>
      <c r="T62" s="1252" t="s">
        <v>168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3252"/>
      <c r="U65" s="3252"/>
      <c r="V65" s="3252"/>
      <c r="W65" s="3252"/>
      <c r="X65" s="3252"/>
      <c r="Y65" s="3252"/>
      <c r="Z65" s="3252"/>
      <c r="AA65" s="3252"/>
      <c r="AB65" s="3252"/>
      <c r="AC65" s="3252"/>
      <c r="AD65" s="3252"/>
      <c r="AE65" s="3252"/>
      <c r="AF65" s="3252"/>
      <c r="AG65" s="3252"/>
      <c r="AH65" s="3252"/>
      <c r="AI65" s="3252"/>
      <c r="AJ65" s="3252"/>
      <c r="AK65" s="3252"/>
      <c r="AL65" s="3252"/>
      <c r="AM65" s="3252"/>
      <c r="AN65" s="3252"/>
      <c r="AO65" s="3252"/>
      <c r="AP65" s="3252"/>
      <c r="AQ65" s="3252"/>
      <c r="AR65" s="3252"/>
      <c r="AS65" s="3252"/>
      <c r="AT65" s="3252"/>
      <c r="AU65" s="3252"/>
      <c r="AV65" s="3252"/>
      <c r="AW65" s="3252"/>
      <c r="AX65" s="3252"/>
      <c r="AY65" s="3252"/>
      <c r="AZ65" s="3252"/>
      <c r="BA65" s="3252"/>
      <c r="BB65" s="3252"/>
      <c r="BC65" s="325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3252"/>
      <c r="U67" s="3252"/>
      <c r="V67" s="3252"/>
      <c r="W67" s="3252"/>
      <c r="X67" s="3252"/>
      <c r="Y67" s="3252"/>
      <c r="Z67" s="3252"/>
      <c r="AA67" s="3252"/>
      <c r="AB67" s="3252"/>
      <c r="AC67" s="3252"/>
      <c r="AD67" s="3252"/>
      <c r="AE67" s="3252"/>
      <c r="AF67" s="3252"/>
      <c r="AG67" s="3252"/>
      <c r="AH67" s="3252"/>
      <c r="AI67" s="3252"/>
      <c r="AJ67" s="3252"/>
      <c r="AK67" s="3252"/>
      <c r="AL67" s="3252"/>
      <c r="AM67" s="3252"/>
      <c r="AN67" s="3252"/>
      <c r="AO67" s="3252"/>
      <c r="AP67" s="3252"/>
      <c r="AQ67" s="3252"/>
      <c r="AR67" s="3252"/>
      <c r="AS67" s="3252"/>
      <c r="AT67" s="3252"/>
      <c r="AU67" s="3252"/>
      <c r="AV67" s="3252"/>
      <c r="AW67" s="3252"/>
      <c r="AX67" s="3252"/>
      <c r="AY67" s="3252"/>
      <c r="AZ67" s="3252"/>
      <c r="BA67" s="3252"/>
      <c r="BB67" s="3252"/>
      <c r="BC67" s="3252"/>
      <c r="BI67" s="1082">
        <v>14</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6939C-3D27-0E31-C684-48C2CDC6E26F}">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2" sqref="H22"/>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80</v>
      </c>
      <c r="H1" s="431" t="s">
        <v>81</v>
      </c>
      <c r="I1" s="165" t="s">
        <v>82</v>
      </c>
      <c r="J1" s="185" t="s">
        <v>80</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3097" t="str">
        <f>NameTemplatesInListMO</f>
        <v>Перечень муниципальных районов и муниципальных образований (территорий действия тарифа)</v>
      </c>
      <c r="F4" s="3097"/>
      <c r="G4" s="3097"/>
      <c r="H4" s="3097"/>
      <c r="I4" s="309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3093" t="s">
        <v>83</v>
      </c>
      <c r="F8" s="3098"/>
      <c r="G8" s="3092"/>
      <c r="H8" s="3099" t="s">
        <v>84</v>
      </c>
      <c r="I8" s="3099"/>
      <c r="J8" s="93"/>
      <c r="K8" s="93"/>
      <c r="L8" s="93"/>
      <c r="M8" s="93"/>
      <c r="N8" s="164"/>
      <c r="O8" s="93"/>
      <c r="P8" s="163"/>
      <c r="Q8" s="163"/>
      <c r="R8" s="163"/>
      <c r="S8" s="163"/>
      <c r="AC8" s="56">
        <v>14</v>
      </c>
    </row>
    <row r="9" spans="1:29" s="1745" customFormat="1" ht="21" customHeight="1">
      <c r="A9" s="693"/>
      <c r="B9" s="354"/>
      <c r="C9" s="693"/>
      <c r="D9" s="102"/>
      <c r="E9" s="709" t="s">
        <v>85</v>
      </c>
      <c r="F9" s="709"/>
      <c r="G9" s="110" t="s">
        <v>86</v>
      </c>
      <c r="H9" s="110" t="s">
        <v>86</v>
      </c>
      <c r="I9" s="110" t="s">
        <v>82</v>
      </c>
      <c r="J9" s="93"/>
      <c r="K9" s="93"/>
      <c r="L9" s="93"/>
      <c r="M9" s="93"/>
      <c r="N9" s="164"/>
      <c r="O9" s="93"/>
      <c r="P9" s="163"/>
      <c r="Q9" s="163"/>
      <c r="R9" s="163"/>
      <c r="S9" s="163"/>
      <c r="AC9" s="56">
        <v>20</v>
      </c>
    </row>
    <row r="10" spans="1:29" ht="11.45" customHeight="1">
      <c r="D10" s="114"/>
      <c r="E10" s="710" t="s">
        <v>87</v>
      </c>
      <c r="F10" s="710"/>
      <c r="G10" s="161" t="s">
        <v>88</v>
      </c>
      <c r="H10" s="161" t="s">
        <v>89</v>
      </c>
      <c r="I10" s="161" t="s">
        <v>90</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91</v>
      </c>
      <c r="K11" s="93"/>
      <c r="L11" s="93"/>
      <c r="M11" s="93" t="s">
        <v>92</v>
      </c>
      <c r="N11" s="164" t="s">
        <v>93</v>
      </c>
      <c r="O11" s="93" t="s">
        <v>94</v>
      </c>
      <c r="P11" s="163"/>
      <c r="Q11" s="163"/>
      <c r="R11" s="163"/>
      <c r="S11" s="163"/>
      <c r="AC11" s="56">
        <v>1</v>
      </c>
    </row>
    <row r="12" spans="1:29" s="1745" customFormat="1" ht="15" customHeight="1">
      <c r="A12" s="3096">
        <v>1</v>
      </c>
      <c r="B12" s="354"/>
      <c r="C12" s="693"/>
      <c r="D12" s="713"/>
      <c r="E12" s="157">
        <f>A12</f>
        <v>1</v>
      </c>
      <c r="F12" s="733" t="s">
        <v>95</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3096"/>
      <c r="B13" s="354">
        <v>1</v>
      </c>
      <c r="C13" s="354"/>
      <c r="D13" s="731"/>
      <c r="E13" s="712" t="str">
        <f>A12&amp;"."&amp;B13</f>
        <v>1.1</v>
      </c>
      <c r="F13" s="726" t="s">
        <v>96</v>
      </c>
      <c r="G13" s="724" t="s">
        <v>97</v>
      </c>
      <c r="H13" s="724" t="s">
        <v>98</v>
      </c>
      <c r="I13" s="722" t="s">
        <v>99</v>
      </c>
      <c r="J13" s="437" t="e">
        <f ca="1">MERGEVALUE(G13)</f>
        <v>#NAME?</v>
      </c>
      <c r="K13" s="448"/>
      <c r="L13" s="448"/>
      <c r="M13" s="437" t="str">
        <f t="array" ref="M13">IF(ISERROR(MATCH(MID(N13,1,250),MID(note_ter,1,250),0)),"n","y")</f>
        <v>n</v>
      </c>
      <c r="N13" s="448"/>
      <c r="O13" s="437" t="str">
        <f>H13&amp;"("&amp;I13&amp;")"</f>
        <v>Излучинск(71819153)</v>
      </c>
      <c r="P13" s="354"/>
      <c r="Q13" s="354"/>
      <c r="R13" s="357"/>
      <c r="S13" s="354"/>
      <c r="T13" s="354"/>
      <c r="U13" s="354"/>
      <c r="V13" s="359"/>
      <c r="W13" s="359"/>
      <c r="X13" s="356"/>
      <c r="Y13" s="356"/>
      <c r="Z13" s="356"/>
      <c r="AA13" s="356"/>
      <c r="AB13" s="356"/>
      <c r="AC13" s="360">
        <v>15</v>
      </c>
    </row>
    <row r="14" spans="1:29" s="1775" customFormat="1" ht="15.75" customHeight="1">
      <c r="A14" s="3096"/>
      <c r="B14" s="354"/>
      <c r="C14" s="349"/>
      <c r="D14" s="732"/>
      <c r="E14" s="358"/>
      <c r="F14" s="115"/>
      <c r="G14" s="352" t="s">
        <v>100</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101</v>
      </c>
      <c r="H15" s="116"/>
      <c r="I15" s="117"/>
      <c r="J15" s="187"/>
      <c r="K15" s="93"/>
      <c r="L15" s="93"/>
      <c r="M15" s="93"/>
      <c r="N15" s="164" t="s">
        <v>102</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79</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BC6E-A167-1EA7-D6D6-4232B791CE46}">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3254">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3246"/>
      <c r="W2" s="3247"/>
      <c r="X2" s="3247"/>
      <c r="Y2" s="3247"/>
      <c r="Z2" s="3247"/>
      <c r="AA2" s="3247"/>
      <c r="AB2" s="3247"/>
      <c r="AC2" s="3247"/>
      <c r="AD2" s="3247"/>
      <c r="AE2" s="3247"/>
      <c r="AF2" s="3248"/>
      <c r="AG2" s="3246" t="e">
        <f>INDEX(PT_DIFFERENTIATION_NTAR,MATCH(A2,PT_DIFFERENTIATION_NTAR_ID,0))</f>
        <v>#N/A</v>
      </c>
      <c r="AH2" s="3247"/>
      <c r="AI2" s="3247"/>
      <c r="AJ2" s="3247"/>
      <c r="AK2" s="3247"/>
      <c r="AL2" s="3247"/>
      <c r="AM2" s="3247"/>
      <c r="AN2" s="3247"/>
      <c r="AO2" s="3247"/>
      <c r="AP2" s="3247"/>
      <c r="AQ2" s="3247"/>
      <c r="AR2" s="324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255"/>
      <c r="F3" s="3254">
        <v>1</v>
      </c>
      <c r="G3" s="1290"/>
      <c r="H3" s="1290"/>
      <c r="I3" s="1290"/>
      <c r="J3" s="1290"/>
      <c r="K3" s="1290"/>
      <c r="L3" s="1291"/>
      <c r="M3" s="1292"/>
      <c r="N3" s="1292"/>
      <c r="O3" s="1292"/>
      <c r="P3" s="1414"/>
      <c r="Q3" s="289"/>
      <c r="R3" s="290"/>
      <c r="S3" s="1420" t="e">
        <f>INDEX(PT_DIFFERENTIATION_NUM_TER,MATCH(B3,PT_DIFFERENTIATION_TER_ID,0))</f>
        <v>#N/A</v>
      </c>
      <c r="T3" s="246" t="s">
        <v>405</v>
      </c>
      <c r="U3" s="238"/>
      <c r="V3" s="3246"/>
      <c r="W3" s="3247"/>
      <c r="X3" s="3247"/>
      <c r="Y3" s="3247"/>
      <c r="Z3" s="3247"/>
      <c r="AA3" s="3247"/>
      <c r="AB3" s="3247"/>
      <c r="AC3" s="3247"/>
      <c r="AD3" s="3247"/>
      <c r="AE3" s="3247"/>
      <c r="AF3" s="3248"/>
      <c r="AG3" s="3246" t="e">
        <f>INDEX(PT_DIFFERENTIATION_TER,MATCH(B3,PT_DIFFERENTIATION_TER_ID,0))</f>
        <v>#N/A</v>
      </c>
      <c r="AH3" s="3247"/>
      <c r="AI3" s="3247"/>
      <c r="AJ3" s="3247"/>
      <c r="AK3" s="3247"/>
      <c r="AL3" s="3247"/>
      <c r="AM3" s="3247"/>
      <c r="AN3" s="3247"/>
      <c r="AO3" s="3247"/>
      <c r="AP3" s="3247"/>
      <c r="AQ3" s="3247"/>
      <c r="AR3" s="3248"/>
      <c r="AS3" s="1185" t="s">
        <v>406</v>
      </c>
      <c r="AU3" s="437"/>
      <c r="AV3" s="437" t="str">
        <f t="shared" si="0"/>
        <v>Территория действия тарифа</v>
      </c>
      <c r="AW3" s="437"/>
      <c r="AX3" s="437"/>
      <c r="AY3" s="1082">
        <v>0</v>
      </c>
    </row>
    <row r="4" spans="1:51" ht="23.25" hidden="1" customHeight="1">
      <c r="A4" s="1290"/>
      <c r="B4" s="1290"/>
      <c r="C4" s="1290"/>
      <c r="D4" s="1290"/>
      <c r="E4" s="3255"/>
      <c r="F4" s="3255"/>
      <c r="G4" s="3254">
        <v>1</v>
      </c>
      <c r="H4" s="1290"/>
      <c r="I4" s="1290"/>
      <c r="J4" s="1290"/>
      <c r="K4" s="1290"/>
      <c r="L4" s="1291"/>
      <c r="M4" s="1292"/>
      <c r="N4" s="1292"/>
      <c r="O4" s="1292"/>
      <c r="P4" s="291"/>
      <c r="Q4" s="289"/>
      <c r="R4" s="290"/>
      <c r="S4" s="1420" t="e">
        <f>INDEX(PT_DIFFERENTIATION_NUM_CS,MATCH(C4,PT_DIFFERENTIATION_CS_ID,0))</f>
        <v>#N/A</v>
      </c>
      <c r="T4" s="247" t="s">
        <v>537</v>
      </c>
      <c r="U4" s="238"/>
      <c r="V4" s="3246"/>
      <c r="W4" s="3247"/>
      <c r="X4" s="3247"/>
      <c r="Y4" s="3247"/>
      <c r="Z4" s="3247"/>
      <c r="AA4" s="3247"/>
      <c r="AB4" s="3247"/>
      <c r="AC4" s="3247"/>
      <c r="AD4" s="3247"/>
      <c r="AE4" s="3247"/>
      <c r="AF4" s="3248"/>
      <c r="AG4" s="3246" t="e">
        <f>INDEX(PT_DIFFERENTIATION_CS,MATCH(C4,PT_DIFFERENTIATION_CS_ID,0))</f>
        <v>#N/A</v>
      </c>
      <c r="AH4" s="3247"/>
      <c r="AI4" s="3247"/>
      <c r="AJ4" s="3247"/>
      <c r="AK4" s="3247"/>
      <c r="AL4" s="3247"/>
      <c r="AM4" s="3247"/>
      <c r="AN4" s="3247"/>
      <c r="AO4" s="3247"/>
      <c r="AP4" s="3247"/>
      <c r="AQ4" s="3247"/>
      <c r="AR4" s="3248"/>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255"/>
      <c r="F5" s="3255"/>
      <c r="G5" s="3255"/>
      <c r="H5" s="3255"/>
      <c r="I5" s="3256" t="e">
        <f>S4&amp;".1"</f>
        <v>#N/A</v>
      </c>
      <c r="J5" s="1290"/>
      <c r="K5" s="1290"/>
      <c r="L5" s="1291"/>
      <c r="P5" s="3258">
        <v>1</v>
      </c>
      <c r="Q5" s="1408"/>
      <c r="R5" s="293"/>
      <c r="S5" s="1420" t="e">
        <f>$I5</f>
        <v>#N/A</v>
      </c>
      <c r="T5" s="223" t="s">
        <v>490</v>
      </c>
      <c r="U5" s="238"/>
      <c r="V5" s="3351"/>
      <c r="W5" s="3352"/>
      <c r="X5" s="3352"/>
      <c r="Y5" s="3352"/>
      <c r="Z5" s="3352"/>
      <c r="AA5" s="3352"/>
      <c r="AB5" s="3352"/>
      <c r="AC5" s="3352"/>
      <c r="AD5" s="3352"/>
      <c r="AE5" s="3352"/>
      <c r="AF5" s="3353"/>
      <c r="AG5" s="3354"/>
      <c r="AH5" s="3355"/>
      <c r="AI5" s="3355"/>
      <c r="AJ5" s="3355"/>
      <c r="AK5" s="3355"/>
      <c r="AL5" s="3355"/>
      <c r="AM5" s="3355"/>
      <c r="AN5" s="3355"/>
      <c r="AO5" s="3355"/>
      <c r="AP5" s="3355"/>
      <c r="AQ5" s="3355"/>
      <c r="AR5" s="3356"/>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3255"/>
      <c r="F6" s="3255"/>
      <c r="G6" s="3255"/>
      <c r="H6" s="3255"/>
      <c r="I6" s="3257"/>
      <c r="J6" s="3256" t="e">
        <f>I5&amp;".1"</f>
        <v>#N/A</v>
      </c>
      <c r="K6" s="1290"/>
      <c r="L6" s="1291" t="s">
        <v>414</v>
      </c>
      <c r="P6" s="3258"/>
      <c r="Q6" s="3258">
        <v>1</v>
      </c>
      <c r="R6" s="294"/>
      <c r="S6" s="1420" t="e">
        <f>$J6</f>
        <v>#N/A</v>
      </c>
      <c r="T6" s="224" t="s">
        <v>415</v>
      </c>
      <c r="U6" s="238"/>
      <c r="V6" s="3239"/>
      <c r="W6" s="3240"/>
      <c r="X6" s="3240"/>
      <c r="Y6" s="3240"/>
      <c r="Z6" s="3240"/>
      <c r="AA6" s="3240"/>
      <c r="AB6" s="3240"/>
      <c r="AC6" s="3240"/>
      <c r="AD6" s="3240"/>
      <c r="AE6" s="3240"/>
      <c r="AF6" s="3241"/>
      <c r="AG6" s="3239"/>
      <c r="AH6" s="3240"/>
      <c r="AI6" s="3240"/>
      <c r="AJ6" s="3240"/>
      <c r="AK6" s="3240"/>
      <c r="AL6" s="3240"/>
      <c r="AM6" s="3240"/>
      <c r="AN6" s="3240"/>
      <c r="AO6" s="3240"/>
      <c r="AP6" s="3240"/>
      <c r="AQ6" s="3240"/>
      <c r="AR6" s="3241"/>
      <c r="AS6" s="1234" t="s">
        <v>492</v>
      </c>
      <c r="AU6" s="437"/>
      <c r="AV6" s="437" t="str">
        <f t="shared" si="0"/>
        <v>Группа потребителей</v>
      </c>
      <c r="AW6" s="437"/>
      <c r="AX6" s="437"/>
      <c r="AY6" s="1082">
        <v>0</v>
      </c>
    </row>
    <row r="7" spans="1:51" ht="23.25" hidden="1" customHeight="1">
      <c r="A7" s="1290"/>
      <c r="B7" s="1290"/>
      <c r="C7" s="1290"/>
      <c r="D7" s="1290"/>
      <c r="E7" s="3255"/>
      <c r="F7" s="3255"/>
      <c r="G7" s="3255"/>
      <c r="H7" s="3255"/>
      <c r="I7" s="3257"/>
      <c r="J7" s="3257"/>
      <c r="K7" s="3256" t="e">
        <f>J6&amp;".1"</f>
        <v>#N/A</v>
      </c>
      <c r="L7" s="1291"/>
      <c r="P7" s="3258"/>
      <c r="Q7" s="3258"/>
      <c r="R7" s="294">
        <v>1</v>
      </c>
      <c r="S7" s="1420" t="e">
        <f>$K7</f>
        <v>#N/A</v>
      </c>
      <c r="T7" s="1364"/>
      <c r="U7" s="238"/>
      <c r="V7" s="688"/>
      <c r="W7" s="688"/>
      <c r="X7" s="688"/>
      <c r="Y7" s="688"/>
      <c r="Z7" s="688"/>
      <c r="AA7" s="688"/>
      <c r="AB7" s="688"/>
      <c r="AC7" s="3259"/>
      <c r="AD7" s="3121" t="s">
        <v>67</v>
      </c>
      <c r="AE7" s="3259"/>
      <c r="AF7" s="3121" t="s">
        <v>67</v>
      </c>
      <c r="AG7" s="688"/>
      <c r="AH7" s="688"/>
      <c r="AI7" s="688"/>
      <c r="AJ7" s="688"/>
      <c r="AK7" s="688"/>
      <c r="AL7" s="688"/>
      <c r="AM7" s="688"/>
      <c r="AN7" s="3259"/>
      <c r="AO7" s="3121" t="s">
        <v>67</v>
      </c>
      <c r="AP7" s="3261"/>
      <c r="AQ7" s="3121" t="s">
        <v>67</v>
      </c>
      <c r="AR7" s="1365"/>
      <c r="AS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255"/>
      <c r="F8" s="3255"/>
      <c r="G8" s="3255"/>
      <c r="H8" s="3255"/>
      <c r="I8" s="3257"/>
      <c r="J8" s="3257"/>
      <c r="K8" s="3256"/>
      <c r="L8" s="1291"/>
      <c r="P8" s="3258"/>
      <c r="Q8" s="3258"/>
      <c r="R8" s="294"/>
      <c r="S8" s="1417"/>
      <c r="T8" s="238"/>
      <c r="U8" s="238"/>
      <c r="V8" s="263"/>
      <c r="W8" s="263"/>
      <c r="X8" s="263"/>
      <c r="Y8" s="263"/>
      <c r="Z8" s="263"/>
      <c r="AA8" s="263"/>
      <c r="AB8" s="263"/>
      <c r="AC8" s="3260"/>
      <c r="AD8" s="3121"/>
      <c r="AE8" s="3260"/>
      <c r="AF8" s="3121"/>
      <c r="AG8" s="263"/>
      <c r="AH8" s="263"/>
      <c r="AI8" s="263"/>
      <c r="AJ8" s="263"/>
      <c r="AK8" s="263"/>
      <c r="AL8" s="263"/>
      <c r="AM8" s="263"/>
      <c r="AN8" s="3260"/>
      <c r="AO8" s="3121"/>
      <c r="AP8" s="3262"/>
      <c r="AQ8" s="3121"/>
      <c r="AR8" s="1366"/>
      <c r="AS8" s="3357"/>
      <c r="AU8" s="437"/>
      <c r="AV8" s="437" t="str">
        <f t="shared" si="0"/>
        <v/>
      </c>
      <c r="AW8" s="437"/>
      <c r="AX8" s="437"/>
      <c r="AY8" s="1082">
        <v>0</v>
      </c>
    </row>
    <row r="9" spans="1:51" ht="21" hidden="1" customHeight="1">
      <c r="A9" s="1290"/>
      <c r="B9" s="1290"/>
      <c r="C9" s="1290"/>
      <c r="D9" s="1290"/>
      <c r="E9" s="3255"/>
      <c r="F9" s="3255"/>
      <c r="G9" s="3255"/>
      <c r="H9" s="3255"/>
      <c r="I9" s="3257"/>
      <c r="J9" s="3256"/>
      <c r="K9" s="1290"/>
      <c r="L9" s="1291"/>
      <c r="P9" s="3258"/>
      <c r="Q9" s="3258"/>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255"/>
      <c r="F10" s="3255"/>
      <c r="G10" s="3255"/>
      <c r="H10" s="3255"/>
      <c r="I10" s="3256"/>
      <c r="J10" s="1290"/>
      <c r="K10" s="1290"/>
      <c r="L10" s="1291"/>
      <c r="P10" s="3258"/>
      <c r="Q10" s="1408"/>
      <c r="R10" s="293"/>
      <c r="S10" s="1205"/>
      <c r="T10" s="302" t="s">
        <v>420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255"/>
      <c r="F12" s="3254"/>
      <c r="G12" s="1241"/>
      <c r="H12" s="1241"/>
      <c r="I12" s="1241"/>
      <c r="J12" s="1241"/>
      <c r="K12" s="1241"/>
      <c r="L12" s="1421"/>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3251"/>
      <c r="AO15" s="3250" t="s">
        <v>67</v>
      </c>
      <c r="AP15" s="3251"/>
      <c r="AQ15" s="3250" t="s">
        <v>67</v>
      </c>
      <c r="AY15" s="1082">
        <v>0</v>
      </c>
    </row>
    <row r="16" spans="1:51" ht="14.25" hidden="1" customHeight="1">
      <c r="AG16" s="1287"/>
      <c r="AH16" s="1287"/>
      <c r="AI16" s="1287"/>
      <c r="AJ16" s="1287"/>
      <c r="AK16" s="1287"/>
      <c r="AL16" s="1287"/>
      <c r="AM16" s="1287"/>
      <c r="AN16" s="3250"/>
      <c r="AO16" s="3250"/>
      <c r="AP16" s="3250"/>
      <c r="AQ16" s="3250"/>
      <c r="AY16" s="1082">
        <v>0</v>
      </c>
    </row>
    <row r="17" spans="1:51" ht="14.25" hidden="1" customHeight="1">
      <c r="AQ17" s="265"/>
      <c r="AY17" s="1082">
        <v>0</v>
      </c>
    </row>
    <row r="18" spans="1:51" s="1293" customFormat="1" ht="22.5" hidden="1" customHeight="1">
      <c r="L18" s="1405"/>
      <c r="M18" s="1289"/>
      <c r="N18" s="1289"/>
      <c r="O18" s="1294" t="s">
        <v>422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423</v>
      </c>
      <c r="P20" s="1289"/>
      <c r="Q20" s="1369"/>
      <c r="R20" s="1369"/>
      <c r="S20" s="666"/>
      <c r="T20" s="1087" t="s">
        <v>424</v>
      </c>
      <c r="AD20" s="124" t="s">
        <v>425</v>
      </c>
      <c r="AF20" s="124" t="s">
        <v>426</v>
      </c>
      <c r="AG20" s="1087" t="s">
        <v>424</v>
      </c>
      <c r="AO20" s="124" t="s">
        <v>427</v>
      </c>
      <c r="AQ20" s="124" t="s">
        <v>426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3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232"/>
      <c r="U24" s="3232"/>
      <c r="V24" s="3232"/>
      <c r="W24" s="3232"/>
      <c r="X24" s="3232"/>
      <c r="Y24" s="3232"/>
      <c r="Z24" s="3232"/>
      <c r="AA24" s="3232"/>
      <c r="AB24" s="3232"/>
      <c r="AC24" s="3232"/>
      <c r="AD24" s="3232"/>
      <c r="AE24" s="3232"/>
      <c r="AF24" s="3232"/>
      <c r="AG24" s="3232"/>
      <c r="AH24" s="3232"/>
      <c r="AI24" s="3232"/>
      <c r="AJ24" s="3232"/>
      <c r="AK24" s="3232"/>
      <c r="AL24" s="3232"/>
      <c r="AM24" s="3232"/>
      <c r="AN24" s="3232"/>
      <c r="AO24" s="3232"/>
      <c r="AP24" s="3232"/>
      <c r="AQ24" s="1170"/>
      <c r="AY24" s="1082">
        <v>25</v>
      </c>
    </row>
    <row r="25" spans="1:51"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3204"/>
      <c r="AJ25" s="3204"/>
      <c r="AK25" s="3204"/>
      <c r="AL25" s="3204"/>
      <c r="AM25" s="3204"/>
      <c r="AN25" s="3204"/>
      <c r="AO25" s="3204"/>
      <c r="AP25" s="320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3245"/>
      <c r="AC27" s="3245"/>
      <c r="AD27" s="3245"/>
      <c r="AE27" s="3245"/>
      <c r="AF27" s="264"/>
      <c r="AG27" s="3245" t="str">
        <f>IF(TITLE_NAME_OR_PR_CHANGE="",IF(TITLE_NAME_OR_PR="","",TITLE_NAME_OR_PR),TITLE_NAME_OR_PR_CHANGE)</f>
        <v/>
      </c>
      <c r="AH27" s="3245"/>
      <c r="AI27" s="3245"/>
      <c r="AJ27" s="3245"/>
      <c r="AK27" s="3245"/>
      <c r="AL27" s="3245"/>
      <c r="AM27" s="3245"/>
      <c r="AN27" s="3245"/>
      <c r="AO27" s="3245"/>
      <c r="AP27" s="3245"/>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3244"/>
      <c r="AC28" s="3244"/>
      <c r="AD28" s="3244"/>
      <c r="AE28" s="3244"/>
      <c r="AF28" s="264"/>
      <c r="AG28" s="3244">
        <f>IF(TITLE_DATE_PR_CHANGE="",IF(TITLE_DATE_PR="","",TITLE_DATE_PR),TITLE_DATE_PR_CHANGE)</f>
        <v>45595.546053240738</v>
      </c>
      <c r="AH28" s="3244"/>
      <c r="AI28" s="3244"/>
      <c r="AJ28" s="3244"/>
      <c r="AK28" s="3244"/>
      <c r="AL28" s="3244"/>
      <c r="AM28" s="3244"/>
      <c r="AN28" s="3244"/>
      <c r="AO28" s="3244"/>
      <c r="AP28" s="3244"/>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3245"/>
      <c r="AC29" s="3245"/>
      <c r="AD29" s="3245"/>
      <c r="AE29" s="3245"/>
      <c r="AF29" s="264"/>
      <c r="AG29" s="3245" t="str">
        <f>IF(TITLE_NUMBER_PR_CHANGE="",IF(TITLE_NUMBER_PR="","",TITLE_NUMBER_PR),TITLE_NUMBER_PR_CHANGE)</f>
        <v>03/3636</v>
      </c>
      <c r="AH29" s="3245"/>
      <c r="AI29" s="3245"/>
      <c r="AJ29" s="3245"/>
      <c r="AK29" s="3245"/>
      <c r="AL29" s="3245"/>
      <c r="AM29" s="3245"/>
      <c r="AN29" s="3245"/>
      <c r="AO29" s="3245"/>
      <c r="AP29" s="3245"/>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3245"/>
      <c r="AC30" s="3245"/>
      <c r="AD30" s="3245"/>
      <c r="AE30" s="3245"/>
      <c r="AF30" s="264"/>
      <c r="AG30" s="3245" t="str">
        <f>IF(TITLE_IST_PUB_CHANGE="",IF(TITLE_IST_PUB="","",TITLE_IST_PUB),TITLE_IST_PUB_CHANGE)</f>
        <v/>
      </c>
      <c r="AH30" s="3245"/>
      <c r="AI30" s="3245"/>
      <c r="AJ30" s="3245"/>
      <c r="AK30" s="3245"/>
      <c r="AL30" s="3245"/>
      <c r="AM30" s="3245"/>
      <c r="AN30" s="3245"/>
      <c r="AO30" s="3245"/>
      <c r="AP30" s="3245"/>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3244"/>
      <c r="AC32" s="3244"/>
      <c r="AD32" s="3244"/>
      <c r="AE32" s="3244"/>
      <c r="AF32" s="264"/>
      <c r="AG32" s="3244">
        <f>IF(TITLE_DATE_PR_CHANGE="",IF(TITLE_DATE_PR="","",TITLE_DATE_PR),TITLE_DATE_PR_CHANGE)</f>
        <v>45595.546053240738</v>
      </c>
      <c r="AH32" s="3244"/>
      <c r="AI32" s="3244"/>
      <c r="AJ32" s="3244"/>
      <c r="AK32" s="3244"/>
      <c r="AL32" s="3244"/>
      <c r="AM32" s="3244"/>
      <c r="AN32" s="3244"/>
      <c r="AO32" s="3244"/>
      <c r="AP32" s="3244"/>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3245"/>
      <c r="AC33" s="3245"/>
      <c r="AD33" s="3245"/>
      <c r="AE33" s="3245"/>
      <c r="AF33" s="264"/>
      <c r="AG33" s="3245" t="str">
        <f>IF(TITLE_NUMBER_PR_CHANGE="",IF(TITLE_NUMBER_PR="","",TITLE_NUMBER_PR),TITLE_NUMBER_PR_CHANGE)</f>
        <v>03/3636</v>
      </c>
      <c r="AH33" s="3245"/>
      <c r="AI33" s="3245"/>
      <c r="AJ33" s="3245"/>
      <c r="AK33" s="3245"/>
      <c r="AL33" s="3245"/>
      <c r="AM33" s="3245"/>
      <c r="AN33" s="3245"/>
      <c r="AO33" s="3245"/>
      <c r="AP33" s="3245"/>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432</v>
      </c>
      <c r="AG34" s="264"/>
      <c r="AH34" s="1562"/>
      <c r="AI34" s="1562"/>
      <c r="AJ34" s="1562"/>
      <c r="AK34" s="1562"/>
      <c r="AL34" s="1562"/>
      <c r="AM34" s="264"/>
      <c r="AN34" s="264"/>
      <c r="AO34" s="264"/>
      <c r="AP34" s="264"/>
      <c r="AQ34" s="216" t="s">
        <v>432</v>
      </c>
      <c r="AT34" s="305"/>
      <c r="AU34" s="305"/>
      <c r="AV34" s="305"/>
      <c r="AW34" s="305"/>
      <c r="AX34" s="305"/>
      <c r="AY34" s="355">
        <v>1</v>
      </c>
    </row>
    <row r="35" spans="1:51" ht="14.65" customHeight="1">
      <c r="Q35" s="313"/>
      <c r="R35" s="313"/>
      <c r="S35" s="1202"/>
      <c r="T35" s="300"/>
      <c r="U35" s="1171"/>
      <c r="V35" s="3266"/>
      <c r="W35" s="3266"/>
      <c r="X35" s="3266"/>
      <c r="Y35" s="3266"/>
      <c r="Z35" s="3266"/>
      <c r="AA35" s="3266"/>
      <c r="AB35" s="3266"/>
      <c r="AC35" s="3266"/>
      <c r="AD35" s="3266"/>
      <c r="AE35" s="3266"/>
      <c r="AF35" s="3266"/>
      <c r="AG35" s="3266"/>
      <c r="AH35" s="3266"/>
      <c r="AI35" s="3266"/>
      <c r="AJ35" s="3266"/>
      <c r="AK35" s="3266"/>
      <c r="AL35" s="3266"/>
      <c r="AM35" s="3266"/>
      <c r="AN35" s="3266"/>
      <c r="AO35" s="3266"/>
      <c r="AP35" s="3266"/>
      <c r="AQ35" s="3266"/>
      <c r="AY35" s="1082">
        <v>14</v>
      </c>
    </row>
    <row r="36" spans="1:51"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c r="AL36" s="3111"/>
      <c r="AM36" s="3111"/>
      <c r="AN36" s="3111"/>
      <c r="AO36" s="3111"/>
      <c r="AP36" s="3111"/>
      <c r="AQ36" s="3111"/>
      <c r="AR36" s="3111"/>
      <c r="AS36" s="3111" t="s">
        <v>309</v>
      </c>
      <c r="AY36" s="1082">
        <v>14</v>
      </c>
    </row>
    <row r="37" spans="1:51" ht="14.65" customHeight="1">
      <c r="Q37" s="313"/>
      <c r="R37" s="313"/>
      <c r="S37" s="3268" t="s">
        <v>85</v>
      </c>
      <c r="T37" s="3212" t="s">
        <v>433</v>
      </c>
      <c r="U37" s="239"/>
      <c r="V37" s="3269" t="s">
        <v>434</v>
      </c>
      <c r="W37" s="3313"/>
      <c r="X37" s="3313"/>
      <c r="Y37" s="3313"/>
      <c r="Z37" s="3313"/>
      <c r="AA37" s="3313"/>
      <c r="AB37" s="3313"/>
      <c r="AC37" s="3270"/>
      <c r="AD37" s="3270"/>
      <c r="AE37" s="3271"/>
      <c r="AF37" s="3272" t="s">
        <v>435</v>
      </c>
      <c r="AG37" s="3269" t="s">
        <v>434</v>
      </c>
      <c r="AH37" s="3270"/>
      <c r="AI37" s="3270"/>
      <c r="AJ37" s="3270"/>
      <c r="AK37" s="3270"/>
      <c r="AL37" s="3270"/>
      <c r="AM37" s="3270"/>
      <c r="AN37" s="3270"/>
      <c r="AO37" s="3270"/>
      <c r="AP37" s="3271"/>
      <c r="AQ37" s="3272" t="s">
        <v>436</v>
      </c>
      <c r="AR37" s="3275" t="s">
        <v>437</v>
      </c>
      <c r="AS37" s="3111"/>
      <c r="AY37" s="1082">
        <v>14</v>
      </c>
    </row>
    <row r="38" spans="1:51" ht="19.899999999999999" customHeight="1">
      <c r="Q38" s="313"/>
      <c r="R38" s="313"/>
      <c r="S38" s="3268"/>
      <c r="T38" s="3212"/>
      <c r="U38" s="961"/>
      <c r="V38" s="3111" t="s">
        <v>539</v>
      </c>
      <c r="W38" s="3367" t="s">
        <v>540</v>
      </c>
      <c r="X38" s="3367"/>
      <c r="Y38" s="3367"/>
      <c r="Z38" s="3367" t="s">
        <v>541</v>
      </c>
      <c r="AA38" s="3367"/>
      <c r="AB38" s="3367"/>
      <c r="AC38" s="3185" t="s">
        <v>441</v>
      </c>
      <c r="AD38" s="3325"/>
      <c r="AE38" s="3186"/>
      <c r="AF38" s="3273"/>
      <c r="AG38" s="3111" t="s">
        <v>539</v>
      </c>
      <c r="AH38" s="3367" t="s">
        <v>540</v>
      </c>
      <c r="AI38" s="3367"/>
      <c r="AJ38" s="3367"/>
      <c r="AK38" s="3367" t="s">
        <v>541</v>
      </c>
      <c r="AL38" s="3367"/>
      <c r="AM38" s="3367"/>
      <c r="AN38" s="3185" t="s">
        <v>441</v>
      </c>
      <c r="AO38" s="3325"/>
      <c r="AP38" s="3186"/>
      <c r="AQ38" s="3273"/>
      <c r="AR38" s="3276"/>
      <c r="AS38" s="311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3268"/>
      <c r="T39" s="3212"/>
      <c r="U39" s="961"/>
      <c r="V39" s="3111"/>
      <c r="W39" s="3367" t="s">
        <v>542</v>
      </c>
      <c r="X39" s="3367" t="s">
        <v>543</v>
      </c>
      <c r="Y39" s="3367"/>
      <c r="Z39" s="3367" t="s">
        <v>544</v>
      </c>
      <c r="AA39" s="3367" t="s">
        <v>543</v>
      </c>
      <c r="AB39" s="3367"/>
      <c r="AC39" s="3190"/>
      <c r="AD39" s="3326"/>
      <c r="AE39" s="3191"/>
      <c r="AF39" s="3273"/>
      <c r="AG39" s="3111"/>
      <c r="AH39" s="3367" t="s">
        <v>542</v>
      </c>
      <c r="AI39" s="3367" t="s">
        <v>543</v>
      </c>
      <c r="AJ39" s="3367"/>
      <c r="AK39" s="3367" t="s">
        <v>544</v>
      </c>
      <c r="AL39" s="3367" t="s">
        <v>543</v>
      </c>
      <c r="AM39" s="3367"/>
      <c r="AN39" s="3190"/>
      <c r="AO39" s="3326"/>
      <c r="AP39" s="3191"/>
      <c r="AQ39" s="3273"/>
      <c r="AR39" s="3276"/>
      <c r="AS39" s="3111"/>
      <c r="AT39" s="1563"/>
      <c r="AU39" s="1563"/>
      <c r="AV39" s="1563"/>
      <c r="AW39" s="1563"/>
      <c r="AX39" s="1563"/>
      <c r="AY39" s="1558">
        <v>19</v>
      </c>
    </row>
    <row r="40" spans="1:51" ht="61.9" customHeight="1">
      <c r="A40" s="1297"/>
      <c r="B40" s="1297" t="s">
        <v>133</v>
      </c>
      <c r="C40" s="1297" t="s">
        <v>134</v>
      </c>
      <c r="D40" s="1297" t="s">
        <v>135</v>
      </c>
      <c r="E40" s="1291" t="s">
        <v>442</v>
      </c>
      <c r="F40" s="1291" t="s">
        <v>443</v>
      </c>
      <c r="G40" s="1291" t="s">
        <v>444</v>
      </c>
      <c r="H40" s="1291"/>
      <c r="I40" s="1291" t="s">
        <v>497</v>
      </c>
      <c r="J40" s="1291" t="s">
        <v>447</v>
      </c>
      <c r="K40" s="1291" t="s">
        <v>498</v>
      </c>
      <c r="L40" s="1291" t="s">
        <v>423</v>
      </c>
      <c r="Q40" s="313"/>
      <c r="R40" s="313"/>
      <c r="S40" s="3268"/>
      <c r="T40" s="3212"/>
      <c r="U40" s="240"/>
      <c r="V40" s="3111"/>
      <c r="W40" s="3367"/>
      <c r="X40" s="1905" t="s">
        <v>545</v>
      </c>
      <c r="Y40" s="1905" t="s">
        <v>546</v>
      </c>
      <c r="Z40" s="3367"/>
      <c r="AA40" s="1905" t="s">
        <v>547</v>
      </c>
      <c r="AB40" s="1905" t="s">
        <v>548</v>
      </c>
      <c r="AC40" s="1416" t="s">
        <v>451</v>
      </c>
      <c r="AD40" s="3217" t="s">
        <v>452</v>
      </c>
      <c r="AE40" s="3231"/>
      <c r="AF40" s="3274"/>
      <c r="AG40" s="3111"/>
      <c r="AH40" s="3367"/>
      <c r="AI40" s="1905" t="s">
        <v>545</v>
      </c>
      <c r="AJ40" s="1905" t="s">
        <v>546</v>
      </c>
      <c r="AK40" s="3367"/>
      <c r="AL40" s="1905" t="s">
        <v>547</v>
      </c>
      <c r="AM40" s="1905" t="s">
        <v>548</v>
      </c>
      <c r="AN40" s="1416" t="s">
        <v>451</v>
      </c>
      <c r="AO40" s="3217" t="s">
        <v>452</v>
      </c>
      <c r="AP40" s="3231"/>
      <c r="AQ40" s="3274"/>
      <c r="AR40" s="3277"/>
      <c r="AS40" s="311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268"/>
      <c r="X41" s="1268"/>
      <c r="Y41" s="1268"/>
      <c r="Z41" s="1268"/>
      <c r="AA41" s="1268"/>
      <c r="AB41" s="1268"/>
      <c r="AC41" s="1409">
        <f ca="1">OFFSET(AC41,0,-1)+1</f>
        <v>1</v>
      </c>
      <c r="AD41" s="3265">
        <f ca="1">OFFSET(AD41,0,-1)+1</f>
        <v>2</v>
      </c>
      <c r="AE41" s="3265"/>
      <c r="AF41" s="1409">
        <f ca="1">OFFSET(AF41,0,-2)+1</f>
        <v>3</v>
      </c>
      <c r="AG41" s="1409">
        <f ca="1">OFFSET(AG41,0,-1)+1</f>
        <v>4</v>
      </c>
      <c r="AH41" s="1878"/>
      <c r="AI41" s="1878"/>
      <c r="AJ41" s="1878"/>
      <c r="AK41" s="1878"/>
      <c r="AL41" s="1878"/>
      <c r="AM41" s="1409">
        <f ca="1">OFFSET(AM41,0,-1)+1</f>
        <v>1</v>
      </c>
      <c r="AN41" s="1409">
        <f ca="1">OFFSET(AN41,0,-1)+1</f>
        <v>2</v>
      </c>
      <c r="AO41" s="3265">
        <f ca="1">OFFSET(AO41,0,-1)+1</f>
        <v>3</v>
      </c>
      <c r="AP41" s="3265"/>
      <c r="AQ41" s="1409">
        <f ca="1">OFFSET(AQ41,0,-2)+1</f>
        <v>4</v>
      </c>
      <c r="AR41" s="1172">
        <f ca="1">OFFSET(AR41,0,-1)</f>
        <v>4</v>
      </c>
      <c r="AS41" s="1409">
        <f ca="1">OFFSET(AS41,0,-1)+1</f>
        <v>5</v>
      </c>
      <c r="AT41" s="448"/>
      <c r="AU41" s="448"/>
      <c r="AV41" s="448"/>
      <c r="AW41" s="448"/>
      <c r="AX41" s="448"/>
      <c r="AY41" s="433">
        <v>0</v>
      </c>
    </row>
    <row r="42" spans="1:51" ht="24" customHeight="1">
      <c r="A42" s="1290" t="s">
        <v>259</v>
      </c>
      <c r="B42" s="1290"/>
      <c r="C42" s="1290"/>
      <c r="D42" s="1290"/>
      <c r="E42" s="325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121</v>
      </c>
      <c r="U42" s="238"/>
      <c r="V42" s="3246"/>
      <c r="W42" s="3247"/>
      <c r="X42" s="3247"/>
      <c r="Y42" s="3247"/>
      <c r="Z42" s="3247"/>
      <c r="AA42" s="3247"/>
      <c r="AB42" s="3247"/>
      <c r="AC42" s="3247"/>
      <c r="AD42" s="3247"/>
      <c r="AE42" s="3247"/>
      <c r="AF42" s="3248"/>
      <c r="AG42" s="3246" t="str">
        <f>INDEX(PT_DIFFERENTIATION_NTAR,MATCH(A42,PT_DIFFERENTIATION_NTAR_ID,0))</f>
        <v/>
      </c>
      <c r="AH42" s="3247"/>
      <c r="AI42" s="3247"/>
      <c r="AJ42" s="3247"/>
      <c r="AK42" s="3247"/>
      <c r="AL42" s="3247"/>
      <c r="AM42" s="3247"/>
      <c r="AN42" s="3247"/>
      <c r="AO42" s="3247"/>
      <c r="AP42" s="3247"/>
      <c r="AQ42" s="3247"/>
      <c r="AR42" s="324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259</v>
      </c>
      <c r="B43" s="1290" t="s">
        <v>260</v>
      </c>
      <c r="C43" s="1290"/>
      <c r="D43" s="1290"/>
      <c r="E43" s="3255"/>
      <c r="F43" s="3254">
        <v>1</v>
      </c>
      <c r="G43" s="1290"/>
      <c r="H43" s="1290"/>
      <c r="I43" s="1290"/>
      <c r="J43" s="1290"/>
      <c r="K43" s="1290"/>
      <c r="L43" s="1291"/>
      <c r="M43" s="1292"/>
      <c r="N43" s="1292"/>
      <c r="O43" s="1292"/>
      <c r="P43" s="1414"/>
      <c r="Q43" s="289"/>
      <c r="R43" s="290"/>
      <c r="S43" s="1420" t="str">
        <f>INDEX(PT_DIFFERENTIATION_NUM_TER,MATCH(B43,PT_DIFFERENTIATION_TER_ID,0))</f>
        <v>.</v>
      </c>
      <c r="T43" s="246" t="s">
        <v>405</v>
      </c>
      <c r="U43" s="238"/>
      <c r="V43" s="3246"/>
      <c r="W43" s="3247"/>
      <c r="X43" s="3247"/>
      <c r="Y43" s="3247"/>
      <c r="Z43" s="3247"/>
      <c r="AA43" s="3247"/>
      <c r="AB43" s="3247"/>
      <c r="AC43" s="3247"/>
      <c r="AD43" s="3247"/>
      <c r="AE43" s="3247"/>
      <c r="AF43" s="3248"/>
      <c r="AG43" s="3246" t="str">
        <f>INDEX(PT_DIFFERENTIATION_TER,MATCH(B43,PT_DIFFERENTIATION_TER_ID,0))</f>
        <v/>
      </c>
      <c r="AH43" s="3247"/>
      <c r="AI43" s="3247"/>
      <c r="AJ43" s="3247"/>
      <c r="AK43" s="3247"/>
      <c r="AL43" s="3247"/>
      <c r="AM43" s="3247"/>
      <c r="AN43" s="3247"/>
      <c r="AO43" s="3247"/>
      <c r="AP43" s="3247"/>
      <c r="AQ43" s="3247"/>
      <c r="AR43" s="3248"/>
      <c r="AS43" s="1185" t="s">
        <v>406</v>
      </c>
      <c r="AU43" s="437"/>
      <c r="AV43" s="437" t="str">
        <f t="shared" si="1"/>
        <v>Территория действия тарифа</v>
      </c>
      <c r="AW43" s="437"/>
      <c r="AX43" s="437"/>
      <c r="AY43" s="1082">
        <v>23</v>
      </c>
    </row>
    <row r="44" spans="1:51" ht="24" customHeight="1">
      <c r="A44" s="1290" t="s">
        <v>259</v>
      </c>
      <c r="B44" s="1290" t="s">
        <v>260</v>
      </c>
      <c r="C44" s="1290" t="s">
        <v>261</v>
      </c>
      <c r="D44" s="1290"/>
      <c r="E44" s="3255"/>
      <c r="F44" s="3255"/>
      <c r="G44" s="3254">
        <v>1</v>
      </c>
      <c r="H44" s="1290"/>
      <c r="I44" s="1290"/>
      <c r="J44" s="1290"/>
      <c r="K44" s="1290"/>
      <c r="L44" s="1291"/>
      <c r="M44" s="1292"/>
      <c r="N44" s="1292"/>
      <c r="O44" s="1292"/>
      <c r="P44" s="291"/>
      <c r="Q44" s="289"/>
      <c r="R44" s="290"/>
      <c r="S44" s="1420" t="str">
        <f>INDEX(PT_DIFFERENTIATION_NUM_CS,MATCH(C44,PT_DIFFERENTIATION_CS_ID,0))</f>
        <v>..</v>
      </c>
      <c r="T44" s="247" t="s">
        <v>537</v>
      </c>
      <c r="U44" s="238"/>
      <c r="V44" s="3246"/>
      <c r="W44" s="3247"/>
      <c r="X44" s="3247"/>
      <c r="Y44" s="3247"/>
      <c r="Z44" s="3247"/>
      <c r="AA44" s="3247"/>
      <c r="AB44" s="3247"/>
      <c r="AC44" s="3247"/>
      <c r="AD44" s="3247"/>
      <c r="AE44" s="3247"/>
      <c r="AF44" s="3248"/>
      <c r="AG44" s="3246" t="str">
        <f>INDEX(PT_DIFFERENTIATION_CS,MATCH(C44,PT_DIFFERENTIATION_CS_ID,0))</f>
        <v/>
      </c>
      <c r="AH44" s="3247"/>
      <c r="AI44" s="3247"/>
      <c r="AJ44" s="3247"/>
      <c r="AK44" s="3247"/>
      <c r="AL44" s="3247"/>
      <c r="AM44" s="3247"/>
      <c r="AN44" s="3247"/>
      <c r="AO44" s="3247"/>
      <c r="AP44" s="3247"/>
      <c r="AQ44" s="3247"/>
      <c r="AR44" s="3248"/>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259</v>
      </c>
      <c r="B45" s="1290" t="s">
        <v>260</v>
      </c>
      <c r="C45" s="1290" t="s">
        <v>261</v>
      </c>
      <c r="D45" s="1290" t="s">
        <v>549</v>
      </c>
      <c r="E45" s="3255"/>
      <c r="F45" s="3255"/>
      <c r="G45" s="3255"/>
      <c r="H45" s="3255"/>
      <c r="I45" s="3256" t="str">
        <f>S44&amp;".1"</f>
        <v>...1</v>
      </c>
      <c r="J45" s="1290"/>
      <c r="K45" s="1290"/>
      <c r="L45" s="1291"/>
      <c r="P45" s="3258">
        <v>1</v>
      </c>
      <c r="Q45" s="1408"/>
      <c r="R45" s="293"/>
      <c r="S45" s="1420" t="str">
        <f>$I45</f>
        <v>...1</v>
      </c>
      <c r="T45" s="223" t="s">
        <v>490</v>
      </c>
      <c r="U45" s="238"/>
      <c r="V45" s="3351"/>
      <c r="W45" s="3352"/>
      <c r="X45" s="3352"/>
      <c r="Y45" s="3352"/>
      <c r="Z45" s="3352"/>
      <c r="AA45" s="3352"/>
      <c r="AB45" s="3352"/>
      <c r="AC45" s="3352"/>
      <c r="AD45" s="3352"/>
      <c r="AE45" s="3352"/>
      <c r="AF45" s="3353"/>
      <c r="AG45" s="3354"/>
      <c r="AH45" s="3355"/>
      <c r="AI45" s="3355"/>
      <c r="AJ45" s="3355"/>
      <c r="AK45" s="3355"/>
      <c r="AL45" s="3355"/>
      <c r="AM45" s="3355"/>
      <c r="AN45" s="3355"/>
      <c r="AO45" s="3355"/>
      <c r="AP45" s="3355"/>
      <c r="AQ45" s="3355"/>
      <c r="AR45" s="3356"/>
      <c r="AS45" s="1185" t="s">
        <v>491</v>
      </c>
      <c r="AU45" s="437"/>
      <c r="AV45" s="437" t="str">
        <f t="shared" si="1"/>
        <v>Наименование признака дифференциации</v>
      </c>
      <c r="AW45" s="437"/>
      <c r="AX45" s="437"/>
      <c r="AY45" s="1082">
        <v>23</v>
      </c>
    </row>
    <row r="46" spans="1:51" ht="24" customHeight="1">
      <c r="A46" s="1290" t="s">
        <v>259</v>
      </c>
      <c r="B46" s="1290" t="s">
        <v>260</v>
      </c>
      <c r="C46" s="1290" t="s">
        <v>261</v>
      </c>
      <c r="D46" s="1290" t="s">
        <v>549</v>
      </c>
      <c r="E46" s="3255"/>
      <c r="F46" s="3255"/>
      <c r="G46" s="3255"/>
      <c r="H46" s="3255"/>
      <c r="I46" s="3257"/>
      <c r="J46" s="3256" t="str">
        <f>I45&amp;".1"</f>
        <v>...1.1</v>
      </c>
      <c r="K46" s="1290"/>
      <c r="L46" s="1291" t="s">
        <v>414</v>
      </c>
      <c r="P46" s="3258"/>
      <c r="Q46" s="3258">
        <v>1</v>
      </c>
      <c r="R46" s="294"/>
      <c r="S46" s="1420" t="str">
        <f>$J46</f>
        <v>...1.1</v>
      </c>
      <c r="T46" s="224" t="s">
        <v>415</v>
      </c>
      <c r="U46" s="238"/>
      <c r="V46" s="3239"/>
      <c r="W46" s="3240"/>
      <c r="X46" s="3240"/>
      <c r="Y46" s="3240"/>
      <c r="Z46" s="3240"/>
      <c r="AA46" s="3240"/>
      <c r="AB46" s="3240"/>
      <c r="AC46" s="3240"/>
      <c r="AD46" s="3240"/>
      <c r="AE46" s="3240"/>
      <c r="AF46" s="3241"/>
      <c r="AG46" s="3239"/>
      <c r="AH46" s="3240"/>
      <c r="AI46" s="3240"/>
      <c r="AJ46" s="3240"/>
      <c r="AK46" s="3240"/>
      <c r="AL46" s="3240"/>
      <c r="AM46" s="3240"/>
      <c r="AN46" s="3240"/>
      <c r="AO46" s="3240"/>
      <c r="AP46" s="3240"/>
      <c r="AQ46" s="3240"/>
      <c r="AR46" s="3241"/>
      <c r="AS46" s="1234" t="s">
        <v>492</v>
      </c>
      <c r="AU46" s="437"/>
      <c r="AV46" s="437" t="str">
        <f t="shared" si="1"/>
        <v>Группа потребителей</v>
      </c>
      <c r="AW46" s="437"/>
      <c r="AX46" s="437"/>
      <c r="AY46" s="1082">
        <v>23</v>
      </c>
    </row>
    <row r="47" spans="1:51" ht="24" customHeight="1">
      <c r="A47" s="1290" t="s">
        <v>259</v>
      </c>
      <c r="B47" s="1290" t="s">
        <v>260</v>
      </c>
      <c r="C47" s="1290" t="s">
        <v>261</v>
      </c>
      <c r="D47" s="1290" t="s">
        <v>549</v>
      </c>
      <c r="E47" s="3255"/>
      <c r="F47" s="3255"/>
      <c r="G47" s="3255"/>
      <c r="H47" s="3255"/>
      <c r="I47" s="3257"/>
      <c r="J47" s="3257"/>
      <c r="K47" s="3256" t="str">
        <f>J46&amp;".1"</f>
        <v>...1.1.1</v>
      </c>
      <c r="L47" s="1291"/>
      <c r="P47" s="3258"/>
      <c r="Q47" s="3258"/>
      <c r="R47" s="294">
        <v>1</v>
      </c>
      <c r="S47" s="1420" t="str">
        <f>$K47</f>
        <v>...1.1.1</v>
      </c>
      <c r="T47" s="1364"/>
      <c r="U47" s="238"/>
      <c r="V47" s="688"/>
      <c r="W47" s="688"/>
      <c r="X47" s="688"/>
      <c r="Y47" s="688"/>
      <c r="Z47" s="688"/>
      <c r="AA47" s="688"/>
      <c r="AB47" s="688"/>
      <c r="AC47" s="3251"/>
      <c r="AD47" s="3250" t="s">
        <v>67</v>
      </c>
      <c r="AE47" s="3251"/>
      <c r="AF47" s="3250" t="s">
        <v>67</v>
      </c>
      <c r="AG47" s="688"/>
      <c r="AH47" s="688"/>
      <c r="AI47" s="688"/>
      <c r="AJ47" s="688"/>
      <c r="AK47" s="688"/>
      <c r="AL47" s="688"/>
      <c r="AM47" s="688"/>
      <c r="AN47" s="3259"/>
      <c r="AO47" s="3121" t="s">
        <v>67</v>
      </c>
      <c r="AP47" s="3261"/>
      <c r="AQ47" s="3121" t="s">
        <v>19</v>
      </c>
      <c r="AR47" s="1365"/>
      <c r="AS4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259</v>
      </c>
      <c r="B48" s="1290" t="s">
        <v>260</v>
      </c>
      <c r="C48" s="1290" t="s">
        <v>261</v>
      </c>
      <c r="D48" s="1290" t="s">
        <v>549</v>
      </c>
      <c r="E48" s="3255"/>
      <c r="F48" s="3255"/>
      <c r="G48" s="3255"/>
      <c r="H48" s="3255"/>
      <c r="I48" s="3257"/>
      <c r="J48" s="3257"/>
      <c r="K48" s="3256"/>
      <c r="L48" s="1291"/>
      <c r="P48" s="3258"/>
      <c r="Q48" s="3258"/>
      <c r="R48" s="294"/>
      <c r="S48" s="1417"/>
      <c r="T48" s="238"/>
      <c r="U48" s="238"/>
      <c r="V48" s="1287"/>
      <c r="W48" s="1287"/>
      <c r="X48" s="1287"/>
      <c r="Y48" s="1287"/>
      <c r="Z48" s="1287"/>
      <c r="AA48" s="1287"/>
      <c r="AB48" s="1287"/>
      <c r="AC48" s="3250"/>
      <c r="AD48" s="3250"/>
      <c r="AE48" s="3250"/>
      <c r="AF48" s="3250"/>
      <c r="AG48" s="263"/>
      <c r="AH48" s="263"/>
      <c r="AI48" s="263"/>
      <c r="AJ48" s="263"/>
      <c r="AK48" s="263"/>
      <c r="AL48" s="263"/>
      <c r="AM48" s="263"/>
      <c r="AN48" s="3260"/>
      <c r="AO48" s="3121"/>
      <c r="AP48" s="3262"/>
      <c r="AQ48" s="3121"/>
      <c r="AR48" s="1366"/>
      <c r="AS48" s="3357"/>
      <c r="AU48" s="437"/>
      <c r="AV48" s="437" t="str">
        <f t="shared" si="1"/>
        <v/>
      </c>
      <c r="AW48" s="437"/>
      <c r="AX48" s="437"/>
      <c r="AY48" s="1082">
        <v>0</v>
      </c>
    </row>
    <row r="49" spans="1:51" ht="21" customHeight="1">
      <c r="A49" s="1290" t="s">
        <v>259</v>
      </c>
      <c r="B49" s="1290" t="s">
        <v>260</v>
      </c>
      <c r="C49" s="1290" t="s">
        <v>261</v>
      </c>
      <c r="D49" s="1290" t="s">
        <v>549</v>
      </c>
      <c r="E49" s="3255"/>
      <c r="F49" s="3255"/>
      <c r="G49" s="3255"/>
      <c r="H49" s="3255"/>
      <c r="I49" s="3257"/>
      <c r="J49" s="3256"/>
      <c r="K49" s="1290"/>
      <c r="L49" s="1291"/>
      <c r="P49" s="3258"/>
      <c r="Q49" s="3258"/>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259</v>
      </c>
      <c r="B50" s="1290" t="s">
        <v>260</v>
      </c>
      <c r="C50" s="1290" t="s">
        <v>261</v>
      </c>
      <c r="D50" s="1290" t="s">
        <v>549</v>
      </c>
      <c r="E50" s="3255"/>
      <c r="F50" s="3255"/>
      <c r="G50" s="3255"/>
      <c r="H50" s="3255"/>
      <c r="I50" s="3256"/>
      <c r="J50" s="1290"/>
      <c r="K50" s="1290"/>
      <c r="L50" s="1291"/>
      <c r="P50" s="3258"/>
      <c r="Q50" s="1408"/>
      <c r="R50" s="293"/>
      <c r="S50" s="1205"/>
      <c r="T50" s="302" t="s">
        <v>420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259</v>
      </c>
      <c r="B51" s="1290" t="s">
        <v>260</v>
      </c>
      <c r="C51" s="1290" t="s">
        <v>261</v>
      </c>
      <c r="D51" s="1290" t="s">
        <v>549</v>
      </c>
      <c r="E51" s="3255"/>
      <c r="F51" s="3255"/>
      <c r="G51" s="3255"/>
      <c r="H51" s="3254"/>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259</v>
      </c>
      <c r="B52" s="1270" t="s">
        <v>260</v>
      </c>
      <c r="C52" s="1241"/>
      <c r="D52" s="1241"/>
      <c r="E52" s="3255"/>
      <c r="F52" s="3254"/>
      <c r="G52" s="1241"/>
      <c r="H52" s="1241"/>
      <c r="I52" s="1241"/>
      <c r="J52" s="1241"/>
      <c r="K52" s="1241"/>
      <c r="L52" s="1421"/>
      <c r="M52" s="1248"/>
      <c r="N52" s="1248"/>
      <c r="P52" s="1243"/>
      <c r="Q52" s="1244"/>
      <c r="R52" s="1243"/>
      <c r="S52" s="1249"/>
      <c r="T52" s="1252" t="s">
        <v>167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259</v>
      </c>
      <c r="B53" s="1270"/>
      <c r="C53" s="1270"/>
      <c r="D53" s="1270"/>
      <c r="E53" s="3254"/>
      <c r="F53" s="1270"/>
      <c r="G53" s="1270"/>
      <c r="H53" s="1270"/>
      <c r="I53" s="1270"/>
      <c r="J53" s="1270"/>
      <c r="K53" s="1270"/>
      <c r="L53" s="1273"/>
      <c r="M53" s="1248"/>
      <c r="N53" s="1248"/>
      <c r="O53" s="455"/>
      <c r="P53" s="317"/>
      <c r="Q53" s="1271"/>
      <c r="R53" s="317"/>
      <c r="S53" s="1249"/>
      <c r="T53" s="1252" t="s">
        <v>168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3252"/>
      <c r="U56" s="3252"/>
      <c r="V56" s="3252"/>
      <c r="W56" s="3252"/>
      <c r="X56" s="3252"/>
      <c r="Y56" s="3252"/>
      <c r="Z56" s="3252"/>
      <c r="AA56" s="3252"/>
      <c r="AB56" s="3252"/>
      <c r="AC56" s="3252"/>
      <c r="AD56" s="3252"/>
      <c r="AE56" s="3252"/>
      <c r="AF56" s="3252"/>
      <c r="AG56" s="3252"/>
      <c r="AH56" s="3252"/>
      <c r="AI56" s="3252"/>
      <c r="AJ56" s="3252"/>
      <c r="AK56" s="3252"/>
      <c r="AL56" s="3252"/>
      <c r="AM56" s="3252"/>
      <c r="AN56" s="3252"/>
      <c r="AO56" s="3252"/>
      <c r="AP56" s="3252"/>
      <c r="AQ56" s="3252"/>
      <c r="AR56" s="3252"/>
      <c r="AS56" s="3252"/>
      <c r="AY56" s="1082">
        <v>14</v>
      </c>
    </row>
    <row r="57" spans="1:51" ht="14.65" customHeight="1">
      <c r="O57" s="474"/>
      <c r="AY57" s="1082">
        <v>14</v>
      </c>
    </row>
    <row r="58" spans="1:51" ht="14.65" customHeight="1">
      <c r="O58" s="474"/>
      <c r="S58" s="1180"/>
      <c r="T58" s="3252"/>
      <c r="U58" s="3252"/>
      <c r="V58" s="3252"/>
      <c r="W58" s="3252"/>
      <c r="X58" s="3252"/>
      <c r="Y58" s="3252"/>
      <c r="Z58" s="3252"/>
      <c r="AA58" s="3252"/>
      <c r="AB58" s="3252"/>
      <c r="AC58" s="3252"/>
      <c r="AD58" s="3252"/>
      <c r="AE58" s="3252"/>
      <c r="AF58" s="3252"/>
      <c r="AG58" s="3252"/>
      <c r="AH58" s="3252"/>
      <c r="AI58" s="3252"/>
      <c r="AJ58" s="3252"/>
      <c r="AK58" s="3252"/>
      <c r="AL58" s="3252"/>
      <c r="AM58" s="3252"/>
      <c r="AN58" s="3252"/>
      <c r="AO58" s="3252"/>
      <c r="AP58" s="3252"/>
      <c r="AQ58" s="3252"/>
      <c r="AR58" s="3252"/>
      <c r="AS58" s="3252"/>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B88FD-DBB4-1A96-E14E-C0EC27996A36}">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2" customWidth="1"/>
    <col min="19" max="19" width="12" style="201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3254">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3246"/>
      <c r="W2" s="3247"/>
      <c r="X2" s="3247"/>
      <c r="Y2" s="3247"/>
      <c r="Z2" s="3247"/>
      <c r="AA2" s="3247"/>
      <c r="AB2" s="3247"/>
      <c r="AC2" s="3247"/>
      <c r="AD2" s="3247"/>
      <c r="AE2" s="3247"/>
      <c r="AF2" s="3248"/>
      <c r="AG2" s="3246" t="e">
        <f>INDEX(PT_DIFFERENTIATION_NTAR,MATCH(A2,PT_DIFFERENTIATION_NTAR_ID,0))</f>
        <v>#N/A</v>
      </c>
      <c r="AH2" s="3247"/>
      <c r="AI2" s="3247"/>
      <c r="AJ2" s="3247"/>
      <c r="AK2" s="3247"/>
      <c r="AL2" s="3247"/>
      <c r="AM2" s="3247"/>
      <c r="AN2" s="3247"/>
      <c r="AO2" s="3247"/>
      <c r="AP2" s="3247"/>
      <c r="AQ2" s="3247"/>
      <c r="AR2" s="324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255"/>
      <c r="F3" s="3254">
        <v>1</v>
      </c>
      <c r="G3" s="1290"/>
      <c r="H3" s="1290"/>
      <c r="I3" s="1290"/>
      <c r="J3" s="1290"/>
      <c r="K3" s="1290"/>
      <c r="L3" s="1291"/>
      <c r="M3" s="1292"/>
      <c r="N3" s="1292"/>
      <c r="O3" s="1292"/>
      <c r="P3" s="1414"/>
      <c r="Q3" s="289"/>
      <c r="R3" s="290"/>
      <c r="S3" s="1420" t="e">
        <f>INDEX(PT_DIFFERENTIATION_NUM_TER,MATCH(B3,PT_DIFFERENTIATION_TER_ID,0))</f>
        <v>#N/A</v>
      </c>
      <c r="T3" s="246" t="s">
        <v>405</v>
      </c>
      <c r="U3" s="238"/>
      <c r="V3" s="3246"/>
      <c r="W3" s="3247"/>
      <c r="X3" s="3247"/>
      <c r="Y3" s="3247"/>
      <c r="Z3" s="3247"/>
      <c r="AA3" s="3247"/>
      <c r="AB3" s="3247"/>
      <c r="AC3" s="3247"/>
      <c r="AD3" s="3247"/>
      <c r="AE3" s="3247"/>
      <c r="AF3" s="3248"/>
      <c r="AG3" s="3246" t="e">
        <f>INDEX(PT_DIFFERENTIATION_TER,MATCH(B3,PT_DIFFERENTIATION_TER_ID,0))</f>
        <v>#N/A</v>
      </c>
      <c r="AH3" s="3247"/>
      <c r="AI3" s="3247"/>
      <c r="AJ3" s="3247"/>
      <c r="AK3" s="3247"/>
      <c r="AL3" s="3247"/>
      <c r="AM3" s="3247"/>
      <c r="AN3" s="3247"/>
      <c r="AO3" s="3247"/>
      <c r="AP3" s="3247"/>
      <c r="AQ3" s="3247"/>
      <c r="AR3" s="3248"/>
      <c r="AS3" s="1185" t="s">
        <v>406</v>
      </c>
      <c r="AU3" s="437"/>
      <c r="AV3" s="437" t="str">
        <f t="shared" si="0"/>
        <v>Территория действия тарифа</v>
      </c>
      <c r="AW3" s="437"/>
      <c r="AX3" s="437"/>
      <c r="AY3" s="1082">
        <v>0</v>
      </c>
    </row>
    <row r="4" spans="1:51" ht="23.25" hidden="1" customHeight="1">
      <c r="A4" s="1290"/>
      <c r="B4" s="1290"/>
      <c r="C4" s="1290"/>
      <c r="D4" s="1290"/>
      <c r="E4" s="3255"/>
      <c r="F4" s="3255"/>
      <c r="G4" s="3254">
        <v>1</v>
      </c>
      <c r="H4" s="1290"/>
      <c r="I4" s="1290"/>
      <c r="J4" s="1290"/>
      <c r="K4" s="1290"/>
      <c r="L4" s="1291"/>
      <c r="M4" s="1292"/>
      <c r="N4" s="1292"/>
      <c r="O4" s="1292"/>
      <c r="P4" s="291"/>
      <c r="Q4" s="289"/>
      <c r="R4" s="290"/>
      <c r="S4" s="1420" t="e">
        <f>INDEX(PT_DIFFERENTIATION_NUM_CS,MATCH(C4,PT_DIFFERENTIATION_CS_ID,0))</f>
        <v>#N/A</v>
      </c>
      <c r="T4" s="247" t="s">
        <v>537</v>
      </c>
      <c r="U4" s="238"/>
      <c r="V4" s="3246"/>
      <c r="W4" s="3247"/>
      <c r="X4" s="3247"/>
      <c r="Y4" s="3247"/>
      <c r="Z4" s="3247"/>
      <c r="AA4" s="3247"/>
      <c r="AB4" s="3247"/>
      <c r="AC4" s="3247"/>
      <c r="AD4" s="3247"/>
      <c r="AE4" s="3247"/>
      <c r="AF4" s="3248"/>
      <c r="AG4" s="3246" t="e">
        <f>INDEX(PT_DIFFERENTIATION_CS,MATCH(C4,PT_DIFFERENTIATION_CS_ID,0))</f>
        <v>#N/A</v>
      </c>
      <c r="AH4" s="3247"/>
      <c r="AI4" s="3247"/>
      <c r="AJ4" s="3247"/>
      <c r="AK4" s="3247"/>
      <c r="AL4" s="3247"/>
      <c r="AM4" s="3247"/>
      <c r="AN4" s="3247"/>
      <c r="AO4" s="3247"/>
      <c r="AP4" s="3247"/>
      <c r="AQ4" s="3247"/>
      <c r="AR4" s="3248"/>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255"/>
      <c r="F5" s="3255"/>
      <c r="G5" s="3255"/>
      <c r="H5" s="3255"/>
      <c r="I5" s="3256" t="e">
        <f>S4&amp;".1"</f>
        <v>#N/A</v>
      </c>
      <c r="J5" s="1290"/>
      <c r="K5" s="1290"/>
      <c r="L5" s="1291"/>
      <c r="P5" s="3258">
        <v>1</v>
      </c>
      <c r="Q5" s="1408"/>
      <c r="R5" s="293"/>
      <c r="S5" s="1420" t="e">
        <f>$I5</f>
        <v>#N/A</v>
      </c>
      <c r="T5" s="223" t="s">
        <v>490</v>
      </c>
      <c r="U5" s="238"/>
      <c r="V5" s="3351"/>
      <c r="W5" s="3352"/>
      <c r="X5" s="3352"/>
      <c r="Y5" s="3352"/>
      <c r="Z5" s="3352"/>
      <c r="AA5" s="3352"/>
      <c r="AB5" s="3352"/>
      <c r="AC5" s="3352"/>
      <c r="AD5" s="3352"/>
      <c r="AE5" s="3352"/>
      <c r="AF5" s="3353"/>
      <c r="AG5" s="3354"/>
      <c r="AH5" s="3355"/>
      <c r="AI5" s="3355"/>
      <c r="AJ5" s="3355"/>
      <c r="AK5" s="3355"/>
      <c r="AL5" s="3355"/>
      <c r="AM5" s="3355"/>
      <c r="AN5" s="3355"/>
      <c r="AO5" s="3355"/>
      <c r="AP5" s="3355"/>
      <c r="AQ5" s="3355"/>
      <c r="AR5" s="3356"/>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3255"/>
      <c r="F6" s="3255"/>
      <c r="G6" s="3255"/>
      <c r="H6" s="3255"/>
      <c r="I6" s="3257"/>
      <c r="J6" s="3256" t="e">
        <f>I5&amp;".1"</f>
        <v>#N/A</v>
      </c>
      <c r="K6" s="1290"/>
      <c r="L6" s="1291" t="s">
        <v>414</v>
      </c>
      <c r="P6" s="3258"/>
      <c r="Q6" s="3258">
        <v>1</v>
      </c>
      <c r="R6" s="294"/>
      <c r="S6" s="1420" t="e">
        <f>$J6</f>
        <v>#N/A</v>
      </c>
      <c r="T6" s="224" t="s">
        <v>415</v>
      </c>
      <c r="U6" s="238"/>
      <c r="V6" s="3239"/>
      <c r="W6" s="3240"/>
      <c r="X6" s="3240"/>
      <c r="Y6" s="3240"/>
      <c r="Z6" s="3240"/>
      <c r="AA6" s="3240"/>
      <c r="AB6" s="3240"/>
      <c r="AC6" s="3240"/>
      <c r="AD6" s="3240"/>
      <c r="AE6" s="3240"/>
      <c r="AF6" s="3241"/>
      <c r="AG6" s="3239"/>
      <c r="AH6" s="3240"/>
      <c r="AI6" s="3240"/>
      <c r="AJ6" s="3240"/>
      <c r="AK6" s="3240"/>
      <c r="AL6" s="3240"/>
      <c r="AM6" s="3240"/>
      <c r="AN6" s="3240"/>
      <c r="AO6" s="3240"/>
      <c r="AP6" s="3240"/>
      <c r="AQ6" s="3240"/>
      <c r="AR6" s="3241"/>
      <c r="AS6" s="1234" t="s">
        <v>492</v>
      </c>
      <c r="AU6" s="437"/>
      <c r="AV6" s="437" t="str">
        <f t="shared" si="0"/>
        <v>Группа потребителей</v>
      </c>
      <c r="AW6" s="437"/>
      <c r="AX6" s="437"/>
      <c r="AY6" s="1082">
        <v>0</v>
      </c>
    </row>
    <row r="7" spans="1:51" ht="23.25" hidden="1" customHeight="1">
      <c r="A7" s="1290"/>
      <c r="B7" s="1290"/>
      <c r="C7" s="1290"/>
      <c r="D7" s="1290"/>
      <c r="E7" s="3255"/>
      <c r="F7" s="3255"/>
      <c r="G7" s="3255"/>
      <c r="H7" s="3255"/>
      <c r="I7" s="3257"/>
      <c r="J7" s="3257"/>
      <c r="K7" s="3256" t="e">
        <f>J6&amp;".1"</f>
        <v>#N/A</v>
      </c>
      <c r="L7" s="1291"/>
      <c r="P7" s="3258"/>
      <c r="Q7" s="3258"/>
      <c r="R7" s="294">
        <v>1</v>
      </c>
      <c r="S7" s="1420" t="e">
        <f>$K7</f>
        <v>#N/A</v>
      </c>
      <c r="T7" s="1364"/>
      <c r="U7" s="238"/>
      <c r="V7" s="688"/>
      <c r="W7" s="688"/>
      <c r="X7" s="688"/>
      <c r="Y7" s="688"/>
      <c r="Z7" s="688"/>
      <c r="AA7" s="688"/>
      <c r="AB7" s="1184"/>
      <c r="AC7" s="3259"/>
      <c r="AD7" s="3121" t="s">
        <v>67</v>
      </c>
      <c r="AE7" s="3259"/>
      <c r="AF7" s="3121" t="s">
        <v>67</v>
      </c>
      <c r="AG7" s="688"/>
      <c r="AH7" s="688"/>
      <c r="AI7" s="688"/>
      <c r="AJ7" s="688"/>
      <c r="AK7" s="688"/>
      <c r="AL7" s="688"/>
      <c r="AM7" s="1184"/>
      <c r="AN7" s="3259"/>
      <c r="AO7" s="3121" t="s">
        <v>67</v>
      </c>
      <c r="AP7" s="3261"/>
      <c r="AQ7" s="3121" t="s">
        <v>67</v>
      </c>
      <c r="AR7" s="1365"/>
      <c r="AS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255"/>
      <c r="F8" s="3255"/>
      <c r="G8" s="3255"/>
      <c r="H8" s="3255"/>
      <c r="I8" s="3257"/>
      <c r="J8" s="3257"/>
      <c r="K8" s="3256"/>
      <c r="L8" s="1291"/>
      <c r="P8" s="3258"/>
      <c r="Q8" s="3258"/>
      <c r="R8" s="294"/>
      <c r="S8" s="1417"/>
      <c r="T8" s="238"/>
      <c r="U8" s="238"/>
      <c r="V8" s="263"/>
      <c r="W8" s="263"/>
      <c r="X8" s="263"/>
      <c r="Y8" s="263"/>
      <c r="Z8" s="263"/>
      <c r="AA8" s="263"/>
      <c r="AB8" s="266" t="str">
        <f>AC7&amp;"-"&amp;AE7</f>
        <v>-</v>
      </c>
      <c r="AC8" s="3260"/>
      <c r="AD8" s="3121"/>
      <c r="AE8" s="3260"/>
      <c r="AF8" s="3121"/>
      <c r="AG8" s="263"/>
      <c r="AH8" s="263"/>
      <c r="AI8" s="263"/>
      <c r="AJ8" s="263"/>
      <c r="AK8" s="263"/>
      <c r="AL8" s="263"/>
      <c r="AM8" s="266" t="str">
        <f>AN7&amp;"-"&amp;AP7</f>
        <v>-</v>
      </c>
      <c r="AN8" s="3260"/>
      <c r="AO8" s="3121"/>
      <c r="AP8" s="3262"/>
      <c r="AQ8" s="3121"/>
      <c r="AR8" s="1366"/>
      <c r="AS8" s="3357"/>
      <c r="AU8" s="437"/>
      <c r="AV8" s="437" t="str">
        <f t="shared" si="0"/>
        <v/>
      </c>
      <c r="AW8" s="437"/>
      <c r="AX8" s="437"/>
      <c r="AY8" s="1082">
        <v>0</v>
      </c>
    </row>
    <row r="9" spans="1:51" ht="21" hidden="1" customHeight="1">
      <c r="A9" s="1290"/>
      <c r="B9" s="1290"/>
      <c r="C9" s="1290"/>
      <c r="D9" s="1290"/>
      <c r="E9" s="3255"/>
      <c r="F9" s="3255"/>
      <c r="G9" s="3255"/>
      <c r="H9" s="3255"/>
      <c r="I9" s="3257"/>
      <c r="J9" s="3256"/>
      <c r="K9" s="1290"/>
      <c r="L9" s="1291"/>
      <c r="P9" s="3258"/>
      <c r="Q9" s="3258"/>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255"/>
      <c r="F10" s="3255"/>
      <c r="G10" s="3255"/>
      <c r="H10" s="3255"/>
      <c r="I10" s="3256"/>
      <c r="J10" s="1290"/>
      <c r="K10" s="1290"/>
      <c r="L10" s="1291"/>
      <c r="P10" s="3258"/>
      <c r="Q10" s="1408"/>
      <c r="R10" s="293"/>
      <c r="S10" s="1205"/>
      <c r="T10" s="302" t="s">
        <v>420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255"/>
      <c r="F11" s="3255"/>
      <c r="G11" s="3255"/>
      <c r="H11" s="3254"/>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255"/>
      <c r="F12" s="3254"/>
      <c r="G12" s="1241"/>
      <c r="H12" s="1241"/>
      <c r="I12" s="1241"/>
      <c r="J12" s="1241"/>
      <c r="K12" s="1241"/>
      <c r="L12" s="1421"/>
      <c r="M12" s="1248"/>
      <c r="N12" s="1248"/>
      <c r="P12" s="1243"/>
      <c r="Q12" s="1244"/>
      <c r="R12" s="1243"/>
      <c r="S12" s="1249"/>
      <c r="T12" s="1252" t="s">
        <v>167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254"/>
      <c r="F13" s="1270"/>
      <c r="G13" s="1270"/>
      <c r="H13" s="1270"/>
      <c r="I13" s="1270"/>
      <c r="J13" s="1270"/>
      <c r="K13" s="1270"/>
      <c r="L13" s="1273"/>
      <c r="M13" s="1248"/>
      <c r="N13" s="1248"/>
      <c r="O13" s="455"/>
      <c r="P13" s="317"/>
      <c r="Q13" s="1271"/>
      <c r="R13" s="317"/>
      <c r="S13" s="1249"/>
      <c r="T13" s="1252" t="s">
        <v>168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3251"/>
      <c r="AO15" s="3250" t="s">
        <v>67</v>
      </c>
      <c r="AP15" s="3251"/>
      <c r="AQ15" s="3250" t="s">
        <v>67</v>
      </c>
      <c r="AY15" s="1082">
        <v>0</v>
      </c>
    </row>
    <row r="16" spans="1:51" ht="14.25" hidden="1" customHeight="1">
      <c r="AG16" s="1287"/>
      <c r="AH16" s="1287"/>
      <c r="AI16" s="1287"/>
      <c r="AJ16" s="1287"/>
      <c r="AK16" s="1287"/>
      <c r="AL16" s="1287"/>
      <c r="AM16" s="266" t="str">
        <f>AN15&amp;"-"&amp;AP15</f>
        <v>-</v>
      </c>
      <c r="AN16" s="3250"/>
      <c r="AO16" s="3250"/>
      <c r="AP16" s="3250"/>
      <c r="AQ16" s="3250"/>
      <c r="AY16" s="1082">
        <v>0</v>
      </c>
    </row>
    <row r="17" spans="1:51" ht="14.25" hidden="1" customHeight="1">
      <c r="AQ17" s="265"/>
      <c r="AY17" s="1082">
        <v>0</v>
      </c>
    </row>
    <row r="18" spans="1:51" s="1293" customFormat="1" ht="22.5" hidden="1" customHeight="1">
      <c r="L18" s="1405"/>
      <c r="M18" s="1289"/>
      <c r="N18" s="1289"/>
      <c r="O18" s="1294" t="s">
        <v>422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423</v>
      </c>
      <c r="P20" s="1289"/>
      <c r="Q20" s="1369"/>
      <c r="R20" s="1369"/>
      <c r="S20" s="666"/>
      <c r="T20" s="1087" t="s">
        <v>424</v>
      </c>
      <c r="AD20" s="124" t="s">
        <v>425</v>
      </c>
      <c r="AF20" s="124" t="s">
        <v>426</v>
      </c>
      <c r="AG20" s="1087" t="s">
        <v>424</v>
      </c>
      <c r="AO20" s="124" t="s">
        <v>427</v>
      </c>
      <c r="AQ20" s="124" t="s">
        <v>426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3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232"/>
      <c r="U24" s="3232"/>
      <c r="V24" s="3232"/>
      <c r="W24" s="3232"/>
      <c r="X24" s="3232"/>
      <c r="Y24" s="3232"/>
      <c r="Z24" s="3232"/>
      <c r="AA24" s="3232"/>
      <c r="AB24" s="3232"/>
      <c r="AC24" s="3232"/>
      <c r="AD24" s="3232"/>
      <c r="AE24" s="3232"/>
      <c r="AF24" s="3232"/>
      <c r="AG24" s="3232"/>
      <c r="AH24" s="3232"/>
      <c r="AI24" s="3232"/>
      <c r="AJ24" s="3232"/>
      <c r="AK24" s="3232"/>
      <c r="AL24" s="3232"/>
      <c r="AM24" s="3232"/>
      <c r="AN24" s="3232"/>
      <c r="AO24" s="3232"/>
      <c r="AP24" s="3232"/>
      <c r="AQ24" s="1170"/>
      <c r="AY24" s="1082">
        <v>25</v>
      </c>
    </row>
    <row r="25" spans="1:51" ht="14.65" customHeight="1">
      <c r="Q25" s="313"/>
      <c r="R25" s="313"/>
      <c r="S25" s="3204" t="str">
        <f>IF(org=0,"Не определено",org)</f>
        <v>АО Нижневартовская ГРЭС</v>
      </c>
      <c r="T25" s="3204"/>
      <c r="U25" s="3204"/>
      <c r="V25" s="3204"/>
      <c r="W25" s="3204"/>
      <c r="X25" s="3204"/>
      <c r="Y25" s="3204"/>
      <c r="Z25" s="3204"/>
      <c r="AA25" s="3204"/>
      <c r="AB25" s="3204"/>
      <c r="AC25" s="3204"/>
      <c r="AD25" s="3204"/>
      <c r="AE25" s="3204"/>
      <c r="AF25" s="3204"/>
      <c r="AG25" s="3204"/>
      <c r="AH25" s="3204"/>
      <c r="AI25" s="3204"/>
      <c r="AJ25" s="3204"/>
      <c r="AK25" s="3204"/>
      <c r="AL25" s="3204"/>
      <c r="AM25" s="3204"/>
      <c r="AN25" s="3204"/>
      <c r="AO25" s="3204"/>
      <c r="AP25" s="320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3243" t="s">
        <v>42</v>
      </c>
      <c r="T27" s="3243"/>
      <c r="U27" s="1299"/>
      <c r="V27" s="3245" t="str">
        <f>IF(TITLE_NAME_OR_PR_CHANGE="",IF(TITLE_NAME_OR_PR="","",TITLE_NAME_OR_PR),TITLE_NAME_OR_PR_CHANGE)</f>
        <v/>
      </c>
      <c r="W27" s="3245"/>
      <c r="X27" s="3245"/>
      <c r="Y27" s="3245"/>
      <c r="Z27" s="3245"/>
      <c r="AA27" s="3245"/>
      <c r="AB27" s="3245"/>
      <c r="AC27" s="3245"/>
      <c r="AD27" s="3245"/>
      <c r="AE27" s="3245"/>
      <c r="AF27" s="264"/>
      <c r="AG27" s="3245" t="str">
        <f>IF(TITLE_NAME_OR_PR_CHANGE="",IF(TITLE_NAME_OR_PR="","",TITLE_NAME_OR_PR),TITLE_NAME_OR_PR_CHANGE)</f>
        <v/>
      </c>
      <c r="AH27" s="3245"/>
      <c r="AI27" s="3245"/>
      <c r="AJ27" s="3245"/>
      <c r="AK27" s="3245"/>
      <c r="AL27" s="3245"/>
      <c r="AM27" s="3245"/>
      <c r="AN27" s="3245"/>
      <c r="AO27" s="3245"/>
      <c r="AP27" s="3245"/>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3243" t="s">
        <v>428</v>
      </c>
      <c r="T28" s="3243"/>
      <c r="U28" s="1299"/>
      <c r="V28" s="3244">
        <f>IF(TITLE_DATE_PR_CHANGE="",IF(TITLE_DATE_PR="","",TITLE_DATE_PR),TITLE_DATE_PR_CHANGE)</f>
        <v>45595.546053240738</v>
      </c>
      <c r="W28" s="3244"/>
      <c r="X28" s="3244"/>
      <c r="Y28" s="3244"/>
      <c r="Z28" s="3244"/>
      <c r="AA28" s="3244"/>
      <c r="AB28" s="3244"/>
      <c r="AC28" s="3244"/>
      <c r="AD28" s="3244"/>
      <c r="AE28" s="3244"/>
      <c r="AF28" s="264"/>
      <c r="AG28" s="3244">
        <f>IF(TITLE_DATE_PR_CHANGE="",IF(TITLE_DATE_PR="","",TITLE_DATE_PR),TITLE_DATE_PR_CHANGE)</f>
        <v>45595.546053240738</v>
      </c>
      <c r="AH28" s="3244"/>
      <c r="AI28" s="3244"/>
      <c r="AJ28" s="3244"/>
      <c r="AK28" s="3244"/>
      <c r="AL28" s="3244"/>
      <c r="AM28" s="3244"/>
      <c r="AN28" s="3244"/>
      <c r="AO28" s="3244"/>
      <c r="AP28" s="3244"/>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3243" t="s">
        <v>429</v>
      </c>
      <c r="T29" s="3243"/>
      <c r="U29" s="1299"/>
      <c r="V29" s="3245" t="str">
        <f>IF(TITLE_NUMBER_PR_CHANGE="",IF(TITLE_NUMBER_PR="","",TITLE_NUMBER_PR),TITLE_NUMBER_PR_CHANGE)</f>
        <v>03/3636</v>
      </c>
      <c r="W29" s="3245"/>
      <c r="X29" s="3245"/>
      <c r="Y29" s="3245"/>
      <c r="Z29" s="3245"/>
      <c r="AA29" s="3245"/>
      <c r="AB29" s="3245"/>
      <c r="AC29" s="3245"/>
      <c r="AD29" s="3245"/>
      <c r="AE29" s="3245"/>
      <c r="AF29" s="264"/>
      <c r="AG29" s="3245" t="str">
        <f>IF(TITLE_NUMBER_PR_CHANGE="",IF(TITLE_NUMBER_PR="","",TITLE_NUMBER_PR),TITLE_NUMBER_PR_CHANGE)</f>
        <v>03/3636</v>
      </c>
      <c r="AH29" s="3245"/>
      <c r="AI29" s="3245"/>
      <c r="AJ29" s="3245"/>
      <c r="AK29" s="3245"/>
      <c r="AL29" s="3245"/>
      <c r="AM29" s="3245"/>
      <c r="AN29" s="3245"/>
      <c r="AO29" s="3245"/>
      <c r="AP29" s="3245"/>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3243" t="s">
        <v>43</v>
      </c>
      <c r="T30" s="3243"/>
      <c r="U30" s="1299"/>
      <c r="V30" s="3245" t="str">
        <f>IF(TITLE_IST_PUB_CHANGE="",IF(TITLE_IST_PUB="","",TITLE_IST_PUB),TITLE_IST_PUB_CHANGE)</f>
        <v/>
      </c>
      <c r="W30" s="3245"/>
      <c r="X30" s="3245"/>
      <c r="Y30" s="3245"/>
      <c r="Z30" s="3245"/>
      <c r="AA30" s="3245"/>
      <c r="AB30" s="3245"/>
      <c r="AC30" s="3245"/>
      <c r="AD30" s="3245"/>
      <c r="AE30" s="3245"/>
      <c r="AF30" s="264"/>
      <c r="AG30" s="3245" t="str">
        <f>IF(TITLE_IST_PUB_CHANGE="",IF(TITLE_IST_PUB="","",TITLE_IST_PUB),TITLE_IST_PUB_CHANGE)</f>
        <v/>
      </c>
      <c r="AH30" s="3245"/>
      <c r="AI30" s="3245"/>
      <c r="AJ30" s="3245"/>
      <c r="AK30" s="3245"/>
      <c r="AL30" s="3245"/>
      <c r="AM30" s="3245"/>
      <c r="AN30" s="3245"/>
      <c r="AO30" s="3245"/>
      <c r="AP30" s="3245"/>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3243" t="s">
        <v>430</v>
      </c>
      <c r="T32" s="3243"/>
      <c r="U32" s="1299"/>
      <c r="V32" s="3244">
        <f>IF(TITLE_DATE_PR_CHANGE="",IF(TITLE_DATE_PR="","",TITLE_DATE_PR),TITLE_DATE_PR_CHANGE)</f>
        <v>45595.546053240738</v>
      </c>
      <c r="W32" s="3244"/>
      <c r="X32" s="3244"/>
      <c r="Y32" s="3244"/>
      <c r="Z32" s="3244"/>
      <c r="AA32" s="3244"/>
      <c r="AB32" s="3244"/>
      <c r="AC32" s="3244"/>
      <c r="AD32" s="3244"/>
      <c r="AE32" s="3244"/>
      <c r="AF32" s="264"/>
      <c r="AG32" s="3244">
        <f>IF(TITLE_DATE_PR_CHANGE="",IF(TITLE_DATE_PR="","",TITLE_DATE_PR),TITLE_DATE_PR_CHANGE)</f>
        <v>45595.546053240738</v>
      </c>
      <c r="AH32" s="3244"/>
      <c r="AI32" s="3244"/>
      <c r="AJ32" s="3244"/>
      <c r="AK32" s="3244"/>
      <c r="AL32" s="3244"/>
      <c r="AM32" s="3244"/>
      <c r="AN32" s="3244"/>
      <c r="AO32" s="3244"/>
      <c r="AP32" s="3244"/>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3243" t="s">
        <v>431</v>
      </c>
      <c r="T33" s="3243"/>
      <c r="U33" s="1299"/>
      <c r="V33" s="3245" t="str">
        <f>IF(TITLE_NUMBER_PR_CHANGE="",IF(TITLE_NUMBER_PR="","",TITLE_NUMBER_PR),TITLE_NUMBER_PR_CHANGE)</f>
        <v>03/3636</v>
      </c>
      <c r="W33" s="3245"/>
      <c r="X33" s="3245"/>
      <c r="Y33" s="3245"/>
      <c r="Z33" s="3245"/>
      <c r="AA33" s="3245"/>
      <c r="AB33" s="3245"/>
      <c r="AC33" s="3245"/>
      <c r="AD33" s="3245"/>
      <c r="AE33" s="3245"/>
      <c r="AF33" s="264"/>
      <c r="AG33" s="3245" t="str">
        <f>IF(TITLE_NUMBER_PR_CHANGE="",IF(TITLE_NUMBER_PR="","",TITLE_NUMBER_PR),TITLE_NUMBER_PR_CHANGE)</f>
        <v>03/3636</v>
      </c>
      <c r="AH33" s="3245"/>
      <c r="AI33" s="3245"/>
      <c r="AJ33" s="3245"/>
      <c r="AK33" s="3245"/>
      <c r="AL33" s="3245"/>
      <c r="AM33" s="3245"/>
      <c r="AN33" s="3245"/>
      <c r="AO33" s="3245"/>
      <c r="AP33" s="3245"/>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432</v>
      </c>
      <c r="AG34" s="264"/>
      <c r="AH34" s="1562"/>
      <c r="AI34" s="1562"/>
      <c r="AJ34" s="1562"/>
      <c r="AK34" s="1562"/>
      <c r="AL34" s="1562"/>
      <c r="AM34" s="264"/>
      <c r="AN34" s="264"/>
      <c r="AO34" s="264"/>
      <c r="AP34" s="264"/>
      <c r="AQ34" s="216" t="s">
        <v>432</v>
      </c>
      <c r="AT34" s="305"/>
      <c r="AU34" s="305"/>
      <c r="AV34" s="305"/>
      <c r="AW34" s="305"/>
      <c r="AX34" s="305"/>
      <c r="AY34" s="355">
        <v>1</v>
      </c>
    </row>
    <row r="35" spans="1:51" ht="14.65" customHeight="1">
      <c r="Q35" s="313"/>
      <c r="R35" s="313"/>
      <c r="S35" s="1202"/>
      <c r="T35" s="300"/>
      <c r="U35" s="1171"/>
      <c r="V35" s="3266"/>
      <c r="W35" s="3266"/>
      <c r="X35" s="3266"/>
      <c r="Y35" s="3266"/>
      <c r="Z35" s="3266"/>
      <c r="AA35" s="3266"/>
      <c r="AB35" s="3266"/>
      <c r="AC35" s="3266"/>
      <c r="AD35" s="3266"/>
      <c r="AE35" s="3266"/>
      <c r="AF35" s="3266"/>
      <c r="AG35" s="3266"/>
      <c r="AH35" s="3266"/>
      <c r="AI35" s="3266"/>
      <c r="AJ35" s="3266"/>
      <c r="AK35" s="3266"/>
      <c r="AL35" s="3266"/>
      <c r="AM35" s="3266"/>
      <c r="AN35" s="3266"/>
      <c r="AO35" s="3266"/>
      <c r="AP35" s="3266"/>
      <c r="AQ35" s="3266"/>
      <c r="AY35" s="1082">
        <v>14</v>
      </c>
    </row>
    <row r="36" spans="1:51" ht="14.65" customHeight="1">
      <c r="Q36" s="313"/>
      <c r="R36" s="313"/>
      <c r="S36" s="3111" t="s">
        <v>308</v>
      </c>
      <c r="T36" s="3111"/>
      <c r="U36" s="3111"/>
      <c r="V36" s="3111"/>
      <c r="W36" s="3111"/>
      <c r="X36" s="3111"/>
      <c r="Y36" s="3111"/>
      <c r="Z36" s="3111"/>
      <c r="AA36" s="3111"/>
      <c r="AB36" s="3111"/>
      <c r="AC36" s="3111"/>
      <c r="AD36" s="3111"/>
      <c r="AE36" s="3111"/>
      <c r="AF36" s="3111"/>
      <c r="AG36" s="3111"/>
      <c r="AH36" s="3111"/>
      <c r="AI36" s="3111"/>
      <c r="AJ36" s="3111"/>
      <c r="AK36" s="3111"/>
      <c r="AL36" s="3111"/>
      <c r="AM36" s="3111"/>
      <c r="AN36" s="3111"/>
      <c r="AO36" s="3111"/>
      <c r="AP36" s="3111"/>
      <c r="AQ36" s="3111"/>
      <c r="AR36" s="3111"/>
      <c r="AS36" s="3111" t="s">
        <v>309</v>
      </c>
      <c r="AY36" s="1082">
        <v>14</v>
      </c>
    </row>
    <row r="37" spans="1:51" ht="14.65" customHeight="1">
      <c r="Q37" s="313"/>
      <c r="R37" s="313"/>
      <c r="S37" s="3268" t="s">
        <v>85</v>
      </c>
      <c r="T37" s="3212" t="s">
        <v>433</v>
      </c>
      <c r="U37" s="239"/>
      <c r="V37" s="3269" t="s">
        <v>434</v>
      </c>
      <c r="W37" s="3270"/>
      <c r="X37" s="3270"/>
      <c r="Y37" s="3270"/>
      <c r="Z37" s="3270"/>
      <c r="AA37" s="3270"/>
      <c r="AB37" s="3270"/>
      <c r="AC37" s="3270"/>
      <c r="AD37" s="3270"/>
      <c r="AE37" s="3271"/>
      <c r="AF37" s="3272" t="s">
        <v>435</v>
      </c>
      <c r="AG37" s="3269" t="s">
        <v>434</v>
      </c>
      <c r="AH37" s="3270"/>
      <c r="AI37" s="3270"/>
      <c r="AJ37" s="3270"/>
      <c r="AK37" s="3270"/>
      <c r="AL37" s="3270"/>
      <c r="AM37" s="3270"/>
      <c r="AN37" s="3270"/>
      <c r="AO37" s="3270"/>
      <c r="AP37" s="3271"/>
      <c r="AQ37" s="3272" t="s">
        <v>436</v>
      </c>
      <c r="AR37" s="3275" t="s">
        <v>437</v>
      </c>
      <c r="AS37" s="311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3268"/>
      <c r="T38" s="3212"/>
      <c r="U38" s="961"/>
      <c r="V38" s="3111" t="s">
        <v>539</v>
      </c>
      <c r="W38" s="3367" t="s">
        <v>540</v>
      </c>
      <c r="X38" s="3367"/>
      <c r="Y38" s="3367"/>
      <c r="Z38" s="3367" t="s">
        <v>541</v>
      </c>
      <c r="AA38" s="3367"/>
      <c r="AB38" s="3367"/>
      <c r="AC38" s="3185" t="s">
        <v>441</v>
      </c>
      <c r="AD38" s="3325"/>
      <c r="AE38" s="3186"/>
      <c r="AF38" s="3273"/>
      <c r="AG38" s="3111" t="s">
        <v>539</v>
      </c>
      <c r="AH38" s="3367" t="s">
        <v>540</v>
      </c>
      <c r="AI38" s="3367"/>
      <c r="AJ38" s="3367"/>
      <c r="AK38" s="3367" t="s">
        <v>541</v>
      </c>
      <c r="AL38" s="3367"/>
      <c r="AM38" s="3367"/>
      <c r="AN38" s="3185" t="s">
        <v>441</v>
      </c>
      <c r="AO38" s="3325"/>
      <c r="AP38" s="3186"/>
      <c r="AQ38" s="3273"/>
      <c r="AR38" s="3276"/>
      <c r="AS38" s="3111"/>
      <c r="AT38" s="1563"/>
      <c r="AU38" s="1563"/>
      <c r="AV38" s="1563"/>
      <c r="AW38" s="1563"/>
      <c r="AX38" s="1563"/>
      <c r="AY38" s="1558">
        <v>19</v>
      </c>
    </row>
    <row r="39" spans="1:51" ht="19.899999999999999" customHeight="1">
      <c r="Q39" s="313"/>
      <c r="R39" s="313"/>
      <c r="S39" s="3268"/>
      <c r="T39" s="3212"/>
      <c r="U39" s="961"/>
      <c r="V39" s="3111"/>
      <c r="W39" s="3367" t="s">
        <v>542</v>
      </c>
      <c r="X39" s="3367" t="s">
        <v>543</v>
      </c>
      <c r="Y39" s="3367"/>
      <c r="Z39" s="3367" t="s">
        <v>544</v>
      </c>
      <c r="AA39" s="3367" t="s">
        <v>543</v>
      </c>
      <c r="AB39" s="3367"/>
      <c r="AC39" s="3190"/>
      <c r="AD39" s="3326"/>
      <c r="AE39" s="3191"/>
      <c r="AF39" s="3273"/>
      <c r="AG39" s="3111"/>
      <c r="AH39" s="3367" t="s">
        <v>542</v>
      </c>
      <c r="AI39" s="3367" t="s">
        <v>543</v>
      </c>
      <c r="AJ39" s="3367"/>
      <c r="AK39" s="3367" t="s">
        <v>544</v>
      </c>
      <c r="AL39" s="3367" t="s">
        <v>543</v>
      </c>
      <c r="AM39" s="3367"/>
      <c r="AN39" s="3190"/>
      <c r="AO39" s="3326"/>
      <c r="AP39" s="3191"/>
      <c r="AQ39" s="3273"/>
      <c r="AR39" s="3276"/>
      <c r="AS39" s="3111"/>
      <c r="AY39" s="1082">
        <v>19</v>
      </c>
    </row>
    <row r="40" spans="1:51" ht="61.9" customHeight="1">
      <c r="A40" s="1297"/>
      <c r="B40" s="1297" t="s">
        <v>133</v>
      </c>
      <c r="C40" s="1297" t="s">
        <v>134</v>
      </c>
      <c r="D40" s="1297" t="s">
        <v>135</v>
      </c>
      <c r="E40" s="1291" t="s">
        <v>442</v>
      </c>
      <c r="F40" s="1291" t="s">
        <v>443</v>
      </c>
      <c r="G40" s="1291" t="s">
        <v>444</v>
      </c>
      <c r="H40" s="1291"/>
      <c r="I40" s="1291" t="s">
        <v>497</v>
      </c>
      <c r="J40" s="1291" t="s">
        <v>447</v>
      </c>
      <c r="K40" s="1291" t="s">
        <v>498</v>
      </c>
      <c r="L40" s="1291" t="s">
        <v>423</v>
      </c>
      <c r="Q40" s="313"/>
      <c r="R40" s="313"/>
      <c r="S40" s="3268"/>
      <c r="T40" s="3212"/>
      <c r="U40" s="240"/>
      <c r="V40" s="3111"/>
      <c r="W40" s="3367"/>
      <c r="X40" s="1905" t="s">
        <v>545</v>
      </c>
      <c r="Y40" s="1905" t="s">
        <v>546</v>
      </c>
      <c r="Z40" s="3367"/>
      <c r="AA40" s="1905" t="s">
        <v>547</v>
      </c>
      <c r="AB40" s="1905" t="s">
        <v>548</v>
      </c>
      <c r="AC40" s="1416" t="s">
        <v>451</v>
      </c>
      <c r="AD40" s="3217" t="s">
        <v>452</v>
      </c>
      <c r="AE40" s="3231"/>
      <c r="AF40" s="3274"/>
      <c r="AG40" s="3111"/>
      <c r="AH40" s="3367"/>
      <c r="AI40" s="1905" t="s">
        <v>545</v>
      </c>
      <c r="AJ40" s="1905" t="s">
        <v>546</v>
      </c>
      <c r="AK40" s="3367"/>
      <c r="AL40" s="1905" t="s">
        <v>547</v>
      </c>
      <c r="AM40" s="1905" t="s">
        <v>548</v>
      </c>
      <c r="AN40" s="1416" t="s">
        <v>451</v>
      </c>
      <c r="AO40" s="3217" t="s">
        <v>452</v>
      </c>
      <c r="AP40" s="3231"/>
      <c r="AQ40" s="3274"/>
      <c r="AR40" s="3277"/>
      <c r="AS40" s="311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901"/>
      <c r="X41" s="1901"/>
      <c r="Y41" s="1901"/>
      <c r="Z41" s="1901"/>
      <c r="AA41" s="1901"/>
      <c r="AB41" s="1409">
        <f ca="1">OFFSET(AB41,0,-1)+1</f>
        <v>1</v>
      </c>
      <c r="AC41" s="1409">
        <f ca="1">OFFSET(AC41,0,-1)+1</f>
        <v>2</v>
      </c>
      <c r="AD41" s="3265">
        <f ca="1">OFFSET(AD41,0,-1)+1</f>
        <v>3</v>
      </c>
      <c r="AE41" s="3265"/>
      <c r="AF41" s="1409">
        <f ca="1">OFFSET(AF41,0,-2)+1</f>
        <v>4</v>
      </c>
      <c r="AG41" s="1409">
        <f ca="1">OFFSET(AG41,0,-1)+1</f>
        <v>5</v>
      </c>
      <c r="AH41" s="1901"/>
      <c r="AI41" s="1901"/>
      <c r="AJ41" s="1901"/>
      <c r="AK41" s="1901"/>
      <c r="AL41" s="1901"/>
      <c r="AM41" s="1409">
        <f ca="1">OFFSET(AM41,0,-1)+1</f>
        <v>1</v>
      </c>
      <c r="AN41" s="1409">
        <f ca="1">OFFSET(AN41,0,-1)+1</f>
        <v>2</v>
      </c>
      <c r="AO41" s="3265">
        <f ca="1">OFFSET(AO41,0,-1)+1</f>
        <v>3</v>
      </c>
      <c r="AP41" s="3265"/>
      <c r="AQ41" s="1409">
        <f ca="1">OFFSET(AQ41,0,-2)+1</f>
        <v>4</v>
      </c>
      <c r="AR41" s="1172">
        <f ca="1">OFFSET(AR41,0,-1)</f>
        <v>4</v>
      </c>
      <c r="AS41" s="1409">
        <f ca="1">OFFSET(AS41,0,-1)+1</f>
        <v>5</v>
      </c>
      <c r="AT41" s="448"/>
      <c r="AU41" s="448"/>
      <c r="AV41" s="448"/>
      <c r="AW41" s="448"/>
      <c r="AX41" s="448"/>
      <c r="AY41" s="433">
        <v>0</v>
      </c>
    </row>
    <row r="42" spans="1:51" ht="24" customHeight="1">
      <c r="A42" s="1290" t="s">
        <v>264</v>
      </c>
      <c r="B42" s="1290"/>
      <c r="C42" s="1290"/>
      <c r="D42" s="1290"/>
      <c r="E42" s="325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121</v>
      </c>
      <c r="U42" s="238"/>
      <c r="V42" s="3246"/>
      <c r="W42" s="3247"/>
      <c r="X42" s="3247"/>
      <c r="Y42" s="3247"/>
      <c r="Z42" s="3247"/>
      <c r="AA42" s="3247"/>
      <c r="AB42" s="3247"/>
      <c r="AC42" s="3247"/>
      <c r="AD42" s="3247"/>
      <c r="AE42" s="3247"/>
      <c r="AF42" s="3248"/>
      <c r="AG42" s="3246" t="str">
        <f>INDEX(PT_DIFFERENTIATION_NTAR,MATCH(A42,PT_DIFFERENTIATION_NTAR_ID,0))</f>
        <v/>
      </c>
      <c r="AH42" s="3247"/>
      <c r="AI42" s="3247"/>
      <c r="AJ42" s="3247"/>
      <c r="AK42" s="3247"/>
      <c r="AL42" s="3247"/>
      <c r="AM42" s="3247"/>
      <c r="AN42" s="3247"/>
      <c r="AO42" s="3247"/>
      <c r="AP42" s="3247"/>
      <c r="AQ42" s="3247"/>
      <c r="AR42" s="324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264</v>
      </c>
      <c r="B43" s="1290" t="s">
        <v>265</v>
      </c>
      <c r="C43" s="1290"/>
      <c r="D43" s="1290"/>
      <c r="E43" s="3255"/>
      <c r="F43" s="3254">
        <v>1</v>
      </c>
      <c r="G43" s="1290"/>
      <c r="H43" s="1290"/>
      <c r="I43" s="1290"/>
      <c r="J43" s="1290"/>
      <c r="K43" s="1290"/>
      <c r="L43" s="1291"/>
      <c r="M43" s="1292"/>
      <c r="N43" s="1292"/>
      <c r="O43" s="1292"/>
      <c r="P43" s="1414"/>
      <c r="Q43" s="289"/>
      <c r="R43" s="290"/>
      <c r="S43" s="1420" t="str">
        <f>INDEX(PT_DIFFERENTIATION_NUM_TER,MATCH(B43,PT_DIFFERENTIATION_TER_ID,0))</f>
        <v>.</v>
      </c>
      <c r="T43" s="246" t="s">
        <v>405</v>
      </c>
      <c r="U43" s="238"/>
      <c r="V43" s="3246"/>
      <c r="W43" s="3247"/>
      <c r="X43" s="3247"/>
      <c r="Y43" s="3247"/>
      <c r="Z43" s="3247"/>
      <c r="AA43" s="3247"/>
      <c r="AB43" s="3247"/>
      <c r="AC43" s="3247"/>
      <c r="AD43" s="3247"/>
      <c r="AE43" s="3247"/>
      <c r="AF43" s="3248"/>
      <c r="AG43" s="3246" t="str">
        <f>INDEX(PT_DIFFERENTIATION_TER,MATCH(B43,PT_DIFFERENTIATION_TER_ID,0))</f>
        <v/>
      </c>
      <c r="AH43" s="3247"/>
      <c r="AI43" s="3247"/>
      <c r="AJ43" s="3247"/>
      <c r="AK43" s="3247"/>
      <c r="AL43" s="3247"/>
      <c r="AM43" s="3247"/>
      <c r="AN43" s="3247"/>
      <c r="AO43" s="3247"/>
      <c r="AP43" s="3247"/>
      <c r="AQ43" s="3247"/>
      <c r="AR43" s="3248"/>
      <c r="AS43" s="1185" t="s">
        <v>406</v>
      </c>
      <c r="AU43" s="437"/>
      <c r="AV43" s="437" t="str">
        <f t="shared" si="1"/>
        <v>Территория действия тарифа</v>
      </c>
      <c r="AW43" s="437"/>
      <c r="AX43" s="437"/>
      <c r="AY43" s="1082">
        <v>23</v>
      </c>
    </row>
    <row r="44" spans="1:51" ht="24" customHeight="1">
      <c r="A44" s="1290" t="s">
        <v>264</v>
      </c>
      <c r="B44" s="1290" t="s">
        <v>265</v>
      </c>
      <c r="C44" s="1290" t="s">
        <v>266</v>
      </c>
      <c r="D44" s="1290"/>
      <c r="E44" s="3255"/>
      <c r="F44" s="3255"/>
      <c r="G44" s="3254">
        <v>1</v>
      </c>
      <c r="H44" s="1290"/>
      <c r="I44" s="1290"/>
      <c r="J44" s="1290"/>
      <c r="K44" s="1290"/>
      <c r="L44" s="1291"/>
      <c r="M44" s="1292"/>
      <c r="N44" s="1292"/>
      <c r="O44" s="1292"/>
      <c r="P44" s="291"/>
      <c r="Q44" s="289"/>
      <c r="R44" s="290"/>
      <c r="S44" s="1420" t="str">
        <f>INDEX(PT_DIFFERENTIATION_NUM_CS,MATCH(C44,PT_DIFFERENTIATION_CS_ID,0))</f>
        <v>..</v>
      </c>
      <c r="T44" s="247" t="s">
        <v>537</v>
      </c>
      <c r="U44" s="238"/>
      <c r="V44" s="3246"/>
      <c r="W44" s="3247"/>
      <c r="X44" s="3247"/>
      <c r="Y44" s="3247"/>
      <c r="Z44" s="3247"/>
      <c r="AA44" s="3247"/>
      <c r="AB44" s="3247"/>
      <c r="AC44" s="3247"/>
      <c r="AD44" s="3247"/>
      <c r="AE44" s="3247"/>
      <c r="AF44" s="3248"/>
      <c r="AG44" s="3246" t="str">
        <f>INDEX(PT_DIFFERENTIATION_CS,MATCH(C44,PT_DIFFERENTIATION_CS_ID,0))</f>
        <v/>
      </c>
      <c r="AH44" s="3247"/>
      <c r="AI44" s="3247"/>
      <c r="AJ44" s="3247"/>
      <c r="AK44" s="3247"/>
      <c r="AL44" s="3247"/>
      <c r="AM44" s="3247"/>
      <c r="AN44" s="3247"/>
      <c r="AO44" s="3247"/>
      <c r="AP44" s="3247"/>
      <c r="AQ44" s="3247"/>
      <c r="AR44" s="3248"/>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264</v>
      </c>
      <c r="B45" s="1290" t="s">
        <v>265</v>
      </c>
      <c r="C45" s="1290" t="s">
        <v>266</v>
      </c>
      <c r="D45" s="1290" t="s">
        <v>550</v>
      </c>
      <c r="E45" s="3255"/>
      <c r="F45" s="3255"/>
      <c r="G45" s="3255"/>
      <c r="H45" s="3255"/>
      <c r="I45" s="3256" t="str">
        <f>S44&amp;".1"</f>
        <v>...1</v>
      </c>
      <c r="J45" s="1290"/>
      <c r="K45" s="1290"/>
      <c r="L45" s="1291"/>
      <c r="P45" s="3258">
        <v>1</v>
      </c>
      <c r="Q45" s="1408"/>
      <c r="R45" s="293"/>
      <c r="S45" s="1420" t="str">
        <f>$I45</f>
        <v>...1</v>
      </c>
      <c r="T45" s="223" t="s">
        <v>490</v>
      </c>
      <c r="U45" s="238"/>
      <c r="V45" s="3351"/>
      <c r="W45" s="3352"/>
      <c r="X45" s="3352"/>
      <c r="Y45" s="3352"/>
      <c r="Z45" s="3352"/>
      <c r="AA45" s="3352"/>
      <c r="AB45" s="3352"/>
      <c r="AC45" s="3352"/>
      <c r="AD45" s="3352"/>
      <c r="AE45" s="3352"/>
      <c r="AF45" s="3353"/>
      <c r="AG45" s="3354"/>
      <c r="AH45" s="3355"/>
      <c r="AI45" s="3355"/>
      <c r="AJ45" s="3355"/>
      <c r="AK45" s="3355"/>
      <c r="AL45" s="3355"/>
      <c r="AM45" s="3355"/>
      <c r="AN45" s="3355"/>
      <c r="AO45" s="3355"/>
      <c r="AP45" s="3355"/>
      <c r="AQ45" s="3355"/>
      <c r="AR45" s="3356"/>
      <c r="AS45" s="1185" t="s">
        <v>491</v>
      </c>
      <c r="AU45" s="437"/>
      <c r="AV45" s="437" t="str">
        <f t="shared" si="1"/>
        <v>Наименование признака дифференциации</v>
      </c>
      <c r="AW45" s="437"/>
      <c r="AX45" s="437"/>
      <c r="AY45" s="1082">
        <v>23</v>
      </c>
    </row>
    <row r="46" spans="1:51" ht="24" customHeight="1">
      <c r="A46" s="1290" t="s">
        <v>264</v>
      </c>
      <c r="B46" s="1290" t="s">
        <v>265</v>
      </c>
      <c r="C46" s="1290" t="s">
        <v>266</v>
      </c>
      <c r="D46" s="1290" t="s">
        <v>550</v>
      </c>
      <c r="E46" s="3255"/>
      <c r="F46" s="3255"/>
      <c r="G46" s="3255"/>
      <c r="H46" s="3255"/>
      <c r="I46" s="3257"/>
      <c r="J46" s="3256" t="str">
        <f>I45&amp;".1"</f>
        <v>...1.1</v>
      </c>
      <c r="K46" s="1290"/>
      <c r="L46" s="1291" t="s">
        <v>414</v>
      </c>
      <c r="P46" s="3258"/>
      <c r="Q46" s="3258">
        <v>1</v>
      </c>
      <c r="R46" s="294"/>
      <c r="S46" s="1420" t="str">
        <f>$J46</f>
        <v>...1.1</v>
      </c>
      <c r="T46" s="224" t="s">
        <v>415</v>
      </c>
      <c r="U46" s="238"/>
      <c r="V46" s="3239"/>
      <c r="W46" s="3240"/>
      <c r="X46" s="3240"/>
      <c r="Y46" s="3240"/>
      <c r="Z46" s="3240"/>
      <c r="AA46" s="3240"/>
      <c r="AB46" s="3240"/>
      <c r="AC46" s="3240"/>
      <c r="AD46" s="3240"/>
      <c r="AE46" s="3240"/>
      <c r="AF46" s="3241"/>
      <c r="AG46" s="3239"/>
      <c r="AH46" s="3240"/>
      <c r="AI46" s="3240"/>
      <c r="AJ46" s="3240"/>
      <c r="AK46" s="3240"/>
      <c r="AL46" s="3240"/>
      <c r="AM46" s="3240"/>
      <c r="AN46" s="3240"/>
      <c r="AO46" s="3240"/>
      <c r="AP46" s="3240"/>
      <c r="AQ46" s="3240"/>
      <c r="AR46" s="3241"/>
      <c r="AS46" s="1234" t="s">
        <v>492</v>
      </c>
      <c r="AU46" s="437"/>
      <c r="AV46" s="437" t="str">
        <f t="shared" si="1"/>
        <v>Группа потребителей</v>
      </c>
      <c r="AW46" s="437"/>
      <c r="AX46" s="437"/>
      <c r="AY46" s="1082">
        <v>23</v>
      </c>
    </row>
    <row r="47" spans="1:51" ht="24" customHeight="1">
      <c r="A47" s="1290" t="s">
        <v>264</v>
      </c>
      <c r="B47" s="1290" t="s">
        <v>265</v>
      </c>
      <c r="C47" s="1290" t="s">
        <v>266</v>
      </c>
      <c r="D47" s="1290" t="s">
        <v>550</v>
      </c>
      <c r="E47" s="3255"/>
      <c r="F47" s="3255"/>
      <c r="G47" s="3255"/>
      <c r="H47" s="3255"/>
      <c r="I47" s="3257"/>
      <c r="J47" s="3257"/>
      <c r="K47" s="3256" t="str">
        <f>J46&amp;".1"</f>
        <v>...1.1.1</v>
      </c>
      <c r="L47" s="1291"/>
      <c r="P47" s="3258"/>
      <c r="Q47" s="3258"/>
      <c r="R47" s="294">
        <v>1</v>
      </c>
      <c r="S47" s="1420" t="str">
        <f>$K47</f>
        <v>...1.1.1</v>
      </c>
      <c r="T47" s="1364"/>
      <c r="U47" s="238"/>
      <c r="V47" s="1287"/>
      <c r="W47" s="1287"/>
      <c r="X47" s="1287"/>
      <c r="Y47" s="1287"/>
      <c r="Z47" s="1287"/>
      <c r="AA47" s="1287"/>
      <c r="AB47" s="1288"/>
      <c r="AC47" s="3251"/>
      <c r="AD47" s="3250" t="s">
        <v>67</v>
      </c>
      <c r="AE47" s="3251"/>
      <c r="AF47" s="3250" t="s">
        <v>67</v>
      </c>
      <c r="AG47" s="688"/>
      <c r="AH47" s="688"/>
      <c r="AI47" s="688"/>
      <c r="AJ47" s="688"/>
      <c r="AK47" s="688"/>
      <c r="AL47" s="688"/>
      <c r="AM47" s="1184"/>
      <c r="AN47" s="3259"/>
      <c r="AO47" s="3121" t="s">
        <v>67</v>
      </c>
      <c r="AP47" s="3261"/>
      <c r="AQ47" s="3121" t="s">
        <v>19</v>
      </c>
      <c r="AR47" s="1365"/>
      <c r="AS47" s="3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264</v>
      </c>
      <c r="B48" s="1290" t="s">
        <v>265</v>
      </c>
      <c r="C48" s="1290" t="s">
        <v>266</v>
      </c>
      <c r="D48" s="1290" t="s">
        <v>550</v>
      </c>
      <c r="E48" s="3255"/>
      <c r="F48" s="3255"/>
      <c r="G48" s="3255"/>
      <c r="H48" s="3255"/>
      <c r="I48" s="3257"/>
      <c r="J48" s="3257"/>
      <c r="K48" s="3256"/>
      <c r="L48" s="1291"/>
      <c r="P48" s="3258"/>
      <c r="Q48" s="3258"/>
      <c r="R48" s="294"/>
      <c r="S48" s="1417"/>
      <c r="T48" s="238"/>
      <c r="U48" s="238"/>
      <c r="V48" s="1287"/>
      <c r="W48" s="1287"/>
      <c r="X48" s="1287"/>
      <c r="Y48" s="1287"/>
      <c r="Z48" s="1287"/>
      <c r="AA48" s="1287"/>
      <c r="AB48" s="266" t="str">
        <f>AC47&amp;"-"&amp;AE47</f>
        <v>-</v>
      </c>
      <c r="AC48" s="3250"/>
      <c r="AD48" s="3250"/>
      <c r="AE48" s="3250"/>
      <c r="AF48" s="3250"/>
      <c r="AG48" s="263"/>
      <c r="AH48" s="263"/>
      <c r="AI48" s="263"/>
      <c r="AJ48" s="263"/>
      <c r="AK48" s="263"/>
      <c r="AL48" s="263"/>
      <c r="AM48" s="266" t="str">
        <f>AN47&amp;"-"&amp;AP47</f>
        <v>-</v>
      </c>
      <c r="AN48" s="3260"/>
      <c r="AO48" s="3121"/>
      <c r="AP48" s="3262"/>
      <c r="AQ48" s="3121"/>
      <c r="AR48" s="1366"/>
      <c r="AS48" s="3357"/>
      <c r="AU48" s="437"/>
      <c r="AV48" s="437" t="str">
        <f t="shared" si="1"/>
        <v/>
      </c>
      <c r="AW48" s="437"/>
      <c r="AX48" s="437"/>
      <c r="AY48" s="1082">
        <v>0</v>
      </c>
    </row>
    <row r="49" spans="1:51" ht="21" customHeight="1">
      <c r="A49" s="1290" t="s">
        <v>264</v>
      </c>
      <c r="B49" s="1290" t="s">
        <v>265</v>
      </c>
      <c r="C49" s="1290" t="s">
        <v>266</v>
      </c>
      <c r="D49" s="1290" t="s">
        <v>550</v>
      </c>
      <c r="E49" s="3255"/>
      <c r="F49" s="3255"/>
      <c r="G49" s="3255"/>
      <c r="H49" s="3255"/>
      <c r="I49" s="3257"/>
      <c r="J49" s="3256"/>
      <c r="K49" s="1290"/>
      <c r="L49" s="1291"/>
      <c r="P49" s="3258"/>
      <c r="Q49" s="3258"/>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264</v>
      </c>
      <c r="B50" s="1290" t="s">
        <v>265</v>
      </c>
      <c r="C50" s="1290" t="s">
        <v>266</v>
      </c>
      <c r="D50" s="1290" t="s">
        <v>550</v>
      </c>
      <c r="E50" s="3255"/>
      <c r="F50" s="3255"/>
      <c r="G50" s="3255"/>
      <c r="H50" s="3255"/>
      <c r="I50" s="3256"/>
      <c r="J50" s="1290"/>
      <c r="K50" s="1290"/>
      <c r="L50" s="1291"/>
      <c r="P50" s="3258"/>
      <c r="Q50" s="1408"/>
      <c r="R50" s="293"/>
      <c r="S50" s="1205"/>
      <c r="T50" s="302" t="s">
        <v>420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264</v>
      </c>
      <c r="B51" s="1290" t="s">
        <v>265</v>
      </c>
      <c r="C51" s="1290" t="s">
        <v>266</v>
      </c>
      <c r="D51" s="1290" t="s">
        <v>550</v>
      </c>
      <c r="E51" s="3255"/>
      <c r="F51" s="3255"/>
      <c r="G51" s="3255"/>
      <c r="H51" s="3254"/>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264</v>
      </c>
      <c r="B52" s="1270" t="s">
        <v>265</v>
      </c>
      <c r="C52" s="1241"/>
      <c r="D52" s="1241"/>
      <c r="E52" s="3255"/>
      <c r="F52" s="3254"/>
      <c r="G52" s="1241"/>
      <c r="H52" s="1241"/>
      <c r="I52" s="1241"/>
      <c r="J52" s="1241"/>
      <c r="K52" s="1241"/>
      <c r="L52" s="1421"/>
      <c r="M52" s="1248"/>
      <c r="N52" s="1248"/>
      <c r="P52" s="1243"/>
      <c r="Q52" s="1244"/>
      <c r="R52" s="1243"/>
      <c r="S52" s="1249"/>
      <c r="T52" s="1252" t="s">
        <v>167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264</v>
      </c>
      <c r="B53" s="1270"/>
      <c r="C53" s="1270"/>
      <c r="D53" s="1270"/>
      <c r="E53" s="3254"/>
      <c r="F53" s="1270"/>
      <c r="G53" s="1270"/>
      <c r="H53" s="1270"/>
      <c r="I53" s="1270"/>
      <c r="J53" s="1270"/>
      <c r="K53" s="1270"/>
      <c r="L53" s="1273"/>
      <c r="M53" s="1248"/>
      <c r="N53" s="1248"/>
      <c r="O53" s="455"/>
      <c r="P53" s="317"/>
      <c r="Q53" s="1271"/>
      <c r="R53" s="317"/>
      <c r="S53" s="1249"/>
      <c r="T53" s="1252" t="s">
        <v>168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3252"/>
      <c r="U56" s="3252"/>
      <c r="V56" s="3252"/>
      <c r="W56" s="3252"/>
      <c r="X56" s="3252"/>
      <c r="Y56" s="3252"/>
      <c r="Z56" s="3252"/>
      <c r="AA56" s="3252"/>
      <c r="AB56" s="3252"/>
      <c r="AC56" s="3252"/>
      <c r="AD56" s="3252"/>
      <c r="AE56" s="3252"/>
      <c r="AF56" s="3252"/>
      <c r="AG56" s="3252"/>
      <c r="AH56" s="3252"/>
      <c r="AI56" s="3252"/>
      <c r="AJ56" s="3252"/>
      <c r="AK56" s="3252"/>
      <c r="AL56" s="3252"/>
      <c r="AM56" s="3252"/>
      <c r="AN56" s="3252"/>
      <c r="AO56" s="3252"/>
      <c r="AP56" s="3252"/>
      <c r="AQ56" s="3252"/>
      <c r="AR56" s="3252"/>
      <c r="AS56" s="3252"/>
      <c r="AY56" s="1082">
        <v>14</v>
      </c>
    </row>
    <row r="57" spans="1:51" ht="14.65" customHeight="1">
      <c r="O57" s="474"/>
      <c r="AY57" s="1082">
        <v>14</v>
      </c>
    </row>
    <row r="58" spans="1:51" ht="14.65" customHeight="1">
      <c r="O58" s="474"/>
      <c r="S58" s="1180"/>
      <c r="T58" s="3252"/>
      <c r="U58" s="3252"/>
      <c r="V58" s="3252"/>
      <c r="W58" s="3252"/>
      <c r="X58" s="3252"/>
      <c r="Y58" s="3252"/>
      <c r="Z58" s="3252"/>
      <c r="AA58" s="3252"/>
      <c r="AB58" s="3252"/>
      <c r="AC58" s="3252"/>
      <c r="AD58" s="3252"/>
      <c r="AE58" s="3252"/>
      <c r="AF58" s="3252"/>
      <c r="AG58" s="3252"/>
      <c r="AH58" s="3252"/>
      <c r="AI58" s="3252"/>
      <c r="AJ58" s="3252"/>
      <c r="AK58" s="3252"/>
      <c r="AL58" s="3252"/>
      <c r="AM58" s="3252"/>
      <c r="AN58" s="3252"/>
      <c r="AO58" s="3252"/>
      <c r="AP58" s="3252"/>
      <c r="AQ58" s="3252"/>
      <c r="AR58" s="3252"/>
      <c r="AS58" s="3252"/>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8B9DA-198D-3B85-9ED1-25226C0B0D44}">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3254">
        <v>1</v>
      </c>
      <c r="F2" s="1290"/>
      <c r="G2" s="1290"/>
      <c r="H2" s="1290"/>
      <c r="I2" s="1290"/>
      <c r="J2" s="1290"/>
      <c r="K2" s="1290"/>
      <c r="L2" s="1291"/>
      <c r="M2" s="1292"/>
      <c r="N2" s="1292"/>
      <c r="O2" s="1292"/>
      <c r="P2" s="1336"/>
      <c r="Q2" s="804"/>
      <c r="R2" s="292"/>
      <c r="S2" s="1420" t="e">
        <f>INDEX(PT_DIFFERENTIATION_NUM_NTAR,MATCH(A2,PT_DIFFERENTIATION_NTAR_ID,0))</f>
        <v>#N/A</v>
      </c>
      <c r="T2" s="236" t="s">
        <v>121</v>
      </c>
      <c r="U2" s="238"/>
      <c r="V2" s="3247"/>
      <c r="W2" s="3247"/>
      <c r="X2" s="3247"/>
      <c r="Y2" s="3247"/>
      <c r="Z2" s="3247"/>
      <c r="AA2" s="3247"/>
      <c r="AB2" s="3247"/>
      <c r="AC2" s="3248"/>
      <c r="AD2" s="3246" t="e">
        <f>INDEX(PT_DIFFERENTIATION_NTAR,MATCH(A2,PT_DIFFERENTIATION_NTAR_ID,0))</f>
        <v>#N/A</v>
      </c>
      <c r="AE2" s="3247"/>
      <c r="AF2" s="3247"/>
      <c r="AG2" s="3247"/>
      <c r="AH2" s="3247"/>
      <c r="AI2" s="3247"/>
      <c r="AJ2" s="3247"/>
      <c r="AK2" s="3247"/>
      <c r="AL2" s="3247"/>
      <c r="AM2" s="3247"/>
      <c r="AN2" s="3247"/>
      <c r="AO2" s="3247"/>
      <c r="AP2" s="3247"/>
      <c r="AQ2" s="3247"/>
      <c r="AR2" s="3247"/>
      <c r="AS2" s="3247"/>
      <c r="AT2" s="3247"/>
      <c r="AU2" s="3247"/>
      <c r="AV2" s="3247"/>
      <c r="AW2" s="3247"/>
      <c r="AX2" s="3247"/>
      <c r="AY2" s="3247"/>
      <c r="AZ2" s="3247"/>
      <c r="BA2" s="3247"/>
      <c r="BB2" s="324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255"/>
      <c r="F3" s="3254">
        <v>1</v>
      </c>
      <c r="G3" s="1290"/>
      <c r="H3" s="1290"/>
      <c r="I3" s="1290"/>
      <c r="J3" s="1290"/>
      <c r="K3" s="1290"/>
      <c r="L3" s="1291"/>
      <c r="M3" s="1292"/>
      <c r="N3" s="1292"/>
      <c r="O3" s="1292"/>
      <c r="P3" s="1337"/>
      <c r="Q3" s="1338"/>
      <c r="R3" s="290"/>
      <c r="S3" s="1420" t="e">
        <f>INDEX(PT_DIFFERENTIATION_NUM_TER,MATCH(B3,PT_DIFFERENTIATION_TER_ID,0))</f>
        <v>#N/A</v>
      </c>
      <c r="T3" s="246" t="s">
        <v>405</v>
      </c>
      <c r="U3" s="238"/>
      <c r="V3" s="3247"/>
      <c r="W3" s="3247"/>
      <c r="X3" s="3247"/>
      <c r="Y3" s="3247"/>
      <c r="Z3" s="3247"/>
      <c r="AA3" s="3247"/>
      <c r="AB3" s="3247"/>
      <c r="AC3" s="3248"/>
      <c r="AD3" s="3246" t="e">
        <f>INDEX(PT_DIFFERENTIATION_TER,MATCH(B3,PT_DIFFERENTIATION_TER_ID,0))</f>
        <v>#N/A</v>
      </c>
      <c r="AE3" s="3247"/>
      <c r="AF3" s="3247"/>
      <c r="AG3" s="3247"/>
      <c r="AH3" s="3247"/>
      <c r="AI3" s="3247"/>
      <c r="AJ3" s="3247"/>
      <c r="AK3" s="3247"/>
      <c r="AL3" s="3247"/>
      <c r="AM3" s="3247"/>
      <c r="AN3" s="3247"/>
      <c r="AO3" s="3247"/>
      <c r="AP3" s="3247"/>
      <c r="AQ3" s="3247"/>
      <c r="AR3" s="3247"/>
      <c r="AS3" s="3247"/>
      <c r="AT3" s="3247"/>
      <c r="AU3" s="3247"/>
      <c r="AV3" s="3247"/>
      <c r="AW3" s="3247"/>
      <c r="AX3" s="3247"/>
      <c r="AY3" s="3247"/>
      <c r="AZ3" s="3247"/>
      <c r="BA3" s="3247"/>
      <c r="BB3" s="3248"/>
      <c r="BC3" s="1185" t="s">
        <v>406</v>
      </c>
      <c r="BE3" s="437"/>
      <c r="BF3" s="437" t="str">
        <f t="shared" si="0"/>
        <v>Территория действия тарифа</v>
      </c>
      <c r="BG3" s="437"/>
      <c r="BH3" s="437"/>
      <c r="BI3" s="1082">
        <v>0</v>
      </c>
    </row>
    <row r="4" spans="1:61" ht="33.75" hidden="1" customHeight="1">
      <c r="A4" s="1290"/>
      <c r="B4" s="1290"/>
      <c r="C4" s="1290"/>
      <c r="D4" s="1290"/>
      <c r="E4" s="3255"/>
      <c r="F4" s="3255"/>
      <c r="G4" s="3254">
        <v>1</v>
      </c>
      <c r="H4" s="1290"/>
      <c r="I4" s="1290"/>
      <c r="J4" s="1290"/>
      <c r="K4" s="1290"/>
      <c r="L4" s="1291"/>
      <c r="M4" s="1292"/>
      <c r="N4" s="1292"/>
      <c r="O4" s="1292"/>
      <c r="P4" s="1339"/>
      <c r="Q4" s="1338"/>
      <c r="R4" s="290"/>
      <c r="S4" s="1420" t="e">
        <f>INDEX(PT_DIFFERENTIATION_NUM_CS,MATCH(C4,PT_DIFFERENTIATION_CS_ID,0))</f>
        <v>#N/A</v>
      </c>
      <c r="T4" s="247" t="s">
        <v>537</v>
      </c>
      <c r="U4" s="238"/>
      <c r="V4" s="3247"/>
      <c r="W4" s="3247"/>
      <c r="X4" s="3247"/>
      <c r="Y4" s="3247"/>
      <c r="Z4" s="3247"/>
      <c r="AA4" s="3247"/>
      <c r="AB4" s="3247"/>
      <c r="AC4" s="3248"/>
      <c r="AD4" s="3246" t="e">
        <f>INDEX(PT_DIFFERENTIATION_CS,MATCH(C4,PT_DIFFERENTIATION_CS_ID,0))</f>
        <v>#N/A</v>
      </c>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247"/>
      <c r="BB4" s="3248"/>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3255"/>
      <c r="F5" s="3255"/>
      <c r="G5" s="3255"/>
      <c r="H5" s="3254">
        <v>1</v>
      </c>
      <c r="I5" s="1270"/>
      <c r="J5" s="1270"/>
      <c r="K5" s="1270"/>
      <c r="L5" s="1273"/>
      <c r="M5" s="1242"/>
      <c r="N5" s="1242"/>
      <c r="O5" s="1242"/>
      <c r="P5" s="1424"/>
      <c r="Q5" s="1425"/>
      <c r="R5" s="294"/>
      <c r="S5" s="972"/>
      <c r="T5" s="1426"/>
      <c r="U5" s="1311"/>
      <c r="V5" s="3315"/>
      <c r="W5" s="3315"/>
      <c r="X5" s="3315"/>
      <c r="Y5" s="3315"/>
      <c r="Z5" s="3315"/>
      <c r="AA5" s="3315"/>
      <c r="AB5" s="3315"/>
      <c r="AC5" s="3316"/>
      <c r="AD5" s="3314"/>
      <c r="AE5" s="3315"/>
      <c r="AF5" s="3315"/>
      <c r="AG5" s="3315"/>
      <c r="AH5" s="3315"/>
      <c r="AI5" s="3315"/>
      <c r="AJ5" s="3315"/>
      <c r="AK5" s="3315"/>
      <c r="AL5" s="3315"/>
      <c r="AM5" s="3315"/>
      <c r="AN5" s="3315"/>
      <c r="AO5" s="3315"/>
      <c r="AP5" s="3315"/>
      <c r="AQ5" s="3315"/>
      <c r="AR5" s="3315"/>
      <c r="AS5" s="3315"/>
      <c r="AT5" s="3315"/>
      <c r="AU5" s="3315"/>
      <c r="AV5" s="3315"/>
      <c r="AW5" s="3315"/>
      <c r="AX5" s="3315"/>
      <c r="AY5" s="3315"/>
      <c r="AZ5" s="3315"/>
      <c r="BA5" s="3315"/>
      <c r="BB5" s="3316"/>
      <c r="BC5" s="1312" t="s">
        <v>410</v>
      </c>
      <c r="BE5" s="437"/>
      <c r="BF5" s="437" t="str">
        <f t="shared" si="0"/>
        <v/>
      </c>
      <c r="BG5" s="437"/>
      <c r="BH5" s="437"/>
      <c r="BI5" s="448">
        <v>0</v>
      </c>
    </row>
    <row r="6" spans="1:61" s="1569" customFormat="1" ht="14.25" hidden="1" customHeight="1">
      <c r="A6" s="1270"/>
      <c r="B6" s="1270"/>
      <c r="C6" s="1270"/>
      <c r="D6" s="1270"/>
      <c r="E6" s="3255"/>
      <c r="F6" s="3255"/>
      <c r="G6" s="3255"/>
      <c r="H6" s="3255"/>
      <c r="I6" s="3256" t="str">
        <f>S5&amp;".1"</f>
        <v>.1</v>
      </c>
      <c r="J6" s="1270"/>
      <c r="K6" s="1270"/>
      <c r="L6" s="1273" t="s">
        <v>411</v>
      </c>
      <c r="M6" s="447"/>
      <c r="N6" s="447"/>
      <c r="O6" s="447"/>
      <c r="P6" s="3258">
        <v>1</v>
      </c>
      <c r="Q6" s="1408"/>
      <c r="R6" s="293"/>
      <c r="S6" s="972"/>
      <c r="T6" s="1310"/>
      <c r="U6" s="1311"/>
      <c r="V6" s="3315"/>
      <c r="W6" s="3315"/>
      <c r="X6" s="3315"/>
      <c r="Y6" s="3315"/>
      <c r="Z6" s="3315"/>
      <c r="AA6" s="3315"/>
      <c r="AB6" s="3315"/>
      <c r="AC6" s="3316"/>
      <c r="AD6" s="3314"/>
      <c r="AE6" s="3315"/>
      <c r="AF6" s="3315"/>
      <c r="AG6" s="3315"/>
      <c r="AH6" s="3315"/>
      <c r="AI6" s="3315"/>
      <c r="AJ6" s="3315"/>
      <c r="AK6" s="3315"/>
      <c r="AL6" s="3315"/>
      <c r="AM6" s="3315"/>
      <c r="AN6" s="3315"/>
      <c r="AO6" s="3315"/>
      <c r="AP6" s="3315"/>
      <c r="AQ6" s="3315"/>
      <c r="AR6" s="3315"/>
      <c r="AS6" s="3315"/>
      <c r="AT6" s="3315"/>
      <c r="AU6" s="3315"/>
      <c r="AV6" s="3315"/>
      <c r="AW6" s="3315"/>
      <c r="AX6" s="3315"/>
      <c r="AY6" s="3315"/>
      <c r="AZ6" s="3315"/>
      <c r="BA6" s="3315"/>
      <c r="BB6" s="3316"/>
      <c r="BC6" s="1312"/>
      <c r="BE6" s="437"/>
      <c r="BF6" s="437" t="str">
        <f t="shared" si="0"/>
        <v/>
      </c>
      <c r="BG6" s="437"/>
      <c r="BH6" s="437"/>
      <c r="BI6" s="448">
        <v>0</v>
      </c>
    </row>
    <row r="7" spans="1:61" s="1569" customFormat="1" ht="14.25" hidden="1" customHeight="1">
      <c r="A7" s="1270"/>
      <c r="B7" s="1270"/>
      <c r="C7" s="1270"/>
      <c r="D7" s="1270"/>
      <c r="E7" s="3255"/>
      <c r="F7" s="3255"/>
      <c r="G7" s="3255"/>
      <c r="H7" s="3255"/>
      <c r="I7" s="3257"/>
      <c r="J7" s="3256" t="str">
        <f>S5&amp;".1"</f>
        <v>.1</v>
      </c>
      <c r="K7" s="1270"/>
      <c r="L7" s="1273"/>
      <c r="M7" s="447"/>
      <c r="N7" s="447"/>
      <c r="O7" s="447"/>
      <c r="P7" s="3258"/>
      <c r="Q7" s="3258">
        <v>1</v>
      </c>
      <c r="R7" s="294"/>
      <c r="S7" s="972"/>
      <c r="T7" s="1326"/>
      <c r="U7" s="1311"/>
      <c r="V7" s="3315"/>
      <c r="W7" s="3315"/>
      <c r="X7" s="3315"/>
      <c r="Y7" s="3315"/>
      <c r="Z7" s="3315"/>
      <c r="AA7" s="3315"/>
      <c r="AB7" s="3315"/>
      <c r="AC7" s="3316"/>
      <c r="AD7" s="3314"/>
      <c r="AE7" s="3315"/>
      <c r="AF7" s="3315"/>
      <c r="AG7" s="3315"/>
      <c r="AH7" s="3315"/>
      <c r="AI7" s="3315"/>
      <c r="AJ7" s="3315"/>
      <c r="AK7" s="3315"/>
      <c r="AL7" s="3315"/>
      <c r="AM7" s="3315"/>
      <c r="AN7" s="3315"/>
      <c r="AO7" s="3315"/>
      <c r="AP7" s="3315"/>
      <c r="AQ7" s="3315"/>
      <c r="AR7" s="3315"/>
      <c r="AS7" s="3315"/>
      <c r="AT7" s="3315"/>
      <c r="AU7" s="3315"/>
      <c r="AV7" s="3315"/>
      <c r="AW7" s="3315"/>
      <c r="AX7" s="3315"/>
      <c r="AY7" s="3315"/>
      <c r="AZ7" s="3315"/>
      <c r="BA7" s="3315"/>
      <c r="BB7" s="3316"/>
      <c r="BC7" s="1312"/>
      <c r="BE7" s="437"/>
      <c r="BF7" s="437" t="str">
        <f t="shared" si="0"/>
        <v/>
      </c>
      <c r="BG7" s="437"/>
      <c r="BH7" s="437"/>
      <c r="BI7" s="448">
        <v>0</v>
      </c>
    </row>
    <row r="8" spans="1:61" ht="11.25" hidden="1" customHeight="1">
      <c r="A8" s="1290"/>
      <c r="B8" s="1290"/>
      <c r="C8" s="1290"/>
      <c r="D8" s="1290"/>
      <c r="E8" s="3255"/>
      <c r="F8" s="3255"/>
      <c r="G8" s="3255"/>
      <c r="H8" s="3255"/>
      <c r="I8" s="3257"/>
      <c r="J8" s="3257"/>
      <c r="K8" s="3256" t="e">
        <f>S4&amp;".1"</f>
        <v>#N/A</v>
      </c>
      <c r="L8" s="1291"/>
      <c r="P8" s="3258"/>
      <c r="Q8" s="3258"/>
      <c r="R8" s="3343">
        <v>1</v>
      </c>
      <c r="S8" s="3340" t="e">
        <f>$K8</f>
        <v>#N/A</v>
      </c>
      <c r="T8" s="3360"/>
      <c r="U8" s="238"/>
      <c r="V8" s="688"/>
      <c r="W8" s="1184"/>
      <c r="X8" s="688"/>
      <c r="Y8" s="1184"/>
      <c r="Z8" s="1660"/>
      <c r="AA8" s="1396" t="s">
        <v>67</v>
      </c>
      <c r="AB8" s="1660"/>
      <c r="AC8" s="1396" t="s">
        <v>67</v>
      </c>
      <c r="AD8" s="3176" t="s">
        <v>67</v>
      </c>
      <c r="AE8" s="3336"/>
      <c r="AF8" s="3208">
        <v>1</v>
      </c>
      <c r="AG8" s="3359"/>
      <c r="AH8" s="3121" t="s">
        <v>67</v>
      </c>
      <c r="AI8" s="3336"/>
      <c r="AJ8" s="3208">
        <v>1</v>
      </c>
      <c r="AK8" s="3350" t="s">
        <v>28</v>
      </c>
      <c r="AL8" s="3121" t="s">
        <v>67</v>
      </c>
      <c r="AM8" s="3185"/>
      <c r="AN8" s="3208">
        <v>1</v>
      </c>
      <c r="AO8" s="3363"/>
      <c r="AP8" s="3364" t="s">
        <v>67</v>
      </c>
      <c r="AQ8" s="249"/>
      <c r="AR8" s="1413">
        <v>1</v>
      </c>
      <c r="AS8" s="1419" t="s">
        <v>28</v>
      </c>
      <c r="AT8" s="688"/>
      <c r="AU8" s="1184"/>
      <c r="AV8" s="688"/>
      <c r="AW8" s="1184"/>
      <c r="AX8" s="1660"/>
      <c r="AY8" s="1396" t="s">
        <v>67</v>
      </c>
      <c r="AZ8" s="1660"/>
      <c r="BA8" s="1396" t="s">
        <v>67</v>
      </c>
      <c r="BB8" s="1275"/>
      <c r="BC8" s="3278" t="s">
        <v>508</v>
      </c>
      <c r="BE8" s="437"/>
      <c r="BF8" s="437" t="str">
        <f t="shared" si="0"/>
        <v/>
      </c>
      <c r="BG8" s="437"/>
      <c r="BH8" s="437"/>
      <c r="BI8" s="1082">
        <v>0</v>
      </c>
    </row>
    <row r="9" spans="1:61" ht="11.25" hidden="1" customHeight="1">
      <c r="A9" s="1290"/>
      <c r="B9" s="1290"/>
      <c r="C9" s="1290"/>
      <c r="D9" s="1290"/>
      <c r="E9" s="3255"/>
      <c r="F9" s="3255"/>
      <c r="G9" s="3255"/>
      <c r="H9" s="3255"/>
      <c r="I9" s="3257"/>
      <c r="J9" s="3257"/>
      <c r="K9" s="3256"/>
      <c r="L9" s="1291"/>
      <c r="P9" s="3258"/>
      <c r="Q9" s="3258"/>
      <c r="R9" s="3343"/>
      <c r="S9" s="3341"/>
      <c r="T9" s="3361"/>
      <c r="U9" s="238"/>
      <c r="V9" s="1320"/>
      <c r="W9" s="1423"/>
      <c r="X9" s="1320"/>
      <c r="Y9" s="1423"/>
      <c r="Z9" s="1320"/>
      <c r="AA9" s="1320"/>
      <c r="AB9" s="1320"/>
      <c r="AC9" s="1320"/>
      <c r="AD9" s="3177"/>
      <c r="AE9" s="3336"/>
      <c r="AF9" s="3208"/>
      <c r="AG9" s="3359"/>
      <c r="AH9" s="3121"/>
      <c r="AI9" s="3336"/>
      <c r="AJ9" s="3208"/>
      <c r="AK9" s="3350"/>
      <c r="AL9" s="3121"/>
      <c r="AM9" s="3190"/>
      <c r="AN9" s="3208"/>
      <c r="AO9" s="3363"/>
      <c r="AP9" s="3365"/>
      <c r="AQ9" s="254"/>
      <c r="AR9" s="353"/>
      <c r="AS9" s="353" t="s">
        <v>509</v>
      </c>
      <c r="AT9" s="1320"/>
      <c r="AU9" s="1423"/>
      <c r="AV9" s="1320"/>
      <c r="AW9" s="1423"/>
      <c r="AX9" s="1320"/>
      <c r="AY9" s="1320"/>
      <c r="AZ9" s="1320"/>
      <c r="BA9" s="1320"/>
      <c r="BB9" s="1324"/>
      <c r="BC9" s="3279"/>
      <c r="BE9" s="437"/>
      <c r="BF9" s="437"/>
      <c r="BG9" s="437"/>
      <c r="BH9" s="437"/>
      <c r="BI9" s="1082">
        <v>0</v>
      </c>
    </row>
    <row r="10" spans="1:61" ht="11.25" hidden="1" customHeight="1">
      <c r="A10" s="1290"/>
      <c r="B10" s="1290"/>
      <c r="C10" s="1290"/>
      <c r="D10" s="1290"/>
      <c r="E10" s="3255"/>
      <c r="F10" s="3255"/>
      <c r="G10" s="3255"/>
      <c r="H10" s="3255"/>
      <c r="I10" s="3257"/>
      <c r="J10" s="3257"/>
      <c r="K10" s="3256"/>
      <c r="L10" s="1291"/>
      <c r="P10" s="3258"/>
      <c r="Q10" s="3258"/>
      <c r="R10" s="3343"/>
      <c r="S10" s="3341"/>
      <c r="T10" s="3361"/>
      <c r="U10" s="238"/>
      <c r="V10" s="1320"/>
      <c r="W10" s="1423"/>
      <c r="X10" s="1320"/>
      <c r="Y10" s="1423"/>
      <c r="Z10" s="1320"/>
      <c r="AA10" s="1320"/>
      <c r="AB10" s="1320"/>
      <c r="AC10" s="1320"/>
      <c r="AD10" s="3177"/>
      <c r="AE10" s="3336"/>
      <c r="AF10" s="3208"/>
      <c r="AG10" s="3359"/>
      <c r="AH10" s="3121"/>
      <c r="AI10" s="3336"/>
      <c r="AJ10" s="3208"/>
      <c r="AK10" s="3350"/>
      <c r="AL10" s="3121"/>
      <c r="AM10" s="254"/>
      <c r="AN10" s="1427"/>
      <c r="AO10" s="1427" t="s">
        <v>510</v>
      </c>
      <c r="AP10" s="353"/>
      <c r="AQ10" s="353"/>
      <c r="AR10" s="353"/>
      <c r="AS10" s="1320"/>
      <c r="AT10" s="1320"/>
      <c r="AU10" s="1423"/>
      <c r="AV10" s="1320"/>
      <c r="AW10" s="1423"/>
      <c r="AX10" s="1320"/>
      <c r="AY10" s="1320"/>
      <c r="AZ10" s="1320"/>
      <c r="BA10" s="1320"/>
      <c r="BB10" s="1324"/>
      <c r="BC10" s="3279"/>
      <c r="BE10" s="437"/>
      <c r="BF10" s="437"/>
      <c r="BG10" s="437"/>
      <c r="BH10" s="437"/>
      <c r="BI10" s="1082">
        <v>0</v>
      </c>
    </row>
    <row r="11" spans="1:61" ht="11.25" hidden="1" customHeight="1">
      <c r="A11" s="1290"/>
      <c r="B11" s="1290"/>
      <c r="C11" s="1290"/>
      <c r="D11" s="1290"/>
      <c r="E11" s="3255"/>
      <c r="F11" s="3255"/>
      <c r="G11" s="3255"/>
      <c r="H11" s="3255"/>
      <c r="I11" s="3257"/>
      <c r="J11" s="3257"/>
      <c r="K11" s="3256"/>
      <c r="L11" s="1291"/>
      <c r="P11" s="3258"/>
      <c r="Q11" s="3258"/>
      <c r="R11" s="3343"/>
      <c r="S11" s="3341"/>
      <c r="T11" s="3361"/>
      <c r="U11" s="238"/>
      <c r="V11" s="1320"/>
      <c r="W11" s="1423"/>
      <c r="X11" s="1320"/>
      <c r="Y11" s="1423"/>
      <c r="Z11" s="1320"/>
      <c r="AA11" s="1320"/>
      <c r="AB11" s="1320"/>
      <c r="AC11" s="1320"/>
      <c r="AD11" s="3177"/>
      <c r="AE11" s="3336"/>
      <c r="AF11" s="3208"/>
      <c r="AG11" s="3359"/>
      <c r="AH11" s="3121"/>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3279"/>
      <c r="BE11" s="437"/>
      <c r="BF11" s="437"/>
      <c r="BG11" s="437"/>
      <c r="BH11" s="437"/>
      <c r="BI11" s="1082">
        <v>0</v>
      </c>
    </row>
    <row r="12" spans="1:61" ht="11.25" hidden="1" customHeight="1">
      <c r="A12" s="1290"/>
      <c r="B12" s="1290"/>
      <c r="C12" s="1290"/>
      <c r="D12" s="1290"/>
      <c r="E12" s="3255"/>
      <c r="F12" s="3255"/>
      <c r="G12" s="3255"/>
      <c r="H12" s="3255"/>
      <c r="I12" s="3257"/>
      <c r="J12" s="3257"/>
      <c r="K12" s="3256"/>
      <c r="L12" s="1291"/>
      <c r="P12" s="3258"/>
      <c r="Q12" s="3258"/>
      <c r="R12" s="3343"/>
      <c r="S12" s="3342"/>
      <c r="T12" s="3362"/>
      <c r="U12" s="238"/>
      <c r="V12" s="1320"/>
      <c r="W12" s="1321" t="str">
        <f>Z8&amp;"-"&amp;AB8</f>
        <v>-</v>
      </c>
      <c r="X12" s="1320"/>
      <c r="Y12" s="1321" t="str">
        <f>AB8&amp;"-"&amp;AD8</f>
        <v>-да</v>
      </c>
      <c r="Z12" s="1320"/>
      <c r="AA12" s="1320"/>
      <c r="AB12" s="1320"/>
      <c r="AC12" s="1320"/>
      <c r="AD12" s="3126"/>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279"/>
      <c r="BE12" s="437"/>
      <c r="BF12" s="437" t="str">
        <f t="shared" ref="BF12:BF18" si="1">IF(T12="","",T12)</f>
        <v/>
      </c>
      <c r="BG12" s="437"/>
      <c r="BH12" s="437"/>
      <c r="BI12" s="1082">
        <v>0</v>
      </c>
    </row>
    <row r="13" spans="1:61" ht="11.25" hidden="1" customHeight="1">
      <c r="A13" s="1290"/>
      <c r="B13" s="1290"/>
      <c r="C13" s="1290"/>
      <c r="D13" s="1290"/>
      <c r="E13" s="3255"/>
      <c r="F13" s="3255"/>
      <c r="G13" s="3255"/>
      <c r="H13" s="3255"/>
      <c r="I13" s="3257"/>
      <c r="J13" s="3256"/>
      <c r="K13" s="1290"/>
      <c r="L13" s="1291"/>
      <c r="P13" s="3258"/>
      <c r="Q13" s="3258"/>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3280"/>
      <c r="BE13" s="437"/>
      <c r="BF13" s="437" t="str">
        <f t="shared" si="1"/>
        <v>Добавить строку</v>
      </c>
      <c r="BG13" s="437"/>
      <c r="BH13" s="437"/>
      <c r="BI13" s="1082">
        <v>0</v>
      </c>
    </row>
    <row r="14" spans="1:61" s="1569" customFormat="1" ht="14.25" hidden="1" customHeight="1">
      <c r="A14" s="1270"/>
      <c r="B14" s="1270"/>
      <c r="C14" s="1270"/>
      <c r="D14" s="1270"/>
      <c r="E14" s="3255"/>
      <c r="F14" s="3255"/>
      <c r="G14" s="3255"/>
      <c r="H14" s="3255"/>
      <c r="I14" s="3256"/>
      <c r="J14" s="1270"/>
      <c r="K14" s="1270"/>
      <c r="L14" s="1273"/>
      <c r="M14" s="447"/>
      <c r="N14" s="447"/>
      <c r="O14" s="447"/>
      <c r="P14" s="325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255"/>
      <c r="F15" s="3255"/>
      <c r="G15" s="3255"/>
      <c r="H15" s="325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255"/>
      <c r="F16" s="3255"/>
      <c r="G16" s="325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255"/>
      <c r="F17" s="3254"/>
      <c r="G17" s="1241"/>
      <c r="H17" s="1241"/>
      <c r="I17" s="1241"/>
      <c r="J17" s="1241"/>
      <c r="K17" s="1241"/>
      <c r="L17" s="1421"/>
      <c r="M17" s="1248"/>
      <c r="N17" s="1248"/>
      <c r="P17" s="1243"/>
      <c r="Q17" s="1244"/>
      <c r="R17" s="1243"/>
      <c r="S17" s="1249"/>
      <c r="T17" s="1252" t="s">
        <v>167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254"/>
      <c r="F18" s="1270"/>
      <c r="G18" s="1270"/>
      <c r="H18" s="1270"/>
      <c r="I18" s="1270"/>
      <c r="J18" s="1270"/>
      <c r="K18" s="1270"/>
      <c r="L18" s="1273"/>
      <c r="M18" s="1248"/>
      <c r="N18" s="1248"/>
      <c r="O18" s="455"/>
      <c r="P18" s="317"/>
      <c r="Q18" s="1271"/>
      <c r="R18" s="317"/>
      <c r="S18" s="1249"/>
      <c r="T18" s="1252" t="s">
        <v>168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422</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423</v>
      </c>
      <c r="P24" s="1435"/>
      <c r="Q24" s="1437"/>
      <c r="R24" s="1437"/>
      <c r="AA24" s="1434" t="s">
        <v>425</v>
      </c>
      <c r="AC24" s="1434" t="s">
        <v>426</v>
      </c>
      <c r="AD24" s="1434" t="s">
        <v>476</v>
      </c>
      <c r="AH24" s="1434" t="s">
        <v>476</v>
      </c>
      <c r="AK24" s="1434" t="s">
        <v>513</v>
      </c>
      <c r="AL24" s="1434" t="s">
        <v>476</v>
      </c>
      <c r="AP24" s="1434" t="s">
        <v>476</v>
      </c>
      <c r="AY24" s="1434" t="s">
        <v>425</v>
      </c>
      <c r="BA24" s="1434" t="s">
        <v>426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323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232"/>
      <c r="U28" s="3232"/>
      <c r="V28" s="3232"/>
      <c r="W28" s="3232"/>
      <c r="X28" s="3232"/>
      <c r="Y28" s="3232"/>
      <c r="Z28" s="3232"/>
      <c r="AA28" s="3232"/>
      <c r="AB28" s="3232"/>
      <c r="AC28" s="3232"/>
      <c r="AD28" s="3232"/>
      <c r="AE28" s="3232"/>
      <c r="AF28" s="3232"/>
      <c r="AG28" s="3232"/>
      <c r="AH28" s="3232"/>
      <c r="AI28" s="3232"/>
      <c r="AJ28" s="3232"/>
      <c r="AK28" s="3232"/>
      <c r="AL28" s="3232"/>
      <c r="AM28" s="3232"/>
      <c r="AN28" s="3232"/>
      <c r="AO28" s="3232"/>
      <c r="AP28" s="3232"/>
      <c r="AQ28" s="3232"/>
      <c r="AR28" s="3232"/>
      <c r="AS28" s="3232"/>
      <c r="AT28" s="3232"/>
      <c r="AU28" s="3232"/>
      <c r="AV28" s="3232"/>
      <c r="AW28" s="3232"/>
      <c r="AX28" s="3232"/>
      <c r="AY28" s="3232"/>
      <c r="AZ28" s="3232"/>
      <c r="BA28" s="1170"/>
      <c r="BI28" s="1082">
        <v>14</v>
      </c>
    </row>
    <row r="29" spans="1:61" ht="14.65" customHeight="1">
      <c r="Q29" s="229"/>
      <c r="R29" s="313"/>
      <c r="S29" s="3204" t="str">
        <f>IF(org=0,"Не определено",org)</f>
        <v>АО Нижневартовская ГРЭС</v>
      </c>
      <c r="T29" s="3204"/>
      <c r="U29" s="3204"/>
      <c r="V29" s="3204"/>
      <c r="W29" s="3204"/>
      <c r="X29" s="3204"/>
      <c r="Y29" s="3204"/>
      <c r="Z29" s="3204"/>
      <c r="AA29" s="3204"/>
      <c r="AB29" s="3204"/>
      <c r="AC29" s="3204"/>
      <c r="AD29" s="3204"/>
      <c r="AE29" s="3204"/>
      <c r="AF29" s="3204"/>
      <c r="AG29" s="3204"/>
      <c r="AH29" s="3204"/>
      <c r="AI29" s="3204"/>
      <c r="AJ29" s="3204"/>
      <c r="AK29" s="3204"/>
      <c r="AL29" s="3204"/>
      <c r="AM29" s="3204"/>
      <c r="AN29" s="3204"/>
      <c r="AO29" s="3204"/>
      <c r="AP29" s="3204"/>
      <c r="AQ29" s="3204"/>
      <c r="AR29" s="3204"/>
      <c r="AS29" s="3204"/>
      <c r="AT29" s="3204"/>
      <c r="AU29" s="3204"/>
      <c r="AV29" s="3204"/>
      <c r="AW29" s="3204"/>
      <c r="AX29" s="3204"/>
      <c r="AY29" s="3204"/>
      <c r="AZ29" s="320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3243" t="s">
        <v>42</v>
      </c>
      <c r="T31" s="3243"/>
      <c r="U31" s="1299"/>
      <c r="V31" s="3245" t="str">
        <f>IF(TITLE_NAME_OR_PR_CHANGE="",IF(TITLE_NAME_OR_PR="","",TITLE_NAME_OR_PR),TITLE_NAME_OR_PR_CHANGE)</f>
        <v/>
      </c>
      <c r="W31" s="3245"/>
      <c r="X31" s="3245"/>
      <c r="Y31" s="3245"/>
      <c r="Z31" s="3245"/>
      <c r="AA31" s="3245"/>
      <c r="AB31" s="3245"/>
      <c r="AC31" s="264"/>
      <c r="AD31" s="3245" t="str">
        <f>IF(TITLE_NAME_OR_PR_CHANGE="",IF(TITLE_NAME_OR_PR="","",TITLE_NAME_OR_PR),TITLE_NAME_OR_PR_CHANGE)</f>
        <v/>
      </c>
      <c r="AE31" s="3245"/>
      <c r="AF31" s="3245"/>
      <c r="AG31" s="3245"/>
      <c r="AH31" s="3245"/>
      <c r="AI31" s="3245"/>
      <c r="AJ31" s="3245"/>
      <c r="AK31" s="3245"/>
      <c r="AL31" s="3245"/>
      <c r="AM31" s="3245"/>
      <c r="AN31" s="3245"/>
      <c r="AO31" s="3245"/>
      <c r="AP31" s="3245"/>
      <c r="AQ31" s="3245"/>
      <c r="AR31" s="3245"/>
      <c r="AS31" s="3245"/>
      <c r="AT31" s="3245"/>
      <c r="AU31" s="3245"/>
      <c r="AV31" s="3245"/>
      <c r="AW31" s="3245"/>
      <c r="AX31" s="3245"/>
      <c r="AY31" s="3245"/>
      <c r="AZ31" s="324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3243" t="s">
        <v>428</v>
      </c>
      <c r="T32" s="3243"/>
      <c r="U32" s="1299"/>
      <c r="V32" s="3244">
        <f>IF(TITLE_DATE_PR_CHANGE="",IF(TITLE_DATE_PR="","",TITLE_DATE_PR),TITLE_DATE_PR_CHANGE)</f>
        <v>45595.546053240738</v>
      </c>
      <c r="W32" s="3244"/>
      <c r="X32" s="3244"/>
      <c r="Y32" s="3244"/>
      <c r="Z32" s="3244"/>
      <c r="AA32" s="3244"/>
      <c r="AB32" s="3244"/>
      <c r="AC32" s="264"/>
      <c r="AD32" s="3244">
        <f>IF(TITLE_DATE_PR_CHANGE="",IF(TITLE_DATE_PR="","",TITLE_DATE_PR),TITLE_DATE_PR_CHANGE)</f>
        <v>45595.546053240738</v>
      </c>
      <c r="AE32" s="3244"/>
      <c r="AF32" s="3244"/>
      <c r="AG32" s="3244"/>
      <c r="AH32" s="3244"/>
      <c r="AI32" s="3244"/>
      <c r="AJ32" s="3244"/>
      <c r="AK32" s="3244"/>
      <c r="AL32" s="3244"/>
      <c r="AM32" s="3244"/>
      <c r="AN32" s="3244"/>
      <c r="AO32" s="3244"/>
      <c r="AP32" s="3244"/>
      <c r="AQ32" s="3244"/>
      <c r="AR32" s="3244"/>
      <c r="AS32" s="3244"/>
      <c r="AT32" s="3244"/>
      <c r="AU32" s="3244"/>
      <c r="AV32" s="3244"/>
      <c r="AW32" s="3244"/>
      <c r="AX32" s="3244"/>
      <c r="AY32" s="3244"/>
      <c r="AZ32" s="324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3243" t="s">
        <v>429</v>
      </c>
      <c r="T33" s="3243"/>
      <c r="U33" s="1299"/>
      <c r="V33" s="3245" t="str">
        <f>IF(TITLE_NUMBER_PR_CHANGE="",IF(TITLE_NUMBER_PR="","",TITLE_NUMBER_PR),TITLE_NUMBER_PR_CHANGE)</f>
        <v>03/3636</v>
      </c>
      <c r="W33" s="3245"/>
      <c r="X33" s="3245"/>
      <c r="Y33" s="3245"/>
      <c r="Z33" s="3245"/>
      <c r="AA33" s="3245"/>
      <c r="AB33" s="3245"/>
      <c r="AC33" s="264"/>
      <c r="AD33" s="3245" t="str">
        <f>IF(TITLE_NUMBER_PR_CHANGE="",IF(TITLE_NUMBER_PR="","",TITLE_NUMBER_PR),TITLE_NUMBER_PR_CHANGE)</f>
        <v>03/3636</v>
      </c>
      <c r="AE33" s="3245"/>
      <c r="AF33" s="3245"/>
      <c r="AG33" s="3245"/>
      <c r="AH33" s="3245"/>
      <c r="AI33" s="3245"/>
      <c r="AJ33" s="3245"/>
      <c r="AK33" s="3245"/>
      <c r="AL33" s="3245"/>
      <c r="AM33" s="3245"/>
      <c r="AN33" s="3245"/>
      <c r="AO33" s="3245"/>
      <c r="AP33" s="3245"/>
      <c r="AQ33" s="3245"/>
      <c r="AR33" s="3245"/>
      <c r="AS33" s="3245"/>
      <c r="AT33" s="3245"/>
      <c r="AU33" s="3245"/>
      <c r="AV33" s="3245"/>
      <c r="AW33" s="3245"/>
      <c r="AX33" s="3245"/>
      <c r="AY33" s="3245"/>
      <c r="AZ33" s="324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3243" t="s">
        <v>43</v>
      </c>
      <c r="T34" s="3243"/>
      <c r="U34" s="1299"/>
      <c r="V34" s="3245" t="str">
        <f>IF(TITLE_IST_PUB_CHANGE="",IF(TITLE_IST_PUB="","",TITLE_IST_PUB),TITLE_IST_PUB_CHANGE)</f>
        <v/>
      </c>
      <c r="W34" s="3245"/>
      <c r="X34" s="3245"/>
      <c r="Y34" s="3245"/>
      <c r="Z34" s="3245"/>
      <c r="AA34" s="3245"/>
      <c r="AB34" s="3245"/>
      <c r="AC34" s="264"/>
      <c r="AD34" s="3245" t="str">
        <f>IF(TITLE_IST_PUB_CHANGE="",IF(TITLE_IST_PUB="","",TITLE_IST_PUB),TITLE_IST_PUB_CHANGE)</f>
        <v/>
      </c>
      <c r="AE34" s="3245"/>
      <c r="AF34" s="3245"/>
      <c r="AG34" s="3245"/>
      <c r="AH34" s="3245"/>
      <c r="AI34" s="3245"/>
      <c r="AJ34" s="3245"/>
      <c r="AK34" s="3245"/>
      <c r="AL34" s="3245"/>
      <c r="AM34" s="3245"/>
      <c r="AN34" s="3245"/>
      <c r="AO34" s="3245"/>
      <c r="AP34" s="3245"/>
      <c r="AQ34" s="3245"/>
      <c r="AR34" s="3245"/>
      <c r="AS34" s="3245"/>
      <c r="AT34" s="3245"/>
      <c r="AU34" s="3245"/>
      <c r="AV34" s="3245"/>
      <c r="AW34" s="3245"/>
      <c r="AX34" s="3245"/>
      <c r="AY34" s="3245"/>
      <c r="AZ34" s="324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3243" t="s">
        <v>428</v>
      </c>
      <c r="T36" s="3243"/>
      <c r="U36" s="1299"/>
      <c r="V36" s="3244">
        <f>IF(TITLE_DATE_PR_CHANGE="",IF(TITLE_DATE_PR="","",TITLE_DATE_PR),TITLE_DATE_PR_CHANGE)</f>
        <v>45595.546053240738</v>
      </c>
      <c r="W36" s="3244"/>
      <c r="X36" s="3244"/>
      <c r="Y36" s="3244"/>
      <c r="Z36" s="3244"/>
      <c r="AA36" s="3244"/>
      <c r="AB36" s="3244"/>
      <c r="AC36" s="264"/>
      <c r="AD36" s="3244">
        <f>IF(TITLE_DATE_PR_CHANGE="",IF(TITLE_DATE_PR="","",TITLE_DATE_PR),TITLE_DATE_PR_CHANGE)</f>
        <v>45595.546053240738</v>
      </c>
      <c r="AE36" s="3244"/>
      <c r="AF36" s="3244"/>
      <c r="AG36" s="3244"/>
      <c r="AH36" s="3244"/>
      <c r="AI36" s="3244"/>
      <c r="AJ36" s="3244"/>
      <c r="AK36" s="3244"/>
      <c r="AL36" s="3244"/>
      <c r="AM36" s="3244"/>
      <c r="AN36" s="3244"/>
      <c r="AO36" s="3244"/>
      <c r="AP36" s="3244"/>
      <c r="AQ36" s="3244"/>
      <c r="AR36" s="3244"/>
      <c r="AS36" s="3244"/>
      <c r="AT36" s="3244"/>
      <c r="AU36" s="3244"/>
      <c r="AV36" s="3244"/>
      <c r="AW36" s="3244"/>
      <c r="AX36" s="3244"/>
      <c r="AY36" s="3244"/>
      <c r="AZ36" s="324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3243" t="s">
        <v>429</v>
      </c>
      <c r="T37" s="3243"/>
      <c r="U37" s="1299"/>
      <c r="V37" s="3245" t="str">
        <f>IF(TITLE_NUMBER_PR_CHANGE="",IF(TITLE_NUMBER_PR="","",TITLE_NUMBER_PR),TITLE_NUMBER_PR_CHANGE)</f>
        <v>03/3636</v>
      </c>
      <c r="W37" s="3245"/>
      <c r="X37" s="3245"/>
      <c r="Y37" s="3245"/>
      <c r="Z37" s="3245"/>
      <c r="AA37" s="3245"/>
      <c r="AB37" s="3245"/>
      <c r="AC37" s="264"/>
      <c r="AD37" s="3245" t="str">
        <f>IF(TITLE_NUMBER_PR_CHANGE="",IF(TITLE_NUMBER_PR="","",TITLE_NUMBER_PR),TITLE_NUMBER_PR_CHANGE)</f>
        <v>03/3636</v>
      </c>
      <c r="AE37" s="3245"/>
      <c r="AF37" s="3245"/>
      <c r="AG37" s="3245"/>
      <c r="AH37" s="3245"/>
      <c r="AI37" s="3245"/>
      <c r="AJ37" s="3245"/>
      <c r="AK37" s="3245"/>
      <c r="AL37" s="3245"/>
      <c r="AM37" s="3245"/>
      <c r="AN37" s="3245"/>
      <c r="AO37" s="3245"/>
      <c r="AP37" s="3245"/>
      <c r="AQ37" s="3245"/>
      <c r="AR37" s="3245"/>
      <c r="AS37" s="3245"/>
      <c r="AT37" s="3245"/>
      <c r="AU37" s="3245"/>
      <c r="AV37" s="3245"/>
      <c r="AW37" s="3245"/>
      <c r="AX37" s="3245"/>
      <c r="AY37" s="3245"/>
      <c r="AZ37" s="324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432</v>
      </c>
      <c r="BD38" s="305"/>
      <c r="BE38" s="305"/>
      <c r="BF38" s="305"/>
      <c r="BG38" s="305"/>
      <c r="BH38" s="305"/>
      <c r="BI38" s="355">
        <v>0</v>
      </c>
    </row>
    <row r="39" spans="1:61" ht="14.65" customHeight="1">
      <c r="Q39" s="229"/>
      <c r="R39" s="313"/>
      <c r="S39" s="1202"/>
      <c r="T39" s="300"/>
      <c r="U39" s="1171"/>
      <c r="V39" s="3266"/>
      <c r="W39" s="3266"/>
      <c r="X39" s="3266"/>
      <c r="Y39" s="3266"/>
      <c r="Z39" s="3266"/>
      <c r="AA39" s="3266"/>
      <c r="AB39" s="3266"/>
      <c r="AC39" s="3266"/>
      <c r="AD39" s="3266"/>
      <c r="AE39" s="3266"/>
      <c r="AF39" s="3266"/>
      <c r="AG39" s="3266"/>
      <c r="AH39" s="3266"/>
      <c r="AI39" s="3266"/>
      <c r="AJ39" s="3266"/>
      <c r="AK39" s="3266"/>
      <c r="AL39" s="3266"/>
      <c r="AM39" s="3266"/>
      <c r="AN39" s="3266"/>
      <c r="AO39" s="3266"/>
      <c r="AP39" s="3266"/>
      <c r="AQ39" s="3266"/>
      <c r="AR39" s="3266"/>
      <c r="AS39" s="3266"/>
      <c r="AT39" s="3266"/>
      <c r="AU39" s="3266"/>
      <c r="AV39" s="3266"/>
      <c r="AW39" s="3266"/>
      <c r="AX39" s="3266"/>
      <c r="AY39" s="3266"/>
      <c r="AZ39" s="3266"/>
      <c r="BA39" s="3266"/>
      <c r="BI39" s="1082">
        <v>14</v>
      </c>
    </row>
    <row r="40" spans="1:61" ht="14.65" customHeight="1">
      <c r="Q40" s="229"/>
      <c r="R40" s="313"/>
      <c r="S40" s="3111" t="s">
        <v>308</v>
      </c>
      <c r="T40" s="3111"/>
      <c r="U40" s="3111"/>
      <c r="V40" s="3111"/>
      <c r="W40" s="3111"/>
      <c r="X40" s="3111"/>
      <c r="Y40" s="3111"/>
      <c r="Z40" s="3111"/>
      <c r="AA40" s="3111"/>
      <c r="AB40" s="3111"/>
      <c r="AC40" s="3111"/>
      <c r="AD40" s="3111"/>
      <c r="AE40" s="3111"/>
      <c r="AF40" s="3111"/>
      <c r="AG40" s="3111"/>
      <c r="AH40" s="3111"/>
      <c r="AI40" s="3111"/>
      <c r="AJ40" s="3111"/>
      <c r="AK40" s="3111"/>
      <c r="AL40" s="3111"/>
      <c r="AM40" s="3111"/>
      <c r="AN40" s="3111"/>
      <c r="AO40" s="3111"/>
      <c r="AP40" s="3111"/>
      <c r="AQ40" s="3111"/>
      <c r="AR40" s="3111"/>
      <c r="AS40" s="3111"/>
      <c r="AT40" s="3111"/>
      <c r="AU40" s="3111"/>
      <c r="AV40" s="3111"/>
      <c r="AW40" s="3111"/>
      <c r="AX40" s="3111"/>
      <c r="AY40" s="3111"/>
      <c r="AZ40" s="3111"/>
      <c r="BA40" s="3111"/>
      <c r="BB40" s="3111"/>
      <c r="BC40" s="3111" t="s">
        <v>309</v>
      </c>
      <c r="BI40" s="1082">
        <v>14</v>
      </c>
    </row>
    <row r="41" spans="1:61" ht="14.65" customHeight="1">
      <c r="Q41" s="229"/>
      <c r="R41" s="313"/>
      <c r="S41" s="3268" t="s">
        <v>85</v>
      </c>
      <c r="T41" s="3212" t="s">
        <v>514</v>
      </c>
      <c r="U41" s="239"/>
      <c r="V41" s="3269" t="s">
        <v>434</v>
      </c>
      <c r="W41" s="3270"/>
      <c r="X41" s="3270"/>
      <c r="Y41" s="3270"/>
      <c r="Z41" s="3270"/>
      <c r="AA41" s="3270"/>
      <c r="AB41" s="3271"/>
      <c r="AC41" s="3272" t="s">
        <v>435</v>
      </c>
      <c r="AD41" s="3329" t="s">
        <v>515</v>
      </c>
      <c r="AE41" s="3313"/>
      <c r="AF41" s="3313"/>
      <c r="AG41" s="3330"/>
      <c r="AH41" s="3329" t="s">
        <v>516</v>
      </c>
      <c r="AI41" s="3313"/>
      <c r="AJ41" s="3313"/>
      <c r="AK41" s="3330"/>
      <c r="AL41" s="3329" t="s">
        <v>517</v>
      </c>
      <c r="AM41" s="3313"/>
      <c r="AN41" s="3313"/>
      <c r="AO41" s="3330"/>
      <c r="AP41" s="3329" t="s">
        <v>518</v>
      </c>
      <c r="AQ41" s="3313"/>
      <c r="AR41" s="3313"/>
      <c r="AS41" s="3330"/>
      <c r="AT41" s="3269" t="s">
        <v>434</v>
      </c>
      <c r="AU41" s="3270"/>
      <c r="AV41" s="3270"/>
      <c r="AW41" s="3270"/>
      <c r="AX41" s="3270"/>
      <c r="AY41" s="3270"/>
      <c r="AZ41" s="3271"/>
      <c r="BA41" s="3272" t="s">
        <v>435</v>
      </c>
      <c r="BB41" s="3275" t="s">
        <v>437</v>
      </c>
      <c r="BC41" s="3111"/>
      <c r="BI41" s="1082">
        <v>14</v>
      </c>
    </row>
    <row r="42" spans="1:61" ht="35.65" customHeight="1">
      <c r="Q42" s="229"/>
      <c r="R42" s="313"/>
      <c r="S42" s="3268"/>
      <c r="T42" s="3212"/>
      <c r="U42" s="961"/>
      <c r="V42" s="3185" t="s">
        <v>519</v>
      </c>
      <c r="W42" s="3186"/>
      <c r="X42" s="3185" t="s">
        <v>520</v>
      </c>
      <c r="Y42" s="3186"/>
      <c r="Z42" s="3185" t="s">
        <v>521</v>
      </c>
      <c r="AA42" s="3325"/>
      <c r="AB42" s="3186"/>
      <c r="AC42" s="3273"/>
      <c r="AD42" s="3331"/>
      <c r="AE42" s="3332"/>
      <c r="AF42" s="3332"/>
      <c r="AG42" s="3344"/>
      <c r="AH42" s="3331"/>
      <c r="AI42" s="3332"/>
      <c r="AJ42" s="3332"/>
      <c r="AK42" s="3344"/>
      <c r="AL42" s="3331"/>
      <c r="AM42" s="3332"/>
      <c r="AN42" s="3332"/>
      <c r="AO42" s="3344"/>
      <c r="AP42" s="3331"/>
      <c r="AQ42" s="3332"/>
      <c r="AR42" s="3332"/>
      <c r="AS42" s="3344"/>
      <c r="AT42" s="3185" t="s">
        <v>519</v>
      </c>
      <c r="AU42" s="3186"/>
      <c r="AV42" s="3185" t="s">
        <v>520</v>
      </c>
      <c r="AW42" s="3186"/>
      <c r="AX42" s="3185" t="s">
        <v>521</v>
      </c>
      <c r="AY42" s="3325"/>
      <c r="AZ42" s="3186"/>
      <c r="BA42" s="3273"/>
      <c r="BB42" s="3276"/>
      <c r="BC42" s="3111"/>
      <c r="BI42" s="1082">
        <v>34</v>
      </c>
    </row>
    <row r="43" spans="1:61" ht="14.65" customHeight="1">
      <c r="Q43" s="229"/>
      <c r="R43" s="313"/>
      <c r="S43" s="3268"/>
      <c r="T43" s="3212"/>
      <c r="U43" s="961"/>
      <c r="V43" s="3190"/>
      <c r="W43" s="3191"/>
      <c r="X43" s="3190"/>
      <c r="Y43" s="3191"/>
      <c r="Z43" s="3190"/>
      <c r="AA43" s="3326"/>
      <c r="AB43" s="3191"/>
      <c r="AC43" s="3273"/>
      <c r="AD43" s="3331"/>
      <c r="AE43" s="3332"/>
      <c r="AF43" s="3332"/>
      <c r="AG43" s="3344"/>
      <c r="AH43" s="3331"/>
      <c r="AI43" s="3332"/>
      <c r="AJ43" s="3332"/>
      <c r="AK43" s="3344"/>
      <c r="AL43" s="3331"/>
      <c r="AM43" s="3332"/>
      <c r="AN43" s="3332"/>
      <c r="AO43" s="3344"/>
      <c r="AP43" s="3331"/>
      <c r="AQ43" s="3332"/>
      <c r="AR43" s="3332"/>
      <c r="AS43" s="3344"/>
      <c r="AT43" s="3190"/>
      <c r="AU43" s="3191"/>
      <c r="AV43" s="3190"/>
      <c r="AW43" s="3191"/>
      <c r="AX43" s="3190"/>
      <c r="AY43" s="3326"/>
      <c r="AZ43" s="3191"/>
      <c r="BA43" s="3273"/>
      <c r="BB43" s="3276"/>
      <c r="BC43" s="3111"/>
      <c r="BI43" s="1082">
        <v>14</v>
      </c>
    </row>
    <row r="44" spans="1:61" ht="14.65" customHeight="1">
      <c r="A44" s="1297"/>
      <c r="B44" s="1297" t="s">
        <v>133</v>
      </c>
      <c r="C44" s="1297" t="s">
        <v>134</v>
      </c>
      <c r="D44" s="1297" t="s">
        <v>135</v>
      </c>
      <c r="E44" s="1291" t="s">
        <v>442</v>
      </c>
      <c r="F44" s="1291" t="s">
        <v>443</v>
      </c>
      <c r="G44" s="1291" t="s">
        <v>444</v>
      </c>
      <c r="H44" s="1291" t="s">
        <v>445</v>
      </c>
      <c r="I44" s="1291" t="s">
        <v>446</v>
      </c>
      <c r="J44" s="1291" t="s">
        <v>447</v>
      </c>
      <c r="K44" s="1291" t="s">
        <v>448</v>
      </c>
      <c r="L44" s="1291" t="s">
        <v>423</v>
      </c>
      <c r="Q44" s="229"/>
      <c r="R44" s="313"/>
      <c r="S44" s="3268"/>
      <c r="T44" s="3212"/>
      <c r="U44" s="240"/>
      <c r="V44" s="1406" t="s">
        <v>485</v>
      </c>
      <c r="W44" s="1406" t="s">
        <v>486</v>
      </c>
      <c r="X44" s="1406" t="s">
        <v>485</v>
      </c>
      <c r="Y44" s="1406" t="s">
        <v>486</v>
      </c>
      <c r="Z44" s="1416" t="s">
        <v>451</v>
      </c>
      <c r="AA44" s="3217" t="s">
        <v>452</v>
      </c>
      <c r="AB44" s="3231"/>
      <c r="AC44" s="3274"/>
      <c r="AD44" s="3333"/>
      <c r="AE44" s="3334"/>
      <c r="AF44" s="3334"/>
      <c r="AG44" s="3335"/>
      <c r="AH44" s="3333"/>
      <c r="AI44" s="3334"/>
      <c r="AJ44" s="3334"/>
      <c r="AK44" s="3335"/>
      <c r="AL44" s="3333"/>
      <c r="AM44" s="3334"/>
      <c r="AN44" s="3334"/>
      <c r="AO44" s="3335"/>
      <c r="AP44" s="3333"/>
      <c r="AQ44" s="3334"/>
      <c r="AR44" s="3334"/>
      <c r="AS44" s="3335"/>
      <c r="AT44" s="1406" t="s">
        <v>485</v>
      </c>
      <c r="AU44" s="1406" t="s">
        <v>486</v>
      </c>
      <c r="AV44" s="1406" t="s">
        <v>485</v>
      </c>
      <c r="AW44" s="1406" t="s">
        <v>486</v>
      </c>
      <c r="AX44" s="1416" t="s">
        <v>451</v>
      </c>
      <c r="AY44" s="3217" t="s">
        <v>452</v>
      </c>
      <c r="AZ44" s="3231"/>
      <c r="BA44" s="3274"/>
      <c r="BB44" s="3277"/>
      <c r="BC44" s="311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3265">
        <f t="shared" ca="1" si="2"/>
        <v>8</v>
      </c>
      <c r="AB45" s="326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265">
        <f ca="1">OFFSET(AY45,0,-1)+1</f>
        <v>3</v>
      </c>
      <c r="AZ45" s="3265"/>
      <c r="BA45" s="1409">
        <f ca="1">OFFSET(BA45,0,-2)+1</f>
        <v>4</v>
      </c>
      <c r="BB45" s="1172">
        <f ca="1">OFFSET(BB45,0,-1)</f>
        <v>4</v>
      </c>
      <c r="BC45" s="1409">
        <f ca="1">OFFSET(BC45,0,-1)+1</f>
        <v>5</v>
      </c>
      <c r="BD45" s="448"/>
      <c r="BE45" s="448"/>
      <c r="BF45" s="448"/>
      <c r="BG45" s="448"/>
      <c r="BH45" s="448"/>
      <c r="BI45" s="433">
        <v>0</v>
      </c>
    </row>
    <row r="46" spans="1:61" ht="21.95" customHeight="1">
      <c r="A46" s="1290" t="s">
        <v>269</v>
      </c>
      <c r="B46" s="1290"/>
      <c r="C46" s="1290"/>
      <c r="D46" s="1290"/>
      <c r="E46" s="325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121</v>
      </c>
      <c r="U46" s="238"/>
      <c r="V46" s="3247"/>
      <c r="W46" s="3247"/>
      <c r="X46" s="3247"/>
      <c r="Y46" s="3247"/>
      <c r="Z46" s="3247"/>
      <c r="AA46" s="3247"/>
      <c r="AB46" s="3247"/>
      <c r="AC46" s="3248"/>
      <c r="AD46" s="3246" t="str">
        <f>INDEX(PT_DIFFERENTIATION_NTAR,MATCH(A46,PT_DIFFERENTIATION_NTAR_ID,0))</f>
        <v/>
      </c>
      <c r="AE46" s="3247"/>
      <c r="AF46" s="3247"/>
      <c r="AG46" s="3247"/>
      <c r="AH46" s="3247"/>
      <c r="AI46" s="3247"/>
      <c r="AJ46" s="3247"/>
      <c r="AK46" s="3247"/>
      <c r="AL46" s="3247"/>
      <c r="AM46" s="3247"/>
      <c r="AN46" s="3247"/>
      <c r="AO46" s="3247"/>
      <c r="AP46" s="3247"/>
      <c r="AQ46" s="3247"/>
      <c r="AR46" s="3247"/>
      <c r="AS46" s="3247"/>
      <c r="AT46" s="3247"/>
      <c r="AU46" s="3247"/>
      <c r="AV46" s="3247"/>
      <c r="AW46" s="3247"/>
      <c r="AX46" s="3247"/>
      <c r="AY46" s="3247"/>
      <c r="AZ46" s="3247"/>
      <c r="BA46" s="3247"/>
      <c r="BB46" s="324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269</v>
      </c>
      <c r="B47" s="1290" t="s">
        <v>270</v>
      </c>
      <c r="C47" s="1290"/>
      <c r="D47" s="1290"/>
      <c r="E47" s="3255"/>
      <c r="F47" s="3254">
        <v>1</v>
      </c>
      <c r="G47" s="1290"/>
      <c r="H47" s="1290"/>
      <c r="I47" s="1290"/>
      <c r="J47" s="1290"/>
      <c r="K47" s="1290"/>
      <c r="L47" s="1291"/>
      <c r="M47" s="1292"/>
      <c r="N47" s="1292"/>
      <c r="O47" s="1292"/>
      <c r="P47" s="1337"/>
      <c r="Q47" s="1338"/>
      <c r="R47" s="290"/>
      <c r="S47" s="1420" t="str">
        <f>INDEX(PT_DIFFERENTIATION_NUM_TER,MATCH(B47,PT_DIFFERENTIATION_TER_ID,0))</f>
        <v>.</v>
      </c>
      <c r="T47" s="246" t="s">
        <v>405</v>
      </c>
      <c r="U47" s="238"/>
      <c r="V47" s="3247"/>
      <c r="W47" s="3247"/>
      <c r="X47" s="3247"/>
      <c r="Y47" s="3247"/>
      <c r="Z47" s="3247"/>
      <c r="AA47" s="3247"/>
      <c r="AB47" s="3247"/>
      <c r="AC47" s="3248"/>
      <c r="AD47" s="3246" t="str">
        <f>INDEX(PT_DIFFERENTIATION_TER,MATCH(B47,PT_DIFFERENTIATION_TER_ID,0))</f>
        <v/>
      </c>
      <c r="AE47" s="3247"/>
      <c r="AF47" s="3247"/>
      <c r="AG47" s="3247"/>
      <c r="AH47" s="3247"/>
      <c r="AI47" s="3247"/>
      <c r="AJ47" s="3247"/>
      <c r="AK47" s="3247"/>
      <c r="AL47" s="3247"/>
      <c r="AM47" s="3247"/>
      <c r="AN47" s="3247"/>
      <c r="AO47" s="3247"/>
      <c r="AP47" s="3247"/>
      <c r="AQ47" s="3247"/>
      <c r="AR47" s="3247"/>
      <c r="AS47" s="3247"/>
      <c r="AT47" s="3247"/>
      <c r="AU47" s="3247"/>
      <c r="AV47" s="3247"/>
      <c r="AW47" s="3247"/>
      <c r="AX47" s="3247"/>
      <c r="AY47" s="3247"/>
      <c r="AZ47" s="3247"/>
      <c r="BA47" s="3247"/>
      <c r="BB47" s="3248"/>
      <c r="BC47" s="1185" t="s">
        <v>406</v>
      </c>
      <c r="BE47" s="437"/>
      <c r="BF47" s="437" t="str">
        <f t="shared" si="3"/>
        <v>Территория действия тарифа</v>
      </c>
      <c r="BG47" s="437"/>
      <c r="BH47" s="437"/>
      <c r="BI47" s="1082">
        <v>21</v>
      </c>
    </row>
    <row r="48" spans="1:61" ht="35.65" customHeight="1">
      <c r="A48" s="1290" t="s">
        <v>269</v>
      </c>
      <c r="B48" s="1290" t="s">
        <v>270</v>
      </c>
      <c r="C48" s="1290" t="s">
        <v>271</v>
      </c>
      <c r="D48" s="1290"/>
      <c r="E48" s="3255"/>
      <c r="F48" s="3255"/>
      <c r="G48" s="3254">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3247"/>
      <c r="W48" s="3247"/>
      <c r="X48" s="3247"/>
      <c r="Y48" s="3247"/>
      <c r="Z48" s="3247"/>
      <c r="AA48" s="3247"/>
      <c r="AB48" s="3247"/>
      <c r="AC48" s="3248"/>
      <c r="AD48" s="3246" t="str">
        <f>INDEX(PT_DIFFERENTIATION_CS,MATCH(C48,PT_DIFFERENTIATION_CS_ID,0))</f>
        <v/>
      </c>
      <c r="AE48" s="3247"/>
      <c r="AF48" s="3247"/>
      <c r="AG48" s="3247"/>
      <c r="AH48" s="3247"/>
      <c r="AI48" s="3247"/>
      <c r="AJ48" s="3247"/>
      <c r="AK48" s="3247"/>
      <c r="AL48" s="3247"/>
      <c r="AM48" s="3247"/>
      <c r="AN48" s="3247"/>
      <c r="AO48" s="3247"/>
      <c r="AP48" s="3247"/>
      <c r="AQ48" s="3247"/>
      <c r="AR48" s="3247"/>
      <c r="AS48" s="3247"/>
      <c r="AT48" s="3247"/>
      <c r="AU48" s="3247"/>
      <c r="AV48" s="3247"/>
      <c r="AW48" s="3247"/>
      <c r="AX48" s="3247"/>
      <c r="AY48" s="3247"/>
      <c r="AZ48" s="3247"/>
      <c r="BA48" s="3247"/>
      <c r="BB48" s="3248"/>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269</v>
      </c>
      <c r="B49" s="1270" t="s">
        <v>270</v>
      </c>
      <c r="C49" s="1270" t="s">
        <v>271</v>
      </c>
      <c r="D49" s="1270" t="s">
        <v>551</v>
      </c>
      <c r="E49" s="3255"/>
      <c r="F49" s="3255"/>
      <c r="G49" s="3255"/>
      <c r="H49" s="3254">
        <v>1</v>
      </c>
      <c r="I49" s="1270"/>
      <c r="J49" s="1270"/>
      <c r="K49" s="1270"/>
      <c r="L49" s="1273"/>
      <c r="M49" s="1242"/>
      <c r="N49" s="1242"/>
      <c r="O49" s="1242"/>
      <c r="P49" s="1424"/>
      <c r="Q49" s="1425"/>
      <c r="R49" s="294"/>
      <c r="S49" s="972"/>
      <c r="T49" s="1426"/>
      <c r="U49" s="1311"/>
      <c r="V49" s="3315"/>
      <c r="W49" s="3315"/>
      <c r="X49" s="3315"/>
      <c r="Y49" s="3315"/>
      <c r="Z49" s="3315"/>
      <c r="AA49" s="3315"/>
      <c r="AB49" s="3315"/>
      <c r="AC49" s="3316"/>
      <c r="AD49" s="3314"/>
      <c r="AE49" s="3315"/>
      <c r="AF49" s="3315"/>
      <c r="AG49" s="3315"/>
      <c r="AH49" s="3315"/>
      <c r="AI49" s="3315"/>
      <c r="AJ49" s="3315"/>
      <c r="AK49" s="3315"/>
      <c r="AL49" s="3315"/>
      <c r="AM49" s="3315"/>
      <c r="AN49" s="3315"/>
      <c r="AO49" s="3315"/>
      <c r="AP49" s="3315"/>
      <c r="AQ49" s="3315"/>
      <c r="AR49" s="3315"/>
      <c r="AS49" s="3315"/>
      <c r="AT49" s="3315"/>
      <c r="AU49" s="3315"/>
      <c r="AV49" s="3315"/>
      <c r="AW49" s="3315"/>
      <c r="AX49" s="3315"/>
      <c r="AY49" s="3315"/>
      <c r="AZ49" s="3315"/>
      <c r="BA49" s="3315"/>
      <c r="BB49" s="3316"/>
      <c r="BC49" s="1312" t="s">
        <v>410</v>
      </c>
      <c r="BE49" s="437"/>
      <c r="BF49" s="437" t="str">
        <f t="shared" si="3"/>
        <v/>
      </c>
      <c r="BG49" s="437"/>
      <c r="BH49" s="437"/>
      <c r="BI49" s="448">
        <v>0</v>
      </c>
    </row>
    <row r="50" spans="1:61" s="1569" customFormat="1" ht="0" hidden="1" customHeight="1">
      <c r="A50" s="1270" t="s">
        <v>269</v>
      </c>
      <c r="B50" s="1270" t="s">
        <v>270</v>
      </c>
      <c r="C50" s="1270" t="s">
        <v>271</v>
      </c>
      <c r="D50" s="1270" t="s">
        <v>551</v>
      </c>
      <c r="E50" s="3255"/>
      <c r="F50" s="3255"/>
      <c r="G50" s="3255"/>
      <c r="H50" s="3255"/>
      <c r="I50" s="3256" t="str">
        <f>S49&amp;".1"</f>
        <v>.1</v>
      </c>
      <c r="J50" s="1270"/>
      <c r="K50" s="1270"/>
      <c r="L50" s="1273" t="s">
        <v>411</v>
      </c>
      <c r="M50" s="447"/>
      <c r="N50" s="447"/>
      <c r="O50" s="447"/>
      <c r="P50" s="3258">
        <v>1</v>
      </c>
      <c r="Q50" s="1408"/>
      <c r="R50" s="293"/>
      <c r="S50" s="972"/>
      <c r="T50" s="1310"/>
      <c r="U50" s="1311"/>
      <c r="V50" s="3315"/>
      <c r="W50" s="3315"/>
      <c r="X50" s="3315"/>
      <c r="Y50" s="3315"/>
      <c r="Z50" s="3315"/>
      <c r="AA50" s="3315"/>
      <c r="AB50" s="3315"/>
      <c r="AC50" s="3316"/>
      <c r="AD50" s="3314"/>
      <c r="AE50" s="3315"/>
      <c r="AF50" s="3315"/>
      <c r="AG50" s="3315"/>
      <c r="AH50" s="3315"/>
      <c r="AI50" s="3315"/>
      <c r="AJ50" s="3315"/>
      <c r="AK50" s="3315"/>
      <c r="AL50" s="3315"/>
      <c r="AM50" s="3315"/>
      <c r="AN50" s="3315"/>
      <c r="AO50" s="3315"/>
      <c r="AP50" s="3315"/>
      <c r="AQ50" s="3315"/>
      <c r="AR50" s="3315"/>
      <c r="AS50" s="3315"/>
      <c r="AT50" s="3315"/>
      <c r="AU50" s="3315"/>
      <c r="AV50" s="3315"/>
      <c r="AW50" s="3315"/>
      <c r="AX50" s="3315"/>
      <c r="AY50" s="3315"/>
      <c r="AZ50" s="3315"/>
      <c r="BA50" s="3315"/>
      <c r="BB50" s="3316"/>
      <c r="BC50" s="1312"/>
      <c r="BE50" s="437"/>
      <c r="BF50" s="437" t="str">
        <f t="shared" si="3"/>
        <v/>
      </c>
      <c r="BG50" s="437"/>
      <c r="BH50" s="437"/>
      <c r="BI50" s="448">
        <v>0</v>
      </c>
    </row>
    <row r="51" spans="1:61" s="1569" customFormat="1" ht="0" hidden="1" customHeight="1">
      <c r="A51" s="1270" t="s">
        <v>269</v>
      </c>
      <c r="B51" s="1270" t="s">
        <v>270</v>
      </c>
      <c r="C51" s="1270" t="s">
        <v>271</v>
      </c>
      <c r="D51" s="1270" t="s">
        <v>551</v>
      </c>
      <c r="E51" s="3255"/>
      <c r="F51" s="3255"/>
      <c r="G51" s="3255"/>
      <c r="H51" s="3255"/>
      <c r="I51" s="3257"/>
      <c r="J51" s="3256" t="str">
        <f>S49&amp;".1"</f>
        <v>.1</v>
      </c>
      <c r="K51" s="1270"/>
      <c r="L51" s="1273"/>
      <c r="M51" s="447"/>
      <c r="N51" s="447"/>
      <c r="O51" s="447"/>
      <c r="P51" s="3258"/>
      <c r="Q51" s="3258">
        <v>1</v>
      </c>
      <c r="R51" s="294"/>
      <c r="S51" s="972"/>
      <c r="T51" s="1326"/>
      <c r="U51" s="1311"/>
      <c r="V51" s="3315"/>
      <c r="W51" s="3315"/>
      <c r="X51" s="3315"/>
      <c r="Y51" s="3315"/>
      <c r="Z51" s="3315"/>
      <c r="AA51" s="3315"/>
      <c r="AB51" s="3315"/>
      <c r="AC51" s="3316"/>
      <c r="AD51" s="3314"/>
      <c r="AE51" s="3315"/>
      <c r="AF51" s="3315"/>
      <c r="AG51" s="3315"/>
      <c r="AH51" s="3315"/>
      <c r="AI51" s="3315"/>
      <c r="AJ51" s="3315"/>
      <c r="AK51" s="3315"/>
      <c r="AL51" s="3315"/>
      <c r="AM51" s="3315"/>
      <c r="AN51" s="3366"/>
      <c r="AO51" s="3366"/>
      <c r="AP51" s="3315"/>
      <c r="AQ51" s="3315"/>
      <c r="AR51" s="3315"/>
      <c r="AS51" s="3315"/>
      <c r="AT51" s="3315"/>
      <c r="AU51" s="3315"/>
      <c r="AV51" s="3315"/>
      <c r="AW51" s="3315"/>
      <c r="AX51" s="3315"/>
      <c r="AY51" s="3315"/>
      <c r="AZ51" s="3315"/>
      <c r="BA51" s="3315"/>
      <c r="BB51" s="3316"/>
      <c r="BC51" s="1312"/>
      <c r="BE51" s="437"/>
      <c r="BF51" s="437" t="str">
        <f t="shared" si="3"/>
        <v/>
      </c>
      <c r="BG51" s="437"/>
      <c r="BH51" s="437"/>
      <c r="BI51" s="448">
        <v>0</v>
      </c>
    </row>
    <row r="52" spans="1:61" ht="11.45" customHeight="1">
      <c r="A52" s="1290" t="s">
        <v>269</v>
      </c>
      <c r="B52" s="1290" t="s">
        <v>270</v>
      </c>
      <c r="C52" s="1290" t="s">
        <v>271</v>
      </c>
      <c r="D52" s="1290" t="s">
        <v>551</v>
      </c>
      <c r="E52" s="3255"/>
      <c r="F52" s="3255"/>
      <c r="G52" s="3255"/>
      <c r="H52" s="3255"/>
      <c r="I52" s="3257"/>
      <c r="J52" s="3257"/>
      <c r="K52" s="3256" t="str">
        <f>S48&amp;".1"</f>
        <v>...1</v>
      </c>
      <c r="L52" s="1291"/>
      <c r="P52" s="3258"/>
      <c r="Q52" s="3258"/>
      <c r="R52" s="294">
        <v>1</v>
      </c>
      <c r="S52" s="3340" t="str">
        <f>$K52</f>
        <v>...1</v>
      </c>
      <c r="T52" s="3360"/>
      <c r="U52" s="238"/>
      <c r="V52" s="688"/>
      <c r="W52" s="1184"/>
      <c r="X52" s="688"/>
      <c r="Y52" s="1184"/>
      <c r="Z52" s="1660"/>
      <c r="AA52" s="1396" t="s">
        <v>67</v>
      </c>
      <c r="AB52" s="1660"/>
      <c r="AC52" s="1396" t="s">
        <v>67</v>
      </c>
      <c r="AD52" s="3176" t="s">
        <v>67</v>
      </c>
      <c r="AE52" s="3336"/>
      <c r="AF52" s="3208">
        <v>1</v>
      </c>
      <c r="AG52" s="3359"/>
      <c r="AH52" s="3121" t="s">
        <v>67</v>
      </c>
      <c r="AI52" s="3336"/>
      <c r="AJ52" s="3208">
        <v>1</v>
      </c>
      <c r="AK52" s="3350" t="s">
        <v>28</v>
      </c>
      <c r="AL52" s="3121" t="s">
        <v>67</v>
      </c>
      <c r="AM52" s="3185"/>
      <c r="AN52" s="3208">
        <v>1</v>
      </c>
      <c r="AO52" s="3363"/>
      <c r="AP52" s="3364" t="s">
        <v>67</v>
      </c>
      <c r="AQ52" s="249"/>
      <c r="AR52" s="1413">
        <v>1</v>
      </c>
      <c r="AS52" s="1419" t="s">
        <v>28</v>
      </c>
      <c r="AT52" s="688"/>
      <c r="AU52" s="1184"/>
      <c r="AV52" s="688"/>
      <c r="AW52" s="1184"/>
      <c r="AX52" s="1660"/>
      <c r="AY52" s="1396" t="s">
        <v>67</v>
      </c>
      <c r="AZ52" s="1660"/>
      <c r="BA52" s="1396" t="s">
        <v>67</v>
      </c>
      <c r="BB52" s="1275"/>
      <c r="BC52" s="3278" t="s">
        <v>508</v>
      </c>
      <c r="BE52" s="437"/>
      <c r="BF52" s="437" t="str">
        <f t="shared" si="3"/>
        <v/>
      </c>
      <c r="BG52" s="437"/>
      <c r="BH52" s="437"/>
      <c r="BI52" s="1082">
        <v>11</v>
      </c>
    </row>
    <row r="53" spans="1:61" ht="11.45" customHeight="1">
      <c r="A53" s="1290"/>
      <c r="B53" s="1290"/>
      <c r="C53" s="1290"/>
      <c r="D53" s="1290"/>
      <c r="E53" s="3255"/>
      <c r="F53" s="3255"/>
      <c r="G53" s="3255"/>
      <c r="H53" s="3255"/>
      <c r="I53" s="3257"/>
      <c r="J53" s="3257"/>
      <c r="K53" s="3256"/>
      <c r="L53" s="1291"/>
      <c r="P53" s="3258"/>
      <c r="Q53" s="3258"/>
      <c r="R53" s="294"/>
      <c r="S53" s="3341"/>
      <c r="T53" s="3361"/>
      <c r="U53" s="238"/>
      <c r="V53" s="1320"/>
      <c r="W53" s="1423"/>
      <c r="X53" s="1320"/>
      <c r="Y53" s="1423"/>
      <c r="Z53" s="1320"/>
      <c r="AA53" s="1320"/>
      <c r="AB53" s="1320"/>
      <c r="AC53" s="1320"/>
      <c r="AD53" s="3177"/>
      <c r="AE53" s="3336"/>
      <c r="AF53" s="3208"/>
      <c r="AG53" s="3359"/>
      <c r="AH53" s="3121"/>
      <c r="AI53" s="3336"/>
      <c r="AJ53" s="3208"/>
      <c r="AK53" s="3350"/>
      <c r="AL53" s="3121"/>
      <c r="AM53" s="3190"/>
      <c r="AN53" s="3208"/>
      <c r="AO53" s="3363"/>
      <c r="AP53" s="3365"/>
      <c r="AQ53" s="254"/>
      <c r="AR53" s="353"/>
      <c r="AS53" s="353" t="s">
        <v>509</v>
      </c>
      <c r="AT53" s="1320"/>
      <c r="AU53" s="1423"/>
      <c r="AV53" s="1320"/>
      <c r="AW53" s="1423"/>
      <c r="AX53" s="1320"/>
      <c r="AY53" s="1320"/>
      <c r="AZ53" s="1320"/>
      <c r="BA53" s="1320"/>
      <c r="BB53" s="1324"/>
      <c r="BC53" s="3279"/>
      <c r="BE53" s="437"/>
      <c r="BF53" s="437"/>
      <c r="BG53" s="437"/>
      <c r="BH53" s="437"/>
      <c r="BI53" s="1082">
        <v>11</v>
      </c>
    </row>
    <row r="54" spans="1:61" ht="11.45" customHeight="1">
      <c r="A54" s="1290" t="s">
        <v>269</v>
      </c>
      <c r="B54" s="1290"/>
      <c r="C54" s="1290"/>
      <c r="D54" s="1290"/>
      <c r="E54" s="3255"/>
      <c r="F54" s="3255"/>
      <c r="G54" s="3255"/>
      <c r="H54" s="3255"/>
      <c r="I54" s="3257"/>
      <c r="J54" s="3257"/>
      <c r="K54" s="3256"/>
      <c r="L54" s="1291"/>
      <c r="P54" s="3258"/>
      <c r="Q54" s="3258"/>
      <c r="R54" s="294"/>
      <c r="S54" s="3341"/>
      <c r="T54" s="3361"/>
      <c r="U54" s="238"/>
      <c r="V54" s="1320"/>
      <c r="W54" s="1423"/>
      <c r="X54" s="1320"/>
      <c r="Y54" s="1423"/>
      <c r="Z54" s="1320"/>
      <c r="AA54" s="1320"/>
      <c r="AB54" s="1320"/>
      <c r="AC54" s="1320"/>
      <c r="AD54" s="3177"/>
      <c r="AE54" s="3336"/>
      <c r="AF54" s="3208"/>
      <c r="AG54" s="3359"/>
      <c r="AH54" s="3121"/>
      <c r="AI54" s="3336"/>
      <c r="AJ54" s="3208"/>
      <c r="AK54" s="3350"/>
      <c r="AL54" s="3121"/>
      <c r="AM54" s="254"/>
      <c r="AN54" s="1427"/>
      <c r="AO54" s="1427" t="s">
        <v>510</v>
      </c>
      <c r="AP54" s="353"/>
      <c r="AQ54" s="353"/>
      <c r="AR54" s="353"/>
      <c r="AS54" s="1320"/>
      <c r="AT54" s="1320"/>
      <c r="AU54" s="1423"/>
      <c r="AV54" s="1320"/>
      <c r="AW54" s="1423"/>
      <c r="AX54" s="1320"/>
      <c r="AY54" s="1320"/>
      <c r="AZ54" s="1320"/>
      <c r="BA54" s="1320"/>
      <c r="BB54" s="1324"/>
      <c r="BC54" s="3279"/>
      <c r="BE54" s="437"/>
      <c r="BF54" s="437"/>
      <c r="BG54" s="437"/>
      <c r="BH54" s="437"/>
      <c r="BI54" s="1082">
        <v>11</v>
      </c>
    </row>
    <row r="55" spans="1:61" ht="11.45" customHeight="1">
      <c r="A55" s="1290" t="s">
        <v>269</v>
      </c>
      <c r="B55" s="1290"/>
      <c r="C55" s="1290"/>
      <c r="D55" s="1290"/>
      <c r="E55" s="3255"/>
      <c r="F55" s="3255"/>
      <c r="G55" s="3255"/>
      <c r="H55" s="3255"/>
      <c r="I55" s="3257"/>
      <c r="J55" s="3257"/>
      <c r="K55" s="3256"/>
      <c r="L55" s="1291"/>
      <c r="P55" s="3258"/>
      <c r="Q55" s="3258"/>
      <c r="R55" s="294"/>
      <c r="S55" s="3341"/>
      <c r="T55" s="3361"/>
      <c r="U55" s="238"/>
      <c r="V55" s="1320"/>
      <c r="W55" s="1423"/>
      <c r="X55" s="1320"/>
      <c r="Y55" s="1423"/>
      <c r="Z55" s="1320"/>
      <c r="AA55" s="1320"/>
      <c r="AB55" s="1320"/>
      <c r="AC55" s="1320"/>
      <c r="AD55" s="3177"/>
      <c r="AE55" s="3336"/>
      <c r="AF55" s="3208"/>
      <c r="AG55" s="3359"/>
      <c r="AH55" s="3121"/>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3279"/>
      <c r="BE55" s="437"/>
      <c r="BF55" s="437"/>
      <c r="BG55" s="437"/>
      <c r="BH55" s="437"/>
      <c r="BI55" s="1082">
        <v>11</v>
      </c>
    </row>
    <row r="56" spans="1:61" ht="11.45" customHeight="1">
      <c r="A56" s="1290" t="s">
        <v>269</v>
      </c>
      <c r="B56" s="1290" t="s">
        <v>270</v>
      </c>
      <c r="C56" s="1290" t="s">
        <v>271</v>
      </c>
      <c r="D56" s="1290" t="s">
        <v>551</v>
      </c>
      <c r="E56" s="3255"/>
      <c r="F56" s="3255"/>
      <c r="G56" s="3255"/>
      <c r="H56" s="3255"/>
      <c r="I56" s="3257"/>
      <c r="J56" s="3257"/>
      <c r="K56" s="3256"/>
      <c r="L56" s="1291"/>
      <c r="P56" s="3258"/>
      <c r="Q56" s="3258"/>
      <c r="R56" s="294"/>
      <c r="S56" s="3342"/>
      <c r="T56" s="3362"/>
      <c r="U56" s="238"/>
      <c r="V56" s="1320"/>
      <c r="W56" s="1321" t="str">
        <f>Z52&amp;"-"&amp;AB52</f>
        <v>-</v>
      </c>
      <c r="X56" s="1320"/>
      <c r="Y56" s="1321" t="str">
        <f>AB52&amp;"-"&amp;AD52</f>
        <v>-да</v>
      </c>
      <c r="Z56" s="1320"/>
      <c r="AA56" s="1320"/>
      <c r="AB56" s="1320"/>
      <c r="AC56" s="1320"/>
      <c r="AD56" s="3126"/>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279"/>
      <c r="BE56" s="437"/>
      <c r="BF56" s="437" t="str">
        <f t="shared" ref="BF56:BF63" si="4">IF(T56="","",T56)</f>
        <v/>
      </c>
      <c r="BG56" s="437"/>
      <c r="BH56" s="437"/>
      <c r="BI56" s="1082">
        <v>11</v>
      </c>
    </row>
    <row r="57" spans="1:61" ht="11.45" customHeight="1">
      <c r="A57" s="1290" t="s">
        <v>269</v>
      </c>
      <c r="B57" s="1290" t="s">
        <v>270</v>
      </c>
      <c r="C57" s="1290" t="s">
        <v>271</v>
      </c>
      <c r="D57" s="1290" t="s">
        <v>551</v>
      </c>
      <c r="E57" s="3255"/>
      <c r="F57" s="3255"/>
      <c r="G57" s="3255"/>
      <c r="H57" s="3255"/>
      <c r="I57" s="3257"/>
      <c r="J57" s="3256"/>
      <c r="K57" s="1290"/>
      <c r="L57" s="1291"/>
      <c r="P57" s="3258"/>
      <c r="Q57" s="3258"/>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3280"/>
      <c r="BE57" s="437"/>
      <c r="BF57" s="437" t="str">
        <f t="shared" si="4"/>
        <v>Добавить строку</v>
      </c>
      <c r="BG57" s="437"/>
      <c r="BH57" s="437"/>
      <c r="BI57" s="1082">
        <v>11</v>
      </c>
    </row>
    <row r="58" spans="1:61" s="1569" customFormat="1" ht="0" hidden="1" customHeight="1">
      <c r="A58" s="1270" t="s">
        <v>269</v>
      </c>
      <c r="B58" s="1270" t="s">
        <v>270</v>
      </c>
      <c r="C58" s="1270" t="s">
        <v>271</v>
      </c>
      <c r="D58" s="1270" t="s">
        <v>551</v>
      </c>
      <c r="E58" s="3255"/>
      <c r="F58" s="3255"/>
      <c r="G58" s="3255"/>
      <c r="H58" s="3255"/>
      <c r="I58" s="3256"/>
      <c r="J58" s="1270"/>
      <c r="K58" s="1270"/>
      <c r="L58" s="1273"/>
      <c r="M58" s="447"/>
      <c r="N58" s="447"/>
      <c r="O58" s="447"/>
      <c r="P58" s="325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269</v>
      </c>
      <c r="B59" s="1270" t="s">
        <v>270</v>
      </c>
      <c r="C59" s="1270" t="s">
        <v>271</v>
      </c>
      <c r="D59" s="1270" t="s">
        <v>551</v>
      </c>
      <c r="E59" s="3255"/>
      <c r="F59" s="3255"/>
      <c r="G59" s="3255"/>
      <c r="H59" s="325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269</v>
      </c>
      <c r="B60" s="1270" t="s">
        <v>270</v>
      </c>
      <c r="C60" s="1270" t="s">
        <v>271</v>
      </c>
      <c r="D60" s="1241"/>
      <c r="E60" s="3255"/>
      <c r="F60" s="3255"/>
      <c r="G60" s="325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269</v>
      </c>
      <c r="B61" s="1270" t="s">
        <v>270</v>
      </c>
      <c r="C61" s="1241"/>
      <c r="D61" s="1241"/>
      <c r="E61" s="3255"/>
      <c r="F61" s="3254"/>
      <c r="G61" s="1241"/>
      <c r="H61" s="1241"/>
      <c r="I61" s="1241"/>
      <c r="J61" s="1241"/>
      <c r="K61" s="1241"/>
      <c r="L61" s="1421"/>
      <c r="M61" s="1248"/>
      <c r="N61" s="1248"/>
      <c r="P61" s="1243"/>
      <c r="Q61" s="1244"/>
      <c r="R61" s="1243"/>
      <c r="S61" s="1249"/>
      <c r="T61" s="1252" t="s">
        <v>167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269</v>
      </c>
      <c r="B62" s="1270"/>
      <c r="C62" s="1270"/>
      <c r="D62" s="1270"/>
      <c r="E62" s="3254"/>
      <c r="F62" s="1270"/>
      <c r="G62" s="1270"/>
      <c r="H62" s="1270"/>
      <c r="I62" s="1270"/>
      <c r="J62" s="1270"/>
      <c r="K62" s="1270"/>
      <c r="L62" s="1273"/>
      <c r="M62" s="1248"/>
      <c r="N62" s="1248"/>
      <c r="O62" s="455"/>
      <c r="P62" s="317"/>
      <c r="Q62" s="1271"/>
      <c r="R62" s="317"/>
      <c r="S62" s="1249"/>
      <c r="T62" s="1252" t="s">
        <v>168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3252"/>
      <c r="U65" s="3252"/>
      <c r="V65" s="3252"/>
      <c r="W65" s="3252"/>
      <c r="X65" s="3252"/>
      <c r="Y65" s="3252"/>
      <c r="Z65" s="3252"/>
      <c r="AA65" s="3252"/>
      <c r="AB65" s="3252"/>
      <c r="AC65" s="3252"/>
      <c r="AD65" s="3252"/>
      <c r="AE65" s="3252"/>
      <c r="AF65" s="3252"/>
      <c r="AG65" s="3252"/>
      <c r="AH65" s="3252"/>
      <c r="AI65" s="3252"/>
      <c r="AJ65" s="3252"/>
      <c r="AK65" s="3252"/>
      <c r="AL65" s="3252"/>
      <c r="AM65" s="3252"/>
      <c r="AN65" s="3252"/>
      <c r="AO65" s="3252"/>
      <c r="AP65" s="3252"/>
      <c r="AQ65" s="3252"/>
      <c r="AR65" s="3252"/>
      <c r="AS65" s="3252"/>
      <c r="AT65" s="3252"/>
      <c r="AU65" s="3252"/>
      <c r="AV65" s="3252"/>
      <c r="AW65" s="3252"/>
      <c r="AX65" s="3252"/>
      <c r="AY65" s="3252"/>
      <c r="AZ65" s="3252"/>
      <c r="BA65" s="3252"/>
      <c r="BB65" s="3252"/>
      <c r="BC65" s="325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3252"/>
      <c r="U67" s="3252"/>
      <c r="V67" s="3252"/>
      <c r="W67" s="3252"/>
      <c r="X67" s="3252"/>
      <c r="Y67" s="3252"/>
      <c r="Z67" s="3252"/>
      <c r="AA67" s="3252"/>
      <c r="AB67" s="3252"/>
      <c r="AC67" s="3252"/>
      <c r="AD67" s="3252"/>
      <c r="AE67" s="3252"/>
      <c r="AF67" s="3252"/>
      <c r="AG67" s="3252"/>
      <c r="AH67" s="3252"/>
      <c r="AI67" s="3252"/>
      <c r="AJ67" s="3252"/>
      <c r="AK67" s="3252"/>
      <c r="AL67" s="3252"/>
      <c r="AM67" s="3252"/>
      <c r="AN67" s="3252"/>
      <c r="AO67" s="3252"/>
      <c r="AP67" s="3252"/>
      <c r="AQ67" s="3252"/>
      <c r="AR67" s="3252"/>
      <c r="AS67" s="3252"/>
      <c r="AT67" s="3252"/>
      <c r="AU67" s="3252"/>
      <c r="AV67" s="3252"/>
      <c r="AW67" s="3252"/>
      <c r="AX67" s="3252"/>
      <c r="AY67" s="3252"/>
      <c r="AZ67" s="3252"/>
      <c r="BA67" s="3252"/>
      <c r="BB67" s="3252"/>
      <c r="BC67" s="3252"/>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B271-D09E-0399-2D26-57847AEAF295}">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3096"/>
      <c r="C2" s="1094" t="s">
        <v>552</v>
      </c>
      <c r="D2" s="1565"/>
      <c r="E2" s="483">
        <f>B2</f>
        <v>0</v>
      </c>
      <c r="F2" s="484"/>
      <c r="G2" s="1573" t="s">
        <v>553</v>
      </c>
      <c r="H2" s="1573" t="s">
        <v>553</v>
      </c>
      <c r="I2" s="1573" t="s">
        <v>553</v>
      </c>
      <c r="J2" s="227" t="s">
        <v>554</v>
      </c>
      <c r="K2" s="480"/>
      <c r="AF2" s="1558">
        <v>0</v>
      </c>
    </row>
    <row r="3" spans="1:32" s="1569" customFormat="1" ht="0.75" hidden="1" customHeight="1">
      <c r="B3" s="3096"/>
      <c r="C3" s="1094"/>
      <c r="D3" s="485"/>
      <c r="E3" s="486"/>
      <c r="F3" s="487" t="s">
        <v>555</v>
      </c>
      <c r="G3" s="488"/>
      <c r="H3" s="488">
        <f>H4*H5+H7</f>
        <v>0</v>
      </c>
      <c r="I3" s="488">
        <f>I4*I5+I6</f>
        <v>0</v>
      </c>
      <c r="J3" s="489"/>
      <c r="AF3" s="1563">
        <v>0</v>
      </c>
    </row>
    <row r="4" spans="1:32" ht="23.25" hidden="1" customHeight="1">
      <c r="B4" s="3096"/>
      <c r="C4" s="1094"/>
      <c r="D4" s="1565"/>
      <c r="E4" s="483" t="str">
        <f>B2&amp;".1"</f>
        <v>.1</v>
      </c>
      <c r="F4" s="490" t="s">
        <v>556</v>
      </c>
      <c r="G4" s="491"/>
      <c r="H4" s="478"/>
      <c r="I4" s="478"/>
      <c r="J4" s="227" t="s">
        <v>557</v>
      </c>
      <c r="K4" s="480"/>
      <c r="AF4" s="1558">
        <v>0</v>
      </c>
    </row>
    <row r="5" spans="1:32" ht="18.75" hidden="1" customHeight="1">
      <c r="B5" s="3096"/>
      <c r="C5" s="1094"/>
      <c r="D5" s="1565"/>
      <c r="E5" s="483" t="str">
        <f>B2&amp;".2"</f>
        <v>.2</v>
      </c>
      <c r="F5" s="490" t="s">
        <v>558</v>
      </c>
      <c r="G5" s="1573" t="s">
        <v>559</v>
      </c>
      <c r="H5" s="478"/>
      <c r="I5" s="478"/>
      <c r="J5" s="227"/>
      <c r="K5" s="480"/>
      <c r="AF5" s="1558">
        <v>0</v>
      </c>
    </row>
    <row r="6" spans="1:32" ht="18.75" hidden="1" customHeight="1">
      <c r="B6" s="3096"/>
      <c r="C6" s="1094"/>
      <c r="D6" s="1565"/>
      <c r="E6" s="483" t="str">
        <f>B2&amp;".3"</f>
        <v>.3</v>
      </c>
      <c r="F6" s="490" t="s">
        <v>560</v>
      </c>
      <c r="G6" s="1573" t="s">
        <v>559</v>
      </c>
      <c r="H6" s="478"/>
      <c r="I6" s="478"/>
      <c r="J6" s="227"/>
      <c r="K6" s="480"/>
      <c r="AF6" s="1558">
        <v>0</v>
      </c>
    </row>
    <row r="7" spans="1:32" ht="18.75" hidden="1" customHeight="1">
      <c r="B7" s="3096"/>
      <c r="C7" s="1094"/>
      <c r="D7" s="1565"/>
      <c r="E7" s="483" t="str">
        <f>B2&amp;".4"</f>
        <v>.4</v>
      </c>
      <c r="F7" s="490" t="s">
        <v>561</v>
      </c>
      <c r="G7" s="1573" t="s">
        <v>553</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7"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7" t="s">
        <v>568</v>
      </c>
      <c r="K15" s="480"/>
      <c r="AF15" s="1558">
        <v>0</v>
      </c>
    </row>
    <row r="16" spans="1:32" ht="11.25" hidden="1" customHeight="1">
      <c r="AF16" s="1558">
        <v>0</v>
      </c>
    </row>
    <row r="17" spans="1:32" ht="22.5" hidden="1" customHeight="1">
      <c r="D17" s="1565"/>
      <c r="E17" s="483"/>
      <c r="F17" s="477"/>
      <c r="G17" s="1573" t="s">
        <v>569</v>
      </c>
      <c r="H17" s="482"/>
      <c r="I17" s="482"/>
      <c r="J17" s="227"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323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232"/>
      <c r="G21" s="3232"/>
      <c r="H21" s="3232"/>
      <c r="I21" s="3232"/>
      <c r="J21" s="493"/>
      <c r="AF21" s="1558">
        <v>24</v>
      </c>
    </row>
    <row r="22" spans="1:32" ht="25.15" customHeight="1">
      <c r="E22" s="3204" t="str">
        <f>IF(org=0,"Не определено",org)</f>
        <v>АО Нижневартовская ГРЭС</v>
      </c>
      <c r="F22" s="3204"/>
      <c r="G22" s="3204"/>
      <c r="H22" s="3204"/>
      <c r="I22" s="3204"/>
      <c r="AF22" s="1558">
        <v>24</v>
      </c>
    </row>
    <row r="23" spans="1:32" ht="11.45" customHeight="1">
      <c r="E23" s="1062"/>
      <c r="F23" s="1062"/>
      <c r="G23" s="1062"/>
      <c r="H23" s="1062"/>
      <c r="I23" s="1062"/>
      <c r="AF23" s="1558">
        <v>11</v>
      </c>
    </row>
    <row r="24" spans="1:32" s="1569" customFormat="1" ht="1.1499999999999999" customHeight="1">
      <c r="A24" s="1094"/>
      <c r="H24" s="819"/>
      <c r="I24" s="819" t="s">
        <v>115</v>
      </c>
      <c r="AF24" s="1563">
        <v>1</v>
      </c>
    </row>
    <row r="25" spans="1:32" ht="11.45" customHeight="1">
      <c r="E25" s="648"/>
      <c r="F25" s="3370" t="s">
        <v>103</v>
      </c>
      <c r="G25" s="3371"/>
      <c r="H25" s="1579" t="str">
        <f>IF(H24="","",INDEX(DIFFERENTIATION_UNMERGE_VD,MATCH(H24,DIFFERENTIATION_ID_DIFF,0)))</f>
        <v/>
      </c>
      <c r="I25" s="1579">
        <f>IF(I24="","",INDEX(DIFFERENTIATION_UNMERGE_VD,MATCH(I24,DIFFERENTIATION_ID_DIFF,0)))</f>
        <v>0</v>
      </c>
      <c r="J25" s="3111"/>
      <c r="AF25" s="1558">
        <v>11</v>
      </c>
    </row>
    <row r="26" spans="1:32" ht="11.45" customHeight="1">
      <c r="E26" s="648"/>
      <c r="F26" s="3370" t="s">
        <v>571</v>
      </c>
      <c r="G26" s="3371"/>
      <c r="H26" s="1579" t="str">
        <f>IF(H24="","",INDEX(DIFFERENTIATION_UNMERGE_AREA,MATCH(H24,DIFFERENTIATION_ID_DIFF,0)))</f>
        <v/>
      </c>
      <c r="I26" s="1579" t="str">
        <f>IF(I24="","",INDEX(DIFFERENTIATION_UNMERGE_AREA,MATCH(I24,DIFFERENTIATION_ID_DIFF,0)))</f>
        <v/>
      </c>
      <c r="J26" s="3111"/>
      <c r="AF26" s="1558">
        <v>11</v>
      </c>
    </row>
    <row r="27" spans="1:32" ht="11.45" customHeight="1">
      <c r="E27" s="648"/>
      <c r="F27" s="3370" t="s">
        <v>572</v>
      </c>
      <c r="G27" s="3371"/>
      <c r="H27" s="1579" t="str">
        <f>IF(H24="","",INDEX(DIFFERENTIATION_UNMERGE_SYSTEM,MATCH(H24,DIFFERENTIATION_ID_DIFF,0)))</f>
        <v/>
      </c>
      <c r="I27" s="1579" t="str">
        <f>IF(I24="","",INDEX(DIFFERENTIATION_UNMERGE_SYSTEM,MATCH(I24,DIFFERENTIATION_ID_DIFF,0)))</f>
        <v>без дифференциации</v>
      </c>
      <c r="J27" s="3111"/>
      <c r="AF27" s="1558">
        <v>11</v>
      </c>
    </row>
    <row r="28" spans="1:32" ht="11.45" customHeight="1">
      <c r="E28" s="3372" t="s">
        <v>308</v>
      </c>
      <c r="F28" s="3373"/>
      <c r="G28" s="3373"/>
      <c r="H28" s="1572"/>
      <c r="I28" s="1572"/>
      <c r="J28" s="3111"/>
      <c r="AF28" s="1558">
        <v>11</v>
      </c>
    </row>
    <row r="29" spans="1:32" ht="24" customHeight="1">
      <c r="E29" s="1573" t="s">
        <v>85</v>
      </c>
      <c r="F29" s="1580" t="s">
        <v>310</v>
      </c>
      <c r="G29" s="1580" t="s">
        <v>573</v>
      </c>
      <c r="H29" s="1580" t="s">
        <v>311</v>
      </c>
      <c r="I29" s="1580" t="s">
        <v>311</v>
      </c>
      <c r="J29" s="311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559</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559</v>
      </c>
      <c r="H31" s="495">
        <f>SUMIF($K33:$K71,$K31,H33:H71)</f>
        <v>0</v>
      </c>
      <c r="I31" s="495">
        <f>SUMIF($K33:$K71,$K31,I33:I71)</f>
        <v>0</v>
      </c>
      <c r="J31" s="227"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559</v>
      </c>
      <c r="H32" s="494"/>
      <c r="I32" s="494"/>
      <c r="J32" s="227" t="str">
        <f>FHD_NOTE_P_3</f>
        <v/>
      </c>
      <c r="K32" s="1563" t="str">
        <f t="shared" ref="K32:K70" si="0">IF((LEN(E32)-LEN(SUBSTITUTE(E32,".","")))/LEN(".")=1,"p","")</f>
        <v>p</v>
      </c>
      <c r="AF32" s="1558">
        <v>11</v>
      </c>
    </row>
    <row r="33" spans="1:32" ht="11.25" customHeight="1">
      <c r="A33" s="3368" t="s">
        <v>575</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3368"/>
      <c r="B34" s="3369"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3368"/>
      <c r="B35" s="336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3368"/>
      <c r="B36" s="336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3368"/>
      <c r="B37" s="336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3368"/>
      <c r="B38" s="336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3368"/>
      <c r="B39" s="336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3368"/>
      <c r="C40" s="1563"/>
      <c r="D40" s="1560"/>
      <c r="E40" s="507"/>
      <c r="F40" s="508" t="s">
        <v>576</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3368" t="s">
        <v>577</v>
      </c>
      <c r="D41" s="1565"/>
      <c r="E41" s="483" t="str">
        <f>FHD_NUM_P_5</f>
        <v/>
      </c>
      <c r="F41" s="1451" t="str">
        <f>FHD_P_5</f>
        <v/>
      </c>
      <c r="G41" s="1803" t="s">
        <v>559</v>
      </c>
      <c r="H41" s="494"/>
      <c r="I41" s="494"/>
      <c r="J41" s="227" t="str">
        <f>FHD_NOTE_P_5</f>
        <v/>
      </c>
      <c r="K41" s="1563" t="str">
        <f t="shared" si="0"/>
        <v/>
      </c>
      <c r="AF41" s="1558">
        <v>0</v>
      </c>
    </row>
    <row r="42" spans="1:32" ht="11.25" hidden="1" customHeight="1">
      <c r="A42" s="3368"/>
      <c r="D42" s="1565"/>
      <c r="E42" s="483" t="str">
        <f>FHD_NUM_P_6</f>
        <v/>
      </c>
      <c r="F42" s="1451" t="str">
        <f>FHD_P_6</f>
        <v/>
      </c>
      <c r="G42" s="1803" t="s">
        <v>559</v>
      </c>
      <c r="H42" s="494"/>
      <c r="I42" s="494"/>
      <c r="J42" s="227" t="str">
        <f>FHD_NOTE_P_6</f>
        <v/>
      </c>
      <c r="K42" s="1563" t="str">
        <f t="shared" si="0"/>
        <v/>
      </c>
      <c r="AF42" s="1558">
        <v>0</v>
      </c>
    </row>
    <row r="43" spans="1:32" ht="11.25" hidden="1" customHeight="1">
      <c r="A43" s="3368"/>
      <c r="D43" s="1565"/>
      <c r="E43" s="483" t="str">
        <f>FHD_NUM_P_7</f>
        <v/>
      </c>
      <c r="F43" s="1451" t="str">
        <f>FHD_P_7</f>
        <v/>
      </c>
      <c r="G43" s="1803" t="s">
        <v>559</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559</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578</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579</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580</v>
      </c>
      <c r="C47" s="1563"/>
      <c r="D47" s="512"/>
      <c r="E47" s="483" t="str">
        <f>FHD_NUM_P_11</f>
        <v>2.4</v>
      </c>
      <c r="F47" s="1451" t="str">
        <f>FHD_P_11</f>
        <v>Расходы на приобретение холодной воды, используемой в технологическом процессе</v>
      </c>
      <c r="G47" s="1803" t="s">
        <v>559</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2.5</v>
      </c>
      <c r="F48" s="1451" t="str">
        <f>FHD_P_12</f>
        <v>Расходы на  химические реагенты, используемые в технологическом процессе</v>
      </c>
      <c r="G48" s="1803" t="s">
        <v>559</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559</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559</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559</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559</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559</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559</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559</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559</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559</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559</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559</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559</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559</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314</v>
      </c>
      <c r="H66" s="1576" t="s">
        <v>582</v>
      </c>
      <c r="I66" s="1576" t="s">
        <v>582</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3368" t="s">
        <v>583</v>
      </c>
      <c r="C67" s="1563"/>
      <c r="D67" s="1565"/>
      <c r="E67" s="483" t="str">
        <f>FHD_NUM_P_31</f>
        <v/>
      </c>
      <c r="F67" s="1451" t="str">
        <f>FHD_P_31</f>
        <v/>
      </c>
      <c r="G67" s="1803" t="s">
        <v>559</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3368"/>
      <c r="C68" s="1563"/>
      <c r="D68" s="1565"/>
      <c r="E68" s="483" t="str">
        <f>FHD_NUM_P_32</f>
        <v/>
      </c>
      <c r="F68" s="1577" t="str">
        <f>FHD_P_32</f>
        <v/>
      </c>
      <c r="G68" s="1803" t="s">
        <v>314</v>
      </c>
      <c r="H68" s="1576" t="s">
        <v>582</v>
      </c>
      <c r="I68" s="1576" t="s">
        <v>582</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585</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559</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559</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559</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559</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559</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559</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559</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586</v>
      </c>
      <c r="C80" s="1563"/>
      <c r="D80" s="1565"/>
      <c r="E80" s="483" t="str">
        <f>FHD_NUM_P_42</f>
        <v/>
      </c>
      <c r="F80" s="1995" t="str">
        <f>FHD_P_42</f>
        <v/>
      </c>
      <c r="G80" s="1993" t="s">
        <v>559</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314</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3368" t="s">
        <v>587</v>
      </c>
      <c r="C82" s="672"/>
      <c r="D82" s="670"/>
      <c r="E82" s="483" t="str">
        <f>FHD_NUM_P_44</f>
        <v/>
      </c>
      <c r="F82" s="1805" t="str">
        <f>FHD_P_44</f>
        <v/>
      </c>
      <c r="G82" s="1806" t="s">
        <v>588</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3368"/>
      <c r="C83" s="672"/>
      <c r="D83" s="670"/>
      <c r="E83" s="483" t="str">
        <f>FHD_NUM_P_45</f>
        <v/>
      </c>
      <c r="F83" s="1805" t="str">
        <f>FHD_P_45</f>
        <v/>
      </c>
      <c r="G83" s="1806" t="s">
        <v>588</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3368"/>
      <c r="C84" s="672"/>
      <c r="D84" s="675"/>
      <c r="E84" s="483" t="str">
        <f>FHD_NUM_P_46</f>
        <v/>
      </c>
      <c r="F84" s="1805" t="str">
        <f>FHD_P_46</f>
        <v/>
      </c>
      <c r="G84" s="1806" t="s">
        <v>588</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3368"/>
      <c r="C85" s="672"/>
      <c r="D85" s="670"/>
      <c r="E85" s="483" t="str">
        <f>FHD_NUM_P_47</f>
        <v/>
      </c>
      <c r="F85" s="1805" t="str">
        <f>FHD_P_47</f>
        <v/>
      </c>
      <c r="G85" s="1806" t="s">
        <v>588</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3368"/>
      <c r="B86" s="840"/>
      <c r="C86" s="672"/>
      <c r="D86" s="670"/>
      <c r="E86" s="483" t="str">
        <f>FHD_NUM_P_48</f>
        <v/>
      </c>
      <c r="F86" s="1805" t="str">
        <f>FHD_P_48</f>
        <v/>
      </c>
      <c r="G86" s="1806" t="s">
        <v>588</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3368"/>
      <c r="B87" s="840"/>
      <c r="C87" s="672"/>
      <c r="D87" s="670"/>
      <c r="E87" s="483" t="str">
        <f>FHD_NUM_P_49</f>
        <v/>
      </c>
      <c r="F87" s="1805" t="str">
        <f>FHD_P_49</f>
        <v/>
      </c>
      <c r="G87" s="1806" t="s">
        <v>588</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3368"/>
      <c r="B88" s="840"/>
      <c r="C88" s="672"/>
      <c r="D88" s="670"/>
      <c r="E88" s="483" t="str">
        <f>FHD_NUM_P_50</f>
        <v/>
      </c>
      <c r="F88" s="1805" t="str">
        <f>FHD_P_50</f>
        <v/>
      </c>
      <c r="G88" s="1806" t="s">
        <v>588</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3368"/>
      <c r="B89" s="840"/>
      <c r="C89" s="672"/>
      <c r="D89" s="670"/>
      <c r="E89" s="483" t="str">
        <f>FHD_NUM_P_51</f>
        <v/>
      </c>
      <c r="F89" s="1805" t="str">
        <f>FHD_P_51</f>
        <v/>
      </c>
      <c r="G89" s="1806" t="s">
        <v>588</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3368"/>
      <c r="B90" s="840"/>
      <c r="C90" s="672"/>
      <c r="D90" s="670"/>
      <c r="E90" s="483" t="str">
        <f>FHD_NUM_P_52</f>
        <v/>
      </c>
      <c r="F90" s="1805" t="str">
        <f>FHD_P_52</f>
        <v/>
      </c>
      <c r="G90" s="1806" t="s">
        <v>565</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3368" t="s">
        <v>589</v>
      </c>
      <c r="C91" s="672"/>
      <c r="D91" s="670"/>
      <c r="E91" s="483" t="str">
        <f>FHD_NUM_P_53</f>
        <v/>
      </c>
      <c r="F91" s="1805" t="str">
        <f>FHD_P_53</f>
        <v/>
      </c>
      <c r="G91" s="1806" t="s">
        <v>588</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3368"/>
      <c r="C92" s="672"/>
      <c r="D92" s="670"/>
      <c r="E92" s="483" t="str">
        <f>FHD_NUM_P_54</f>
        <v/>
      </c>
      <c r="F92" s="1805" t="str">
        <f>FHD_P_54</f>
        <v/>
      </c>
      <c r="G92" s="1806" t="s">
        <v>588</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3368"/>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3368"/>
      <c r="C94" s="672"/>
      <c r="D94" s="670"/>
      <c r="E94" s="483" t="str">
        <f>FHD_NUM_P_56</f>
        <v/>
      </c>
      <c r="F94" s="1805" t="str">
        <f>FHD_P_56</f>
        <v/>
      </c>
      <c r="G94" s="1806" t="s">
        <v>590</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3368"/>
      <c r="B95" s="840"/>
      <c r="C95" s="672"/>
      <c r="D95" s="670"/>
      <c r="E95" s="483" t="str">
        <f>FHD_NUM_P_57</f>
        <v/>
      </c>
      <c r="F95" s="1805" t="str">
        <f>FHD_P_57</f>
        <v/>
      </c>
      <c r="G95" s="1806" t="s">
        <v>565</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3368" t="s">
        <v>591</v>
      </c>
      <c r="D96" s="1565"/>
      <c r="E96" s="483" t="str">
        <f>FHD_NUM_P_58</f>
        <v/>
      </c>
      <c r="F96" s="1805" t="str">
        <f>FHD_P_58</f>
        <v/>
      </c>
      <c r="G96" s="1806" t="s">
        <v>588</v>
      </c>
      <c r="H96" s="907"/>
      <c r="I96" s="514"/>
      <c r="J96" s="227" t="str">
        <f>FHD_NOTE_P_58</f>
        <v/>
      </c>
      <c r="K96" s="480"/>
      <c r="AF96" s="1558">
        <v>0</v>
      </c>
    </row>
    <row r="97" spans="1:32" ht="18.75" hidden="1" customHeight="1">
      <c r="A97" s="3368"/>
      <c r="D97" s="1565"/>
      <c r="E97" s="483" t="str">
        <f>FHD_NUM_P_59</f>
        <v/>
      </c>
      <c r="F97" s="1805" t="str">
        <f>FHD_P_59</f>
        <v/>
      </c>
      <c r="G97" s="1806" t="s">
        <v>588</v>
      </c>
      <c r="H97" s="907"/>
      <c r="I97" s="514"/>
      <c r="J97" s="227" t="str">
        <f>FHD_NOTE_P_59</f>
        <v/>
      </c>
      <c r="K97" s="480"/>
      <c r="AF97" s="1558">
        <v>0</v>
      </c>
    </row>
    <row r="98" spans="1:32" ht="18.75" hidden="1" customHeight="1">
      <c r="A98" s="3368"/>
      <c r="D98" s="1565"/>
      <c r="E98" s="483" t="str">
        <f>FHD_NUM_P_60</f>
        <v/>
      </c>
      <c r="F98" s="1805" t="str">
        <f>FHD_P_60</f>
        <v/>
      </c>
      <c r="G98" s="1806" t="s">
        <v>588</v>
      </c>
      <c r="H98" s="907"/>
      <c r="I98" s="514"/>
      <c r="J98" s="227" t="str">
        <f>FHD_NOTE_P_60</f>
        <v/>
      </c>
      <c r="K98" s="480"/>
      <c r="AF98" s="1558">
        <v>0</v>
      </c>
    </row>
    <row r="99" spans="1:32" s="1293" customFormat="1" ht="18.75" customHeight="1">
      <c r="A99" s="3368" t="s">
        <v>592</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3368"/>
      <c r="D100" s="485"/>
      <c r="E100" s="943" t="str">
        <f>E99&amp;".0"</f>
        <v>7.0</v>
      </c>
      <c r="F100" s="924"/>
      <c r="G100" s="925"/>
      <c r="H100" s="922"/>
      <c r="I100" s="922"/>
      <c r="J100" s="926"/>
      <c r="AF100" s="1563">
        <v>0</v>
      </c>
    </row>
    <row r="101" spans="1:32" ht="15" customHeight="1">
      <c r="A101" s="3368"/>
      <c r="D101" s="1560"/>
      <c r="E101" s="901"/>
      <c r="F101" s="902" t="s">
        <v>593</v>
      </c>
      <c r="G101" s="509"/>
      <c r="H101" s="510"/>
      <c r="I101" s="510"/>
      <c r="J101" s="934" t="s">
        <v>594</v>
      </c>
      <c r="K101" s="480"/>
      <c r="AF101" s="1558">
        <v>0</v>
      </c>
    </row>
    <row r="102" spans="1:32" s="1293" customFormat="1" ht="18.75" customHeight="1">
      <c r="A102" s="3368"/>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3368"/>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3368"/>
      <c r="C104" s="1563" t="s">
        <v>595</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3368"/>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3368"/>
      <c r="C106" s="1563"/>
      <c r="D106" s="1565"/>
      <c r="E106" s="483" t="str">
        <f>FHD_NUM_P_66</f>
        <v>10.1</v>
      </c>
      <c r="F106" s="1451" t="str">
        <f>FHD_P_66</f>
        <v xml:space="preserve">По приборам учёта </v>
      </c>
      <c r="G106" s="1802" t="s">
        <v>590</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3368"/>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3368"/>
      <c r="C108" s="1563"/>
      <c r="D108" s="1565"/>
      <c r="E108" s="483" t="str">
        <f>FHD_NUM_P_68</f>
        <v>10.2</v>
      </c>
      <c r="F108" s="1451" t="str">
        <f>FHD_P_68</f>
        <v>Расчётным путём</v>
      </c>
      <c r="G108" s="1802" t="s">
        <v>590</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3368"/>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590</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3368"/>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3368"/>
      <c r="C111" s="1563"/>
      <c r="D111" s="1565"/>
      <c r="E111" s="483" t="str">
        <f>FHD_NUM_P_71</f>
        <v>12</v>
      </c>
      <c r="F111" s="1805" t="str">
        <f>FHD_P_71</f>
        <v>Фактический объем потерь при передаче тепловой энергии</v>
      </c>
      <c r="G111" s="1802" t="s">
        <v>596</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597</v>
      </c>
      <c r="H112" s="514"/>
      <c r="I112" s="514"/>
      <c r="J112" s="227" t="str">
        <f>FHD_NOTE_P_72</f>
        <v/>
      </c>
      <c r="K112" s="480"/>
      <c r="AF112" s="1558">
        <v>19</v>
      </c>
    </row>
    <row r="113" spans="1:32" ht="18.75" customHeight="1">
      <c r="A113" s="919" t="s">
        <v>598</v>
      </c>
      <c r="D113" s="1565"/>
      <c r="E113" s="483" t="str">
        <f>FHD_NUM_P_73</f>
        <v>14</v>
      </c>
      <c r="F113" s="1805" t="str">
        <f>FHD_P_73</f>
        <v>Среднесписочная численность административно-управленческого персонала</v>
      </c>
      <c r="G113" s="900" t="s">
        <v>597</v>
      </c>
      <c r="H113" s="898"/>
      <c r="I113" s="898"/>
      <c r="J113" s="227"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7" t="str">
        <f>FHD_NOTE_P_74</f>
        <v/>
      </c>
      <c r="K114" s="480"/>
      <c r="AF114" s="1558">
        <v>0</v>
      </c>
    </row>
    <row r="115" spans="1:32" s="1562" customFormat="1" ht="18.75" hidden="1" customHeight="1">
      <c r="A115" s="3368" t="s">
        <v>601</v>
      </c>
      <c r="B115" s="840"/>
      <c r="C115" s="672"/>
      <c r="D115" s="670"/>
      <c r="E115" s="483" t="str">
        <f>FHD_NUM_P_75</f>
        <v/>
      </c>
      <c r="F115" s="1805" t="str">
        <f>FHD_P_75</f>
        <v/>
      </c>
      <c r="G115" s="1801" t="s">
        <v>565</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3368"/>
      <c r="B116" s="840"/>
      <c r="C116" s="672"/>
      <c r="D116" s="670"/>
      <c r="E116" s="483" t="str">
        <f>FHD_NUM_P_76</f>
        <v/>
      </c>
      <c r="F116" s="1805" t="str">
        <f>FHD_P_76</f>
        <v/>
      </c>
      <c r="G116" s="1801" t="s">
        <v>565</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3368"/>
      <c r="B117" s="840"/>
      <c r="C117" s="672"/>
      <c r="D117" s="670"/>
      <c r="E117" s="483" t="str">
        <f>FHD_NUM_P_77</f>
        <v/>
      </c>
      <c r="F117" s="1805" t="str">
        <f>FHD_P_77</f>
        <v/>
      </c>
      <c r="G117" s="1801" t="s">
        <v>565</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3368"/>
      <c r="D118" s="485"/>
      <c r="E118" s="943" t="str">
        <f>E117&amp;".0"</f>
        <v>.0</v>
      </c>
      <c r="F118" s="927"/>
      <c r="G118" s="1578"/>
      <c r="H118" s="922"/>
      <c r="I118" s="922"/>
      <c r="J118" s="926"/>
      <c r="AF118" s="1563">
        <v>0</v>
      </c>
    </row>
    <row r="119" spans="1:32" s="1562" customFormat="1" ht="15" hidden="1" customHeight="1">
      <c r="A119" s="3368"/>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3368" t="s">
        <v>604</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4"/>
      <c r="I120" s="514"/>
      <c r="J120" s="227" t="str">
        <f>FHD_NOTE_P_78</f>
        <v/>
      </c>
      <c r="K120" s="480"/>
      <c r="AF120" s="1558">
        <v>0</v>
      </c>
    </row>
    <row r="121" spans="1:32" s="1569" customFormat="1" ht="0.75" customHeight="1">
      <c r="A121" s="3368"/>
      <c r="D121" s="485"/>
      <c r="E121" s="943" t="str">
        <f>E120&amp;".0"</f>
        <v>15.0</v>
      </c>
      <c r="F121" s="927"/>
      <c r="G121" s="1578"/>
      <c r="H121" s="922"/>
      <c r="I121" s="922"/>
      <c r="J121" s="926"/>
      <c r="AF121" s="1563">
        <v>0</v>
      </c>
    </row>
    <row r="122" spans="1:32" ht="15" customHeight="1">
      <c r="A122" s="3368"/>
      <c r="D122" s="1560"/>
      <c r="E122" s="507"/>
      <c r="F122" s="1095" t="s">
        <v>593</v>
      </c>
      <c r="G122" s="509"/>
      <c r="H122" s="510"/>
      <c r="I122" s="510"/>
      <c r="J122" s="934" t="s">
        <v>605</v>
      </c>
      <c r="K122" s="480"/>
      <c r="AF122" s="1558">
        <v>0</v>
      </c>
    </row>
    <row r="123" spans="1:32" ht="22.5" customHeight="1">
      <c r="A123" s="3368"/>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3368"/>
      <c r="D124" s="485"/>
      <c r="E124" s="943" t="str">
        <f>E123&amp;".0"</f>
        <v>16.0</v>
      </c>
      <c r="F124" s="928"/>
      <c r="G124" s="1578"/>
      <c r="H124" s="922"/>
      <c r="I124" s="922"/>
      <c r="J124" s="926"/>
      <c r="AF124" s="1563">
        <v>0</v>
      </c>
    </row>
    <row r="125" spans="1:32" ht="15" customHeight="1">
      <c r="A125" s="3368"/>
      <c r="D125" s="1560"/>
      <c r="E125" s="507"/>
      <c r="F125" s="1095" t="s">
        <v>593</v>
      </c>
      <c r="G125" s="509"/>
      <c r="H125" s="510"/>
      <c r="I125" s="510"/>
      <c r="J125" s="934" t="s">
        <v>606</v>
      </c>
      <c r="K125" s="480"/>
      <c r="AF125" s="1558">
        <v>0</v>
      </c>
    </row>
    <row r="126" spans="1:32" ht="22.5" customHeight="1">
      <c r="A126" s="3368"/>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3368"/>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3368"/>
      <c r="C128" s="1563" t="s">
        <v>595</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314</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3368"/>
      <c r="C129" s="1563" t="s">
        <v>595</v>
      </c>
      <c r="D129" s="1565"/>
      <c r="E129" s="483" t="str">
        <f>FHD_NUM_P_83</f>
        <v>19.1</v>
      </c>
      <c r="F129" s="1451" t="str">
        <f>FHD_P_83</f>
        <v>Информация о показателях физического износа объектов теплоснабжения</v>
      </c>
      <c r="G129" s="1803" t="s">
        <v>314</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3368"/>
      <c r="C130" s="1563" t="s">
        <v>595</v>
      </c>
      <c r="D130" s="1565"/>
      <c r="E130" s="483" t="str">
        <f>FHD_NUM_P_84</f>
        <v>19.2</v>
      </c>
      <c r="F130" s="1451" t="str">
        <f>FHD_P_84</f>
        <v>Информация о показателях энергетической эффективности объектов теплоснабжения</v>
      </c>
      <c r="G130" s="1803" t="s">
        <v>314</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79</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7505-4BDB-AC7E-42C9-00793AB2F7F7}">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3232" t="str">
        <f>FHD20_NAME_FORM</f>
        <v>Форма 11. Информация о расходах на капитальный и текущий ремонт основных средств</v>
      </c>
      <c r="F5" s="3232"/>
      <c r="G5" s="3232"/>
      <c r="H5" s="3232"/>
      <c r="I5" s="3232"/>
      <c r="J5" s="3232"/>
      <c r="K5" s="3232"/>
      <c r="L5" s="550"/>
      <c r="M5" s="550"/>
      <c r="CF5" s="442">
        <v>28</v>
      </c>
    </row>
    <row r="6" spans="1:84" s="1562" customFormat="1" ht="16.899999999999999" customHeight="1">
      <c r="A6" s="547"/>
      <c r="B6" s="694"/>
      <c r="C6" s="446"/>
      <c r="D6" s="988"/>
      <c r="E6" s="3204" t="str">
        <f>IF(org=0,"Не определено",org)</f>
        <v>АО Нижневартовская ГРЭС</v>
      </c>
      <c r="F6" s="3204"/>
      <c r="G6" s="3204"/>
      <c r="H6" s="3204"/>
      <c r="I6" s="3204"/>
      <c r="J6" s="3204"/>
      <c r="K6" s="320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3093" t="s">
        <v>308</v>
      </c>
      <c r="F9" s="3098"/>
      <c r="G9" s="3098"/>
      <c r="H9" s="3098"/>
      <c r="I9" s="3098"/>
      <c r="J9" s="3098"/>
      <c r="K9" s="3098"/>
      <c r="L9" s="3098"/>
      <c r="M9" s="3098"/>
      <c r="N9" s="3098"/>
      <c r="O9" s="3098"/>
      <c r="P9" s="3098"/>
      <c r="Q9" s="3098"/>
      <c r="R9" s="3092"/>
      <c r="S9" s="3111" t="s">
        <v>309</v>
      </c>
      <c r="T9" s="272"/>
      <c r="CF9" s="442">
        <v>19</v>
      </c>
    </row>
    <row r="10" spans="1:84" ht="48.2" customHeight="1">
      <c r="D10" s="488" t="s">
        <v>85</v>
      </c>
      <c r="E10" s="3111" t="s">
        <v>85</v>
      </c>
      <c r="F10" s="3111"/>
      <c r="G10" s="458" t="s">
        <v>310</v>
      </c>
      <c r="H10" s="3111" t="s">
        <v>85</v>
      </c>
      <c r="I10" s="3111"/>
      <c r="J10" s="458" t="s">
        <v>609</v>
      </c>
      <c r="K10" s="458" t="s">
        <v>610</v>
      </c>
      <c r="L10" s="3111" t="s">
        <v>85</v>
      </c>
      <c r="M10" s="3111"/>
      <c r="N10" s="458" t="s">
        <v>611</v>
      </c>
      <c r="O10" s="458" t="s">
        <v>612</v>
      </c>
      <c r="P10" s="458" t="s">
        <v>613</v>
      </c>
      <c r="Q10" s="458" t="s">
        <v>614</v>
      </c>
      <c r="R10" s="458" t="s">
        <v>615</v>
      </c>
      <c r="S10" s="3111"/>
      <c r="T10" s="272"/>
      <c r="CF10" s="442">
        <v>46</v>
      </c>
    </row>
    <row r="11" spans="1:84" s="1569" customFormat="1" ht="15" hidden="1" customHeight="1">
      <c r="A11" s="982"/>
      <c r="D11" s="955" t="s">
        <v>107</v>
      </c>
      <c r="E11" s="955"/>
      <c r="F11" s="955" t="s">
        <v>108</v>
      </c>
      <c r="G11" s="955" t="s">
        <v>87</v>
      </c>
      <c r="H11" s="955"/>
      <c r="I11" s="955" t="s">
        <v>88</v>
      </c>
      <c r="J11" s="955" t="s">
        <v>109</v>
      </c>
      <c r="K11" s="955" t="s">
        <v>89</v>
      </c>
      <c r="L11" s="955"/>
      <c r="M11" s="955" t="s">
        <v>90</v>
      </c>
      <c r="N11" s="955" t="s">
        <v>110</v>
      </c>
      <c r="O11" s="955" t="s">
        <v>146</v>
      </c>
      <c r="P11" s="955" t="s">
        <v>147</v>
      </c>
      <c r="Q11" s="955" t="s">
        <v>148</v>
      </c>
      <c r="R11" s="955" t="s">
        <v>149</v>
      </c>
      <c r="S11" s="955" t="s">
        <v>150</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384</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115</v>
      </c>
      <c r="B14" s="561"/>
      <c r="C14" s="561"/>
      <c r="D14" s="3374" t="s">
        <v>107</v>
      </c>
      <c r="E14" s="3381" t="s">
        <v>103</v>
      </c>
      <c r="F14" s="3382"/>
      <c r="G14" s="3383"/>
      <c r="H14" s="3377">
        <f>IF(A14="","",INDEX(DIFFERENTIATION_UNMERGE_VD,MATCH(A14,DIFFERENTIATION_ID_DIFF,0)))</f>
        <v>0</v>
      </c>
      <c r="I14" s="3377"/>
      <c r="J14" s="3377"/>
      <c r="K14" s="3377"/>
      <c r="L14" s="3377"/>
      <c r="M14" s="3377"/>
      <c r="N14" s="3377"/>
      <c r="O14" s="3377"/>
      <c r="P14" s="3377"/>
      <c r="Q14" s="3377"/>
      <c r="R14" s="3377"/>
      <c r="S14" s="656"/>
      <c r="T14" s="653"/>
      <c r="U14" s="562"/>
      <c r="V14" s="562"/>
      <c r="W14" s="563"/>
      <c r="X14" s="563"/>
      <c r="Y14" s="563"/>
      <c r="Z14" s="563"/>
      <c r="AA14" s="564"/>
      <c r="AB14" s="565"/>
      <c r="AC14" s="3380"/>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3375"/>
      <c r="E15" s="3381" t="s">
        <v>571</v>
      </c>
      <c r="F15" s="3382"/>
      <c r="G15" s="3383"/>
      <c r="H15" s="3377" t="str">
        <f>IF(A14="","",INDEX(DIFFERENTIATION_UNMERGE_AREA,MATCH(A14,DIFFERENTIATION_ID_DIFF,0)))</f>
        <v/>
      </c>
      <c r="I15" s="3377"/>
      <c r="J15" s="3377"/>
      <c r="K15" s="3377"/>
      <c r="L15" s="3377"/>
      <c r="M15" s="3377"/>
      <c r="N15" s="3377"/>
      <c r="O15" s="3377"/>
      <c r="P15" s="3377"/>
      <c r="Q15" s="3377"/>
      <c r="R15" s="3377"/>
      <c r="S15" s="656"/>
      <c r="T15" s="653"/>
      <c r="U15" s="562"/>
      <c r="V15" s="562"/>
      <c r="W15" s="563"/>
      <c r="X15" s="563"/>
      <c r="Y15" s="563"/>
      <c r="Z15" s="563"/>
      <c r="AA15" s="564"/>
      <c r="AB15" s="565"/>
      <c r="AC15" s="338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3375"/>
      <c r="E16" s="3381" t="s">
        <v>572</v>
      </c>
      <c r="F16" s="3382"/>
      <c r="G16" s="3383"/>
      <c r="H16" s="3377" t="str">
        <f>IF(A14="","",INDEX(DIFFERENTIATION_UNMERGE_SYSTEM,MATCH(A14,DIFFERENTIATION_ID_DIFF,0)))</f>
        <v>без дифференциации</v>
      </c>
      <c r="I16" s="3377"/>
      <c r="J16" s="3377"/>
      <c r="K16" s="3377"/>
      <c r="L16" s="3377"/>
      <c r="M16" s="3377"/>
      <c r="N16" s="3377"/>
      <c r="O16" s="3377"/>
      <c r="P16" s="3377"/>
      <c r="Q16" s="3377"/>
      <c r="R16" s="3377"/>
      <c r="S16" s="656"/>
      <c r="T16" s="653"/>
      <c r="U16" s="562"/>
      <c r="V16" s="562"/>
      <c r="W16" s="563"/>
      <c r="X16" s="563"/>
      <c r="Y16" s="563"/>
      <c r="Z16" s="563"/>
      <c r="AA16" s="564"/>
      <c r="AB16" s="565"/>
      <c r="AC16" s="338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3375"/>
      <c r="E17" s="3379" t="s">
        <v>617</v>
      </c>
      <c r="F17" s="3379"/>
      <c r="G17" s="3379"/>
      <c r="H17" s="3379"/>
      <c r="I17" s="3379"/>
      <c r="J17" s="3379"/>
      <c r="K17" s="3379"/>
      <c r="L17" s="3379"/>
      <c r="M17" s="3379"/>
      <c r="N17" s="3379"/>
      <c r="O17" s="3379"/>
      <c r="P17" s="3379"/>
      <c r="Q17" s="495">
        <f>SUMIF(T18:T19,"i",Q18:Q19)</f>
        <v>0</v>
      </c>
      <c r="R17" s="947"/>
      <c r="S17" s="827" t="s">
        <v>618</v>
      </c>
      <c r="T17" s="654" t="s">
        <v>619</v>
      </c>
      <c r="U17" s="3258">
        <v>1</v>
      </c>
      <c r="V17" s="3258" t="str">
        <f>INDEX(B_FHD_FLAG_INDEX_1,1,MATCH(A14,B_FHD_FLAG_DIFFERENTIATION,0))</f>
        <v>отсутствует</v>
      </c>
      <c r="W17" s="354"/>
      <c r="X17" s="354"/>
      <c r="Y17" s="354"/>
      <c r="Z17" s="354"/>
      <c r="AA17" s="448"/>
      <c r="AB17" s="354"/>
      <c r="AC17" s="338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3375"/>
      <c r="E18" s="572"/>
      <c r="F18" s="572">
        <v>0</v>
      </c>
      <c r="G18" s="572"/>
      <c r="H18" s="572"/>
      <c r="I18" s="572"/>
      <c r="J18" s="572"/>
      <c r="K18" s="572"/>
      <c r="L18" s="572"/>
      <c r="M18" s="572"/>
      <c r="N18" s="572"/>
      <c r="O18" s="572"/>
      <c r="P18" s="572"/>
      <c r="Q18" s="572"/>
      <c r="R18" s="572"/>
      <c r="S18" s="573"/>
      <c r="T18" s="655"/>
      <c r="U18" s="3258"/>
      <c r="V18" s="3258"/>
      <c r="W18" s="448"/>
      <c r="X18" s="448"/>
      <c r="Y18" s="448"/>
      <c r="Z18" s="448"/>
      <c r="AA18" s="448"/>
      <c r="AB18" s="354"/>
      <c r="AC18" s="338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3375"/>
      <c r="E19" s="586" t="s">
        <v>28</v>
      </c>
      <c r="F19" s="587" t="s">
        <v>28</v>
      </c>
      <c r="G19" s="587" t="s">
        <v>28</v>
      </c>
      <c r="H19" s="588" t="s">
        <v>28</v>
      </c>
      <c r="I19" s="588"/>
      <c r="J19" s="588"/>
      <c r="K19" s="588"/>
      <c r="L19" s="588"/>
      <c r="M19" s="588"/>
      <c r="N19" s="588"/>
      <c r="O19" s="588"/>
      <c r="P19" s="588"/>
      <c r="Q19" s="588"/>
      <c r="R19" s="589"/>
      <c r="S19" s="950"/>
      <c r="T19" s="655"/>
      <c r="U19" s="3258"/>
      <c r="V19" s="3258"/>
      <c r="W19" s="354"/>
      <c r="X19" s="354"/>
      <c r="Y19" s="354"/>
      <c r="Z19" s="354"/>
      <c r="AA19" s="448"/>
      <c r="AB19" s="354"/>
      <c r="AC19" s="338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3375"/>
      <c r="E20" s="3379" t="s">
        <v>620</v>
      </c>
      <c r="F20" s="3379"/>
      <c r="G20" s="3379"/>
      <c r="H20" s="3379"/>
      <c r="I20" s="3379"/>
      <c r="J20" s="3379"/>
      <c r="K20" s="3379"/>
      <c r="L20" s="3379"/>
      <c r="M20" s="3379"/>
      <c r="N20" s="3379"/>
      <c r="O20" s="3379"/>
      <c r="P20" s="3379"/>
      <c r="Q20" s="495">
        <f>SUMIF(T21:T22,"i",Q21:Q22)</f>
        <v>0</v>
      </c>
      <c r="R20" s="947"/>
      <c r="S20" s="646" t="s">
        <v>621</v>
      </c>
      <c r="T20" s="654" t="s">
        <v>619</v>
      </c>
      <c r="U20" s="3258">
        <v>2</v>
      </c>
      <c r="V20" s="325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3375"/>
      <c r="E21" s="572"/>
      <c r="F21" s="572">
        <v>0</v>
      </c>
      <c r="G21" s="572"/>
      <c r="H21" s="572"/>
      <c r="I21" s="572"/>
      <c r="J21" s="572"/>
      <c r="K21" s="572"/>
      <c r="L21" s="572"/>
      <c r="M21" s="572"/>
      <c r="N21" s="572"/>
      <c r="O21" s="572"/>
      <c r="P21" s="572"/>
      <c r="Q21" s="572"/>
      <c r="R21" s="572"/>
      <c r="S21" s="573"/>
      <c r="T21" s="655"/>
      <c r="U21" s="3258"/>
      <c r="V21" s="325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3376"/>
      <c r="E22" s="586" t="s">
        <v>28</v>
      </c>
      <c r="F22" s="587" t="s">
        <v>28</v>
      </c>
      <c r="G22" s="587" t="s">
        <v>28</v>
      </c>
      <c r="H22" s="588" t="s">
        <v>28</v>
      </c>
      <c r="I22" s="588"/>
      <c r="J22" s="588"/>
      <c r="K22" s="588"/>
      <c r="L22" s="588"/>
      <c r="M22" s="588"/>
      <c r="N22" s="588"/>
      <c r="O22" s="588"/>
      <c r="P22" s="588"/>
      <c r="Q22" s="588"/>
      <c r="R22" s="589"/>
      <c r="S22" s="950"/>
      <c r="T22" s="655"/>
      <c r="U22" s="3258"/>
      <c r="V22" s="325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3378"/>
      <c r="F27" s="3378"/>
      <c r="G27" s="3378"/>
      <c r="H27" s="3378"/>
      <c r="I27" s="3378"/>
      <c r="J27" s="3378"/>
      <c r="K27" s="3378"/>
      <c r="L27" s="3378"/>
      <c r="M27" s="3378"/>
      <c r="N27" s="3378"/>
      <c r="O27" s="3378"/>
      <c r="P27" s="3378"/>
      <c r="Q27" s="3378"/>
      <c r="R27" s="3378"/>
      <c r="CF27" s="442">
        <v>11</v>
      </c>
    </row>
    <row r="28" spans="1:84" ht="11.45" customHeight="1">
      <c r="F28" s="693"/>
      <c r="G28" s="693"/>
      <c r="CF28" s="442">
        <v>11</v>
      </c>
    </row>
    <row r="29" spans="1:84" ht="11.25" hidden="1" customHeight="1">
      <c r="A29" s="547" t="s">
        <v>79</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CAA4-3D14-52C1-15B1-97537BB2FDB6}">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3183" t="s">
        <v>626</v>
      </c>
      <c r="J6" s="3183"/>
      <c r="K6" s="3183"/>
      <c r="L6" s="3183"/>
      <c r="M6" s="3183"/>
      <c r="O6" s="493"/>
      <c r="AK6" s="1558">
        <v>55</v>
      </c>
    </row>
    <row r="7" spans="1:37" ht="25.15" customHeight="1">
      <c r="I7" s="3204" t="str">
        <f>IF(org=0,"Не определено",org)</f>
        <v>АО Нижневартовская ГРЭС</v>
      </c>
      <c r="J7" s="3204"/>
      <c r="K7" s="3204"/>
      <c r="L7" s="3204"/>
      <c r="M7" s="320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115</v>
      </c>
      <c r="AK9" s="1563">
        <v>1</v>
      </c>
    </row>
    <row r="10" spans="1:37" ht="11.45" customHeight="1">
      <c r="E10" s="1972" t="s">
        <v>627</v>
      </c>
      <c r="I10" s="648"/>
      <c r="J10" s="3370" t="s">
        <v>103</v>
      </c>
      <c r="K10" s="3371"/>
      <c r="L10" s="1951" t="str">
        <f>IF(L9="","",INDEX(DIFFERENTIATION_UNMERGE_VD,MATCH(L9,DIFFERENTIATION_ID_DIFF,0)))</f>
        <v/>
      </c>
      <c r="M10" s="1951">
        <f>IF(M9="","",INDEX(DIFFERENTIATION_UNMERGE_VD,MATCH(M9,DIFFERENTIATION_ID_DIFF,0)))</f>
        <v>0</v>
      </c>
      <c r="O10" s="3111" t="s">
        <v>309</v>
      </c>
      <c r="AK10" s="1558">
        <v>11</v>
      </c>
    </row>
    <row r="11" spans="1:37" ht="11.45" customHeight="1">
      <c r="E11" s="1972" t="s">
        <v>628</v>
      </c>
      <c r="I11" s="648"/>
      <c r="J11" s="3370" t="s">
        <v>571</v>
      </c>
      <c r="K11" s="3371"/>
      <c r="L11" s="1951" t="str">
        <f>IF(L9="","",INDEX(DIFFERENTIATION_UNMERGE_AREA,MATCH(L9,DIFFERENTIATION_ID_DIFF,0)))</f>
        <v/>
      </c>
      <c r="M11" s="1951" t="str">
        <f>IF(M9="","",INDEX(DIFFERENTIATION_UNMERGE_AREA,MATCH(M9,DIFFERENTIATION_ID_DIFF,0)))</f>
        <v/>
      </c>
      <c r="O11" s="3111"/>
      <c r="AK11" s="1558">
        <v>11</v>
      </c>
    </row>
    <row r="12" spans="1:37" ht="11.45" customHeight="1">
      <c r="E12" s="1972" t="s">
        <v>629</v>
      </c>
      <c r="I12" s="1589"/>
      <c r="J12" s="3370" t="s">
        <v>572</v>
      </c>
      <c r="K12" s="3371"/>
      <c r="L12" s="1951" t="str">
        <f>IF(L9="","",INDEX(DIFFERENTIATION_UNMERGE_SYSTEM,MATCH(L9,DIFFERENTIATION_ID_DIFF,0)))</f>
        <v/>
      </c>
      <c r="M12" s="1951" t="str">
        <f>IF(M9="","",INDEX(DIFFERENTIATION_UNMERGE_SYSTEM,MATCH(M9,DIFFERENTIATION_ID_DIFF,0)))</f>
        <v>без дифференциации</v>
      </c>
      <c r="O12" s="3111"/>
      <c r="AK12" s="1558">
        <v>11</v>
      </c>
    </row>
    <row r="13" spans="1:37" ht="11.45" customHeight="1">
      <c r="E13" s="1972" t="s">
        <v>630</v>
      </c>
      <c r="F13" s="1972" t="s">
        <v>631</v>
      </c>
      <c r="I13" s="3372" t="s">
        <v>308</v>
      </c>
      <c r="J13" s="3373"/>
      <c r="K13" s="3373"/>
      <c r="L13" s="1949"/>
      <c r="M13" s="1989"/>
      <c r="O13" s="3111"/>
      <c r="AK13" s="1558">
        <v>11</v>
      </c>
    </row>
    <row r="14" spans="1:37" ht="24" customHeight="1">
      <c r="I14" s="1942" t="s">
        <v>85</v>
      </c>
      <c r="J14" s="1942" t="s">
        <v>310</v>
      </c>
      <c r="K14" s="1942" t="s">
        <v>573</v>
      </c>
      <c r="L14" s="1982" t="s">
        <v>311</v>
      </c>
      <c r="M14" s="1983" t="s">
        <v>311</v>
      </c>
      <c r="O14" s="3111"/>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314</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314</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79</v>
      </c>
      <c r="B204" s="917" t="s">
        <v>147</v>
      </c>
      <c r="C204" s="917" t="s">
        <v>147</v>
      </c>
      <c r="D204" s="917" t="s">
        <v>147</v>
      </c>
      <c r="E204" s="917" t="s">
        <v>147</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C94DD-8E3C-1379-F533-2583D5C6FB7E}">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5"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694</v>
      </c>
      <c r="C2" s="1975" t="s">
        <v>695</v>
      </c>
      <c r="D2" s="1974" t="s">
        <v>634</v>
      </c>
      <c r="E2" s="1980">
        <f>I2-3</f>
        <v>-3</v>
      </c>
      <c r="F2" s="1980">
        <f>J2</f>
        <v>0</v>
      </c>
      <c r="H2" s="1656" t="s">
        <v>169</v>
      </c>
      <c r="I2" s="1946"/>
      <c r="J2" s="1609"/>
      <c r="K2" s="1940" t="s">
        <v>314</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3232" t="s">
        <v>696</v>
      </c>
      <c r="J5" s="3232"/>
      <c r="K5" s="3232"/>
      <c r="L5" s="3232"/>
      <c r="M5" s="204"/>
      <c r="W5" s="1558">
        <v>48</v>
      </c>
    </row>
    <row r="6" spans="1:23" ht="18" customHeight="1">
      <c r="H6" s="313"/>
      <c r="I6" s="3204" t="str">
        <f>IF(org=0,"Не определено",org)</f>
        <v>АО Нижневартовская ГРЭС</v>
      </c>
      <c r="J6" s="3204"/>
      <c r="K6" s="3204"/>
      <c r="L6" s="3204"/>
      <c r="M6" s="204"/>
      <c r="W6" s="1558">
        <v>17</v>
      </c>
    </row>
    <row r="7" spans="1:23" ht="14.65" customHeight="1">
      <c r="H7" s="313"/>
      <c r="I7" s="394"/>
      <c r="J7" s="400"/>
      <c r="K7" s="400"/>
      <c r="L7" s="689"/>
      <c r="M7" s="131"/>
      <c r="W7" s="1558">
        <v>14</v>
      </c>
    </row>
    <row r="8" spans="1:23" ht="14.65" customHeight="1">
      <c r="H8" s="313"/>
      <c r="I8" s="3384" t="s">
        <v>308</v>
      </c>
      <c r="J8" s="3385"/>
      <c r="K8" s="3385"/>
      <c r="L8" s="3386"/>
      <c r="M8" s="3387" t="s">
        <v>309</v>
      </c>
      <c r="W8" s="1558">
        <v>14</v>
      </c>
    </row>
    <row r="9" spans="1:23" ht="35.65" customHeight="1">
      <c r="E9" s="1973" t="s">
        <v>625</v>
      </c>
      <c r="F9" s="1973" t="s">
        <v>631</v>
      </c>
      <c r="H9" s="313"/>
      <c r="I9" s="1947" t="s">
        <v>85</v>
      </c>
      <c r="J9" s="1948" t="s">
        <v>310</v>
      </c>
      <c r="K9" s="1986" t="s">
        <v>573</v>
      </c>
      <c r="L9" s="1987" t="s">
        <v>311</v>
      </c>
      <c r="M9" s="3387"/>
      <c r="W9" s="1558">
        <v>34</v>
      </c>
    </row>
    <row r="10" spans="1:23" ht="35.65" customHeight="1">
      <c r="B10" s="1975" t="s">
        <v>697</v>
      </c>
      <c r="C10" s="1975" t="s">
        <v>698</v>
      </c>
      <c r="D10" s="1974" t="s">
        <v>634</v>
      </c>
      <c r="E10" s="1978" t="s">
        <v>635</v>
      </c>
      <c r="F10" s="1978" t="s">
        <v>635</v>
      </c>
      <c r="H10" s="313"/>
      <c r="I10" s="1946" t="s">
        <v>107</v>
      </c>
      <c r="J10" s="1811" t="s">
        <v>699</v>
      </c>
      <c r="K10" s="1940" t="s">
        <v>314</v>
      </c>
      <c r="L10" s="749"/>
      <c r="M10" s="235" t="s">
        <v>700</v>
      </c>
      <c r="W10" s="1558">
        <v>34</v>
      </c>
    </row>
    <row r="11" spans="1:23" ht="50.25" customHeight="1">
      <c r="B11" s="1975" t="s">
        <v>701</v>
      </c>
      <c r="C11" s="1975" t="s">
        <v>702</v>
      </c>
      <c r="D11" s="1974" t="s">
        <v>634</v>
      </c>
      <c r="E11" s="1978" t="s">
        <v>635</v>
      </c>
      <c r="F11" s="1978" t="s">
        <v>635</v>
      </c>
      <c r="H11" s="313"/>
      <c r="I11" s="1946" t="s">
        <v>108</v>
      </c>
      <c r="J11" s="1811" t="s">
        <v>703</v>
      </c>
      <c r="K11" s="1940" t="s">
        <v>314</v>
      </c>
      <c r="L11" s="749"/>
      <c r="M11" s="235" t="s">
        <v>700</v>
      </c>
      <c r="W11" s="1558">
        <v>48</v>
      </c>
    </row>
    <row r="12" spans="1:23" ht="48.2" customHeight="1">
      <c r="B12" s="1975" t="s">
        <v>704</v>
      </c>
      <c r="C12" s="1975" t="s">
        <v>705</v>
      </c>
      <c r="D12" s="1974" t="s">
        <v>634</v>
      </c>
      <c r="E12" s="1978" t="s">
        <v>635</v>
      </c>
      <c r="F12" s="1978" t="s">
        <v>635</v>
      </c>
      <c r="H12" s="1615"/>
      <c r="I12" s="1946" t="s">
        <v>87</v>
      </c>
      <c r="J12" s="1953" t="s">
        <v>706</v>
      </c>
      <c r="K12" s="1940" t="s">
        <v>314</v>
      </c>
      <c r="L12" s="749"/>
      <c r="M12" s="235" t="s">
        <v>707</v>
      </c>
      <c r="N12" s="1551"/>
      <c r="P12" s="1558"/>
      <c r="W12" s="1558">
        <v>46</v>
      </c>
    </row>
    <row r="13" spans="1:23" ht="14.65" customHeight="1">
      <c r="E13" s="281"/>
      <c r="H13" s="313"/>
      <c r="I13" s="285"/>
      <c r="J13" s="588" t="s">
        <v>708</v>
      </c>
      <c r="K13" s="508"/>
      <c r="L13" s="152"/>
      <c r="M13" s="235"/>
      <c r="W13" s="1558">
        <v>14</v>
      </c>
    </row>
    <row r="14" spans="1:23" ht="14.65" customHeight="1">
      <c r="E14" s="281"/>
      <c r="H14" s="313"/>
      <c r="I14" s="987"/>
      <c r="J14" s="1604"/>
      <c r="K14" s="1605"/>
      <c r="L14" s="1606"/>
      <c r="M14" s="1950"/>
      <c r="W14" s="1558">
        <v>14</v>
      </c>
    </row>
    <row r="15" spans="1:23" ht="14.65" customHeight="1">
      <c r="I15" s="1608"/>
      <c r="J15" s="3252"/>
      <c r="K15" s="3252"/>
      <c r="L15" s="3252"/>
      <c r="M15" s="3252"/>
      <c r="W15" s="1558">
        <v>14</v>
      </c>
    </row>
    <row r="16" spans="1:23" ht="21" hidden="1" customHeight="1">
      <c r="A16" s="1952" t="s">
        <v>79</v>
      </c>
      <c r="B16" s="1558">
        <v>9</v>
      </c>
      <c r="C16" s="1558">
        <v>9</v>
      </c>
      <c r="D16" s="1558">
        <v>9</v>
      </c>
      <c r="E16" s="1952" t="s">
        <v>146</v>
      </c>
      <c r="F16" s="1977" t="s">
        <v>146</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15FC-C676-F76D-1787-0AEFE9F5DEF1}">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3183" t="s">
        <v>710</v>
      </c>
      <c r="F6" s="3183"/>
      <c r="G6" s="3183"/>
      <c r="H6" s="3183"/>
      <c r="I6" s="3183"/>
      <c r="J6" s="493"/>
      <c r="AF6" s="1558">
        <v>30</v>
      </c>
    </row>
    <row r="7" spans="1:32" ht="11.45" customHeight="1">
      <c r="E7" s="3204" t="str">
        <f>IF(org=0,"Не определено",org)</f>
        <v>АО Нижневартовская ГРЭС</v>
      </c>
      <c r="F7" s="3204"/>
      <c r="G7" s="3204"/>
      <c r="H7" s="3204"/>
      <c r="I7" s="3204"/>
      <c r="AF7" s="1558">
        <v>11</v>
      </c>
    </row>
    <row r="8" spans="1:32" ht="11.45" customHeight="1">
      <c r="E8" s="1062"/>
      <c r="F8" s="1062"/>
      <c r="G8" s="1062"/>
      <c r="H8" s="1062"/>
      <c r="I8" s="1062"/>
      <c r="AF8" s="1558">
        <v>11</v>
      </c>
    </row>
    <row r="9" spans="1:32" s="1569" customFormat="1" ht="4.1500000000000004" customHeight="1">
      <c r="A9" s="1094"/>
      <c r="H9" s="819"/>
      <c r="I9" s="819" t="s">
        <v>115</v>
      </c>
      <c r="AF9" s="1563">
        <v>4</v>
      </c>
    </row>
    <row r="10" spans="1:32" ht="11.45" customHeight="1">
      <c r="E10" s="648"/>
      <c r="F10" s="3370" t="s">
        <v>103</v>
      </c>
      <c r="G10" s="3371"/>
      <c r="H10" s="1479" t="str">
        <f>IF(H9="","",INDEX(DIFFERENTIATION_UNMERGE_VD,MATCH(H9,DIFFERENTIATION_ID_DIFF,0)))</f>
        <v/>
      </c>
      <c r="I10" s="1479">
        <f>IF(I9="","",INDEX(DIFFERENTIATION_UNMERGE_VD,MATCH(I9,DIFFERENTIATION_ID_DIFF,0)))</f>
        <v>0</v>
      </c>
      <c r="J10" s="3111"/>
      <c r="AF10" s="1558">
        <v>11</v>
      </c>
    </row>
    <row r="11" spans="1:32" ht="11.45" customHeight="1">
      <c r="E11" s="648"/>
      <c r="F11" s="3370" t="s">
        <v>571</v>
      </c>
      <c r="G11" s="3371"/>
      <c r="H11" s="1479" t="str">
        <f>IF(H9="","",INDEX(DIFFERENTIATION_UNMERGE_AREA,MATCH(H9,DIFFERENTIATION_ID_DIFF,0)))</f>
        <v/>
      </c>
      <c r="I11" s="1479" t="str">
        <f>IF(I9="","",INDEX(DIFFERENTIATION_UNMERGE_AREA,MATCH(I9,DIFFERENTIATION_ID_DIFF,0)))</f>
        <v/>
      </c>
      <c r="J11" s="3111"/>
      <c r="AF11" s="1558">
        <v>11</v>
      </c>
    </row>
    <row r="12" spans="1:32" ht="1.1499999999999999" customHeight="1">
      <c r="E12" s="1589"/>
      <c r="F12" s="3388" t="s">
        <v>572</v>
      </c>
      <c r="G12" s="3389"/>
      <c r="H12" s="1590" t="str">
        <f>IF(H9="","",INDEX(DIFFERENTIATION_UNMERGE_SYSTEM,MATCH(H9,DIFFERENTIATION_ID_DIFF,0)))</f>
        <v/>
      </c>
      <c r="I12" s="1590" t="str">
        <f>IF(I9="","",INDEX(DIFFERENTIATION_UNMERGE_SYSTEM,MATCH(I9,DIFFERENTIATION_ID_DIFF,0)))</f>
        <v>без дифференциации</v>
      </c>
      <c r="J12" s="3111"/>
      <c r="AF12" s="1558">
        <v>1</v>
      </c>
    </row>
    <row r="13" spans="1:32" ht="11.45" customHeight="1">
      <c r="E13" s="3372" t="s">
        <v>308</v>
      </c>
      <c r="F13" s="3373"/>
      <c r="G13" s="3373"/>
      <c r="H13" s="1478"/>
      <c r="I13" s="1478"/>
      <c r="J13" s="3111"/>
      <c r="AF13" s="1558">
        <v>11</v>
      </c>
    </row>
    <row r="14" spans="1:32" ht="24" customHeight="1">
      <c r="E14" s="1566" t="s">
        <v>85</v>
      </c>
      <c r="F14" s="1561" t="s">
        <v>310</v>
      </c>
      <c r="G14" s="1561" t="s">
        <v>573</v>
      </c>
      <c r="H14" s="1561" t="s">
        <v>311</v>
      </c>
      <c r="I14" s="1561" t="s">
        <v>311</v>
      </c>
      <c r="J14" s="3111"/>
      <c r="AF14" s="1558">
        <v>23</v>
      </c>
    </row>
    <row r="15" spans="1:32" ht="19.899999999999999" customHeight="1">
      <c r="D15" s="1565"/>
      <c r="E15" s="1557" t="s">
        <v>107</v>
      </c>
      <c r="F15" s="644" t="s">
        <v>711</v>
      </c>
      <c r="G15" s="1573" t="s">
        <v>559</v>
      </c>
      <c r="H15" s="494"/>
      <c r="I15" s="494"/>
      <c r="J15" s="227" t="s">
        <v>712</v>
      </c>
      <c r="K15" s="480" t="s">
        <v>637</v>
      </c>
      <c r="AF15" s="1558">
        <v>19</v>
      </c>
    </row>
    <row r="16" spans="1:32" ht="35.65" customHeight="1">
      <c r="D16" s="1565"/>
      <c r="E16" s="1557" t="s">
        <v>108</v>
      </c>
      <c r="F16" s="644" t="s">
        <v>713</v>
      </c>
      <c r="G16" s="1573" t="s">
        <v>559</v>
      </c>
      <c r="H16" s="495">
        <f>SUM(H17,H20:H32)</f>
        <v>0</v>
      </c>
      <c r="I16" s="495">
        <f>SUM(I17,I20,I23,I26,I29:I32)</f>
        <v>0</v>
      </c>
      <c r="J16" s="227" t="s">
        <v>714</v>
      </c>
      <c r="K16" s="480" t="s">
        <v>637</v>
      </c>
      <c r="AF16" s="1558">
        <v>34</v>
      </c>
    </row>
    <row r="17" spans="1:32" ht="19.899999999999999" customHeight="1">
      <c r="D17" s="1565"/>
      <c r="E17" s="1591" t="s">
        <v>715</v>
      </c>
      <c r="F17" s="884" t="s">
        <v>716</v>
      </c>
      <c r="G17" s="1570" t="s">
        <v>559</v>
      </c>
      <c r="H17" s="494"/>
      <c r="I17" s="494"/>
      <c r="J17" s="227" t="s">
        <v>717</v>
      </c>
      <c r="K17" s="480"/>
      <c r="AF17" s="1558">
        <v>19</v>
      </c>
    </row>
    <row r="18" spans="1:32" ht="24" customHeight="1">
      <c r="D18" s="1565"/>
      <c r="E18" s="1591" t="s">
        <v>718</v>
      </c>
      <c r="F18" s="1577" t="s">
        <v>719</v>
      </c>
      <c r="G18" s="1570" t="s">
        <v>559</v>
      </c>
      <c r="H18" s="494"/>
      <c r="I18" s="494"/>
      <c r="J18" s="227" t="s">
        <v>720</v>
      </c>
      <c r="K18" s="480"/>
      <c r="AF18" s="1558">
        <v>23</v>
      </c>
    </row>
    <row r="19" spans="1:32" ht="35.65" customHeight="1">
      <c r="D19" s="1565"/>
      <c r="E19" s="1591" t="s">
        <v>721</v>
      </c>
      <c r="F19" s="1577" t="s">
        <v>722</v>
      </c>
      <c r="G19" s="1570" t="s">
        <v>559</v>
      </c>
      <c r="H19" s="494"/>
      <c r="I19" s="494"/>
      <c r="J19" s="227"/>
      <c r="K19" s="480"/>
      <c r="AF19" s="1558">
        <v>34</v>
      </c>
    </row>
    <row r="20" spans="1:32" ht="19.899999999999999" customHeight="1">
      <c r="D20" s="1565"/>
      <c r="E20" s="1591" t="s">
        <v>315</v>
      </c>
      <c r="F20" s="884" t="s">
        <v>723</v>
      </c>
      <c r="G20" s="1570" t="s">
        <v>559</v>
      </c>
      <c r="H20" s="494"/>
      <c r="I20" s="494"/>
      <c r="J20" s="227" t="s">
        <v>724</v>
      </c>
      <c r="K20" s="480"/>
      <c r="AF20" s="1558">
        <v>19</v>
      </c>
    </row>
    <row r="21" spans="1:32" ht="19.899999999999999" customHeight="1">
      <c r="D21" s="1565"/>
      <c r="E21" s="1591" t="s">
        <v>725</v>
      </c>
      <c r="F21" s="1577" t="s">
        <v>726</v>
      </c>
      <c r="G21" s="1570" t="s">
        <v>559</v>
      </c>
      <c r="H21" s="494"/>
      <c r="I21" s="494"/>
      <c r="J21" s="227"/>
      <c r="K21" s="480"/>
      <c r="AF21" s="1558">
        <v>19</v>
      </c>
    </row>
    <row r="22" spans="1:32" ht="19.899999999999999" customHeight="1">
      <c r="D22" s="1565"/>
      <c r="E22" s="1591" t="s">
        <v>727</v>
      </c>
      <c r="F22" s="1577" t="s">
        <v>728</v>
      </c>
      <c r="G22" s="1570" t="s">
        <v>559</v>
      </c>
      <c r="H22" s="494"/>
      <c r="I22" s="494"/>
      <c r="J22" s="227"/>
      <c r="K22" s="480"/>
      <c r="AF22" s="1558">
        <v>19</v>
      </c>
    </row>
    <row r="23" spans="1:32" ht="24" customHeight="1">
      <c r="D23" s="1565"/>
      <c r="E23" s="1591" t="s">
        <v>318</v>
      </c>
      <c r="F23" s="884" t="s">
        <v>729</v>
      </c>
      <c r="G23" s="1570" t="s">
        <v>559</v>
      </c>
      <c r="H23" s="494"/>
      <c r="I23" s="494"/>
      <c r="J23" s="227" t="s">
        <v>730</v>
      </c>
      <c r="K23" s="480"/>
      <c r="AF23" s="1558">
        <v>23</v>
      </c>
    </row>
    <row r="24" spans="1:32" ht="19.899999999999999" customHeight="1">
      <c r="D24" s="1565"/>
      <c r="E24" s="1591" t="s">
        <v>731</v>
      </c>
      <c r="F24" s="1577" t="s">
        <v>732</v>
      </c>
      <c r="G24" s="1570" t="s">
        <v>559</v>
      </c>
      <c r="H24" s="494"/>
      <c r="I24" s="494"/>
      <c r="J24" s="227"/>
      <c r="K24" s="480"/>
      <c r="AF24" s="1558">
        <v>19</v>
      </c>
    </row>
    <row r="25" spans="1:32" ht="35.65" customHeight="1">
      <c r="D25" s="1565"/>
      <c r="E25" s="1591" t="s">
        <v>733</v>
      </c>
      <c r="F25" s="1577" t="s">
        <v>734</v>
      </c>
      <c r="G25" s="1570" t="s">
        <v>559</v>
      </c>
      <c r="H25" s="494"/>
      <c r="I25" s="494"/>
      <c r="J25" s="227"/>
      <c r="K25" s="480"/>
      <c r="AF25" s="1558">
        <v>34</v>
      </c>
    </row>
    <row r="26" spans="1:32" ht="24" customHeight="1">
      <c r="D26" s="1565"/>
      <c r="E26" s="1591" t="s">
        <v>735</v>
      </c>
      <c r="F26" s="884" t="s">
        <v>736</v>
      </c>
      <c r="G26" s="1570" t="s">
        <v>559</v>
      </c>
      <c r="H26" s="494"/>
      <c r="I26" s="494"/>
      <c r="J26" s="227" t="s">
        <v>737</v>
      </c>
      <c r="K26" s="480"/>
      <c r="AF26" s="1558">
        <v>23</v>
      </c>
    </row>
    <row r="27" spans="1:32" ht="19.899999999999999" customHeight="1">
      <c r="D27" s="1565"/>
      <c r="E27" s="1602" t="s">
        <v>738</v>
      </c>
      <c r="F27" s="1577" t="s">
        <v>739</v>
      </c>
      <c r="G27" s="1581" t="s">
        <v>559</v>
      </c>
      <c r="H27" s="1603"/>
      <c r="I27" s="1603"/>
      <c r="J27" s="227"/>
      <c r="K27" s="480"/>
      <c r="AF27" s="1558">
        <v>19</v>
      </c>
    </row>
    <row r="28" spans="1:32" ht="19.899999999999999" customHeight="1">
      <c r="D28" s="1565"/>
      <c r="E28" s="1602" t="s">
        <v>740</v>
      </c>
      <c r="F28" s="1577" t="s">
        <v>741</v>
      </c>
      <c r="G28" s="1581" t="s">
        <v>559</v>
      </c>
      <c r="H28" s="1603"/>
      <c r="I28" s="1603"/>
      <c r="J28" s="227"/>
      <c r="K28" s="480"/>
      <c r="AF28" s="1558">
        <v>19</v>
      </c>
    </row>
    <row r="29" spans="1:32" ht="19.899999999999999" customHeight="1">
      <c r="D29" s="1565"/>
      <c r="E29" s="1602" t="s">
        <v>742</v>
      </c>
      <c r="F29" s="884" t="s">
        <v>743</v>
      </c>
      <c r="G29" s="1581" t="s">
        <v>559</v>
      </c>
      <c r="H29" s="1603"/>
      <c r="I29" s="1603"/>
      <c r="J29" s="227"/>
      <c r="K29" s="480"/>
      <c r="AF29" s="1558">
        <v>19</v>
      </c>
    </row>
    <row r="30" spans="1:32" ht="19.899999999999999" customHeight="1">
      <c r="D30" s="1565"/>
      <c r="E30" s="1602" t="s">
        <v>744</v>
      </c>
      <c r="F30" s="884" t="s">
        <v>745</v>
      </c>
      <c r="G30" s="1581" t="s">
        <v>559</v>
      </c>
      <c r="H30" s="1603"/>
      <c r="I30" s="1603"/>
      <c r="J30" s="227"/>
      <c r="K30" s="480"/>
      <c r="AF30" s="1558">
        <v>19</v>
      </c>
    </row>
    <row r="31" spans="1:32" ht="19.899999999999999" customHeight="1">
      <c r="D31" s="1565"/>
      <c r="E31" s="1602" t="s">
        <v>746</v>
      </c>
      <c r="F31" s="884" t="s">
        <v>747</v>
      </c>
      <c r="G31" s="1581" t="s">
        <v>559</v>
      </c>
      <c r="H31" s="1603"/>
      <c r="I31" s="1603"/>
      <c r="J31" s="227"/>
      <c r="K31" s="480"/>
      <c r="AF31" s="1558">
        <v>19</v>
      </c>
    </row>
    <row r="32" spans="1:32" s="1293" customFormat="1" ht="35.65" customHeight="1">
      <c r="A32" s="917"/>
      <c r="C32" s="1563"/>
      <c r="D32" s="1565"/>
      <c r="E32" s="1602" t="s">
        <v>748</v>
      </c>
      <c r="F32" s="884" t="s">
        <v>749</v>
      </c>
      <c r="G32" s="1571" t="s">
        <v>559</v>
      </c>
      <c r="H32" s="516">
        <f>SUM(H33:H34)</f>
        <v>0</v>
      </c>
      <c r="I32" s="516">
        <f>SUM(I33:I34)</f>
        <v>0</v>
      </c>
      <c r="J32" s="227"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9"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7" t="s">
        <v>754</v>
      </c>
      <c r="K35" s="480"/>
      <c r="AF35" s="1558">
        <v>57</v>
      </c>
    </row>
    <row r="36" spans="1:32" s="1293" customFormat="1" ht="24" customHeight="1">
      <c r="A36" s="919" t="s">
        <v>585</v>
      </c>
      <c r="C36" s="1563"/>
      <c r="D36" s="1565"/>
      <c r="E36" s="1591" t="s">
        <v>87</v>
      </c>
      <c r="F36" s="644" t="s">
        <v>755</v>
      </c>
      <c r="G36" s="1570" t="s">
        <v>559</v>
      </c>
      <c r="H36" s="494"/>
      <c r="I36" s="494"/>
      <c r="J36" s="227"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332</v>
      </c>
      <c r="F37" s="884" t="s">
        <v>757</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88</v>
      </c>
      <c r="F38" s="644" t="s">
        <v>758</v>
      </c>
      <c r="G38" s="1570" t="s">
        <v>559</v>
      </c>
      <c r="H38" s="494"/>
      <c r="I38" s="494"/>
      <c r="J38" s="227"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7"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7"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7"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7"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109</v>
      </c>
      <c r="F43" s="644" t="s">
        <v>636</v>
      </c>
      <c r="G43" s="1573" t="s">
        <v>772</v>
      </c>
      <c r="H43" s="338"/>
      <c r="I43" s="338"/>
      <c r="J43" s="227"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89</v>
      </c>
      <c r="F44" s="644" t="s">
        <v>774</v>
      </c>
      <c r="G44" s="1570" t="s">
        <v>775</v>
      </c>
      <c r="H44" s="482"/>
      <c r="I44" s="482"/>
      <c r="J44" s="227"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90</v>
      </c>
      <c r="F45" s="644" t="s">
        <v>777</v>
      </c>
      <c r="G45" s="1581" t="s">
        <v>778</v>
      </c>
      <c r="H45" s="482"/>
      <c r="I45" s="482"/>
      <c r="J45" s="227"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110</v>
      </c>
      <c r="F46" s="644" t="s">
        <v>780</v>
      </c>
      <c r="G46" s="1570" t="s">
        <v>597</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79</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4B19-344E-DCCA-8D98-8909199CD803}">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3232" t="s">
        <v>781</v>
      </c>
      <c r="F6" s="3232"/>
      <c r="G6" s="3232"/>
      <c r="H6" s="3232"/>
      <c r="I6" s="3232"/>
      <c r="J6" s="493"/>
      <c r="AF6" s="1558">
        <v>32</v>
      </c>
    </row>
    <row r="7" spans="1:32" ht="25.15" customHeight="1">
      <c r="E7" s="3204" t="str">
        <f>IF(org=0,"Не определено",org)</f>
        <v>АО Нижневартовская ГРЭС</v>
      </c>
      <c r="F7" s="3204"/>
      <c r="G7" s="3204"/>
      <c r="H7" s="3204"/>
      <c r="I7" s="3204"/>
      <c r="AF7" s="1558">
        <v>24</v>
      </c>
    </row>
    <row r="8" spans="1:32" ht="11.45" customHeight="1">
      <c r="E8" s="1062"/>
      <c r="F8" s="1062"/>
      <c r="G8" s="1062"/>
      <c r="H8" s="1062"/>
      <c r="I8" s="1062"/>
      <c r="AF8" s="1558">
        <v>11</v>
      </c>
    </row>
    <row r="9" spans="1:32" s="1569" customFormat="1" ht="1.1499999999999999" customHeight="1">
      <c r="A9" s="1094"/>
      <c r="H9" s="819"/>
      <c r="I9" s="819" t="s">
        <v>115</v>
      </c>
      <c r="AF9" s="1563">
        <v>1</v>
      </c>
    </row>
    <row r="10" spans="1:32" ht="11.45" customHeight="1">
      <c r="E10" s="648"/>
      <c r="F10" s="3370" t="s">
        <v>103</v>
      </c>
      <c r="G10" s="3371"/>
      <c r="H10" s="1586" t="str">
        <f>IF(H9="","",INDEX(DIFFERENTIATION_UNMERGE_VD,MATCH(H9,DIFFERENTIATION_ID_DIFF,0)))</f>
        <v/>
      </c>
      <c r="I10" s="1586">
        <f>IF(I9="","",INDEX(DIFFERENTIATION_UNMERGE_VD,MATCH(I9,DIFFERENTIATION_ID_DIFF,0)))</f>
        <v>0</v>
      </c>
      <c r="J10" s="3111"/>
      <c r="AF10" s="1558">
        <v>11</v>
      </c>
    </row>
    <row r="11" spans="1:32" ht="11.45" customHeight="1">
      <c r="E11" s="648"/>
      <c r="F11" s="3370" t="s">
        <v>571</v>
      </c>
      <c r="G11" s="3371"/>
      <c r="H11" s="1586" t="str">
        <f>IF(H9="","",INDEX(DIFFERENTIATION_UNMERGE_AREA,MATCH(H9,DIFFERENTIATION_ID_DIFF,0)))</f>
        <v/>
      </c>
      <c r="I11" s="1586" t="str">
        <f>IF(I9="","",INDEX(DIFFERENTIATION_UNMERGE_AREA,MATCH(I9,DIFFERENTIATION_ID_DIFF,0)))</f>
        <v/>
      </c>
      <c r="J11" s="3111"/>
      <c r="AF11" s="1558">
        <v>11</v>
      </c>
    </row>
    <row r="12" spans="1:32" ht="11.25" hidden="1" customHeight="1">
      <c r="E12" s="1589"/>
      <c r="F12" s="3388" t="s">
        <v>572</v>
      </c>
      <c r="G12" s="3389"/>
      <c r="H12" s="1590" t="str">
        <f>IF(H9="","",INDEX(DIFFERENTIATION_UNMERGE_SYSTEM,MATCH(H9,DIFFERENTIATION_ID_DIFF,0)))</f>
        <v/>
      </c>
      <c r="I12" s="1590" t="str">
        <f>IF(I9="","",INDEX(DIFFERENTIATION_UNMERGE_SYSTEM,MATCH(I9,DIFFERENTIATION_ID_DIFF,0)))</f>
        <v>без дифференциации</v>
      </c>
      <c r="J12" s="3111"/>
      <c r="AF12" s="1558">
        <v>0</v>
      </c>
    </row>
    <row r="13" spans="1:32" ht="11.45" customHeight="1">
      <c r="E13" s="3372" t="s">
        <v>308</v>
      </c>
      <c r="F13" s="3373"/>
      <c r="G13" s="3373"/>
      <c r="H13" s="1583"/>
      <c r="I13" s="1583"/>
      <c r="J13" s="3111"/>
      <c r="AF13" s="1558">
        <v>11</v>
      </c>
    </row>
    <row r="14" spans="1:32" ht="24" customHeight="1">
      <c r="E14" s="1584" t="s">
        <v>85</v>
      </c>
      <c r="F14" s="1587" t="s">
        <v>310</v>
      </c>
      <c r="G14" s="1587" t="s">
        <v>573</v>
      </c>
      <c r="H14" s="1587" t="s">
        <v>311</v>
      </c>
      <c r="I14" s="1587" t="s">
        <v>311</v>
      </c>
      <c r="J14" s="3111"/>
      <c r="AF14" s="1558">
        <v>23</v>
      </c>
    </row>
    <row r="15" spans="1:32" ht="19.899999999999999" customHeight="1">
      <c r="D15" s="1565"/>
      <c r="E15" s="1557" t="s">
        <v>107</v>
      </c>
      <c r="F15" s="644" t="s">
        <v>782</v>
      </c>
      <c r="G15" s="1584" t="s">
        <v>559</v>
      </c>
      <c r="H15" s="494"/>
      <c r="I15" s="494"/>
      <c r="J15" s="227" t="s">
        <v>783</v>
      </c>
      <c r="K15" s="480" t="s">
        <v>637</v>
      </c>
      <c r="AF15" s="1558">
        <v>19</v>
      </c>
    </row>
    <row r="16" spans="1:32" ht="24" customHeight="1">
      <c r="D16" s="1565"/>
      <c r="E16" s="1557" t="s">
        <v>108</v>
      </c>
      <c r="F16" s="1592" t="s">
        <v>784</v>
      </c>
      <c r="G16" s="1584" t="s">
        <v>559</v>
      </c>
      <c r="H16" s="495">
        <f>SUM(H17,H20:H27)</f>
        <v>0</v>
      </c>
      <c r="I16" s="495">
        <f>SUM(I17,I20:I27)</f>
        <v>0</v>
      </c>
      <c r="J16" s="227" t="s">
        <v>785</v>
      </c>
      <c r="K16" s="480" t="s">
        <v>637</v>
      </c>
      <c r="AF16" s="1558">
        <v>23</v>
      </c>
    </row>
    <row r="17" spans="1:32" ht="35.65" customHeight="1">
      <c r="D17" s="1565"/>
      <c r="E17" s="1591" t="s">
        <v>715</v>
      </c>
      <c r="F17" s="1594" t="s">
        <v>786</v>
      </c>
      <c r="G17" s="1581" t="s">
        <v>559</v>
      </c>
      <c r="H17" s="494"/>
      <c r="I17" s="494"/>
      <c r="J17" s="227" t="s">
        <v>787</v>
      </c>
      <c r="K17" s="480"/>
      <c r="AF17" s="1558">
        <v>34</v>
      </c>
    </row>
    <row r="18" spans="1:32" ht="19.899999999999999" customHeight="1">
      <c r="D18" s="1565"/>
      <c r="E18" s="1591" t="s">
        <v>718</v>
      </c>
      <c r="F18" s="1595" t="s">
        <v>788</v>
      </c>
      <c r="G18" s="1581" t="s">
        <v>559</v>
      </c>
      <c r="H18" s="494"/>
      <c r="I18" s="494"/>
      <c r="J18" s="227"/>
      <c r="K18" s="480"/>
      <c r="AF18" s="1558">
        <v>19</v>
      </c>
    </row>
    <row r="19" spans="1:32" ht="24" customHeight="1">
      <c r="D19" s="1565"/>
      <c r="E19" s="1591" t="s">
        <v>721</v>
      </c>
      <c r="F19" s="1595" t="s">
        <v>789</v>
      </c>
      <c r="G19" s="1581" t="s">
        <v>559</v>
      </c>
      <c r="H19" s="494"/>
      <c r="I19" s="494"/>
      <c r="J19" s="227"/>
      <c r="K19" s="480"/>
      <c r="AF19" s="1558">
        <v>23</v>
      </c>
    </row>
    <row r="20" spans="1:32" ht="35.65" customHeight="1">
      <c r="D20" s="1565"/>
      <c r="E20" s="1591" t="s">
        <v>315</v>
      </c>
      <c r="F20" s="1594" t="s">
        <v>790</v>
      </c>
      <c r="G20" s="1581" t="s">
        <v>559</v>
      </c>
      <c r="H20" s="494"/>
      <c r="I20" s="494"/>
      <c r="J20" s="227"/>
      <c r="K20" s="480"/>
      <c r="AF20" s="1558">
        <v>34</v>
      </c>
    </row>
    <row r="21" spans="1:32" ht="48.2" customHeight="1">
      <c r="D21" s="1565"/>
      <c r="E21" s="1591" t="s">
        <v>318</v>
      </c>
      <c r="F21" s="1594" t="s">
        <v>791</v>
      </c>
      <c r="G21" s="1581" t="s">
        <v>559</v>
      </c>
      <c r="H21" s="494"/>
      <c r="I21" s="494"/>
      <c r="J21" s="227"/>
      <c r="K21" s="480"/>
      <c r="AF21" s="1558">
        <v>46</v>
      </c>
    </row>
    <row r="22" spans="1:32" ht="60" customHeight="1">
      <c r="D22" s="1565"/>
      <c r="E22" s="1591" t="s">
        <v>735</v>
      </c>
      <c r="F22" s="1594" t="s">
        <v>792</v>
      </c>
      <c r="G22" s="1581" t="s">
        <v>559</v>
      </c>
      <c r="H22" s="494"/>
      <c r="I22" s="494"/>
      <c r="J22" s="227"/>
      <c r="K22" s="480"/>
      <c r="AF22" s="1558">
        <v>57</v>
      </c>
    </row>
    <row r="23" spans="1:32" ht="35.65" customHeight="1">
      <c r="D23" s="1565"/>
      <c r="E23" s="1591" t="s">
        <v>742</v>
      </c>
      <c r="F23" s="1594" t="s">
        <v>793</v>
      </c>
      <c r="G23" s="1581" t="s">
        <v>559</v>
      </c>
      <c r="H23" s="494"/>
      <c r="I23" s="494"/>
      <c r="J23" s="227"/>
      <c r="K23" s="480"/>
      <c r="AF23" s="1558">
        <v>34</v>
      </c>
    </row>
    <row r="24" spans="1:32" ht="35.65" customHeight="1">
      <c r="D24" s="1565"/>
      <c r="E24" s="1591" t="s">
        <v>744</v>
      </c>
      <c r="F24" s="1594" t="s">
        <v>794</v>
      </c>
      <c r="G24" s="1581" t="s">
        <v>559</v>
      </c>
      <c r="H24" s="494"/>
      <c r="I24" s="494"/>
      <c r="J24" s="227"/>
      <c r="K24" s="480"/>
      <c r="AF24" s="1558">
        <v>34</v>
      </c>
    </row>
    <row r="25" spans="1:32" ht="24" customHeight="1">
      <c r="D25" s="1565"/>
      <c r="E25" s="1591" t="s">
        <v>746</v>
      </c>
      <c r="F25" s="1594" t="s">
        <v>795</v>
      </c>
      <c r="G25" s="1581" t="s">
        <v>559</v>
      </c>
      <c r="H25" s="494"/>
      <c r="I25" s="494"/>
      <c r="J25" s="227"/>
      <c r="K25" s="480"/>
      <c r="AF25" s="1558">
        <v>23</v>
      </c>
    </row>
    <row r="26" spans="1:32" ht="76.5" customHeight="1">
      <c r="D26" s="1565"/>
      <c r="E26" s="1591" t="s">
        <v>748</v>
      </c>
      <c r="F26" s="1594" t="s">
        <v>796</v>
      </c>
      <c r="G26" s="1581" t="s">
        <v>559</v>
      </c>
      <c r="H26" s="494"/>
      <c r="I26" s="494"/>
      <c r="J26" s="227"/>
      <c r="K26" s="480"/>
      <c r="AF26" s="1558">
        <v>73</v>
      </c>
    </row>
    <row r="27" spans="1:32" s="1293" customFormat="1" ht="35.65" customHeight="1">
      <c r="A27" s="917"/>
      <c r="C27" s="1563"/>
      <c r="D27" s="1565"/>
      <c r="E27" s="1556" t="s">
        <v>752</v>
      </c>
      <c r="F27" s="1555" t="s">
        <v>797</v>
      </c>
      <c r="G27" s="1582" t="s">
        <v>559</v>
      </c>
      <c r="H27" s="516">
        <f>SUM(H28:H29)</f>
        <v>0</v>
      </c>
      <c r="I27" s="516">
        <f>SUM(I28:I29)</f>
        <v>0</v>
      </c>
      <c r="J27" s="227"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9"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87</v>
      </c>
      <c r="F30" s="1588" t="s">
        <v>798</v>
      </c>
      <c r="G30" s="1581" t="s">
        <v>559</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88</v>
      </c>
      <c r="F31" s="1588" t="s">
        <v>799</v>
      </c>
      <c r="G31" s="1581" t="s">
        <v>559</v>
      </c>
      <c r="H31" s="494"/>
      <c r="I31" s="494"/>
      <c r="J31" s="227"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7"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7"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7"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109</v>
      </c>
      <c r="F35" s="1588" t="s">
        <v>636</v>
      </c>
      <c r="G35" s="1584" t="s">
        <v>314</v>
      </c>
      <c r="H35" s="338"/>
      <c r="I35" s="338"/>
      <c r="J35" s="227"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89</v>
      </c>
      <c r="F36" s="1588" t="s">
        <v>808</v>
      </c>
      <c r="G36" s="1581" t="s">
        <v>775</v>
      </c>
      <c r="H36" s="482"/>
      <c r="I36" s="482"/>
      <c r="J36" s="227"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90</v>
      </c>
      <c r="F37" s="1588" t="s">
        <v>809</v>
      </c>
      <c r="G37" s="1581" t="s">
        <v>778</v>
      </c>
      <c r="H37" s="482"/>
      <c r="I37" s="482"/>
      <c r="J37" s="227"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3252" t="s">
        <v>811</v>
      </c>
      <c r="G39" s="3252"/>
      <c r="H39" s="306"/>
      <c r="I39" s="306"/>
      <c r="J39" s="306"/>
      <c r="AF39" s="1558">
        <v>26</v>
      </c>
    </row>
    <row r="40" spans="1:32" s="1568" customFormat="1" ht="39.75" customHeight="1">
      <c r="A40" s="917"/>
      <c r="B40" s="1563"/>
      <c r="C40" s="1563"/>
      <c r="D40" s="288"/>
      <c r="F40" s="3252" t="s">
        <v>812</v>
      </c>
      <c r="G40" s="325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79</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4427-0884-AB85-7AFF-2439614CAFE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31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105"/>
      <c r="F3" s="3106"/>
      <c r="X3" s="442">
        <v>75</v>
      </c>
    </row>
    <row r="4" spans="1:24" s="1562" customFormat="1" ht="21" customHeight="1">
      <c r="A4" s="881"/>
      <c r="B4" s="448"/>
      <c r="D4" s="3226" t="str">
        <f>IF(org=0,"Не определено",org)</f>
        <v>АО Нижневартовская ГРЭС</v>
      </c>
      <c r="E4" s="3227"/>
      <c r="F4" s="322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115</v>
      </c>
      <c r="J6" s="952"/>
      <c r="X6" s="442">
        <v>1</v>
      </c>
    </row>
    <row r="7" spans="1:24" ht="11.45" customHeight="1">
      <c r="D7" s="648"/>
      <c r="E7" s="3370" t="s">
        <v>103</v>
      </c>
      <c r="F7" s="3371"/>
      <c r="G7" s="3390" t="str">
        <f>IF(G6="","",INDEX(DIFFERENTIATION_UNMERGE_VD,MATCH(G6,DIFFERENTIATION_ID_DIFF,0)))</f>
        <v/>
      </c>
      <c r="H7" s="3391"/>
      <c r="I7" s="3390">
        <f>IF(I6="","",INDEX(DIFFERENTIATION_UNMERGE_VD,MATCH(I6,DIFFERENTIATION_ID_DIFF,0)))</f>
        <v>0</v>
      </c>
      <c r="J7" s="3391"/>
      <c r="K7" s="3184"/>
      <c r="L7" s="446"/>
      <c r="X7" s="442">
        <v>11</v>
      </c>
    </row>
    <row r="8" spans="1:24" ht="11.45" customHeight="1">
      <c r="A8" s="641"/>
      <c r="D8" s="648"/>
      <c r="E8" s="3370" t="s">
        <v>571</v>
      </c>
      <c r="F8" s="3371"/>
      <c r="G8" s="3390" t="str">
        <f>IF(G6="","",INDEX(DIFFERENTIATION_UNMERGE_AREA,MATCH(G6,DIFFERENTIATION_ID_DIFF,0)))</f>
        <v/>
      </c>
      <c r="H8" s="3391"/>
      <c r="I8" s="3390" t="str">
        <f>IF(I6="","",INDEX(DIFFERENTIATION_UNMERGE_AREA,MATCH(I6,DIFFERENTIATION_ID_DIFF,0)))</f>
        <v/>
      </c>
      <c r="J8" s="3391"/>
      <c r="K8" s="3189"/>
      <c r="L8" s="446"/>
      <c r="X8" s="442">
        <v>11</v>
      </c>
    </row>
    <row r="9" spans="1:24" ht="11.45" customHeight="1">
      <c r="A9" s="641"/>
      <c r="D9" s="648"/>
      <c r="E9" s="3370" t="s">
        <v>572</v>
      </c>
      <c r="F9" s="3371"/>
      <c r="G9" s="3390" t="str">
        <f>IF(G6="","",INDEX(DIFFERENTIATION_UNMERGE_SYSTEM,MATCH(G6,DIFFERENTIATION_ID_DIFF,0)))</f>
        <v/>
      </c>
      <c r="H9" s="3391"/>
      <c r="I9" s="3390" t="str">
        <f>IF(I6="","",INDEX(DIFFERENTIATION_UNMERGE_SYSTEM,MATCH(I6,DIFFERENTIATION_ID_DIFF,0)))</f>
        <v>без дифференциации</v>
      </c>
      <c r="J9" s="3391"/>
      <c r="K9" s="3189"/>
      <c r="L9" s="446"/>
      <c r="X9" s="442">
        <v>11</v>
      </c>
    </row>
    <row r="10" spans="1:24" s="1562" customFormat="1" ht="11.45" customHeight="1">
      <c r="A10" s="951"/>
      <c r="B10" s="448"/>
      <c r="D10" s="3093" t="s">
        <v>308</v>
      </c>
      <c r="E10" s="3098"/>
      <c r="F10" s="3098"/>
      <c r="G10" s="3098"/>
      <c r="H10" s="3098"/>
      <c r="I10" s="3098"/>
      <c r="J10" s="3092"/>
      <c r="K10" s="3189"/>
      <c r="L10" s="446"/>
      <c r="X10" s="693">
        <v>11</v>
      </c>
    </row>
    <row r="11" spans="1:24" s="1562" customFormat="1" ht="24" customHeight="1">
      <c r="A11" s="3252"/>
      <c r="B11" s="3252"/>
      <c r="C11" s="594"/>
      <c r="D11" s="640" t="s">
        <v>85</v>
      </c>
      <c r="E11" s="642" t="s">
        <v>813</v>
      </c>
      <c r="F11" s="642" t="s">
        <v>573</v>
      </c>
      <c r="G11" s="402" t="s">
        <v>311</v>
      </c>
      <c r="H11" s="402" t="s">
        <v>398</v>
      </c>
      <c r="I11" s="738" t="s">
        <v>311</v>
      </c>
      <c r="J11" s="739" t="s">
        <v>398</v>
      </c>
      <c r="K11" s="3237"/>
      <c r="L11" s="595"/>
      <c r="X11" s="446">
        <v>23</v>
      </c>
    </row>
    <row r="12" spans="1:24" s="1569" customFormat="1" ht="10.5" customHeight="1">
      <c r="A12" s="882"/>
      <c r="D12" s="955" t="s">
        <v>107</v>
      </c>
      <c r="E12" s="955" t="s">
        <v>108</v>
      </c>
      <c r="F12" s="955" t="s">
        <v>87</v>
      </c>
      <c r="G12" s="956" t="str">
        <f>G1&amp;".1"</f>
        <v>4.1</v>
      </c>
      <c r="H12" s="956" t="str">
        <f>G1&amp;".2"</f>
        <v>4.2</v>
      </c>
      <c r="I12" s="956" t="str">
        <f>I1&amp;".1"</f>
        <v>4.1</v>
      </c>
      <c r="J12" s="956" t="str">
        <f>I1&amp;".2"</f>
        <v>4.2</v>
      </c>
      <c r="K12" s="956"/>
      <c r="X12" s="448">
        <v>10</v>
      </c>
    </row>
    <row r="13" spans="1:24" ht="22.5" customHeight="1">
      <c r="A13" s="3392" t="s">
        <v>814</v>
      </c>
      <c r="D13" s="883" t="s">
        <v>107</v>
      </c>
      <c r="E13" s="217" t="s">
        <v>815</v>
      </c>
      <c r="F13" s="597" t="s">
        <v>816</v>
      </c>
      <c r="G13" s="494"/>
      <c r="H13" s="598"/>
      <c r="I13" s="494"/>
      <c r="J13" s="598"/>
      <c r="K13" s="227" t="s">
        <v>817</v>
      </c>
      <c r="L13" s="657"/>
      <c r="X13" s="442">
        <v>0</v>
      </c>
    </row>
    <row r="14" spans="1:24" ht="22.5" customHeight="1">
      <c r="A14" s="3392"/>
      <c r="D14" s="476" t="s">
        <v>108</v>
      </c>
      <c r="E14" s="217" t="s">
        <v>818</v>
      </c>
      <c r="F14" s="597" t="s">
        <v>819</v>
      </c>
      <c r="G14" s="494"/>
      <c r="H14" s="599"/>
      <c r="I14" s="494"/>
      <c r="J14" s="599"/>
      <c r="K14" s="227" t="s">
        <v>820</v>
      </c>
      <c r="L14" s="657"/>
      <c r="X14" s="442">
        <v>0</v>
      </c>
    </row>
    <row r="15" spans="1:24" s="1562" customFormat="1" ht="78.75" customHeight="1">
      <c r="A15" s="3392"/>
      <c r="B15" s="448"/>
      <c r="D15" s="883" t="s">
        <v>87</v>
      </c>
      <c r="E15" s="644" t="s">
        <v>821</v>
      </c>
      <c r="F15" s="880" t="s">
        <v>314</v>
      </c>
      <c r="G15" s="880" t="s">
        <v>314</v>
      </c>
      <c r="H15" s="46"/>
      <c r="I15" s="880" t="s">
        <v>314</v>
      </c>
      <c r="J15" s="46"/>
      <c r="K15" s="227" t="s">
        <v>822</v>
      </c>
      <c r="L15" s="657"/>
      <c r="X15" s="693">
        <v>0</v>
      </c>
    </row>
    <row r="16" spans="1:24" s="1562" customFormat="1" ht="22.5" customHeight="1">
      <c r="A16" s="3392"/>
      <c r="B16" s="448"/>
      <c r="D16" s="883" t="s">
        <v>332</v>
      </c>
      <c r="E16" s="884" t="s">
        <v>823</v>
      </c>
      <c r="F16" s="880" t="s">
        <v>824</v>
      </c>
      <c r="G16" s="748"/>
      <c r="H16" s="46"/>
      <c r="I16" s="748"/>
      <c r="J16" s="46"/>
      <c r="K16" s="227"/>
      <c r="L16" s="657"/>
      <c r="X16" s="693">
        <v>0</v>
      </c>
    </row>
    <row r="17" spans="1:24" s="1562" customFormat="1" ht="22.5" customHeight="1">
      <c r="A17" s="3392"/>
      <c r="B17" s="448"/>
      <c r="D17" s="883" t="s">
        <v>340</v>
      </c>
      <c r="E17" s="884" t="s">
        <v>825</v>
      </c>
      <c r="F17" s="880" t="s">
        <v>826</v>
      </c>
      <c r="G17" s="748"/>
      <c r="H17" s="46"/>
      <c r="I17" s="748"/>
      <c r="J17" s="46"/>
      <c r="K17" s="227"/>
      <c r="L17" s="657"/>
      <c r="X17" s="693">
        <v>0</v>
      </c>
    </row>
    <row r="18" spans="1:24" s="1562" customFormat="1" ht="33.75" customHeight="1">
      <c r="A18" s="3392"/>
      <c r="B18" s="448"/>
      <c r="D18" s="883" t="s">
        <v>342</v>
      </c>
      <c r="E18" s="884" t="s">
        <v>827</v>
      </c>
      <c r="F18" s="880" t="s">
        <v>578</v>
      </c>
      <c r="G18" s="617"/>
      <c r="H18" s="46"/>
      <c r="I18" s="617"/>
      <c r="J18" s="46"/>
      <c r="K18" s="227"/>
      <c r="L18" s="657"/>
      <c r="X18" s="693">
        <v>0</v>
      </c>
    </row>
    <row r="19" spans="1:24" ht="101.25" customHeight="1">
      <c r="A19" s="3392"/>
      <c r="D19" s="883" t="s">
        <v>88</v>
      </c>
      <c r="E19" s="217" t="s">
        <v>828</v>
      </c>
      <c r="F19" s="597" t="s">
        <v>553</v>
      </c>
      <c r="G19" s="600"/>
      <c r="H19" s="599"/>
      <c r="I19" s="885"/>
      <c r="J19" s="599"/>
      <c r="K19" s="227" t="s">
        <v>829</v>
      </c>
      <c r="L19" s="657"/>
      <c r="X19" s="442">
        <v>0</v>
      </c>
    </row>
    <row r="20" spans="1:24" s="1562" customFormat="1" ht="18.75" customHeight="1">
      <c r="A20" s="3392"/>
      <c r="C20" s="886"/>
      <c r="D20" s="883" t="s">
        <v>760</v>
      </c>
      <c r="E20" s="884" t="s">
        <v>830</v>
      </c>
      <c r="F20" s="880" t="s">
        <v>314</v>
      </c>
      <c r="G20" s="880" t="s">
        <v>314</v>
      </c>
      <c r="H20" s="879" t="s">
        <v>314</v>
      </c>
      <c r="I20" s="880" t="s">
        <v>314</v>
      </c>
      <c r="J20" s="879" t="s">
        <v>314</v>
      </c>
      <c r="K20" s="878"/>
      <c r="L20" s="657"/>
      <c r="W20" s="612"/>
      <c r="X20" s="693">
        <v>0</v>
      </c>
    </row>
    <row r="21" spans="1:24" s="1562" customFormat="1" ht="33.75" customHeight="1">
      <c r="A21" s="3392"/>
      <c r="C21" s="886"/>
      <c r="D21" s="883" t="s">
        <v>763</v>
      </c>
      <c r="E21" s="513" t="s">
        <v>831</v>
      </c>
      <c r="F21" s="880" t="s">
        <v>832</v>
      </c>
      <c r="G21" s="617"/>
      <c r="H21" s="46"/>
      <c r="I21" s="617"/>
      <c r="J21" s="46"/>
      <c r="K21" s="878"/>
      <c r="L21" s="657"/>
      <c r="W21" s="612"/>
      <c r="X21" s="693">
        <v>0</v>
      </c>
    </row>
    <row r="22" spans="1:24" s="1562" customFormat="1" ht="33.75" customHeight="1">
      <c r="A22" s="3392"/>
      <c r="C22" s="886"/>
      <c r="D22" s="883" t="s">
        <v>766</v>
      </c>
      <c r="E22" s="513" t="s">
        <v>833</v>
      </c>
      <c r="F22" s="880" t="s">
        <v>834</v>
      </c>
      <c r="G22" s="617"/>
      <c r="H22" s="46"/>
      <c r="I22" s="617"/>
      <c r="J22" s="46"/>
      <c r="K22" s="878"/>
      <c r="L22" s="657"/>
      <c r="W22" s="612"/>
      <c r="X22" s="693">
        <v>0</v>
      </c>
    </row>
    <row r="23" spans="1:24" s="1562" customFormat="1" ht="22.5" customHeight="1">
      <c r="A23" s="3392"/>
      <c r="C23" s="886"/>
      <c r="D23" s="883" t="s">
        <v>802</v>
      </c>
      <c r="E23" s="884" t="s">
        <v>835</v>
      </c>
      <c r="F23" s="880" t="s">
        <v>314</v>
      </c>
      <c r="G23" s="880" t="s">
        <v>314</v>
      </c>
      <c r="H23" s="879" t="s">
        <v>314</v>
      </c>
      <c r="I23" s="880" t="s">
        <v>314</v>
      </c>
      <c r="J23" s="879" t="s">
        <v>314</v>
      </c>
      <c r="K23" s="878"/>
      <c r="L23" s="657"/>
      <c r="W23" s="612"/>
      <c r="X23" s="693">
        <v>0</v>
      </c>
    </row>
    <row r="24" spans="1:24" s="1562" customFormat="1" ht="22.5" customHeight="1">
      <c r="A24" s="3392"/>
      <c r="C24" s="886"/>
      <c r="D24" s="883" t="s">
        <v>836</v>
      </c>
      <c r="E24" s="513" t="s">
        <v>837</v>
      </c>
      <c r="F24" s="880" t="s">
        <v>838</v>
      </c>
      <c r="G24" s="617"/>
      <c r="H24" s="623"/>
      <c r="I24" s="617"/>
      <c r="J24" s="623"/>
      <c r="K24" s="878"/>
      <c r="L24" s="657"/>
      <c r="W24" s="612"/>
      <c r="X24" s="693">
        <v>0</v>
      </c>
    </row>
    <row r="25" spans="1:24" s="1562" customFormat="1" ht="22.5" customHeight="1">
      <c r="A25" s="3392"/>
      <c r="C25" s="886"/>
      <c r="D25" s="883" t="s">
        <v>839</v>
      </c>
      <c r="E25" s="513" t="s">
        <v>840</v>
      </c>
      <c r="F25" s="880" t="s">
        <v>314</v>
      </c>
      <c r="G25" s="880" t="s">
        <v>314</v>
      </c>
      <c r="H25" s="879" t="s">
        <v>314</v>
      </c>
      <c r="I25" s="880" t="s">
        <v>314</v>
      </c>
      <c r="J25" s="879" t="s">
        <v>314</v>
      </c>
      <c r="K25" s="878"/>
      <c r="L25" s="657"/>
      <c r="W25" s="612"/>
      <c r="X25" s="693">
        <v>0</v>
      </c>
    </row>
    <row r="26" spans="1:24" s="1562" customFormat="1" ht="18.75" customHeight="1">
      <c r="A26" s="3392"/>
      <c r="C26" s="886"/>
      <c r="D26" s="883" t="s">
        <v>841</v>
      </c>
      <c r="E26" s="490" t="s">
        <v>842</v>
      </c>
      <c r="F26" s="880" t="s">
        <v>843</v>
      </c>
      <c r="G26" s="617"/>
      <c r="H26" s="623"/>
      <c r="I26" s="617"/>
      <c r="J26" s="623"/>
      <c r="K26" s="878"/>
      <c r="L26" s="657"/>
      <c r="W26" s="612"/>
      <c r="X26" s="693">
        <v>0</v>
      </c>
    </row>
    <row r="27" spans="1:24" s="1562" customFormat="1" ht="18.75" customHeight="1">
      <c r="A27" s="3392"/>
      <c r="C27" s="886"/>
      <c r="D27" s="883" t="s">
        <v>844</v>
      </c>
      <c r="E27" s="490" t="s">
        <v>845</v>
      </c>
      <c r="F27" s="880" t="s">
        <v>846</v>
      </c>
      <c r="G27" s="617"/>
      <c r="H27" s="623"/>
      <c r="I27" s="617"/>
      <c r="J27" s="623"/>
      <c r="K27" s="878"/>
      <c r="L27" s="657"/>
      <c r="W27" s="612"/>
      <c r="X27" s="693">
        <v>0</v>
      </c>
    </row>
    <row r="28" spans="1:24" s="1562" customFormat="1" ht="18.75" customHeight="1">
      <c r="A28" s="3392"/>
      <c r="C28" s="886"/>
      <c r="D28" s="883" t="s">
        <v>847</v>
      </c>
      <c r="E28" s="513" t="s">
        <v>848</v>
      </c>
      <c r="F28" s="880" t="s">
        <v>314</v>
      </c>
      <c r="G28" s="880" t="s">
        <v>314</v>
      </c>
      <c r="H28" s="879" t="s">
        <v>314</v>
      </c>
      <c r="I28" s="880" t="s">
        <v>314</v>
      </c>
      <c r="J28" s="879" t="s">
        <v>314</v>
      </c>
      <c r="K28" s="878"/>
      <c r="L28" s="657"/>
      <c r="W28" s="612"/>
      <c r="X28" s="693">
        <v>0</v>
      </c>
    </row>
    <row r="29" spans="1:24" s="1562" customFormat="1" ht="18.75" customHeight="1">
      <c r="A29" s="3392"/>
      <c r="C29" s="886"/>
      <c r="D29" s="883" t="s">
        <v>849</v>
      </c>
      <c r="E29" s="490" t="s">
        <v>842</v>
      </c>
      <c r="F29" s="880" t="s">
        <v>850</v>
      </c>
      <c r="G29" s="617"/>
      <c r="H29" s="623"/>
      <c r="I29" s="617"/>
      <c r="J29" s="623"/>
      <c r="K29" s="878"/>
      <c r="L29" s="657"/>
      <c r="W29" s="612"/>
      <c r="X29" s="693">
        <v>0</v>
      </c>
    </row>
    <row r="30" spans="1:24" s="1562" customFormat="1" ht="18.75" customHeight="1">
      <c r="A30" s="3392"/>
      <c r="C30" s="886"/>
      <c r="D30" s="883" t="s">
        <v>851</v>
      </c>
      <c r="E30" s="490" t="s">
        <v>852</v>
      </c>
      <c r="F30" s="880" t="s">
        <v>853</v>
      </c>
      <c r="G30" s="617"/>
      <c r="H30" s="623"/>
      <c r="I30" s="617"/>
      <c r="J30" s="623"/>
      <c r="K30" s="878"/>
      <c r="L30" s="657"/>
      <c r="W30" s="612"/>
      <c r="X30" s="693">
        <v>0</v>
      </c>
    </row>
    <row r="31" spans="1:24" ht="126.75" customHeight="1">
      <c r="A31" s="3392"/>
      <c r="D31" s="883" t="s">
        <v>109</v>
      </c>
      <c r="E31" s="217" t="s">
        <v>854</v>
      </c>
      <c r="F31" s="597" t="s">
        <v>565</v>
      </c>
      <c r="G31" s="494"/>
      <c r="H31" s="599"/>
      <c r="I31" s="494"/>
      <c r="J31" s="599"/>
      <c r="K31" s="227" t="s">
        <v>855</v>
      </c>
      <c r="L31" s="657"/>
      <c r="X31" s="442">
        <v>0</v>
      </c>
    </row>
    <row r="32" spans="1:24" ht="56.25" customHeight="1">
      <c r="A32" s="3392"/>
      <c r="D32" s="883" t="s">
        <v>89</v>
      </c>
      <c r="E32" s="217" t="s">
        <v>856</v>
      </c>
      <c r="F32" s="476" t="s">
        <v>826</v>
      </c>
      <c r="G32" s="494"/>
      <c r="H32" s="599"/>
      <c r="I32" s="494"/>
      <c r="J32" s="599"/>
      <c r="K32" s="227" t="s">
        <v>857</v>
      </c>
      <c r="L32" s="657"/>
      <c r="X32" s="442">
        <v>0</v>
      </c>
    </row>
    <row r="33" spans="1:24" ht="11.25" customHeight="1">
      <c r="A33" s="3392"/>
      <c r="E33" s="601"/>
      <c r="F33" s="119"/>
      <c r="G33" s="119"/>
      <c r="H33" s="119"/>
      <c r="I33" s="119"/>
      <c r="J33" s="119"/>
      <c r="K33" s="119"/>
      <c r="X33" s="442">
        <v>0</v>
      </c>
    </row>
    <row r="34" spans="1:24" ht="12.75" customHeight="1">
      <c r="A34" s="3392"/>
      <c r="D34" s="5">
        <v>1</v>
      </c>
      <c r="E34" s="273" t="s">
        <v>858</v>
      </c>
      <c r="X34" s="442">
        <v>0</v>
      </c>
    </row>
    <row r="35" spans="1:24" ht="11.25" customHeight="1">
      <c r="A35" s="3392"/>
      <c r="D35" s="306"/>
      <c r="E35" s="273" t="s">
        <v>859</v>
      </c>
      <c r="X35" s="442">
        <v>0</v>
      </c>
    </row>
    <row r="36" spans="1:24" s="1562" customFormat="1" ht="11.45" customHeight="1">
      <c r="A36" s="963"/>
      <c r="B36" s="455"/>
      <c r="D36" s="964"/>
      <c r="E36" s="965"/>
      <c r="X36" s="446">
        <v>11</v>
      </c>
    </row>
    <row r="37" spans="1:24" s="1562" customFormat="1" ht="22.5" hidden="1" customHeight="1">
      <c r="A37" s="3392" t="s">
        <v>860</v>
      </c>
      <c r="B37" s="448"/>
      <c r="D37" s="883">
        <v>1</v>
      </c>
      <c r="E37" s="644" t="s">
        <v>861</v>
      </c>
      <c r="F37" s="597" t="s">
        <v>816</v>
      </c>
      <c r="G37" s="494"/>
      <c r="H37" s="456"/>
      <c r="I37" s="494"/>
      <c r="J37" s="456"/>
      <c r="K37" s="227" t="s">
        <v>862</v>
      </c>
      <c r="X37" s="693">
        <v>0</v>
      </c>
    </row>
    <row r="38" spans="1:24" s="1562" customFormat="1" ht="22.5" hidden="1" customHeight="1">
      <c r="A38" s="3392"/>
      <c r="B38" s="448"/>
      <c r="D38" s="606" t="s">
        <v>108</v>
      </c>
      <c r="E38" s="962" t="s">
        <v>863</v>
      </c>
      <c r="F38" s="966" t="s">
        <v>553</v>
      </c>
      <c r="G38" s="966" t="s">
        <v>553</v>
      </c>
      <c r="H38" s="960"/>
      <c r="I38" s="966" t="s">
        <v>553</v>
      </c>
      <c r="J38" s="960"/>
      <c r="K38" s="961"/>
      <c r="X38" s="693">
        <v>0</v>
      </c>
    </row>
    <row r="39" spans="1:24" s="1562" customFormat="1" ht="33.75" hidden="1" customHeight="1">
      <c r="A39" s="3392"/>
      <c r="B39" s="448"/>
      <c r="D39" s="602" t="s">
        <v>718</v>
      </c>
      <c r="E39" s="660" t="s">
        <v>864</v>
      </c>
      <c r="F39" s="597" t="s">
        <v>865</v>
      </c>
      <c r="G39" s="605"/>
      <c r="H39" s="953"/>
      <c r="I39" s="605"/>
      <c r="J39" s="953"/>
      <c r="K39" s="227" t="s">
        <v>866</v>
      </c>
      <c r="X39" s="693">
        <v>0</v>
      </c>
    </row>
    <row r="40" spans="1:24" s="1562" customFormat="1" ht="33.75" hidden="1" customHeight="1">
      <c r="A40" s="3392"/>
      <c r="B40" s="448"/>
      <c r="D40" s="602" t="s">
        <v>721</v>
      </c>
      <c r="E40" s="660" t="s">
        <v>867</v>
      </c>
      <c r="F40" s="957" t="s">
        <v>868</v>
      </c>
      <c r="G40" s="678"/>
      <c r="H40" s="953"/>
      <c r="I40" s="678"/>
      <c r="J40" s="953"/>
      <c r="K40" s="227" t="s">
        <v>869</v>
      </c>
      <c r="X40" s="693">
        <v>0</v>
      </c>
    </row>
    <row r="41" spans="1:24" s="1562" customFormat="1" ht="22.5" hidden="1" customHeight="1">
      <c r="A41" s="3392"/>
      <c r="B41" s="448"/>
      <c r="D41" s="602" t="s">
        <v>87</v>
      </c>
      <c r="E41" s="659" t="s">
        <v>870</v>
      </c>
      <c r="F41" s="597" t="s">
        <v>553</v>
      </c>
      <c r="G41" s="597" t="s">
        <v>553</v>
      </c>
      <c r="H41" s="954"/>
      <c r="I41" s="597" t="s">
        <v>553</v>
      </c>
      <c r="J41" s="954"/>
      <c r="K41" s="240"/>
      <c r="X41" s="693">
        <v>0</v>
      </c>
    </row>
    <row r="42" spans="1:24" s="1562" customFormat="1" ht="45" hidden="1" customHeight="1">
      <c r="A42" s="3392"/>
      <c r="B42" s="448"/>
      <c r="D42" s="602" t="s">
        <v>332</v>
      </c>
      <c r="E42" s="660" t="s">
        <v>871</v>
      </c>
      <c r="F42" s="597" t="s">
        <v>565</v>
      </c>
      <c r="G42" s="494"/>
      <c r="H42" s="954"/>
      <c r="I42" s="494"/>
      <c r="J42" s="954"/>
      <c r="K42" s="240" t="s">
        <v>872</v>
      </c>
      <c r="X42" s="693">
        <v>0</v>
      </c>
    </row>
    <row r="43" spans="1:24" s="1562" customFormat="1" ht="45" hidden="1" customHeight="1">
      <c r="A43" s="3392"/>
      <c r="B43" s="448"/>
      <c r="D43" s="602" t="s">
        <v>340</v>
      </c>
      <c r="E43" s="604" t="s">
        <v>873</v>
      </c>
      <c r="F43" s="958" t="s">
        <v>565</v>
      </c>
      <c r="G43" s="679"/>
      <c r="H43" s="953"/>
      <c r="I43" s="679"/>
      <c r="J43" s="953"/>
      <c r="K43" s="240" t="s">
        <v>874</v>
      </c>
      <c r="X43" s="693">
        <v>0</v>
      </c>
    </row>
    <row r="44" spans="1:24" s="1562" customFormat="1" ht="11.25" hidden="1" customHeight="1">
      <c r="A44" s="3392"/>
      <c r="B44" s="448"/>
      <c r="D44" s="602" t="s">
        <v>88</v>
      </c>
      <c r="E44" s="603" t="s">
        <v>875</v>
      </c>
      <c r="F44" s="597" t="s">
        <v>865</v>
      </c>
      <c r="G44" s="605"/>
      <c r="H44" s="953"/>
      <c r="I44" s="605"/>
      <c r="J44" s="953"/>
      <c r="K44" s="227"/>
      <c r="X44" s="693">
        <v>0</v>
      </c>
    </row>
    <row r="45" spans="1:24" s="1562" customFormat="1" ht="11.25" hidden="1" customHeight="1">
      <c r="A45" s="3392"/>
      <c r="B45" s="448"/>
      <c r="D45" s="602" t="s">
        <v>760</v>
      </c>
      <c r="E45" s="604" t="s">
        <v>876</v>
      </c>
      <c r="F45" s="597" t="s">
        <v>865</v>
      </c>
      <c r="G45" s="605"/>
      <c r="H45" s="953"/>
      <c r="I45" s="605"/>
      <c r="J45" s="953"/>
      <c r="K45" s="227"/>
      <c r="X45" s="693">
        <v>0</v>
      </c>
    </row>
    <row r="46" spans="1:24" s="1562" customFormat="1" ht="11.25" hidden="1" customHeight="1">
      <c r="A46" s="3392"/>
      <c r="B46" s="448"/>
      <c r="D46" s="602" t="s">
        <v>802</v>
      </c>
      <c r="E46" s="604" t="s">
        <v>877</v>
      </c>
      <c r="F46" s="597" t="s">
        <v>865</v>
      </c>
      <c r="G46" s="605"/>
      <c r="H46" s="953"/>
      <c r="I46" s="605"/>
      <c r="J46" s="953"/>
      <c r="K46" s="227"/>
      <c r="X46" s="693">
        <v>0</v>
      </c>
    </row>
    <row r="47" spans="1:24" s="1562" customFormat="1" ht="11.25" hidden="1" customHeight="1">
      <c r="A47" s="3392"/>
      <c r="B47" s="448"/>
      <c r="D47" s="602" t="s">
        <v>805</v>
      </c>
      <c r="E47" s="604" t="s">
        <v>878</v>
      </c>
      <c r="F47" s="597" t="s">
        <v>865</v>
      </c>
      <c r="G47" s="605"/>
      <c r="H47" s="953"/>
      <c r="I47" s="605"/>
      <c r="J47" s="953"/>
      <c r="K47" s="227"/>
      <c r="X47" s="693">
        <v>0</v>
      </c>
    </row>
    <row r="48" spans="1:24" s="1562" customFormat="1" ht="11.25" hidden="1" customHeight="1">
      <c r="A48" s="3392"/>
      <c r="B48" s="448"/>
      <c r="D48" s="602" t="s">
        <v>879</v>
      </c>
      <c r="E48" s="608" t="s">
        <v>880</v>
      </c>
      <c r="F48" s="597" t="s">
        <v>865</v>
      </c>
      <c r="G48" s="605"/>
      <c r="H48" s="953"/>
      <c r="I48" s="605"/>
      <c r="J48" s="953"/>
      <c r="K48" s="227"/>
      <c r="X48" s="693">
        <v>0</v>
      </c>
    </row>
    <row r="49" spans="1:24" s="1562" customFormat="1" ht="11.25" hidden="1" customHeight="1">
      <c r="A49" s="3392"/>
      <c r="B49" s="448"/>
      <c r="D49" s="602" t="s">
        <v>881</v>
      </c>
      <c r="E49" s="608" t="s">
        <v>882</v>
      </c>
      <c r="F49" s="597" t="s">
        <v>865</v>
      </c>
      <c r="G49" s="605"/>
      <c r="H49" s="953"/>
      <c r="I49" s="605"/>
      <c r="J49" s="953"/>
      <c r="K49" s="227"/>
      <c r="X49" s="693">
        <v>0</v>
      </c>
    </row>
    <row r="50" spans="1:24" s="1562" customFormat="1" ht="11.25" hidden="1" customHeight="1">
      <c r="A50" s="3392"/>
      <c r="B50" s="448"/>
      <c r="D50" s="602" t="s">
        <v>883</v>
      </c>
      <c r="E50" s="604" t="s">
        <v>884</v>
      </c>
      <c r="F50" s="597" t="s">
        <v>865</v>
      </c>
      <c r="G50" s="605"/>
      <c r="H50" s="953"/>
      <c r="I50" s="605"/>
      <c r="J50" s="953"/>
      <c r="K50" s="227"/>
      <c r="X50" s="693">
        <v>0</v>
      </c>
    </row>
    <row r="51" spans="1:24" s="1562" customFormat="1" ht="11.25" hidden="1" customHeight="1">
      <c r="A51" s="3392"/>
      <c r="B51" s="448"/>
      <c r="D51" s="602" t="s">
        <v>885</v>
      </c>
      <c r="E51" s="604" t="s">
        <v>886</v>
      </c>
      <c r="F51" s="597" t="s">
        <v>865</v>
      </c>
      <c r="G51" s="605"/>
      <c r="H51" s="953"/>
      <c r="I51" s="605"/>
      <c r="J51" s="953"/>
      <c r="K51" s="227"/>
      <c r="X51" s="693">
        <v>0</v>
      </c>
    </row>
    <row r="52" spans="1:24" s="1562" customFormat="1" ht="45" hidden="1" customHeight="1">
      <c r="A52" s="3392"/>
      <c r="B52" s="448"/>
      <c r="D52" s="602" t="s">
        <v>109</v>
      </c>
      <c r="E52" s="603" t="s">
        <v>887</v>
      </c>
      <c r="F52" s="597" t="s">
        <v>865</v>
      </c>
      <c r="G52" s="605"/>
      <c r="H52" s="953"/>
      <c r="I52" s="605"/>
      <c r="J52" s="953"/>
      <c r="K52" s="227"/>
      <c r="X52" s="693">
        <v>0</v>
      </c>
    </row>
    <row r="53" spans="1:24" s="1562" customFormat="1" ht="11.25" hidden="1" customHeight="1">
      <c r="A53" s="3392"/>
      <c r="B53" s="448"/>
      <c r="D53" s="602" t="s">
        <v>321</v>
      </c>
      <c r="E53" s="604" t="s">
        <v>876</v>
      </c>
      <c r="F53" s="597" t="s">
        <v>865</v>
      </c>
      <c r="G53" s="605"/>
      <c r="H53" s="953"/>
      <c r="I53" s="605"/>
      <c r="J53" s="953"/>
      <c r="K53" s="227"/>
      <c r="X53" s="693">
        <v>0</v>
      </c>
    </row>
    <row r="54" spans="1:24" s="1562" customFormat="1" ht="11.25" hidden="1" customHeight="1">
      <c r="A54" s="3392"/>
      <c r="B54" s="448"/>
      <c r="D54" s="602" t="s">
        <v>888</v>
      </c>
      <c r="E54" s="604" t="s">
        <v>877</v>
      </c>
      <c r="F54" s="597" t="s">
        <v>865</v>
      </c>
      <c r="G54" s="605"/>
      <c r="H54" s="953"/>
      <c r="I54" s="605"/>
      <c r="J54" s="953"/>
      <c r="K54" s="227"/>
      <c r="X54" s="693">
        <v>0</v>
      </c>
    </row>
    <row r="55" spans="1:24" s="1562" customFormat="1" ht="11.25" hidden="1" customHeight="1">
      <c r="A55" s="3392"/>
      <c r="B55" s="448"/>
      <c r="D55" s="602" t="s">
        <v>889</v>
      </c>
      <c r="E55" s="604" t="s">
        <v>878</v>
      </c>
      <c r="F55" s="597" t="s">
        <v>865</v>
      </c>
      <c r="G55" s="605"/>
      <c r="H55" s="953"/>
      <c r="I55" s="605"/>
      <c r="J55" s="953"/>
      <c r="K55" s="227"/>
      <c r="X55" s="693">
        <v>0</v>
      </c>
    </row>
    <row r="56" spans="1:24" s="1562" customFormat="1" ht="11.25" hidden="1" customHeight="1">
      <c r="A56" s="3392"/>
      <c r="B56" s="448"/>
      <c r="D56" s="602" t="s">
        <v>890</v>
      </c>
      <c r="E56" s="608" t="s">
        <v>880</v>
      </c>
      <c r="F56" s="597" t="s">
        <v>865</v>
      </c>
      <c r="G56" s="605"/>
      <c r="H56" s="953"/>
      <c r="I56" s="605"/>
      <c r="J56" s="953"/>
      <c r="K56" s="227"/>
      <c r="X56" s="693">
        <v>0</v>
      </c>
    </row>
    <row r="57" spans="1:24" s="1562" customFormat="1" ht="11.25" hidden="1" customHeight="1">
      <c r="A57" s="3392"/>
      <c r="B57" s="448"/>
      <c r="D57" s="602" t="s">
        <v>891</v>
      </c>
      <c r="E57" s="608" t="s">
        <v>882</v>
      </c>
      <c r="F57" s="597" t="s">
        <v>865</v>
      </c>
      <c r="G57" s="605"/>
      <c r="H57" s="953"/>
      <c r="I57" s="605"/>
      <c r="J57" s="953"/>
      <c r="K57" s="227"/>
      <c r="X57" s="693">
        <v>0</v>
      </c>
    </row>
    <row r="58" spans="1:24" s="1562" customFormat="1" ht="11.25" hidden="1" customHeight="1">
      <c r="A58" s="3392"/>
      <c r="B58" s="448"/>
      <c r="D58" s="602" t="s">
        <v>892</v>
      </c>
      <c r="E58" s="604" t="s">
        <v>884</v>
      </c>
      <c r="F58" s="597" t="s">
        <v>865</v>
      </c>
      <c r="G58" s="605"/>
      <c r="H58" s="953"/>
      <c r="I58" s="605"/>
      <c r="J58" s="953"/>
      <c r="K58" s="227"/>
      <c r="X58" s="693">
        <v>0</v>
      </c>
    </row>
    <row r="59" spans="1:24" s="1562" customFormat="1" ht="11.25" hidden="1" customHeight="1">
      <c r="A59" s="3392"/>
      <c r="B59" s="448"/>
      <c r="D59" s="602" t="s">
        <v>893</v>
      </c>
      <c r="E59" s="604" t="s">
        <v>886</v>
      </c>
      <c r="F59" s="597" t="s">
        <v>865</v>
      </c>
      <c r="G59" s="605"/>
      <c r="H59" s="953"/>
      <c r="I59" s="605"/>
      <c r="J59" s="953"/>
      <c r="K59" s="227"/>
      <c r="X59" s="693">
        <v>0</v>
      </c>
    </row>
    <row r="60" spans="1:24" s="1562" customFormat="1" ht="33.75" hidden="1" customHeight="1">
      <c r="A60" s="3392"/>
      <c r="B60" s="448"/>
      <c r="D60" s="602" t="s">
        <v>89</v>
      </c>
      <c r="E60" s="603" t="s">
        <v>894</v>
      </c>
      <c r="F60" s="658" t="s">
        <v>565</v>
      </c>
      <c r="G60" s="679"/>
      <c r="H60" s="953"/>
      <c r="I60" s="679"/>
      <c r="J60" s="953"/>
      <c r="K60" s="240" t="s">
        <v>895</v>
      </c>
      <c r="X60" s="693">
        <v>0</v>
      </c>
    </row>
    <row r="61" spans="1:24" s="1562" customFormat="1" ht="33.75" hidden="1" customHeight="1">
      <c r="A61" s="3392"/>
      <c r="B61" s="448"/>
      <c r="D61" s="602" t="s">
        <v>90</v>
      </c>
      <c r="E61" s="603" t="s">
        <v>896</v>
      </c>
      <c r="F61" s="663" t="s">
        <v>826</v>
      </c>
      <c r="G61" s="605"/>
      <c r="H61" s="953"/>
      <c r="I61" s="605"/>
      <c r="J61" s="953"/>
      <c r="K61" s="227"/>
      <c r="X61" s="693">
        <v>0</v>
      </c>
    </row>
    <row r="62" spans="1:24" s="1562" customFormat="1" ht="22.5" hidden="1" customHeight="1">
      <c r="A62" s="3392"/>
      <c r="B62" s="448" t="s">
        <v>595</v>
      </c>
      <c r="D62" s="602" t="s">
        <v>110</v>
      </c>
      <c r="E62" s="603" t="s">
        <v>897</v>
      </c>
      <c r="F62" s="663" t="s">
        <v>314</v>
      </c>
      <c r="G62" s="319"/>
      <c r="H62" s="953"/>
      <c r="I62" s="319"/>
      <c r="J62" s="953"/>
      <c r="K62" s="227" t="s">
        <v>638</v>
      </c>
      <c r="X62" s="693">
        <v>0</v>
      </c>
    </row>
    <row r="63" spans="1:24" s="1562" customFormat="1" ht="45" hidden="1" customHeight="1">
      <c r="A63" s="3392"/>
      <c r="B63" s="448" t="s">
        <v>595</v>
      </c>
      <c r="D63" s="602" t="s">
        <v>898</v>
      </c>
      <c r="E63" s="604" t="s">
        <v>899</v>
      </c>
      <c r="F63" s="658" t="s">
        <v>314</v>
      </c>
      <c r="G63" s="319"/>
      <c r="H63" s="953"/>
      <c r="I63" s="319"/>
      <c r="J63" s="953"/>
      <c r="K63" s="227" t="s">
        <v>638</v>
      </c>
      <c r="X63" s="693">
        <v>0</v>
      </c>
    </row>
    <row r="64" spans="1:24" s="1562" customFormat="1" ht="11.45" customHeight="1">
      <c r="A64" s="963"/>
      <c r="B64" s="455"/>
      <c r="D64" s="964"/>
      <c r="E64" s="965"/>
      <c r="X64" s="446">
        <v>11</v>
      </c>
    </row>
    <row r="65" spans="1:24" s="1562" customFormat="1" ht="22.5" hidden="1" customHeight="1">
      <c r="A65" s="3392" t="s">
        <v>900</v>
      </c>
      <c r="B65" s="448"/>
      <c r="D65" s="602">
        <v>1</v>
      </c>
      <c r="E65" s="681" t="s">
        <v>901</v>
      </c>
      <c r="F65" s="677" t="s">
        <v>816</v>
      </c>
      <c r="G65" s="678"/>
      <c r="H65" s="959"/>
      <c r="I65" s="678"/>
      <c r="J65" s="959"/>
      <c r="K65" s="239" t="s">
        <v>902</v>
      </c>
      <c r="X65" s="693">
        <v>0</v>
      </c>
    </row>
    <row r="66" spans="1:24" s="1562" customFormat="1" ht="56.25" hidden="1" customHeight="1">
      <c r="A66" s="3392"/>
      <c r="B66" s="448"/>
      <c r="D66" s="680" t="s">
        <v>108</v>
      </c>
      <c r="E66" s="644" t="s">
        <v>903</v>
      </c>
      <c r="F66" s="597" t="s">
        <v>553</v>
      </c>
      <c r="G66" s="597" t="s">
        <v>553</v>
      </c>
      <c r="H66" s="456"/>
      <c r="I66" s="597" t="s">
        <v>553</v>
      </c>
      <c r="J66" s="456"/>
      <c r="K66" s="227"/>
      <c r="X66" s="693">
        <v>0</v>
      </c>
    </row>
    <row r="67" spans="1:24" s="1562" customFormat="1" ht="33.75" hidden="1" customHeight="1">
      <c r="A67" s="3392"/>
      <c r="B67" s="448"/>
      <c r="D67" s="680" t="s">
        <v>715</v>
      </c>
      <c r="E67" s="884" t="s">
        <v>904</v>
      </c>
      <c r="F67" s="597" t="s">
        <v>868</v>
      </c>
      <c r="G67" s="664"/>
      <c r="H67" s="456"/>
      <c r="I67" s="664"/>
      <c r="J67" s="456"/>
      <c r="K67" s="227"/>
      <c r="X67" s="693">
        <v>0</v>
      </c>
    </row>
    <row r="68" spans="1:24" s="1562" customFormat="1" ht="22.5" hidden="1" customHeight="1">
      <c r="A68" s="3392"/>
      <c r="B68" s="448"/>
      <c r="D68" s="680" t="s">
        <v>315</v>
      </c>
      <c r="E68" s="884" t="s">
        <v>905</v>
      </c>
      <c r="F68" s="597" t="s">
        <v>868</v>
      </c>
      <c r="G68" s="664"/>
      <c r="H68" s="456"/>
      <c r="I68" s="664"/>
      <c r="J68" s="456"/>
      <c r="K68" s="227"/>
      <c r="X68" s="693">
        <v>0</v>
      </c>
    </row>
    <row r="69" spans="1:24" s="1562" customFormat="1" ht="22.5" hidden="1" customHeight="1">
      <c r="A69" s="3392"/>
      <c r="B69" s="448"/>
      <c r="D69" s="680" t="s">
        <v>318</v>
      </c>
      <c r="E69" s="884" t="s">
        <v>906</v>
      </c>
      <c r="F69" s="658" t="s">
        <v>565</v>
      </c>
      <c r="G69" s="679"/>
      <c r="H69" s="456"/>
      <c r="I69" s="679"/>
      <c r="J69" s="456"/>
      <c r="K69" s="227"/>
      <c r="X69" s="693">
        <v>0</v>
      </c>
    </row>
    <row r="70" spans="1:24" s="1562" customFormat="1" ht="22.5" hidden="1" customHeight="1">
      <c r="A70" s="3392"/>
      <c r="B70" s="448"/>
      <c r="D70" s="680" t="s">
        <v>735</v>
      </c>
      <c r="E70" s="884" t="s">
        <v>907</v>
      </c>
      <c r="F70" s="658" t="s">
        <v>565</v>
      </c>
      <c r="G70" s="679"/>
      <c r="H70" s="456"/>
      <c r="I70" s="679"/>
      <c r="J70" s="456"/>
      <c r="K70" s="227"/>
      <c r="X70" s="693">
        <v>0</v>
      </c>
    </row>
    <row r="71" spans="1:24" s="1562" customFormat="1" ht="22.5" hidden="1" customHeight="1">
      <c r="A71" s="3392"/>
      <c r="B71" s="448"/>
      <c r="D71" s="602" t="s">
        <v>87</v>
      </c>
      <c r="E71" s="603" t="s">
        <v>908</v>
      </c>
      <c r="F71" s="597" t="s">
        <v>868</v>
      </c>
      <c r="G71" s="494"/>
      <c r="H71" s="960"/>
      <c r="I71" s="494"/>
      <c r="J71" s="960"/>
      <c r="K71" s="240"/>
      <c r="X71" s="693">
        <v>0</v>
      </c>
    </row>
    <row r="72" spans="1:24" s="1562" customFormat="1" ht="56.25" hidden="1" customHeight="1">
      <c r="A72" s="3392"/>
      <c r="B72" s="448"/>
      <c r="D72" s="602" t="s">
        <v>88</v>
      </c>
      <c r="E72" s="603" t="s">
        <v>909</v>
      </c>
      <c r="F72" s="658" t="s">
        <v>565</v>
      </c>
      <c r="G72" s="679"/>
      <c r="H72" s="953"/>
      <c r="I72" s="679"/>
      <c r="J72" s="953"/>
      <c r="K72" s="240"/>
      <c r="X72" s="693">
        <v>0</v>
      </c>
    </row>
    <row r="73" spans="1:24" s="1562" customFormat="1" ht="33.75" hidden="1" customHeight="1">
      <c r="A73" s="3392"/>
      <c r="B73" s="448"/>
      <c r="D73" s="602" t="s">
        <v>109</v>
      </c>
      <c r="E73" s="603" t="s">
        <v>910</v>
      </c>
      <c r="F73" s="663" t="s">
        <v>826</v>
      </c>
      <c r="G73" s="605"/>
      <c r="H73" s="953"/>
      <c r="I73" s="605"/>
      <c r="J73" s="953"/>
      <c r="K73" s="227"/>
      <c r="X73" s="693">
        <v>0</v>
      </c>
    </row>
    <row r="74" spans="1:24" s="1562" customFormat="1" ht="22.5" hidden="1" customHeight="1">
      <c r="A74" s="3392"/>
      <c r="B74" s="448" t="s">
        <v>595</v>
      </c>
      <c r="D74" s="602" t="s">
        <v>89</v>
      </c>
      <c r="E74" s="603" t="s">
        <v>911</v>
      </c>
      <c r="F74" s="663" t="s">
        <v>314</v>
      </c>
      <c r="G74" s="319"/>
      <c r="H74" s="953"/>
      <c r="I74" s="319"/>
      <c r="J74" s="953"/>
      <c r="K74" s="227" t="s">
        <v>638</v>
      </c>
      <c r="X74" s="693">
        <v>0</v>
      </c>
    </row>
    <row r="75" spans="1:24" s="1562" customFormat="1" ht="45" hidden="1" customHeight="1">
      <c r="A75" s="3392"/>
      <c r="B75" s="448" t="s">
        <v>595</v>
      </c>
      <c r="D75" s="602" t="s">
        <v>659</v>
      </c>
      <c r="E75" s="604" t="s">
        <v>912</v>
      </c>
      <c r="F75" s="658" t="s">
        <v>314</v>
      </c>
      <c r="G75" s="319"/>
      <c r="H75" s="953"/>
      <c r="I75" s="319"/>
      <c r="J75" s="953"/>
      <c r="K75" s="227" t="s">
        <v>638</v>
      </c>
      <c r="X75" s="693">
        <v>0</v>
      </c>
    </row>
    <row r="76" spans="1:24" s="1562" customFormat="1" ht="11.45" customHeight="1">
      <c r="A76" s="963"/>
      <c r="B76" s="455"/>
      <c r="D76" s="964"/>
      <c r="E76" s="965"/>
      <c r="X76" s="446">
        <v>11</v>
      </c>
    </row>
    <row r="77" spans="1:24" s="1562" customFormat="1" ht="11.25" hidden="1" customHeight="1">
      <c r="A77" s="3392" t="s">
        <v>913</v>
      </c>
      <c r="B77" s="448"/>
      <c r="D77" s="602">
        <v>1</v>
      </c>
      <c r="E77" s="603" t="s">
        <v>914</v>
      </c>
      <c r="F77" s="658" t="s">
        <v>816</v>
      </c>
      <c r="G77" s="661"/>
      <c r="H77" s="953"/>
      <c r="I77" s="661"/>
      <c r="J77" s="953"/>
      <c r="K77" s="227" t="s">
        <v>915</v>
      </c>
      <c r="X77" s="693">
        <v>0</v>
      </c>
    </row>
    <row r="78" spans="1:24" s="1562" customFormat="1" ht="11.25" hidden="1" customHeight="1">
      <c r="A78" s="3392"/>
      <c r="B78" s="448"/>
      <c r="D78" s="602" t="s">
        <v>108</v>
      </c>
      <c r="E78" s="603" t="s">
        <v>916</v>
      </c>
      <c r="F78" s="658" t="s">
        <v>816</v>
      </c>
      <c r="G78" s="661"/>
      <c r="H78" s="953"/>
      <c r="I78" s="661"/>
      <c r="J78" s="953"/>
      <c r="K78" s="227" t="s">
        <v>917</v>
      </c>
      <c r="X78" s="693">
        <v>0</v>
      </c>
    </row>
    <row r="79" spans="1:24" s="1562" customFormat="1" ht="22.5" hidden="1" customHeight="1">
      <c r="A79" s="3392"/>
      <c r="B79" s="448"/>
      <c r="D79" s="602" t="s">
        <v>87</v>
      </c>
      <c r="E79" s="659" t="s">
        <v>918</v>
      </c>
      <c r="F79" s="597" t="s">
        <v>865</v>
      </c>
      <c r="G79" s="661"/>
      <c r="H79" s="953"/>
      <c r="I79" s="661"/>
      <c r="J79" s="953"/>
      <c r="K79" s="227" t="s">
        <v>919</v>
      </c>
      <c r="X79" s="693">
        <v>0</v>
      </c>
    </row>
    <row r="80" spans="1:24" s="1562" customFormat="1" ht="11.25" hidden="1" customHeight="1">
      <c r="A80" s="3392"/>
      <c r="B80" s="448"/>
      <c r="D80" s="602" t="s">
        <v>332</v>
      </c>
      <c r="E80" s="660" t="s">
        <v>920</v>
      </c>
      <c r="F80" s="597" t="s">
        <v>865</v>
      </c>
      <c r="G80" s="661"/>
      <c r="H80" s="953"/>
      <c r="I80" s="661"/>
      <c r="J80" s="953"/>
      <c r="K80" s="227"/>
      <c r="X80" s="693">
        <v>0</v>
      </c>
    </row>
    <row r="81" spans="1:24" s="1562" customFormat="1" ht="11.25" hidden="1" customHeight="1">
      <c r="A81" s="3392"/>
      <c r="B81" s="448"/>
      <c r="D81" s="602" t="s">
        <v>340</v>
      </c>
      <c r="E81" s="660" t="s">
        <v>921</v>
      </c>
      <c r="F81" s="597" t="s">
        <v>865</v>
      </c>
      <c r="G81" s="661"/>
      <c r="H81" s="953"/>
      <c r="I81" s="661"/>
      <c r="J81" s="953"/>
      <c r="K81" s="227"/>
      <c r="X81" s="693">
        <v>0</v>
      </c>
    </row>
    <row r="82" spans="1:24" s="1562" customFormat="1" ht="11.25" hidden="1" customHeight="1">
      <c r="A82" s="3392"/>
      <c r="B82" s="448"/>
      <c r="D82" s="602" t="s">
        <v>342</v>
      </c>
      <c r="E82" s="660" t="s">
        <v>922</v>
      </c>
      <c r="F82" s="597" t="s">
        <v>865</v>
      </c>
      <c r="G82" s="661"/>
      <c r="H82" s="953"/>
      <c r="I82" s="661"/>
      <c r="J82" s="953"/>
      <c r="K82" s="227"/>
      <c r="X82" s="693">
        <v>0</v>
      </c>
    </row>
    <row r="83" spans="1:24" s="1562" customFormat="1" ht="11.25" hidden="1" customHeight="1">
      <c r="A83" s="3392"/>
      <c r="B83" s="448"/>
      <c r="D83" s="602" t="s">
        <v>344</v>
      </c>
      <c r="E83" s="660" t="s">
        <v>923</v>
      </c>
      <c r="F83" s="597" t="s">
        <v>865</v>
      </c>
      <c r="G83" s="661"/>
      <c r="H83" s="953"/>
      <c r="I83" s="661"/>
      <c r="J83" s="953"/>
      <c r="K83" s="227"/>
      <c r="X83" s="693">
        <v>0</v>
      </c>
    </row>
    <row r="84" spans="1:24" s="1562" customFormat="1" ht="11.25" hidden="1" customHeight="1">
      <c r="A84" s="3392"/>
      <c r="B84" s="448"/>
      <c r="D84" s="602" t="s">
        <v>924</v>
      </c>
      <c r="E84" s="660" t="s">
        <v>925</v>
      </c>
      <c r="F84" s="597" t="s">
        <v>865</v>
      </c>
      <c r="G84" s="661"/>
      <c r="H84" s="953"/>
      <c r="I84" s="661"/>
      <c r="J84" s="953"/>
      <c r="K84" s="227"/>
      <c r="X84" s="693">
        <v>0</v>
      </c>
    </row>
    <row r="85" spans="1:24" s="1562" customFormat="1" ht="11.25" hidden="1" customHeight="1">
      <c r="A85" s="3392"/>
      <c r="B85" s="448"/>
      <c r="D85" s="602" t="s">
        <v>926</v>
      </c>
      <c r="E85" s="660" t="s">
        <v>927</v>
      </c>
      <c r="F85" s="597" t="s">
        <v>865</v>
      </c>
      <c r="G85" s="661"/>
      <c r="H85" s="953"/>
      <c r="I85" s="661"/>
      <c r="J85" s="953"/>
      <c r="K85" s="227"/>
      <c r="X85" s="693">
        <v>0</v>
      </c>
    </row>
    <row r="86" spans="1:24" s="1562" customFormat="1" ht="11.25" hidden="1" customHeight="1">
      <c r="A86" s="3392"/>
      <c r="B86" s="448"/>
      <c r="D86" s="602" t="s">
        <v>928</v>
      </c>
      <c r="E86" s="660" t="s">
        <v>929</v>
      </c>
      <c r="F86" s="597" t="s">
        <v>865</v>
      </c>
      <c r="G86" s="661"/>
      <c r="H86" s="953"/>
      <c r="I86" s="661"/>
      <c r="J86" s="953"/>
      <c r="K86" s="227"/>
      <c r="X86" s="693">
        <v>0</v>
      </c>
    </row>
    <row r="87" spans="1:24" s="1562" customFormat="1" ht="45" hidden="1" customHeight="1">
      <c r="A87" s="3392"/>
      <c r="B87" s="448"/>
      <c r="D87" s="602" t="s">
        <v>88</v>
      </c>
      <c r="E87" s="603" t="s">
        <v>930</v>
      </c>
      <c r="F87" s="597" t="s">
        <v>865</v>
      </c>
      <c r="G87" s="661"/>
      <c r="H87" s="953"/>
      <c r="I87" s="661"/>
      <c r="J87" s="953"/>
      <c r="K87" s="227" t="s">
        <v>931</v>
      </c>
      <c r="X87" s="693">
        <v>0</v>
      </c>
    </row>
    <row r="88" spans="1:24" s="1562" customFormat="1" ht="11.25" hidden="1" customHeight="1">
      <c r="A88" s="3392"/>
      <c r="B88" s="448"/>
      <c r="D88" s="602" t="s">
        <v>760</v>
      </c>
      <c r="E88" s="660" t="s">
        <v>920</v>
      </c>
      <c r="F88" s="597" t="s">
        <v>865</v>
      </c>
      <c r="G88" s="661"/>
      <c r="H88" s="953"/>
      <c r="I88" s="661"/>
      <c r="J88" s="953"/>
      <c r="K88" s="227"/>
      <c r="X88" s="693">
        <v>0</v>
      </c>
    </row>
    <row r="89" spans="1:24" s="1562" customFormat="1" ht="11.25" hidden="1" customHeight="1">
      <c r="A89" s="3392"/>
      <c r="B89" s="448"/>
      <c r="D89" s="602" t="s">
        <v>802</v>
      </c>
      <c r="E89" s="660" t="s">
        <v>921</v>
      </c>
      <c r="F89" s="597" t="s">
        <v>865</v>
      </c>
      <c r="G89" s="661"/>
      <c r="H89" s="953"/>
      <c r="I89" s="661"/>
      <c r="J89" s="953"/>
      <c r="K89" s="227"/>
      <c r="X89" s="693">
        <v>0</v>
      </c>
    </row>
    <row r="90" spans="1:24" s="1562" customFormat="1" ht="11.25" hidden="1" customHeight="1">
      <c r="A90" s="3392"/>
      <c r="B90" s="448"/>
      <c r="D90" s="602" t="s">
        <v>805</v>
      </c>
      <c r="E90" s="660" t="s">
        <v>922</v>
      </c>
      <c r="F90" s="597" t="s">
        <v>865</v>
      </c>
      <c r="G90" s="661"/>
      <c r="H90" s="953"/>
      <c r="I90" s="661"/>
      <c r="J90" s="953"/>
      <c r="K90" s="227"/>
      <c r="X90" s="693">
        <v>0</v>
      </c>
    </row>
    <row r="91" spans="1:24" s="1562" customFormat="1" ht="11.25" hidden="1" customHeight="1">
      <c r="A91" s="3392"/>
      <c r="B91" s="448"/>
      <c r="D91" s="602" t="s">
        <v>883</v>
      </c>
      <c r="E91" s="660" t="s">
        <v>923</v>
      </c>
      <c r="F91" s="597" t="s">
        <v>865</v>
      </c>
      <c r="G91" s="661"/>
      <c r="H91" s="953"/>
      <c r="I91" s="661"/>
      <c r="J91" s="953"/>
      <c r="K91" s="227"/>
      <c r="X91" s="693">
        <v>0</v>
      </c>
    </row>
    <row r="92" spans="1:24" s="1562" customFormat="1" ht="11.25" hidden="1" customHeight="1">
      <c r="A92" s="3392"/>
      <c r="B92" s="448"/>
      <c r="D92" s="602" t="s">
        <v>885</v>
      </c>
      <c r="E92" s="660" t="s">
        <v>925</v>
      </c>
      <c r="F92" s="597" t="s">
        <v>865</v>
      </c>
      <c r="G92" s="661"/>
      <c r="H92" s="953"/>
      <c r="I92" s="661"/>
      <c r="J92" s="953"/>
      <c r="K92" s="227"/>
      <c r="X92" s="693">
        <v>0</v>
      </c>
    </row>
    <row r="93" spans="1:24" s="1562" customFormat="1" ht="11.25" hidden="1" customHeight="1">
      <c r="A93" s="3392"/>
      <c r="B93" s="448"/>
      <c r="D93" s="602" t="s">
        <v>932</v>
      </c>
      <c r="E93" s="660" t="s">
        <v>927</v>
      </c>
      <c r="F93" s="597" t="s">
        <v>865</v>
      </c>
      <c r="G93" s="661"/>
      <c r="H93" s="953"/>
      <c r="I93" s="661"/>
      <c r="J93" s="953"/>
      <c r="K93" s="227"/>
      <c r="X93" s="693">
        <v>0</v>
      </c>
    </row>
    <row r="94" spans="1:24" s="1562" customFormat="1" ht="11.25" hidden="1" customHeight="1">
      <c r="A94" s="3392"/>
      <c r="B94" s="448"/>
      <c r="D94" s="602" t="s">
        <v>933</v>
      </c>
      <c r="E94" s="660" t="s">
        <v>929</v>
      </c>
      <c r="F94" s="597" t="s">
        <v>865</v>
      </c>
      <c r="G94" s="661"/>
      <c r="H94" s="953"/>
      <c r="I94" s="661"/>
      <c r="J94" s="953"/>
      <c r="K94" s="227"/>
      <c r="X94" s="693">
        <v>0</v>
      </c>
    </row>
    <row r="95" spans="1:24" s="1562" customFormat="1" ht="24.75" hidden="1" customHeight="1">
      <c r="A95" s="3392"/>
      <c r="B95" s="448"/>
      <c r="D95" s="602" t="s">
        <v>109</v>
      </c>
      <c r="E95" s="603" t="s">
        <v>934</v>
      </c>
      <c r="F95" s="662" t="s">
        <v>565</v>
      </c>
      <c r="G95" s="664"/>
      <c r="H95" s="953"/>
      <c r="I95" s="664"/>
      <c r="J95" s="953"/>
      <c r="K95" s="227" t="s">
        <v>935</v>
      </c>
      <c r="X95" s="693">
        <v>0</v>
      </c>
    </row>
    <row r="96" spans="1:24" s="1562" customFormat="1" ht="33.75" hidden="1" customHeight="1">
      <c r="A96" s="3392"/>
      <c r="B96" s="448"/>
      <c r="D96" s="602" t="s">
        <v>89</v>
      </c>
      <c r="E96" s="603" t="s">
        <v>936</v>
      </c>
      <c r="F96" s="663" t="s">
        <v>826</v>
      </c>
      <c r="G96" s="665"/>
      <c r="H96" s="953"/>
      <c r="I96" s="665"/>
      <c r="J96" s="953"/>
      <c r="K96" s="227"/>
      <c r="X96" s="693">
        <v>0</v>
      </c>
    </row>
    <row r="97" spans="1:24" s="1562" customFormat="1" ht="22.5" hidden="1" customHeight="1">
      <c r="A97" s="3392"/>
      <c r="B97" s="448" t="s">
        <v>595</v>
      </c>
      <c r="D97" s="602" t="s">
        <v>90</v>
      </c>
      <c r="E97" s="603" t="s">
        <v>937</v>
      </c>
      <c r="F97" s="663" t="s">
        <v>314</v>
      </c>
      <c r="G97" s="322"/>
      <c r="H97" s="953"/>
      <c r="I97" s="322"/>
      <c r="J97" s="953"/>
      <c r="K97" s="227" t="s">
        <v>638</v>
      </c>
      <c r="X97" s="693">
        <v>0</v>
      </c>
    </row>
    <row r="98" spans="1:24" s="1562" customFormat="1" ht="45" hidden="1" customHeight="1">
      <c r="A98" s="3392"/>
      <c r="B98" s="448" t="s">
        <v>595</v>
      </c>
      <c r="D98" s="602" t="s">
        <v>938</v>
      </c>
      <c r="E98" s="604" t="s">
        <v>939</v>
      </c>
      <c r="F98" s="658" t="s">
        <v>314</v>
      </c>
      <c r="G98" s="322"/>
      <c r="H98" s="953"/>
      <c r="I98" s="322"/>
      <c r="J98" s="953"/>
      <c r="K98" s="227" t="s">
        <v>638</v>
      </c>
      <c r="X98" s="693">
        <v>0</v>
      </c>
    </row>
    <row r="99" spans="1:24" s="1562" customFormat="1" ht="95.25" hidden="1" customHeight="1">
      <c r="A99" s="3392"/>
      <c r="B99" s="448" t="s">
        <v>595</v>
      </c>
      <c r="D99" s="602" t="s">
        <v>110</v>
      </c>
      <c r="E99" s="603" t="s">
        <v>940</v>
      </c>
      <c r="F99" s="658" t="s">
        <v>314</v>
      </c>
      <c r="G99" s="322"/>
      <c r="H99" s="953"/>
      <c r="I99" s="322"/>
      <c r="J99" s="953"/>
      <c r="K99" s="227" t="s">
        <v>638</v>
      </c>
      <c r="X99" s="693">
        <v>0</v>
      </c>
    </row>
    <row r="100" spans="1:24" s="1562" customFormat="1" ht="22.5" hidden="1" customHeight="1">
      <c r="A100" s="3392"/>
      <c r="B100" s="448" t="s">
        <v>595</v>
      </c>
      <c r="D100" s="602" t="s">
        <v>146</v>
      </c>
      <c r="E100" s="603" t="s">
        <v>941</v>
      </c>
      <c r="F100" s="658" t="s">
        <v>314</v>
      </c>
      <c r="G100" s="322"/>
      <c r="H100" s="953"/>
      <c r="I100" s="322"/>
      <c r="J100" s="953"/>
      <c r="K100" s="227" t="s">
        <v>638</v>
      </c>
      <c r="X100" s="693">
        <v>0</v>
      </c>
    </row>
    <row r="101" spans="1:24" s="1562" customFormat="1" ht="11.45" customHeight="1">
      <c r="A101" s="963"/>
      <c r="B101" s="455"/>
      <c r="D101" s="964"/>
      <c r="E101" s="965"/>
      <c r="X101" s="446">
        <v>11</v>
      </c>
    </row>
    <row r="102" spans="1:24" ht="22.5" hidden="1" customHeight="1">
      <c r="A102" s="473" t="s">
        <v>79</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A3CE-CD7F-0DA5-8351-D0A40CB37CC7}">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3104"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105"/>
      <c r="F4" s="3105"/>
      <c r="G4" s="3105"/>
      <c r="H4" s="3105"/>
      <c r="I4" s="3106"/>
      <c r="J4" s="521"/>
      <c r="K4" s="521"/>
      <c r="L4" s="521"/>
      <c r="M4" s="521"/>
      <c r="AM4" s="520">
        <v>34</v>
      </c>
    </row>
    <row r="5" spans="1:39" s="526" customFormat="1" ht="14.65" customHeight="1">
      <c r="A5" s="522"/>
      <c r="B5" s="522"/>
      <c r="C5" s="522"/>
      <c r="D5" s="3107" t="str">
        <f>IF(org=0,"Не определено",org)</f>
        <v>АО Нижневартовская ГРЭС</v>
      </c>
      <c r="E5" s="3108"/>
      <c r="F5" s="3108"/>
      <c r="G5" s="3108"/>
      <c r="H5" s="3108"/>
      <c r="I5" s="310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3096"/>
      <c r="B6" s="3096"/>
      <c r="C6" s="3096"/>
      <c r="D6" s="3096"/>
      <c r="E6" s="3096"/>
      <c r="F6" s="309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31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115"/>
      <c r="G7" s="3115"/>
      <c r="H7" s="3115"/>
      <c r="I7" s="3115"/>
      <c r="J7" s="3115"/>
      <c r="K7" s="3115"/>
      <c r="L7" s="3115"/>
      <c r="M7" s="311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3110"/>
      <c r="B9" s="261"/>
      <c r="C9" s="261"/>
      <c r="D9" s="3111" t="s">
        <v>103</v>
      </c>
      <c r="E9" s="3111"/>
      <c r="F9" s="3112" t="s">
        <v>104</v>
      </c>
      <c r="G9" s="3113"/>
      <c r="H9" s="3113"/>
      <c r="I9" s="3113"/>
      <c r="J9" s="3116" t="s">
        <v>105</v>
      </c>
      <c r="K9" s="3116"/>
      <c r="L9" s="3116"/>
      <c r="M9" s="3116"/>
      <c r="AM9" s="520">
        <v>18</v>
      </c>
    </row>
    <row r="10" spans="1:39" ht="24" customHeight="1">
      <c r="A10" s="3110"/>
      <c r="B10" s="529"/>
      <c r="C10" s="462"/>
      <c r="D10" s="460" t="s">
        <v>85</v>
      </c>
      <c r="E10" s="460" t="s">
        <v>86</v>
      </c>
      <c r="F10" s="460" t="s">
        <v>106</v>
      </c>
      <c r="G10" s="3117" t="s">
        <v>85</v>
      </c>
      <c r="H10" s="3118"/>
      <c r="I10" s="460" t="s">
        <v>86</v>
      </c>
      <c r="J10" s="460" t="s">
        <v>106</v>
      </c>
      <c r="K10" s="3117" t="s">
        <v>85</v>
      </c>
      <c r="L10" s="3118"/>
      <c r="M10" s="460" t="s">
        <v>86</v>
      </c>
      <c r="N10" s="1554"/>
      <c r="AM10" s="520">
        <v>23</v>
      </c>
    </row>
    <row r="11" spans="1:39" s="1778" customFormat="1" ht="11.25" hidden="1" customHeight="1">
      <c r="A11" s="530"/>
      <c r="B11" s="530"/>
      <c r="C11" s="530"/>
      <c r="D11" s="531" t="s">
        <v>107</v>
      </c>
      <c r="E11" s="531" t="s">
        <v>108</v>
      </c>
      <c r="F11" s="531" t="s">
        <v>87</v>
      </c>
      <c r="G11" s="3100" t="s">
        <v>88</v>
      </c>
      <c r="H11" s="3101"/>
      <c r="I11" s="531" t="s">
        <v>109</v>
      </c>
      <c r="J11" s="531" t="s">
        <v>89</v>
      </c>
      <c r="K11" s="3102" t="s">
        <v>90</v>
      </c>
      <c r="L11" s="3103"/>
      <c r="M11" s="531" t="s">
        <v>110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111</v>
      </c>
      <c r="P12" s="1340" t="s">
        <v>112</v>
      </c>
      <c r="Q12" s="1340" t="s">
        <v>113</v>
      </c>
      <c r="R12" s="1340" t="s">
        <v>114</v>
      </c>
      <c r="AM12" s="520">
        <v>1</v>
      </c>
    </row>
    <row r="13" spans="1:39" s="1778" customFormat="1" ht="15.75" customHeight="1">
      <c r="A13" s="231"/>
      <c r="B13" s="231"/>
      <c r="C13" s="463"/>
      <c r="D13" s="3122" t="s">
        <v>107</v>
      </c>
      <c r="E13" s="3123"/>
      <c r="F13" s="3126" t="s">
        <v>67</v>
      </c>
      <c r="G13" s="3127"/>
      <c r="H13" s="3128">
        <v>1</v>
      </c>
      <c r="I13" s="3119" t="str">
        <f>IF(U13="","",INDEX(TERRITORY_MR_LIST,MATCH(U13,TERRITORY_LIST_ID,0)))</f>
        <v/>
      </c>
      <c r="J13" s="3121" t="s">
        <v>19</v>
      </c>
      <c r="K13" s="539"/>
      <c r="L13" s="464" t="s">
        <v>107</v>
      </c>
      <c r="M13" s="540" t="s">
        <v>28</v>
      </c>
      <c r="N13" s="743"/>
      <c r="O13" s="1343" t="s">
        <v>115</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116</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3122"/>
      <c r="E14" s="3124"/>
      <c r="F14" s="3121"/>
      <c r="G14" s="3127"/>
      <c r="H14" s="3128"/>
      <c r="I14" s="3120"/>
      <c r="J14" s="3121"/>
      <c r="K14" s="358"/>
      <c r="L14" s="115"/>
      <c r="M14" s="544" t="s">
        <v>117</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3122"/>
      <c r="E15" s="3125"/>
      <c r="F15" s="3121"/>
      <c r="G15" s="990"/>
      <c r="H15" s="991"/>
      <c r="I15" s="517" t="s">
        <v>118</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119</v>
      </c>
      <c r="F16" s="115"/>
      <c r="G16" s="115"/>
      <c r="H16" s="115"/>
      <c r="I16" s="115"/>
      <c r="J16" s="115"/>
      <c r="K16" s="115" t="s">
        <v>28</v>
      </c>
      <c r="L16" s="115"/>
      <c r="M16" s="545"/>
      <c r="N16" s="1554"/>
      <c r="AM16" s="520">
        <v>15</v>
      </c>
    </row>
    <row r="17" spans="1:39" ht="11.25" hidden="1" customHeight="1">
      <c r="A17" s="520" t="s">
        <v>79</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201D9-EB7C-C7ED-26EE-4C2E2A0EF9AD}">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3393"/>
      <c r="C3" s="3394" t="s">
        <v>169</v>
      </c>
      <c r="D3" s="626" t="str">
        <f>B3&amp;".1"</f>
        <v>.1</v>
      </c>
      <c r="E3" s="627" t="s">
        <v>942</v>
      </c>
      <c r="F3" s="628" t="s">
        <v>314</v>
      </c>
      <c r="G3" s="623"/>
      <c r="H3" s="338"/>
      <c r="I3" s="623"/>
      <c r="J3" s="338"/>
      <c r="K3" s="227" t="s">
        <v>943</v>
      </c>
      <c r="V3" s="442">
        <v>0</v>
      </c>
    </row>
    <row r="4" spans="1:22" ht="15" hidden="1" customHeight="1">
      <c r="A4" s="442"/>
      <c r="B4" s="3393"/>
      <c r="C4" s="3394"/>
      <c r="D4" s="626" t="str">
        <f>B3&amp;".2"</f>
        <v>.2</v>
      </c>
      <c r="E4" s="627" t="s">
        <v>944</v>
      </c>
      <c r="F4" s="628" t="s">
        <v>314</v>
      </c>
      <c r="G4" s="1664" t="s">
        <v>28</v>
      </c>
      <c r="H4" s="338"/>
      <c r="I4" s="1664" t="s">
        <v>28</v>
      </c>
      <c r="J4" s="338"/>
      <c r="K4" s="227" t="s">
        <v>945</v>
      </c>
      <c r="V4" s="442">
        <v>0</v>
      </c>
    </row>
    <row r="5" spans="1:22" s="1293" customFormat="1" ht="15" hidden="1" customHeight="1">
      <c r="C5" s="609"/>
      <c r="U5" s="357"/>
      <c r="V5" s="354">
        <v>0</v>
      </c>
    </row>
    <row r="6" spans="1:22" ht="22.5" hidden="1" customHeight="1">
      <c r="A6" s="442"/>
      <c r="B6" s="3393"/>
      <c r="C6" s="3394" t="s">
        <v>169</v>
      </c>
      <c r="D6" s="626" t="str">
        <f>B6&amp;".1"</f>
        <v>.1</v>
      </c>
      <c r="E6" s="627" t="s">
        <v>946</v>
      </c>
      <c r="F6" s="628" t="s">
        <v>314</v>
      </c>
      <c r="G6" s="623"/>
      <c r="H6" s="338"/>
      <c r="I6" s="623"/>
      <c r="J6" s="338"/>
      <c r="K6" s="227" t="s">
        <v>947</v>
      </c>
      <c r="V6" s="442">
        <v>0</v>
      </c>
    </row>
    <row r="7" spans="1:22" ht="15" hidden="1" customHeight="1">
      <c r="A7" s="442"/>
      <c r="B7" s="3393"/>
      <c r="C7" s="3394"/>
      <c r="D7" s="626" t="str">
        <f>B6&amp;".2"</f>
        <v>.2</v>
      </c>
      <c r="E7" s="627" t="s">
        <v>944</v>
      </c>
      <c r="F7" s="628" t="s">
        <v>314</v>
      </c>
      <c r="G7" s="1664" t="s">
        <v>28</v>
      </c>
      <c r="H7" s="338"/>
      <c r="I7" s="1664" t="s">
        <v>28</v>
      </c>
      <c r="J7" s="338"/>
      <c r="K7" s="227" t="s">
        <v>945</v>
      </c>
      <c r="V7" s="442">
        <v>0</v>
      </c>
    </row>
    <row r="8" spans="1:22" s="1293" customFormat="1" ht="15" hidden="1" customHeight="1">
      <c r="C8" s="609"/>
      <c r="U8" s="357"/>
      <c r="V8" s="354">
        <v>0</v>
      </c>
    </row>
    <row r="9" spans="1:22" ht="22.5" hidden="1" customHeight="1">
      <c r="A9" s="442"/>
      <c r="B9" s="3393"/>
      <c r="C9" s="3394" t="s">
        <v>169</v>
      </c>
      <c r="D9" s="626" t="str">
        <f>B9&amp;".1"</f>
        <v>.1</v>
      </c>
      <c r="E9" s="627" t="s">
        <v>948</v>
      </c>
      <c r="F9" s="628" t="s">
        <v>314</v>
      </c>
      <c r="G9" s="634" t="s">
        <v>28</v>
      </c>
      <c r="H9" s="338" t="s">
        <v>28</v>
      </c>
      <c r="I9" s="634" t="s">
        <v>28</v>
      </c>
      <c r="J9" s="338" t="s">
        <v>28</v>
      </c>
      <c r="K9" s="227"/>
      <c r="V9" s="442">
        <v>0</v>
      </c>
    </row>
    <row r="10" spans="1:22" ht="15" hidden="1" customHeight="1">
      <c r="A10" s="442"/>
      <c r="B10" s="3393"/>
      <c r="C10" s="3394"/>
      <c r="D10" s="626" t="str">
        <f>B9&amp;".2"</f>
        <v>.2</v>
      </c>
      <c r="E10" s="627" t="s">
        <v>949</v>
      </c>
      <c r="F10" s="628" t="s">
        <v>314</v>
      </c>
      <c r="G10" s="1658" t="s">
        <v>28</v>
      </c>
      <c r="H10" s="338" t="s">
        <v>28</v>
      </c>
      <c r="I10" s="1658" t="s">
        <v>28</v>
      </c>
      <c r="J10" s="338" t="s">
        <v>28</v>
      </c>
      <c r="K10" s="227" t="s">
        <v>950</v>
      </c>
      <c r="V10" s="442">
        <v>0</v>
      </c>
    </row>
    <row r="11" spans="1:22" ht="15" hidden="1" customHeight="1">
      <c r="A11" s="442"/>
      <c r="B11" s="3393"/>
      <c r="C11" s="3394"/>
      <c r="D11" s="626" t="str">
        <f>B9&amp;".3"</f>
        <v>.3</v>
      </c>
      <c r="E11" s="627" t="s">
        <v>951</v>
      </c>
      <c r="F11" s="628" t="s">
        <v>314</v>
      </c>
      <c r="G11" s="1658" t="s">
        <v>28</v>
      </c>
      <c r="H11" s="338" t="s">
        <v>28</v>
      </c>
      <c r="I11" s="1658" t="s">
        <v>28</v>
      </c>
      <c r="J11" s="338" t="s">
        <v>28</v>
      </c>
      <c r="K11" s="227" t="s">
        <v>952</v>
      </c>
      <c r="V11" s="442">
        <v>0</v>
      </c>
    </row>
    <row r="12" spans="1:22" s="1293" customFormat="1" ht="15" hidden="1" customHeight="1">
      <c r="C12" s="609"/>
      <c r="U12" s="357"/>
      <c r="V12" s="354">
        <v>0</v>
      </c>
    </row>
    <row r="13" spans="1:22" ht="33.75" hidden="1" customHeight="1">
      <c r="A13" s="442"/>
      <c r="B13" s="3393"/>
      <c r="C13" s="3394" t="s">
        <v>169</v>
      </c>
      <c r="D13" s="626" t="str">
        <f>B13&amp;".1"</f>
        <v>.1</v>
      </c>
      <c r="E13" s="627" t="s">
        <v>953</v>
      </c>
      <c r="F13" s="628" t="s">
        <v>314</v>
      </c>
      <c r="G13" s="634" t="s">
        <v>28</v>
      </c>
      <c r="H13" s="338" t="s">
        <v>28</v>
      </c>
      <c r="I13" s="634" t="s">
        <v>28</v>
      </c>
      <c r="J13" s="338" t="s">
        <v>28</v>
      </c>
      <c r="K13" s="227" t="s">
        <v>954</v>
      </c>
      <c r="V13" s="442">
        <v>0</v>
      </c>
    </row>
    <row r="14" spans="1:22" ht="15" hidden="1" customHeight="1">
      <c r="B14" s="3393"/>
      <c r="C14" s="3394"/>
      <c r="D14" s="626" t="str">
        <f>B13&amp;".2"</f>
        <v>.2</v>
      </c>
      <c r="E14" s="627" t="s">
        <v>955</v>
      </c>
      <c r="F14" s="628" t="s">
        <v>314</v>
      </c>
      <c r="G14" s="1658" t="s">
        <v>28</v>
      </c>
      <c r="H14" s="338" t="s">
        <v>28</v>
      </c>
      <c r="I14" s="1658" t="s">
        <v>28</v>
      </c>
      <c r="J14" s="338" t="s">
        <v>28</v>
      </c>
      <c r="K14" s="227"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323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232"/>
      <c r="F22" s="3232"/>
      <c r="G22" s="3232"/>
      <c r="H22" s="3232"/>
      <c r="I22" s="3232"/>
      <c r="J22" s="613"/>
      <c r="K22" s="474"/>
      <c r="V22" s="442">
        <v>22</v>
      </c>
    </row>
    <row r="23" spans="1:22" ht="15.75" customHeight="1">
      <c r="C23" s="114"/>
      <c r="D23" s="3204" t="str">
        <f>IF(org=0,"Не определено",org)</f>
        <v>АО Нижневартовская ГРЭС</v>
      </c>
      <c r="E23" s="3204"/>
      <c r="F23" s="3204"/>
      <c r="G23" s="3204"/>
      <c r="H23" s="3204"/>
      <c r="I23" s="3204"/>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115</v>
      </c>
      <c r="J25" s="689"/>
      <c r="K25" s="354"/>
      <c r="U25" s="612"/>
      <c r="V25" s="693">
        <v>1</v>
      </c>
    </row>
    <row r="26" spans="1:22" ht="15.75" customHeight="1">
      <c r="C26" s="114"/>
      <c r="D26" s="648"/>
      <c r="E26" s="3370" t="s">
        <v>103</v>
      </c>
      <c r="F26" s="3371"/>
      <c r="G26" s="3395" t="str">
        <f>IF(G25="","",INDEX(DIFFERENTIATION_UNMERGE_VD,MATCH(G25,DIFFERENTIATION_ID_DIFF,0)))</f>
        <v/>
      </c>
      <c r="H26" s="3396"/>
      <c r="I26" s="3395">
        <f>IF(I25="","",INDEX(DIFFERENTIATION_UNMERGE_VD,MATCH(I25,DIFFERENTIATION_ID_DIFF,0)))</f>
        <v>0</v>
      </c>
      <c r="J26" s="3396"/>
      <c r="K26" s="3184" t="s">
        <v>309</v>
      </c>
      <c r="V26" s="442">
        <v>15</v>
      </c>
    </row>
    <row r="27" spans="1:22" s="1562" customFormat="1" ht="15.75" customHeight="1">
      <c r="A27" s="694"/>
      <c r="C27" s="114"/>
      <c r="D27" s="648"/>
      <c r="E27" s="3370" t="s">
        <v>571</v>
      </c>
      <c r="F27" s="3371"/>
      <c r="G27" s="3395" t="str">
        <f>IF(G25="","",INDEX(DIFFERENTIATION_UNMERGE_AREA,MATCH(G25,DIFFERENTIATION_ID_DIFF,0)))</f>
        <v/>
      </c>
      <c r="H27" s="3396"/>
      <c r="I27" s="3395" t="str">
        <f>IF(I25="","",INDEX(DIFFERENTIATION_UNMERGE_AREA,MATCH(I25,DIFFERENTIATION_ID_DIFF,0)))</f>
        <v/>
      </c>
      <c r="J27" s="3396"/>
      <c r="K27" s="3188"/>
      <c r="U27" s="612"/>
      <c r="V27" s="693">
        <v>15</v>
      </c>
    </row>
    <row r="28" spans="1:22" s="1562" customFormat="1" ht="15.75" customHeight="1">
      <c r="A28" s="694"/>
      <c r="C28" s="114"/>
      <c r="D28" s="648"/>
      <c r="E28" s="3370" t="s">
        <v>572</v>
      </c>
      <c r="F28" s="3371"/>
      <c r="G28" s="3395" t="str">
        <f>IF(G25="","",INDEX(DIFFERENTIATION_UNMERGE_SYSTEM,MATCH(G25,DIFFERENTIATION_ID_DIFF,0)))</f>
        <v/>
      </c>
      <c r="H28" s="3396"/>
      <c r="I28" s="3395" t="str">
        <f>IF(I25="","",INDEX(DIFFERENTIATION_UNMERGE_SYSTEM,MATCH(I25,DIFFERENTIATION_ID_DIFF,0)))</f>
        <v>без дифференциации</v>
      </c>
      <c r="J28" s="3396"/>
      <c r="K28" s="3188"/>
      <c r="U28" s="612"/>
      <c r="V28" s="693">
        <v>15</v>
      </c>
    </row>
    <row r="29" spans="1:22" s="1562" customFormat="1" ht="15.75" customHeight="1">
      <c r="A29" s="694"/>
      <c r="C29" s="114"/>
      <c r="D29" s="3372" t="s">
        <v>308</v>
      </c>
      <c r="E29" s="3373"/>
      <c r="F29" s="3373"/>
      <c r="G29" s="817"/>
      <c r="H29" s="817"/>
      <c r="I29" s="817"/>
      <c r="J29" s="818"/>
      <c r="K29" s="3188"/>
      <c r="U29" s="612"/>
      <c r="V29" s="693">
        <v>15</v>
      </c>
    </row>
    <row r="30" spans="1:22" ht="35.65" customHeight="1">
      <c r="C30" s="114"/>
      <c r="D30" s="696" t="s">
        <v>85</v>
      </c>
      <c r="E30" s="695" t="s">
        <v>310</v>
      </c>
      <c r="F30" s="695" t="s">
        <v>573</v>
      </c>
      <c r="G30" s="739" t="s">
        <v>311</v>
      </c>
      <c r="H30" s="738" t="s">
        <v>398</v>
      </c>
      <c r="I30" s="621" t="s">
        <v>311</v>
      </c>
      <c r="J30" s="402" t="s">
        <v>398</v>
      </c>
      <c r="K30" s="3191"/>
      <c r="V30" s="442">
        <v>34</v>
      </c>
    </row>
    <row r="31" spans="1:22" ht="15" hidden="1" customHeight="1">
      <c r="C31" s="114"/>
      <c r="D31" s="530"/>
      <c r="E31" s="530"/>
      <c r="F31" s="530"/>
      <c r="G31" s="596"/>
      <c r="H31" s="596"/>
      <c r="I31" s="596"/>
      <c r="J31" s="596"/>
      <c r="K31" s="227"/>
      <c r="V31" s="442">
        <v>0</v>
      </c>
    </row>
    <row r="32" spans="1:22" ht="24" customHeight="1">
      <c r="A32" s="442"/>
      <c r="B32" s="442" t="s">
        <v>957</v>
      </c>
      <c r="C32" s="463"/>
      <c r="D32" s="629">
        <v>1</v>
      </c>
      <c r="E32" s="630" t="s">
        <v>958</v>
      </c>
      <c r="F32" s="628" t="s">
        <v>314</v>
      </c>
      <c r="G32" s="744" t="s">
        <v>314</v>
      </c>
      <c r="H32" s="744" t="s">
        <v>314</v>
      </c>
      <c r="I32" s="628" t="s">
        <v>314</v>
      </c>
      <c r="J32" s="628" t="s">
        <v>314</v>
      </c>
      <c r="K32" s="227"/>
      <c r="V32" s="442">
        <v>23</v>
      </c>
    </row>
    <row r="33" spans="1:22" ht="11.45" customHeight="1">
      <c r="A33" s="442"/>
      <c r="C33" s="442"/>
      <c r="D33" s="285"/>
      <c r="E33" s="517" t="s">
        <v>593</v>
      </c>
      <c r="F33" s="509"/>
      <c r="G33" s="509"/>
      <c r="H33" s="509"/>
      <c r="I33" s="509"/>
      <c r="J33" s="509"/>
      <c r="K33" s="510"/>
      <c r="U33" s="442"/>
      <c r="V33" s="442">
        <v>11</v>
      </c>
    </row>
    <row r="34" spans="1:22" ht="24" customHeight="1">
      <c r="A34" s="442"/>
      <c r="B34" s="518" t="s">
        <v>643</v>
      </c>
      <c r="C34" s="463"/>
      <c r="D34" s="629">
        <v>2</v>
      </c>
      <c r="E34" s="630" t="s">
        <v>959</v>
      </c>
      <c r="F34" s="751" t="s">
        <v>314</v>
      </c>
      <c r="G34" s="751" t="s">
        <v>314</v>
      </c>
      <c r="H34" s="751" t="s">
        <v>314</v>
      </c>
      <c r="I34" s="628"/>
      <c r="J34" s="628"/>
      <c r="K34" s="227"/>
      <c r="V34" s="442">
        <v>23</v>
      </c>
    </row>
    <row r="35" spans="1:22" ht="11.45" customHeight="1">
      <c r="A35" s="442"/>
      <c r="C35" s="442"/>
      <c r="D35" s="285"/>
      <c r="E35" s="517" t="s">
        <v>960</v>
      </c>
      <c r="F35" s="509"/>
      <c r="G35" s="631"/>
      <c r="H35" s="509"/>
      <c r="I35" s="631"/>
      <c r="J35" s="509"/>
      <c r="K35" s="510"/>
      <c r="U35" s="442"/>
      <c r="V35" s="442">
        <v>11</v>
      </c>
    </row>
    <row r="36" spans="1:22" ht="71.25" customHeight="1">
      <c r="A36" s="442"/>
      <c r="B36" s="442" t="s">
        <v>961</v>
      </c>
      <c r="C36" s="463"/>
      <c r="D36" s="629">
        <v>3</v>
      </c>
      <c r="E36" s="630" t="s">
        <v>962</v>
      </c>
      <c r="F36" s="632" t="s">
        <v>314</v>
      </c>
      <c r="G36" s="745" t="s">
        <v>963</v>
      </c>
      <c r="H36" s="744" t="s">
        <v>314</v>
      </c>
      <c r="I36" s="461" t="s">
        <v>963</v>
      </c>
      <c r="J36" s="628" t="s">
        <v>314</v>
      </c>
      <c r="K36" s="227" t="s">
        <v>964</v>
      </c>
      <c r="V36" s="442">
        <v>68</v>
      </c>
    </row>
    <row r="37" spans="1:22" ht="11.45" customHeight="1">
      <c r="A37" s="442"/>
      <c r="C37" s="442"/>
      <c r="D37" s="285"/>
      <c r="E37" s="517" t="s">
        <v>965</v>
      </c>
      <c r="F37" s="509"/>
      <c r="G37" s="631"/>
      <c r="H37" s="631"/>
      <c r="I37" s="631"/>
      <c r="J37" s="631"/>
      <c r="K37" s="510"/>
      <c r="U37" s="442"/>
      <c r="V37" s="442">
        <v>11</v>
      </c>
    </row>
    <row r="38" spans="1:22" ht="71.25" customHeight="1">
      <c r="A38" s="442"/>
      <c r="B38" s="442" t="s">
        <v>966</v>
      </c>
      <c r="C38" s="463"/>
      <c r="D38" s="629">
        <v>4</v>
      </c>
      <c r="E38" s="630" t="s">
        <v>967</v>
      </c>
      <c r="F38" s="632" t="s">
        <v>314</v>
      </c>
      <c r="G38" s="745" t="s">
        <v>963</v>
      </c>
      <c r="H38" s="746" t="s">
        <v>314</v>
      </c>
      <c r="I38" s="461" t="s">
        <v>963</v>
      </c>
      <c r="J38" s="458" t="s">
        <v>314</v>
      </c>
      <c r="K38" s="616" t="s">
        <v>968</v>
      </c>
      <c r="V38" s="442">
        <v>68</v>
      </c>
    </row>
    <row r="39" spans="1:22" ht="11.45" customHeight="1">
      <c r="A39" s="442"/>
      <c r="C39" s="442"/>
      <c r="D39" s="285"/>
      <c r="E39" s="517" t="s">
        <v>969</v>
      </c>
      <c r="F39" s="509"/>
      <c r="G39" s="509"/>
      <c r="H39" s="633"/>
      <c r="I39" s="509"/>
      <c r="J39" s="633"/>
      <c r="K39" s="510"/>
      <c r="U39" s="442"/>
      <c r="V39" s="442">
        <v>11</v>
      </c>
    </row>
    <row r="40" spans="1:22" ht="22.5" hidden="1" customHeight="1">
      <c r="A40" s="386" t="s">
        <v>79</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6F73-550F-E5CC-DDCA-DA9E53F86432}">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3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32"/>
      <c r="H5" s="3232"/>
      <c r="I5" s="3232"/>
      <c r="J5" s="3232"/>
      <c r="K5" s="3232"/>
      <c r="M5" s="519"/>
      <c r="AB5" s="836"/>
      <c r="AE5" s="693">
        <v>26</v>
      </c>
    </row>
    <row r="6" spans="1:31" s="1562" customFormat="1" ht="16.899999999999999" customHeight="1">
      <c r="A6" s="1093"/>
      <c r="B6" s="1093"/>
      <c r="C6" s="1093"/>
      <c r="D6" s="1087"/>
      <c r="F6" s="3204" t="str">
        <f>IF(org=0,"Не определено",org)</f>
        <v>АО Нижневартовская ГРЭС</v>
      </c>
      <c r="G6" s="3204"/>
      <c r="H6" s="3204"/>
      <c r="I6" s="3204"/>
      <c r="J6" s="3204"/>
      <c r="K6" s="3204"/>
      <c r="M6" s="519"/>
      <c r="AB6" s="1075"/>
      <c r="AE6" s="1558">
        <v>16</v>
      </c>
    </row>
    <row r="7" spans="1:31" ht="10.5" customHeight="1">
      <c r="AE7" s="693">
        <v>10</v>
      </c>
    </row>
    <row r="8" spans="1:31" ht="10.5" customHeight="1">
      <c r="A8" s="981"/>
      <c r="B8" s="981"/>
      <c r="C8" s="981"/>
      <c r="F8" s="3093" t="s">
        <v>308</v>
      </c>
      <c r="G8" s="3098"/>
      <c r="H8" s="3098"/>
      <c r="I8" s="3098"/>
      <c r="J8" s="3098"/>
      <c r="K8" s="3098"/>
      <c r="L8" s="3098"/>
      <c r="M8" s="3098"/>
      <c r="N8" s="3098"/>
      <c r="O8" s="3098"/>
      <c r="P8" s="3098"/>
      <c r="Q8" s="3098"/>
      <c r="R8" s="3098"/>
      <c r="S8" s="3098"/>
      <c r="T8" s="3098"/>
      <c r="U8" s="3098"/>
      <c r="V8" s="3098"/>
      <c r="W8" s="3098"/>
      <c r="X8" s="3098"/>
      <c r="Y8" s="3098"/>
      <c r="Z8" s="3098"/>
      <c r="AA8" s="3098"/>
      <c r="AB8" s="3092"/>
      <c r="AE8" s="693">
        <v>10</v>
      </c>
    </row>
    <row r="9" spans="1:31" ht="43.15" customHeight="1">
      <c r="A9" s="835"/>
      <c r="B9" s="835"/>
      <c r="C9" s="835"/>
      <c r="F9" s="3111" t="s">
        <v>85</v>
      </c>
      <c r="G9" s="3111" t="s">
        <v>970</v>
      </c>
      <c r="H9" s="3184" t="s">
        <v>971</v>
      </c>
      <c r="I9" s="3111" t="s">
        <v>972</v>
      </c>
      <c r="J9" s="3111" t="s">
        <v>973</v>
      </c>
      <c r="K9" s="3111" t="s">
        <v>974</v>
      </c>
      <c r="L9" s="3111" t="s">
        <v>975</v>
      </c>
      <c r="M9" s="3111" t="s">
        <v>976</v>
      </c>
      <c r="N9" s="3212" t="s">
        <v>977</v>
      </c>
      <c r="O9" s="3212"/>
      <c r="P9" s="3212"/>
      <c r="Q9" s="3269" t="s">
        <v>978</v>
      </c>
      <c r="R9" s="3270"/>
      <c r="S9" s="3270"/>
      <c r="T9" s="3271"/>
      <c r="U9" s="3269" t="s">
        <v>979</v>
      </c>
      <c r="V9" s="3270"/>
      <c r="W9" s="3270"/>
      <c r="X9" s="3271"/>
      <c r="Y9" s="3093" t="s">
        <v>980</v>
      </c>
      <c r="Z9" s="3098"/>
      <c r="AA9" s="3098"/>
      <c r="AB9" s="3092"/>
      <c r="AE9" s="693">
        <v>41</v>
      </c>
    </row>
    <row r="10" spans="1:31" ht="43.15" customHeight="1">
      <c r="A10" s="835"/>
      <c r="B10" s="835"/>
      <c r="C10" s="835"/>
      <c r="F10" s="3184"/>
      <c r="G10" s="3184"/>
      <c r="H10" s="3237"/>
      <c r="I10" s="3184"/>
      <c r="J10" s="3184"/>
      <c r="K10" s="3184"/>
      <c r="L10" s="3184"/>
      <c r="M10" s="3184"/>
      <c r="N10" s="833" t="s">
        <v>981</v>
      </c>
      <c r="O10" s="833" t="s">
        <v>982</v>
      </c>
      <c r="P10" s="834" t="s">
        <v>983</v>
      </c>
      <c r="Q10" s="845" t="s">
        <v>86</v>
      </c>
      <c r="R10" s="845" t="s">
        <v>984</v>
      </c>
      <c r="S10" s="845" t="s">
        <v>985</v>
      </c>
      <c r="T10" s="846" t="s">
        <v>986</v>
      </c>
      <c r="U10" s="845" t="s">
        <v>86</v>
      </c>
      <c r="V10" s="845" t="s">
        <v>987</v>
      </c>
      <c r="W10" s="845" t="s">
        <v>985</v>
      </c>
      <c r="X10" s="846" t="s">
        <v>986</v>
      </c>
      <c r="Y10" s="239" t="s">
        <v>988</v>
      </c>
      <c r="Z10" s="3093" t="s">
        <v>85</v>
      </c>
      <c r="AA10" s="3092"/>
      <c r="AB10" s="979" t="s">
        <v>989</v>
      </c>
      <c r="AE10" s="693">
        <v>41</v>
      </c>
    </row>
    <row r="11" spans="1:31" s="1569" customFormat="1" ht="5.25" hidden="1" customHeight="1">
      <c r="A11" s="982"/>
      <c r="B11" s="982"/>
      <c r="C11" s="982"/>
      <c r="E11" s="980"/>
      <c r="F11" s="3399" t="s">
        <v>384</v>
      </c>
      <c r="G11" s="3401"/>
      <c r="H11" s="3397"/>
      <c r="I11" s="3397"/>
      <c r="J11" s="3397"/>
      <c r="K11" s="3400"/>
      <c r="L11" s="3400"/>
      <c r="M11" s="3400"/>
      <c r="N11" s="3397"/>
      <c r="O11" s="3397"/>
      <c r="P11" s="3111"/>
      <c r="Q11" s="3194"/>
      <c r="R11" s="3194"/>
      <c r="S11" s="3194"/>
      <c r="T11" s="3397"/>
      <c r="U11" s="3194"/>
      <c r="V11" s="3194"/>
      <c r="W11" s="3194"/>
      <c r="X11" s="3397"/>
      <c r="Y11" s="3122"/>
      <c r="Z11" s="3122"/>
      <c r="AA11" s="3122"/>
      <c r="AB11" s="3122"/>
      <c r="AD11" s="448" t="s">
        <v>990</v>
      </c>
      <c r="AE11" s="448">
        <v>0</v>
      </c>
    </row>
    <row r="12" spans="1:31" s="1569" customFormat="1" ht="5.25" hidden="1" customHeight="1">
      <c r="A12" s="826"/>
      <c r="B12" s="826"/>
      <c r="C12" s="826"/>
      <c r="E12" s="455"/>
      <c r="F12" s="3399"/>
      <c r="G12" s="3401"/>
      <c r="H12" s="3397"/>
      <c r="I12" s="3397"/>
      <c r="J12" s="3397"/>
      <c r="K12" s="3400"/>
      <c r="L12" s="3400"/>
      <c r="M12" s="3400"/>
      <c r="N12" s="3397"/>
      <c r="O12" s="3397"/>
      <c r="P12" s="3111"/>
      <c r="Q12" s="3194"/>
      <c r="R12" s="3194"/>
      <c r="S12" s="3194"/>
      <c r="T12" s="3397"/>
      <c r="U12" s="3194"/>
      <c r="V12" s="3194"/>
      <c r="W12" s="3194"/>
      <c r="X12" s="3397"/>
      <c r="Y12" s="3398"/>
      <c r="Z12" s="3398"/>
      <c r="AA12" s="3398"/>
      <c r="AB12" s="3398"/>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79</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017C9-C465-1D24-DA89-3ED0B0A01DAD}">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3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32"/>
      <c r="H5" s="3232"/>
      <c r="I5" s="3232"/>
      <c r="J5" s="3232"/>
      <c r="K5" s="3232"/>
      <c r="L5" s="1062"/>
      <c r="M5" s="1062"/>
      <c r="AG5" s="836"/>
      <c r="AH5" s="1075"/>
      <c r="BG5" s="693">
        <v>26</v>
      </c>
    </row>
    <row r="6" spans="1:59" ht="10.5" customHeight="1">
      <c r="F6" s="3204" t="str">
        <f>IF(org=0,"Не определено",org)</f>
        <v>АО Нижневартовская ГРЭС</v>
      </c>
      <c r="G6" s="3204"/>
      <c r="H6" s="3204"/>
      <c r="I6" s="3204"/>
      <c r="J6" s="3204"/>
      <c r="K6" s="320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404" t="s">
        <v>308</v>
      </c>
      <c r="G8" s="3405"/>
      <c r="H8" s="3405"/>
      <c r="I8" s="3405"/>
      <c r="J8" s="3405"/>
      <c r="K8" s="3405"/>
      <c r="L8" s="3405"/>
      <c r="M8" s="3405"/>
      <c r="N8" s="3405"/>
      <c r="O8" s="3405"/>
      <c r="P8" s="3405"/>
      <c r="Q8" s="3405"/>
      <c r="R8" s="3405"/>
      <c r="S8" s="3405"/>
      <c r="T8" s="3405"/>
      <c r="U8" s="3405"/>
      <c r="V8" s="3405"/>
      <c r="W8" s="3405"/>
      <c r="X8" s="3405"/>
      <c r="Y8" s="3405"/>
      <c r="Z8" s="3405"/>
      <c r="AA8" s="3405"/>
      <c r="AB8" s="3405"/>
      <c r="AC8" s="3405"/>
      <c r="AD8" s="3405"/>
      <c r="AE8" s="3405"/>
      <c r="AF8" s="3405"/>
      <c r="AG8" s="3405"/>
      <c r="AH8" s="3405"/>
      <c r="AI8" s="3405"/>
      <c r="AJ8" s="3405"/>
      <c r="AK8" s="340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3212" t="s">
        <v>992</v>
      </c>
      <c r="G9" s="3345" t="s">
        <v>993</v>
      </c>
      <c r="H9" s="3386"/>
      <c r="I9" s="3111" t="s">
        <v>994</v>
      </c>
      <c r="J9" s="3111"/>
      <c r="K9" s="3111" t="s">
        <v>995</v>
      </c>
      <c r="L9" s="3111"/>
      <c r="M9" s="3111"/>
      <c r="N9" s="3111"/>
      <c r="O9" s="3111"/>
      <c r="P9" s="3111"/>
      <c r="Q9" s="3111"/>
      <c r="R9" s="3111"/>
      <c r="S9" s="3111"/>
      <c r="T9" s="3111"/>
      <c r="U9" s="3111"/>
      <c r="V9" s="3111"/>
      <c r="W9" s="3111"/>
      <c r="X9" s="3111"/>
      <c r="Y9" s="3111"/>
      <c r="Z9" s="3185" t="s">
        <v>996</v>
      </c>
      <c r="AA9" s="3186"/>
      <c r="AB9" s="3111" t="s">
        <v>997</v>
      </c>
      <c r="AC9" s="3111"/>
      <c r="AD9" s="3111"/>
      <c r="AE9" s="3111"/>
      <c r="AF9" s="3184" t="s">
        <v>998</v>
      </c>
      <c r="AG9" s="3111" t="s">
        <v>999</v>
      </c>
      <c r="AH9" s="3111"/>
      <c r="AI9" s="3184" t="s">
        <v>1000</v>
      </c>
      <c r="AJ9" s="3111" t="s">
        <v>1001</v>
      </c>
      <c r="AK9" s="311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3212"/>
      <c r="G10" s="3346"/>
      <c r="H10" s="3216"/>
      <c r="I10" s="3111"/>
      <c r="J10" s="3111"/>
      <c r="K10" s="3111" t="s">
        <v>1002</v>
      </c>
      <c r="L10" s="3093" t="s">
        <v>1003</v>
      </c>
      <c r="M10" s="3092"/>
      <c r="N10" s="3111" t="s">
        <v>1004</v>
      </c>
      <c r="O10" s="3111"/>
      <c r="P10" s="3111"/>
      <c r="Q10" s="3111"/>
      <c r="R10" s="3111"/>
      <c r="S10" s="3111"/>
      <c r="T10" s="3111"/>
      <c r="U10" s="3111"/>
      <c r="V10" s="3111"/>
      <c r="W10" s="3111"/>
      <c r="X10" s="3111"/>
      <c r="Y10" s="3111"/>
      <c r="Z10" s="3187"/>
      <c r="AA10" s="3188"/>
      <c r="AB10" s="3111"/>
      <c r="AC10" s="3111"/>
      <c r="AD10" s="3111"/>
      <c r="AE10" s="3111"/>
      <c r="AF10" s="3189"/>
      <c r="AG10" s="3111"/>
      <c r="AH10" s="3111"/>
      <c r="AI10" s="3189"/>
      <c r="AJ10" s="3111"/>
      <c r="AK10" s="311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3212"/>
      <c r="G11" s="3346"/>
      <c r="H11" s="3216"/>
      <c r="I11" s="3111"/>
      <c r="J11" s="3111"/>
      <c r="K11" s="3111"/>
      <c r="L11" s="3184" t="s">
        <v>1005</v>
      </c>
      <c r="M11" s="3184" t="s">
        <v>1006</v>
      </c>
      <c r="N11" s="3111" t="s">
        <v>1007</v>
      </c>
      <c r="O11" s="3111"/>
      <c r="P11" s="3172" t="s">
        <v>988</v>
      </c>
      <c r="Q11" s="3172" t="s">
        <v>1008</v>
      </c>
      <c r="R11" s="3172" t="s">
        <v>1009</v>
      </c>
      <c r="S11" s="3172" t="s">
        <v>1010</v>
      </c>
      <c r="T11" s="3172"/>
      <c r="U11" s="3172"/>
      <c r="V11" s="3172"/>
      <c r="W11" s="3172"/>
      <c r="X11" s="3172"/>
      <c r="Y11" s="3172"/>
      <c r="Z11" s="3187"/>
      <c r="AA11" s="3188"/>
      <c r="AB11" s="3111" t="s">
        <v>1011</v>
      </c>
      <c r="AC11" s="3111"/>
      <c r="AD11" s="3093" t="s">
        <v>1012</v>
      </c>
      <c r="AE11" s="3092"/>
      <c r="AF11" s="3189"/>
      <c r="AG11" s="3111"/>
      <c r="AH11" s="3111"/>
      <c r="AI11" s="3189"/>
      <c r="AJ11" s="3111"/>
      <c r="AK11" s="311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3212"/>
      <c r="G12" s="3347"/>
      <c r="H12" s="3403"/>
      <c r="I12" s="1080" t="s">
        <v>86</v>
      </c>
      <c r="J12" s="1080" t="s">
        <v>1013</v>
      </c>
      <c r="K12" s="3111"/>
      <c r="L12" s="3237"/>
      <c r="M12" s="3237"/>
      <c r="N12" s="3111"/>
      <c r="O12" s="3111"/>
      <c r="P12" s="3172"/>
      <c r="Q12" s="3172"/>
      <c r="R12" s="3172"/>
      <c r="S12" s="1061" t="s">
        <v>83</v>
      </c>
      <c r="T12" s="1061" t="s">
        <v>84</v>
      </c>
      <c r="U12" s="1061" t="s">
        <v>82</v>
      </c>
      <c r="V12" s="1061" t="s">
        <v>1014</v>
      </c>
      <c r="W12" s="1061" t="s">
        <v>82</v>
      </c>
      <c r="X12" s="1061" t="s">
        <v>1015</v>
      </c>
      <c r="Y12" s="1061" t="s">
        <v>1016</v>
      </c>
      <c r="Z12" s="3190"/>
      <c r="AA12" s="3191"/>
      <c r="AB12" s="1068" t="s">
        <v>1017</v>
      </c>
      <c r="AC12" s="1068" t="s">
        <v>1018</v>
      </c>
      <c r="AD12" s="1068" t="s">
        <v>1017</v>
      </c>
      <c r="AE12" s="1068" t="s">
        <v>1018</v>
      </c>
      <c r="AF12" s="3237"/>
      <c r="AG12" s="1081" t="s">
        <v>1019</v>
      </c>
      <c r="AH12" s="1081" t="s">
        <v>1020</v>
      </c>
      <c r="AI12" s="3237"/>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402"/>
      <c r="G17" s="3402"/>
      <c r="H17" s="3402"/>
      <c r="I17" s="3402"/>
      <c r="J17" s="340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402"/>
      <c r="G18" s="3402"/>
      <c r="H18" s="3402"/>
      <c r="I18" s="3402"/>
      <c r="J18" s="340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402"/>
      <c r="G19" s="3402"/>
      <c r="H19" s="3402"/>
      <c r="I19" s="3402"/>
      <c r="J19" s="340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79</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FC021-17FE-7A87-5CA5-67F3B9CDE1CF}">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323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232"/>
      <c r="H5" s="3232"/>
      <c r="I5" s="3232"/>
      <c r="J5" s="3232"/>
      <c r="W5" s="1082">
        <v>26</v>
      </c>
    </row>
    <row r="6" spans="1:23" ht="10.5" customHeight="1">
      <c r="F6" s="3204" t="str">
        <f>IF(org=0,"Не определено",org)</f>
        <v>АО Нижневартовская ГРЭС</v>
      </c>
      <c r="G6" s="3204"/>
      <c r="H6" s="3204"/>
      <c r="I6" s="3204"/>
      <c r="J6" s="320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407" t="s">
        <v>308</v>
      </c>
      <c r="G9" s="3408"/>
      <c r="H9" s="3408"/>
      <c r="I9" s="3408"/>
      <c r="J9" s="3408"/>
      <c r="K9" s="1167"/>
      <c r="L9" s="1084"/>
      <c r="M9" s="1084"/>
      <c r="N9" s="1084"/>
      <c r="O9" s="1084"/>
      <c r="P9" s="1084"/>
      <c r="Q9" s="1084"/>
      <c r="R9" s="1084"/>
      <c r="S9" s="1084"/>
      <c r="T9" s="1084"/>
      <c r="U9" s="1084"/>
      <c r="V9" s="1084"/>
      <c r="W9" s="1082">
        <v>10</v>
      </c>
    </row>
    <row r="10" spans="1:23" ht="25.15" customHeight="1">
      <c r="E10" s="1084"/>
      <c r="F10" s="3411" t="s">
        <v>85</v>
      </c>
      <c r="G10" s="3415" t="s">
        <v>1022</v>
      </c>
      <c r="H10" s="3397" t="s">
        <v>1023</v>
      </c>
      <c r="I10" s="3397"/>
      <c r="J10" s="3397"/>
      <c r="K10" s="1160"/>
      <c r="L10" s="1084"/>
      <c r="M10" s="1084"/>
      <c r="N10" s="1084"/>
      <c r="O10" s="1084"/>
      <c r="P10" s="1084"/>
      <c r="Q10" s="1084"/>
      <c r="R10" s="1084"/>
      <c r="S10" s="1084"/>
      <c r="T10" s="1084"/>
      <c r="U10" s="1084"/>
      <c r="V10" s="1084"/>
      <c r="W10" s="1082">
        <v>24</v>
      </c>
    </row>
    <row r="11" spans="1:23" ht="25.5" customHeight="1">
      <c r="E11" s="1084"/>
      <c r="F11" s="3412"/>
      <c r="G11" s="3415"/>
      <c r="H11" s="3414" t="e">
        <f>INDEX(IP_MAIN_LIST_NAME_IP,MATCH(H8,IP_MAIN_LIST_IP_ID,0))&amp;" ("&amp;INDEX(IP_MAIN_START_DATE,MATCH(H8,IP_MAIN_LIST_IP_ID,0))&amp;"-"&amp;INDEX(IP_MAIN_END_DATE,MATCH(H8,IP_MAIN_LIST_IP_ID,0))&amp;")"</f>
        <v>#N/A</v>
      </c>
      <c r="I11" s="3414"/>
      <c r="J11" s="3414"/>
      <c r="K11" s="1160"/>
      <c r="L11" s="1084"/>
      <c r="M11" s="1084"/>
      <c r="N11" s="1084"/>
      <c r="O11" s="1084"/>
      <c r="P11" s="1084"/>
      <c r="Q11" s="1084"/>
      <c r="R11" s="1084"/>
      <c r="S11" s="1084"/>
      <c r="T11" s="1084"/>
      <c r="U11" s="1084"/>
      <c r="V11" s="1084"/>
      <c r="W11" s="1082">
        <v>24</v>
      </c>
    </row>
    <row r="12" spans="1:23" ht="10.5" customHeight="1">
      <c r="F12" s="3413"/>
      <c r="G12" s="3415"/>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3409" t="s">
        <v>1026</v>
      </c>
      <c r="H14" s="3409"/>
      <c r="I14" s="3409"/>
      <c r="J14" s="3409"/>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315</v>
      </c>
      <c r="G30" s="1164" t="s">
        <v>1054</v>
      </c>
      <c r="H30" s="1163">
        <f t="shared" si="0"/>
        <v>0</v>
      </c>
      <c r="I30" s="1162"/>
      <c r="J30" s="1152"/>
      <c r="K30" s="1161"/>
      <c r="W30" s="1082">
        <v>11</v>
      </c>
    </row>
    <row r="31" spans="6:23" ht="11.45" customHeight="1">
      <c r="F31" s="1157" t="s">
        <v>318</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332</v>
      </c>
      <c r="G33" s="1164" t="s">
        <v>1057</v>
      </c>
      <c r="H33" s="1163">
        <f t="shared" si="0"/>
        <v>0</v>
      </c>
      <c r="I33" s="1162"/>
      <c r="J33" s="1152"/>
      <c r="K33" s="1161"/>
      <c r="W33" s="1082">
        <v>46</v>
      </c>
    </row>
    <row r="34" spans="6:23" ht="11.45" customHeight="1">
      <c r="F34" s="1157" t="s">
        <v>340</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3410" t="s">
        <v>1062</v>
      </c>
      <c r="H37" s="3410"/>
      <c r="I37" s="3410"/>
      <c r="J37" s="3410"/>
      <c r="K37" s="1161"/>
      <c r="W37" s="1082">
        <v>28</v>
      </c>
    </row>
    <row r="38" spans="6:23" ht="24" customHeight="1">
      <c r="F38" s="1157" t="s">
        <v>107</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108</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315</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318</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79</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6E474-7724-402C-15D2-C2A1C5E7775B}">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34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155"/>
      <c r="H5" s="3155"/>
      <c r="I5" s="3155"/>
      <c r="J5" s="3155"/>
      <c r="K5" s="3155"/>
      <c r="L5" s="3155"/>
      <c r="M5" s="3155"/>
      <c r="N5" s="3155"/>
      <c r="O5" s="3155"/>
      <c r="P5" s="3155"/>
      <c r="Q5" s="3155"/>
      <c r="R5" s="3155"/>
      <c r="S5" s="3155"/>
      <c r="T5" s="3155"/>
      <c r="U5" s="3155"/>
      <c r="V5" s="3155"/>
      <c r="W5" s="3155"/>
      <c r="X5" s="3155"/>
      <c r="Y5" s="3155"/>
      <c r="Z5" s="3155"/>
      <c r="AA5" s="3155"/>
      <c r="AB5" s="3155"/>
      <c r="AC5" s="3155"/>
      <c r="AD5" s="3155"/>
      <c r="AE5" s="3155"/>
      <c r="AF5" s="3155"/>
      <c r="AG5" s="3155"/>
      <c r="AH5" s="3155"/>
      <c r="AI5" s="3155"/>
      <c r="AJ5" s="3155"/>
      <c r="AK5" s="3155"/>
      <c r="AL5" s="3155"/>
      <c r="AM5" s="3155"/>
      <c r="AN5" s="3155"/>
      <c r="AO5" s="3155"/>
      <c r="AP5" s="3155"/>
      <c r="AQ5" s="3155"/>
      <c r="AR5" s="3155"/>
      <c r="AS5" s="3155"/>
      <c r="AT5" s="3155"/>
      <c r="AU5" s="3155"/>
      <c r="AV5" s="3155"/>
      <c r="AW5" s="3155"/>
      <c r="AX5" s="3155"/>
      <c r="AY5" s="3155"/>
      <c r="AZ5" s="3155"/>
      <c r="BA5" s="3155"/>
      <c r="BB5" s="3155"/>
      <c r="BC5" s="3155"/>
      <c r="BD5" s="3155"/>
      <c r="BE5" s="3155"/>
      <c r="BF5" s="3155"/>
      <c r="BG5" s="3155"/>
      <c r="BH5" s="3155"/>
      <c r="BI5" s="3155"/>
      <c r="BJ5" s="3155"/>
      <c r="BK5" s="3155"/>
      <c r="BL5" s="3155"/>
      <c r="BM5" s="3155"/>
      <c r="BN5" s="3155"/>
      <c r="BO5" s="3155"/>
      <c r="BP5" s="3155"/>
      <c r="BQ5" s="3155"/>
      <c r="BR5" s="3155"/>
      <c r="BS5" s="3155"/>
      <c r="GC5" s="1798">
        <v>26</v>
      </c>
    </row>
    <row r="6" spans="2:185" s="2002" customFormat="1" ht="18.75" customHeight="1">
      <c r="B6" s="873"/>
      <c r="E6" s="875"/>
      <c r="F6" s="3226" t="str">
        <f>IF(org=0,"Не определено",org)</f>
        <v>АО Нижневартовская ГРЭС</v>
      </c>
      <c r="G6" s="3227"/>
      <c r="H6" s="3227"/>
      <c r="I6" s="3227"/>
      <c r="J6" s="3227"/>
      <c r="K6" s="3227"/>
      <c r="L6" s="3227"/>
      <c r="M6" s="3227"/>
      <c r="N6" s="3227"/>
      <c r="O6" s="3227"/>
      <c r="P6" s="3227"/>
      <c r="Q6" s="3227"/>
      <c r="R6" s="3227"/>
      <c r="S6" s="3227"/>
      <c r="T6" s="3227"/>
      <c r="U6" s="3227"/>
      <c r="V6" s="3227"/>
      <c r="W6" s="3227"/>
      <c r="X6" s="3227"/>
      <c r="Y6" s="3227"/>
      <c r="Z6" s="3227"/>
      <c r="AA6" s="3227"/>
      <c r="AB6" s="3227"/>
      <c r="AC6" s="3227"/>
      <c r="AD6" s="3227"/>
      <c r="AE6" s="3227"/>
      <c r="AF6" s="3227"/>
      <c r="AG6" s="3227"/>
      <c r="AH6" s="3227"/>
      <c r="AI6" s="3227"/>
      <c r="AJ6" s="3227"/>
      <c r="AK6" s="3227"/>
      <c r="AL6" s="3227"/>
      <c r="AM6" s="3227"/>
      <c r="AN6" s="3227"/>
      <c r="AO6" s="3227"/>
      <c r="AP6" s="3227"/>
      <c r="AQ6" s="3227"/>
      <c r="AR6" s="3227"/>
      <c r="AS6" s="3227"/>
      <c r="AT6" s="3227"/>
      <c r="AU6" s="3227"/>
      <c r="AV6" s="3227"/>
      <c r="AW6" s="3227"/>
      <c r="AX6" s="3227"/>
      <c r="AY6" s="3227"/>
      <c r="AZ6" s="3227"/>
      <c r="BA6" s="3227"/>
      <c r="BB6" s="3227"/>
      <c r="BC6" s="3227"/>
      <c r="BD6" s="3227"/>
      <c r="BE6" s="3227"/>
      <c r="BF6" s="3227"/>
      <c r="BG6" s="3227"/>
      <c r="BH6" s="3227"/>
      <c r="BI6" s="3227"/>
      <c r="BJ6" s="3227"/>
      <c r="BK6" s="3227"/>
      <c r="BL6" s="3227"/>
      <c r="BM6" s="3227"/>
      <c r="BN6" s="3227"/>
      <c r="BO6" s="3227"/>
      <c r="BP6" s="3227"/>
      <c r="BQ6" s="3227"/>
      <c r="BR6" s="3227"/>
      <c r="BS6" s="322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425" t="s">
        <v>1078</v>
      </c>
      <c r="P8" s="3426"/>
      <c r="Q8" s="3426"/>
      <c r="R8" s="3426"/>
      <c r="S8" s="3426"/>
      <c r="T8" s="3426"/>
      <c r="U8" s="3426"/>
      <c r="V8" s="3426"/>
      <c r="W8" s="3426"/>
      <c r="X8" s="3426"/>
      <c r="Y8" s="3426"/>
      <c r="Z8" s="3426"/>
      <c r="AA8" s="3426"/>
      <c r="AB8" s="3426"/>
      <c r="AC8" s="3426"/>
      <c r="AD8" s="3426"/>
      <c r="AE8" s="3426"/>
      <c r="AF8" s="3426"/>
      <c r="AG8" s="3426"/>
      <c r="AH8" s="3426"/>
      <c r="AI8" s="3426"/>
      <c r="AJ8" s="3426"/>
      <c r="AK8" s="3426"/>
      <c r="AL8" s="3426"/>
      <c r="AM8" s="3426"/>
      <c r="AN8" s="3426"/>
      <c r="AO8" s="3426"/>
      <c r="AP8" s="3426"/>
      <c r="AQ8" s="3426"/>
      <c r="AR8" s="3426"/>
      <c r="AS8" s="3426"/>
      <c r="AT8" s="3426"/>
      <c r="AU8" s="3426"/>
      <c r="AV8" s="3426"/>
      <c r="AW8" s="3426"/>
      <c r="AX8" s="3426"/>
      <c r="AY8" s="3426"/>
      <c r="AZ8" s="3426"/>
      <c r="BA8" s="3426"/>
      <c r="BB8" s="3426"/>
      <c r="BC8" s="3426"/>
      <c r="BD8" s="3426"/>
      <c r="BE8" s="3426"/>
      <c r="BF8" s="3426"/>
      <c r="BG8" s="3426"/>
      <c r="BH8" s="3426"/>
      <c r="BI8" s="3426"/>
      <c r="BJ8" s="3426"/>
      <c r="BK8" s="3426"/>
      <c r="BL8" s="3426"/>
      <c r="BM8" s="3426"/>
      <c r="BN8" s="3426"/>
      <c r="BO8" s="3426"/>
      <c r="BP8" s="3426"/>
      <c r="BQ8" s="3426"/>
      <c r="BR8" s="3426"/>
      <c r="BS8" s="3427"/>
      <c r="BT8" s="3428"/>
      <c r="BU8" s="3429"/>
      <c r="BV8" s="3429"/>
      <c r="BW8" s="3429"/>
      <c r="BX8" s="3429"/>
      <c r="BY8" s="3429"/>
      <c r="BZ8" s="3429"/>
      <c r="CA8" s="3429"/>
      <c r="CB8" s="3429"/>
      <c r="CC8" s="3429"/>
      <c r="CD8" s="3429"/>
      <c r="CE8" s="3429"/>
      <c r="CF8" s="3429"/>
      <c r="CG8" s="3429"/>
      <c r="CH8" s="3429"/>
      <c r="CI8" s="3429"/>
      <c r="CJ8" s="3429"/>
      <c r="CK8" s="3429"/>
      <c r="CL8" s="3429"/>
      <c r="CM8" s="3429"/>
      <c r="CN8" s="3429"/>
      <c r="CO8" s="3429"/>
      <c r="CP8" s="3429"/>
      <c r="CQ8" s="3429"/>
      <c r="CR8" s="3429"/>
      <c r="CS8" s="3429"/>
      <c r="CT8" s="3429"/>
      <c r="CU8" s="3429"/>
      <c r="CV8" s="3429"/>
      <c r="CW8" s="3429"/>
      <c r="CX8" s="3430"/>
      <c r="CY8" s="3431"/>
      <c r="CZ8" s="3432"/>
      <c r="DA8" s="3432"/>
      <c r="DB8" s="3432"/>
      <c r="DC8" s="3432"/>
      <c r="DD8" s="3432"/>
      <c r="DE8" s="3432"/>
      <c r="DF8" s="3432"/>
      <c r="DG8" s="3432"/>
      <c r="DH8" s="3432"/>
      <c r="DI8" s="3432"/>
      <c r="DJ8" s="3432"/>
      <c r="DK8" s="3432"/>
      <c r="DL8" s="3432"/>
      <c r="DM8" s="3432"/>
      <c r="DN8" s="3432"/>
      <c r="DO8" s="3432"/>
      <c r="DP8" s="3432"/>
      <c r="DQ8" s="3432"/>
      <c r="DR8" s="3432"/>
      <c r="DS8" s="3432"/>
      <c r="DT8" s="3432"/>
      <c r="DU8" s="3432"/>
      <c r="DV8" s="3432"/>
      <c r="DW8" s="3432"/>
      <c r="DX8" s="3433"/>
      <c r="DY8" s="3419" t="s">
        <v>1079</v>
      </c>
      <c r="DZ8" s="3420"/>
      <c r="EA8" s="3420"/>
      <c r="EB8" s="3420"/>
      <c r="EC8" s="3420"/>
      <c r="ED8" s="3420"/>
      <c r="EE8" s="3420"/>
      <c r="EF8" s="3420"/>
      <c r="EG8" s="3420"/>
      <c r="EH8" s="3420"/>
      <c r="EI8" s="3420"/>
      <c r="EJ8" s="3420"/>
      <c r="EK8" s="3420"/>
      <c r="EL8" s="3420"/>
      <c r="EM8" s="3420"/>
      <c r="EN8" s="3420"/>
      <c r="EO8" s="3420"/>
      <c r="EP8" s="3420"/>
      <c r="EQ8" s="3420"/>
      <c r="ER8" s="3420"/>
      <c r="ES8" s="3420"/>
      <c r="ET8" s="3420"/>
      <c r="EU8" s="3420"/>
      <c r="EV8" s="3420"/>
      <c r="EW8" s="3420"/>
      <c r="EX8" s="3420"/>
      <c r="EY8" s="3420"/>
      <c r="EZ8" s="3420"/>
      <c r="FA8" s="3420"/>
      <c r="FB8" s="3420"/>
      <c r="FC8" s="3420"/>
      <c r="FD8" s="3420"/>
      <c r="FE8" s="3420"/>
      <c r="FF8" s="3420"/>
      <c r="FG8" s="3420"/>
      <c r="FH8" s="3420"/>
      <c r="FI8" s="3420"/>
      <c r="FJ8" s="3420"/>
      <c r="FK8" s="3420"/>
      <c r="FL8" s="3420"/>
      <c r="FM8" s="3420"/>
      <c r="FN8" s="3420"/>
      <c r="FO8" s="3420"/>
      <c r="FP8" s="3420"/>
      <c r="FQ8" s="3420"/>
      <c r="FR8" s="3420"/>
      <c r="FS8" s="3420"/>
      <c r="FT8" s="3420"/>
      <c r="FU8" s="3420"/>
      <c r="FV8" s="3420"/>
      <c r="FW8" s="342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422"/>
      <c r="FX9" s="986"/>
      <c r="GC9" s="863">
        <v>0</v>
      </c>
    </row>
    <row r="10" spans="2:185" s="863" customFormat="1" ht="11.45" customHeight="1">
      <c r="B10" s="864"/>
      <c r="F10" s="3398" t="s">
        <v>308</v>
      </c>
      <c r="G10" s="3435"/>
      <c r="H10" s="3435"/>
      <c r="I10" s="3435"/>
      <c r="J10" s="3435"/>
      <c r="K10" s="3435"/>
      <c r="L10" s="3435"/>
      <c r="M10" s="3435"/>
      <c r="N10" s="3435"/>
      <c r="O10" s="3435"/>
      <c r="P10" s="3435"/>
      <c r="Q10" s="3435"/>
      <c r="R10" s="3435"/>
      <c r="S10" s="3435"/>
      <c r="T10" s="3435"/>
      <c r="U10" s="3435"/>
      <c r="V10" s="3435"/>
      <c r="W10" s="3435"/>
      <c r="X10" s="3435"/>
      <c r="Y10" s="3435"/>
      <c r="Z10" s="3435"/>
      <c r="AA10" s="3435"/>
      <c r="AB10" s="3435"/>
      <c r="AC10" s="3435"/>
      <c r="AD10" s="3435"/>
      <c r="AE10" s="3435"/>
      <c r="AF10" s="3435"/>
      <c r="AG10" s="3435"/>
      <c r="AH10" s="3435"/>
      <c r="AI10" s="3435"/>
      <c r="AJ10" s="3435"/>
      <c r="AK10" s="3435"/>
      <c r="AL10" s="3435"/>
      <c r="AM10" s="3435"/>
      <c r="AN10" s="3435"/>
      <c r="AO10" s="3435"/>
      <c r="AP10" s="3435"/>
      <c r="AQ10" s="3435"/>
      <c r="AR10" s="3435"/>
      <c r="AS10" s="3435"/>
      <c r="AT10" s="3435"/>
      <c r="AU10" s="3435"/>
      <c r="AV10" s="3435"/>
      <c r="AW10" s="3435"/>
      <c r="AX10" s="3435"/>
      <c r="AY10" s="3435"/>
      <c r="AZ10" s="3435"/>
      <c r="BA10" s="3435"/>
      <c r="BB10" s="3435"/>
      <c r="BC10" s="3435"/>
      <c r="BD10" s="3435"/>
      <c r="BE10" s="3435"/>
      <c r="BF10" s="3435"/>
      <c r="BG10" s="3435"/>
      <c r="BH10" s="3435"/>
      <c r="BI10" s="3435"/>
      <c r="BJ10" s="3435"/>
      <c r="BK10" s="3435"/>
      <c r="BL10" s="3435"/>
      <c r="BM10" s="3435"/>
      <c r="BN10" s="3435"/>
      <c r="BO10" s="3435"/>
      <c r="BP10" s="3435"/>
      <c r="BQ10" s="3435"/>
      <c r="BR10" s="3435"/>
      <c r="BS10" s="3435"/>
      <c r="BT10" s="3435"/>
      <c r="BU10" s="3435"/>
      <c r="BV10" s="3435"/>
      <c r="BW10" s="3435"/>
      <c r="BX10" s="3435"/>
      <c r="BY10" s="3435"/>
      <c r="BZ10" s="3435"/>
      <c r="CA10" s="3435"/>
      <c r="CB10" s="3435"/>
      <c r="CC10" s="3435"/>
      <c r="CD10" s="3435"/>
      <c r="CE10" s="3435"/>
      <c r="CF10" s="3435"/>
      <c r="CG10" s="3435"/>
      <c r="CH10" s="3435"/>
      <c r="CI10" s="3435"/>
      <c r="CJ10" s="3435"/>
      <c r="CK10" s="3435"/>
      <c r="CL10" s="3435"/>
      <c r="CM10" s="3435"/>
      <c r="CN10" s="3435"/>
      <c r="CO10" s="3435"/>
      <c r="CP10" s="3435"/>
      <c r="CQ10" s="3435"/>
      <c r="CR10" s="3435"/>
      <c r="CS10" s="3435"/>
      <c r="CT10" s="3435"/>
      <c r="CU10" s="3435"/>
      <c r="CV10" s="3435"/>
      <c r="CW10" s="3435"/>
      <c r="CX10" s="3435"/>
      <c r="CY10" s="3435"/>
      <c r="CZ10" s="3435"/>
      <c r="DA10" s="3435"/>
      <c r="DB10" s="3435"/>
      <c r="DC10" s="3435"/>
      <c r="DD10" s="3435"/>
      <c r="DE10" s="3435"/>
      <c r="DF10" s="3435"/>
      <c r="DG10" s="3435"/>
      <c r="DH10" s="3435"/>
      <c r="DI10" s="3435"/>
      <c r="DJ10" s="3435"/>
      <c r="DK10" s="3435"/>
      <c r="DL10" s="3435"/>
      <c r="DM10" s="3435"/>
      <c r="DN10" s="3435"/>
      <c r="DO10" s="3435"/>
      <c r="DP10" s="3435"/>
      <c r="DQ10" s="3435"/>
      <c r="DR10" s="3435"/>
      <c r="DS10" s="3435"/>
      <c r="DT10" s="3435"/>
      <c r="DU10" s="3435"/>
      <c r="DV10" s="3435"/>
      <c r="DW10" s="3435"/>
      <c r="DX10" s="3435"/>
      <c r="DY10" s="3435"/>
      <c r="DZ10" s="3435"/>
      <c r="EA10" s="3435"/>
      <c r="EB10" s="3435"/>
      <c r="EC10" s="3435"/>
      <c r="ED10" s="3435"/>
      <c r="EE10" s="3435"/>
      <c r="EF10" s="3435"/>
      <c r="EG10" s="3435"/>
      <c r="EH10" s="3435"/>
      <c r="EI10" s="3435"/>
      <c r="EJ10" s="3435"/>
      <c r="EK10" s="3435"/>
      <c r="EL10" s="3435"/>
      <c r="EM10" s="3435"/>
      <c r="EN10" s="3435"/>
      <c r="EO10" s="3435"/>
      <c r="EP10" s="3435"/>
      <c r="EQ10" s="3435"/>
      <c r="ER10" s="3435"/>
      <c r="ES10" s="3435"/>
      <c r="ET10" s="3435"/>
      <c r="EU10" s="3435"/>
      <c r="EV10" s="3435"/>
      <c r="EW10" s="3435"/>
      <c r="EX10" s="3435"/>
      <c r="EY10" s="3435"/>
      <c r="EZ10" s="3435"/>
      <c r="FA10" s="3435"/>
      <c r="FB10" s="3435"/>
      <c r="FC10" s="3435"/>
      <c r="FD10" s="3435"/>
      <c r="FE10" s="3435"/>
      <c r="FF10" s="3435"/>
      <c r="FG10" s="3435"/>
      <c r="FH10" s="3435"/>
      <c r="FI10" s="3435"/>
      <c r="FJ10" s="3435"/>
      <c r="FK10" s="3435"/>
      <c r="FL10" s="3435"/>
      <c r="FM10" s="3435"/>
      <c r="FN10" s="3435"/>
      <c r="FO10" s="3435"/>
      <c r="FP10" s="3435"/>
      <c r="FQ10" s="3435"/>
      <c r="FR10" s="3435"/>
      <c r="FS10" s="3435"/>
      <c r="FT10" s="3435"/>
      <c r="FU10" s="3435"/>
      <c r="FV10" s="3436"/>
      <c r="FW10" s="3422"/>
      <c r="FX10" s="986"/>
      <c r="GC10" s="863">
        <v>11</v>
      </c>
    </row>
    <row r="11" spans="2:185" ht="12.75" customHeight="1">
      <c r="E11" s="867"/>
      <c r="F11" s="3208" t="s">
        <v>85</v>
      </c>
      <c r="G11" s="3208" t="s">
        <v>1080</v>
      </c>
      <c r="H11" s="3208" t="s">
        <v>1081</v>
      </c>
      <c r="I11" s="3208" t="s">
        <v>1082</v>
      </c>
      <c r="J11" s="3434"/>
      <c r="K11" s="3434"/>
      <c r="L11" s="3434"/>
      <c r="M11" s="3434"/>
      <c r="N11" s="3434"/>
      <c r="O11" s="3212" t="s">
        <v>1083</v>
      </c>
      <c r="P11" s="3212"/>
      <c r="Q11" s="3212"/>
      <c r="R11" s="3212"/>
      <c r="S11" s="3212"/>
      <c r="T11" s="3212"/>
      <c r="U11" s="3212"/>
      <c r="V11" s="3212"/>
      <c r="W11" s="3212"/>
      <c r="X11" s="3212"/>
      <c r="Y11" s="3212"/>
      <c r="Z11" s="3212"/>
      <c r="AA11" s="3212"/>
      <c r="AB11" s="3212"/>
      <c r="AC11" s="3417"/>
      <c r="AD11" s="3417"/>
      <c r="AE11" s="3417"/>
      <c r="AF11" s="3417"/>
      <c r="AG11" s="3417"/>
      <c r="AH11" s="3417"/>
      <c r="AI11" s="3417"/>
      <c r="AJ11" s="3417"/>
      <c r="AK11" s="3417"/>
      <c r="AL11" s="3417"/>
      <c r="AM11" s="3417"/>
      <c r="AN11" s="3417"/>
      <c r="AO11" s="3417"/>
      <c r="AP11" s="3417"/>
      <c r="AQ11" s="3417"/>
      <c r="AR11" s="3417"/>
      <c r="AS11" s="3417"/>
      <c r="AT11" s="3417"/>
      <c r="AU11" s="3417"/>
      <c r="AV11" s="3417"/>
      <c r="AW11" s="3417"/>
      <c r="AX11" s="3417"/>
      <c r="AY11" s="3417"/>
      <c r="AZ11" s="3417"/>
      <c r="BA11" s="3417"/>
      <c r="BB11" s="3417"/>
      <c r="BC11" s="3417"/>
      <c r="BD11" s="3417"/>
      <c r="BE11" s="3417"/>
      <c r="BF11" s="3417"/>
      <c r="BG11" s="3417"/>
      <c r="BH11" s="3417"/>
      <c r="BI11" s="3417"/>
      <c r="BJ11" s="3417"/>
      <c r="BK11" s="3417"/>
      <c r="BL11" s="3417"/>
      <c r="BM11" s="3417"/>
      <c r="BN11" s="3417"/>
      <c r="BO11" s="3417"/>
      <c r="BP11" s="3417"/>
      <c r="BQ11" s="3417"/>
      <c r="BR11" s="3417"/>
      <c r="BS11" s="3418"/>
      <c r="BT11" s="3384" t="s">
        <v>1083</v>
      </c>
      <c r="BU11" s="3385"/>
      <c r="BV11" s="3385"/>
      <c r="BW11" s="3385"/>
      <c r="BX11" s="3385"/>
      <c r="BY11" s="3385"/>
      <c r="BZ11" s="3385"/>
      <c r="CA11" s="3385"/>
      <c r="CB11" s="3385"/>
      <c r="CC11" s="3385"/>
      <c r="CD11" s="3385"/>
      <c r="CE11" s="3385"/>
      <c r="CF11" s="3385"/>
      <c r="CG11" s="3385"/>
      <c r="CH11" s="3385"/>
      <c r="CI11" s="3385"/>
      <c r="CJ11" s="3385"/>
      <c r="CK11" s="3416"/>
      <c r="CL11" s="3424"/>
      <c r="CM11" s="3417"/>
      <c r="CN11" s="3417"/>
      <c r="CO11" s="3417"/>
      <c r="CP11" s="3417"/>
      <c r="CQ11" s="3417"/>
      <c r="CR11" s="3417"/>
      <c r="CS11" s="3417"/>
      <c r="CT11" s="3417"/>
      <c r="CU11" s="3417"/>
      <c r="CV11" s="3417"/>
      <c r="CW11" s="3417"/>
      <c r="CX11" s="3418"/>
      <c r="CY11" s="3384" t="s">
        <v>1083</v>
      </c>
      <c r="CZ11" s="3385"/>
      <c r="DA11" s="3385"/>
      <c r="DB11" s="3385"/>
      <c r="DC11" s="3385"/>
      <c r="DD11" s="3385"/>
      <c r="DE11" s="3385"/>
      <c r="DF11" s="3385"/>
      <c r="DG11" s="3385"/>
      <c r="DH11" s="3385"/>
      <c r="DI11" s="3385"/>
      <c r="DJ11" s="3416"/>
      <c r="DK11" s="3424"/>
      <c r="DL11" s="3417"/>
      <c r="DM11" s="3417"/>
      <c r="DN11" s="3417"/>
      <c r="DO11" s="3417"/>
      <c r="DP11" s="3417"/>
      <c r="DQ11" s="3417"/>
      <c r="DR11" s="3417"/>
      <c r="DS11" s="3417"/>
      <c r="DT11" s="3417"/>
      <c r="DU11" s="3417"/>
      <c r="DV11" s="3417"/>
      <c r="DW11" s="3417"/>
      <c r="DX11" s="3417"/>
      <c r="DY11" s="3417"/>
      <c r="DZ11" s="3417"/>
      <c r="EA11" s="3417"/>
      <c r="EB11" s="3417"/>
      <c r="EC11" s="3417"/>
      <c r="ED11" s="3417"/>
      <c r="EE11" s="3417"/>
      <c r="EF11" s="3417"/>
      <c r="EG11" s="3417"/>
      <c r="EH11" s="3417"/>
      <c r="EI11" s="3417"/>
      <c r="EJ11" s="3417"/>
      <c r="EK11" s="3417"/>
      <c r="EL11" s="3417"/>
      <c r="EM11" s="3417"/>
      <c r="EN11" s="3417"/>
      <c r="EO11" s="3417"/>
      <c r="EP11" s="3417"/>
      <c r="EQ11" s="3417"/>
      <c r="ER11" s="3417"/>
      <c r="ES11" s="3417"/>
      <c r="ET11" s="3417"/>
      <c r="EU11" s="3417"/>
      <c r="EV11" s="3417"/>
      <c r="EW11" s="3417"/>
      <c r="EX11" s="3417"/>
      <c r="EY11" s="3417"/>
      <c r="EZ11" s="3417"/>
      <c r="FA11" s="3417"/>
      <c r="FB11" s="3417"/>
      <c r="FC11" s="3417"/>
      <c r="FD11" s="3417"/>
      <c r="FE11" s="3417"/>
      <c r="FF11" s="3417"/>
      <c r="FG11" s="3417"/>
      <c r="FH11" s="3417"/>
      <c r="FI11" s="3417"/>
      <c r="FJ11" s="3417"/>
      <c r="FK11" s="3417"/>
      <c r="FL11" s="3417"/>
      <c r="FM11" s="3417"/>
      <c r="FN11" s="3417"/>
      <c r="FO11" s="3417"/>
      <c r="FP11" s="3417"/>
      <c r="FQ11" s="3417"/>
      <c r="FR11" s="3417"/>
      <c r="FS11" s="3417"/>
      <c r="FT11" s="3417"/>
      <c r="FU11" s="3417"/>
      <c r="FV11" s="3417"/>
      <c r="FW11" s="3422"/>
      <c r="FX11" s="697"/>
      <c r="GC11" s="856">
        <v>12</v>
      </c>
    </row>
    <row r="12" spans="2:185" ht="12.75" customHeight="1">
      <c r="D12" s="868"/>
      <c r="E12" s="867"/>
      <c r="F12" s="3208"/>
      <c r="G12" s="3208"/>
      <c r="H12" s="3208"/>
      <c r="I12" s="3208"/>
      <c r="J12" s="3434"/>
      <c r="K12" s="3434"/>
      <c r="L12" s="3434"/>
      <c r="M12" s="3434"/>
      <c r="N12" s="3434"/>
      <c r="O12" s="3212" t="s">
        <v>1084</v>
      </c>
      <c r="P12" s="3212"/>
      <c r="Q12" s="3212"/>
      <c r="R12" s="3212"/>
      <c r="S12" s="3212" t="s">
        <v>1085</v>
      </c>
      <c r="T12" s="3212"/>
      <c r="U12" s="3212"/>
      <c r="V12" s="3212"/>
      <c r="W12" s="3212"/>
      <c r="X12" s="3212"/>
      <c r="Y12" s="3212"/>
      <c r="Z12" s="3212"/>
      <c r="AA12" s="3212"/>
      <c r="AB12" s="3212"/>
      <c r="AC12" s="3417"/>
      <c r="AD12" s="3417"/>
      <c r="AE12" s="3417"/>
      <c r="AF12" s="3417"/>
      <c r="AG12" s="3417"/>
      <c r="AH12" s="3417"/>
      <c r="AI12" s="3417"/>
      <c r="AJ12" s="3417"/>
      <c r="AK12" s="3417"/>
      <c r="AL12" s="3417"/>
      <c r="AM12" s="3417"/>
      <c r="AN12" s="3417"/>
      <c r="AO12" s="3417"/>
      <c r="AP12" s="3417"/>
      <c r="AQ12" s="3417"/>
      <c r="AR12" s="3417"/>
      <c r="AS12" s="3417"/>
      <c r="AT12" s="3417"/>
      <c r="AU12" s="3417"/>
      <c r="AV12" s="3417"/>
      <c r="AW12" s="3417"/>
      <c r="AX12" s="3417"/>
      <c r="AY12" s="3417"/>
      <c r="AZ12" s="3417"/>
      <c r="BA12" s="3417"/>
      <c r="BB12" s="3417"/>
      <c r="BC12" s="3417"/>
      <c r="BD12" s="3417"/>
      <c r="BE12" s="3417"/>
      <c r="BF12" s="3417"/>
      <c r="BG12" s="3417"/>
      <c r="BH12" s="3417"/>
      <c r="BI12" s="3417"/>
      <c r="BJ12" s="3417"/>
      <c r="BK12" s="3417"/>
      <c r="BL12" s="3417"/>
      <c r="BM12" s="3417"/>
      <c r="BN12" s="3417"/>
      <c r="BO12" s="3417"/>
      <c r="BP12" s="3417"/>
      <c r="BQ12" s="3417"/>
      <c r="BR12" s="3417"/>
      <c r="BS12" s="3418"/>
      <c r="BT12" s="3384" t="s">
        <v>1086</v>
      </c>
      <c r="BU12" s="3385"/>
      <c r="BV12" s="3385"/>
      <c r="BW12" s="3416"/>
      <c r="BX12" s="3384" t="s">
        <v>1087</v>
      </c>
      <c r="BY12" s="3385"/>
      <c r="BZ12" s="3385"/>
      <c r="CA12" s="3416"/>
      <c r="CB12" s="3384" t="s">
        <v>1088</v>
      </c>
      <c r="CC12" s="3416"/>
      <c r="CD12" s="3384" t="s">
        <v>1089</v>
      </c>
      <c r="CE12" s="3385"/>
      <c r="CF12" s="3385"/>
      <c r="CG12" s="3385"/>
      <c r="CH12" s="3385"/>
      <c r="CI12" s="3385"/>
      <c r="CJ12" s="3385"/>
      <c r="CK12" s="3416"/>
      <c r="CL12" s="3424"/>
      <c r="CM12" s="3417"/>
      <c r="CN12" s="3417"/>
      <c r="CO12" s="3417"/>
      <c r="CP12" s="3417"/>
      <c r="CQ12" s="3417"/>
      <c r="CR12" s="3417"/>
      <c r="CS12" s="3417"/>
      <c r="CT12" s="3417"/>
      <c r="CU12" s="3417"/>
      <c r="CV12" s="3417"/>
      <c r="CW12" s="3417"/>
      <c r="CX12" s="3418"/>
      <c r="CY12" s="3384" t="s">
        <v>1090</v>
      </c>
      <c r="CZ12" s="3385"/>
      <c r="DA12" s="3385"/>
      <c r="DB12" s="3385"/>
      <c r="DC12" s="3385"/>
      <c r="DD12" s="3416"/>
      <c r="DE12" s="3384" t="s">
        <v>1091</v>
      </c>
      <c r="DF12" s="3416"/>
      <c r="DG12" s="3384" t="s">
        <v>1089</v>
      </c>
      <c r="DH12" s="3385"/>
      <c r="DI12" s="3385"/>
      <c r="DJ12" s="3416"/>
      <c r="DK12" s="3424"/>
      <c r="DL12" s="3417"/>
      <c r="DM12" s="3417"/>
      <c r="DN12" s="3417"/>
      <c r="DO12" s="3417"/>
      <c r="DP12" s="3417"/>
      <c r="DQ12" s="3417"/>
      <c r="DR12" s="3417"/>
      <c r="DS12" s="3417"/>
      <c r="DT12" s="3417"/>
      <c r="DU12" s="3417"/>
      <c r="DV12" s="3417"/>
      <c r="DW12" s="3417"/>
      <c r="DX12" s="3417"/>
      <c r="DY12" s="3417"/>
      <c r="DZ12" s="3417"/>
      <c r="EA12" s="3417"/>
      <c r="EB12" s="3417"/>
      <c r="EC12" s="3417"/>
      <c r="ED12" s="3417"/>
      <c r="EE12" s="3417"/>
      <c r="EF12" s="3417"/>
      <c r="EG12" s="3417"/>
      <c r="EH12" s="3417"/>
      <c r="EI12" s="3417"/>
      <c r="EJ12" s="3417"/>
      <c r="EK12" s="3417"/>
      <c r="EL12" s="3417"/>
      <c r="EM12" s="3417"/>
      <c r="EN12" s="3417"/>
      <c r="EO12" s="3417"/>
      <c r="EP12" s="3417"/>
      <c r="EQ12" s="3417"/>
      <c r="ER12" s="3417"/>
      <c r="ES12" s="3417"/>
      <c r="ET12" s="3417"/>
      <c r="EU12" s="3417"/>
      <c r="EV12" s="3417"/>
      <c r="EW12" s="3417"/>
      <c r="EX12" s="3417"/>
      <c r="EY12" s="3417"/>
      <c r="EZ12" s="3417"/>
      <c r="FA12" s="3417"/>
      <c r="FB12" s="3417"/>
      <c r="FC12" s="3417"/>
      <c r="FD12" s="3417"/>
      <c r="FE12" s="3417"/>
      <c r="FF12" s="3417"/>
      <c r="FG12" s="3417"/>
      <c r="FH12" s="3417"/>
      <c r="FI12" s="3417"/>
      <c r="FJ12" s="3417"/>
      <c r="FK12" s="3417"/>
      <c r="FL12" s="3417"/>
      <c r="FM12" s="3417"/>
      <c r="FN12" s="3417"/>
      <c r="FO12" s="3417"/>
      <c r="FP12" s="3417"/>
      <c r="FQ12" s="3417"/>
      <c r="FR12" s="3417"/>
      <c r="FS12" s="3417"/>
      <c r="FT12" s="3417"/>
      <c r="FU12" s="3417"/>
      <c r="FV12" s="3417"/>
      <c r="FW12" s="3422"/>
      <c r="FX12" s="697"/>
      <c r="GC12" s="856">
        <v>12</v>
      </c>
    </row>
    <row r="13" spans="2:185" ht="37.9" customHeight="1">
      <c r="D13" s="868"/>
      <c r="E13" s="867"/>
      <c r="F13" s="3208"/>
      <c r="G13" s="3208"/>
      <c r="H13" s="3208"/>
      <c r="I13" s="3208"/>
      <c r="J13" s="3434"/>
      <c r="K13" s="3434"/>
      <c r="L13" s="3434"/>
      <c r="M13" s="3434"/>
      <c r="N13" s="3434"/>
      <c r="O13" s="3212" t="s">
        <v>1092</v>
      </c>
      <c r="P13" s="3212"/>
      <c r="Q13" s="3212"/>
      <c r="R13" s="3212"/>
      <c r="S13" s="3345" t="s">
        <v>1093</v>
      </c>
      <c r="T13" s="3386"/>
      <c r="U13" s="3111" t="s">
        <v>1094</v>
      </c>
      <c r="V13" s="3111"/>
      <c r="W13" s="3111"/>
      <c r="X13" s="3111"/>
      <c r="Y13" s="3111" t="s">
        <v>1095</v>
      </c>
      <c r="Z13" s="3111"/>
      <c r="AA13" s="3111"/>
      <c r="AB13" s="3111"/>
      <c r="AC13" s="3417"/>
      <c r="AD13" s="3417"/>
      <c r="AE13" s="3417"/>
      <c r="AF13" s="3417"/>
      <c r="AG13" s="3417"/>
      <c r="AH13" s="3417"/>
      <c r="AI13" s="3417"/>
      <c r="AJ13" s="3417"/>
      <c r="AK13" s="3417"/>
      <c r="AL13" s="3417"/>
      <c r="AM13" s="3417"/>
      <c r="AN13" s="3417"/>
      <c r="AO13" s="3417"/>
      <c r="AP13" s="3417"/>
      <c r="AQ13" s="3417"/>
      <c r="AR13" s="3417"/>
      <c r="AS13" s="3417"/>
      <c r="AT13" s="3417"/>
      <c r="AU13" s="3417"/>
      <c r="AV13" s="3417"/>
      <c r="AW13" s="3417"/>
      <c r="AX13" s="3417"/>
      <c r="AY13" s="3417"/>
      <c r="AZ13" s="3417"/>
      <c r="BA13" s="3417"/>
      <c r="BB13" s="3417"/>
      <c r="BC13" s="3417"/>
      <c r="BD13" s="3417"/>
      <c r="BE13" s="3417"/>
      <c r="BF13" s="3417"/>
      <c r="BG13" s="3417"/>
      <c r="BH13" s="3417"/>
      <c r="BI13" s="3417"/>
      <c r="BJ13" s="3417"/>
      <c r="BK13" s="3417"/>
      <c r="BL13" s="3417"/>
      <c r="BM13" s="3417"/>
      <c r="BN13" s="3417"/>
      <c r="BO13" s="3417"/>
      <c r="BP13" s="3417"/>
      <c r="BQ13" s="3417"/>
      <c r="BR13" s="3417"/>
      <c r="BS13" s="3418"/>
      <c r="BT13" s="3345" t="s">
        <v>1096</v>
      </c>
      <c r="BU13" s="3386"/>
      <c r="BV13" s="3345" t="s">
        <v>1097</v>
      </c>
      <c r="BW13" s="3386"/>
      <c r="BX13" s="3345" t="s">
        <v>1098</v>
      </c>
      <c r="BY13" s="3386"/>
      <c r="BZ13" s="3345" t="s">
        <v>1099</v>
      </c>
      <c r="CA13" s="3386"/>
      <c r="CB13" s="3345" t="s">
        <v>1100</v>
      </c>
      <c r="CC13" s="3386"/>
      <c r="CD13" s="3345" t="s">
        <v>1101</v>
      </c>
      <c r="CE13" s="3386"/>
      <c r="CF13" s="3345" t="s">
        <v>1102</v>
      </c>
      <c r="CG13" s="3386"/>
      <c r="CH13" s="3384" t="s">
        <v>1103</v>
      </c>
      <c r="CI13" s="3385"/>
      <c r="CJ13" s="3385"/>
      <c r="CK13" s="3416"/>
      <c r="CL13" s="3424"/>
      <c r="CM13" s="3417"/>
      <c r="CN13" s="3417"/>
      <c r="CO13" s="3417"/>
      <c r="CP13" s="3417"/>
      <c r="CQ13" s="3417"/>
      <c r="CR13" s="3417"/>
      <c r="CS13" s="3417"/>
      <c r="CT13" s="3417"/>
      <c r="CU13" s="3417"/>
      <c r="CV13" s="3417"/>
      <c r="CW13" s="3417"/>
      <c r="CX13" s="3418"/>
      <c r="CY13" s="3345" t="s">
        <v>1104</v>
      </c>
      <c r="CZ13" s="3386"/>
      <c r="DA13" s="3345" t="s">
        <v>1105</v>
      </c>
      <c r="DB13" s="3386"/>
      <c r="DC13" s="3345" t="s">
        <v>1106</v>
      </c>
      <c r="DD13" s="3386"/>
      <c r="DE13" s="3345" t="s">
        <v>1107</v>
      </c>
      <c r="DF13" s="3386"/>
      <c r="DG13" s="3384" t="s">
        <v>1108</v>
      </c>
      <c r="DH13" s="3385"/>
      <c r="DI13" s="3385"/>
      <c r="DJ13" s="3416"/>
      <c r="DK13" s="3424"/>
      <c r="DL13" s="3417"/>
      <c r="DM13" s="3417"/>
      <c r="DN13" s="3417"/>
      <c r="DO13" s="3417"/>
      <c r="DP13" s="3417"/>
      <c r="DQ13" s="3417"/>
      <c r="DR13" s="3417"/>
      <c r="DS13" s="3417"/>
      <c r="DT13" s="3417"/>
      <c r="DU13" s="3417"/>
      <c r="DV13" s="3417"/>
      <c r="DW13" s="3417"/>
      <c r="DX13" s="3417"/>
      <c r="DY13" s="3417"/>
      <c r="DZ13" s="3417"/>
      <c r="EA13" s="3417"/>
      <c r="EB13" s="3417"/>
      <c r="EC13" s="3417"/>
      <c r="ED13" s="3417"/>
      <c r="EE13" s="3417"/>
      <c r="EF13" s="3417"/>
      <c r="EG13" s="3417"/>
      <c r="EH13" s="3417"/>
      <c r="EI13" s="3417"/>
      <c r="EJ13" s="3417"/>
      <c r="EK13" s="3417"/>
      <c r="EL13" s="3417"/>
      <c r="EM13" s="3417"/>
      <c r="EN13" s="3417"/>
      <c r="EO13" s="3417"/>
      <c r="EP13" s="3417"/>
      <c r="EQ13" s="3417"/>
      <c r="ER13" s="3417"/>
      <c r="ES13" s="3417"/>
      <c r="ET13" s="3417"/>
      <c r="EU13" s="3417"/>
      <c r="EV13" s="3417"/>
      <c r="EW13" s="3417"/>
      <c r="EX13" s="3417"/>
      <c r="EY13" s="3417"/>
      <c r="EZ13" s="3417"/>
      <c r="FA13" s="3417"/>
      <c r="FB13" s="3417"/>
      <c r="FC13" s="3417"/>
      <c r="FD13" s="3417"/>
      <c r="FE13" s="3417"/>
      <c r="FF13" s="3417"/>
      <c r="FG13" s="3417"/>
      <c r="FH13" s="3417"/>
      <c r="FI13" s="3417"/>
      <c r="FJ13" s="3417"/>
      <c r="FK13" s="3417"/>
      <c r="FL13" s="3417"/>
      <c r="FM13" s="3417"/>
      <c r="FN13" s="3417"/>
      <c r="FO13" s="3417"/>
      <c r="FP13" s="3417"/>
      <c r="FQ13" s="3417"/>
      <c r="FR13" s="3417"/>
      <c r="FS13" s="3417"/>
      <c r="FT13" s="3417"/>
      <c r="FU13" s="3417"/>
      <c r="FV13" s="3417"/>
      <c r="FW13" s="3422"/>
      <c r="FX13" s="697"/>
      <c r="GC13" s="856">
        <v>36</v>
      </c>
    </row>
    <row r="14" spans="2:185" ht="37.9" customHeight="1">
      <c r="D14" s="868"/>
      <c r="E14" s="867"/>
      <c r="F14" s="3208"/>
      <c r="G14" s="3208"/>
      <c r="H14" s="3208"/>
      <c r="I14" s="3208"/>
      <c r="J14" s="3434"/>
      <c r="K14" s="3434"/>
      <c r="L14" s="3434"/>
      <c r="M14" s="3434"/>
      <c r="N14" s="3434"/>
      <c r="O14" s="3345" t="s">
        <v>1109</v>
      </c>
      <c r="P14" s="3386"/>
      <c r="Q14" s="3345" t="s">
        <v>1110</v>
      </c>
      <c r="R14" s="3386"/>
      <c r="S14" s="3346"/>
      <c r="T14" s="3216"/>
      <c r="U14" s="3345" t="s">
        <v>842</v>
      </c>
      <c r="V14" s="3386"/>
      <c r="W14" s="3345" t="s">
        <v>845</v>
      </c>
      <c r="X14" s="3386"/>
      <c r="Y14" s="3345" t="s">
        <v>842</v>
      </c>
      <c r="Z14" s="3386"/>
      <c r="AA14" s="3345" t="s">
        <v>852</v>
      </c>
      <c r="AB14" s="3386"/>
      <c r="AC14" s="3417"/>
      <c r="AD14" s="3417"/>
      <c r="AE14" s="3417"/>
      <c r="AF14" s="3417"/>
      <c r="AG14" s="3417"/>
      <c r="AH14" s="3417"/>
      <c r="AI14" s="3417"/>
      <c r="AJ14" s="3417"/>
      <c r="AK14" s="3417"/>
      <c r="AL14" s="3417"/>
      <c r="AM14" s="3417"/>
      <c r="AN14" s="3417"/>
      <c r="AO14" s="3417"/>
      <c r="AP14" s="3417"/>
      <c r="AQ14" s="3417"/>
      <c r="AR14" s="3417"/>
      <c r="AS14" s="3417"/>
      <c r="AT14" s="3417"/>
      <c r="AU14" s="3417"/>
      <c r="AV14" s="3417"/>
      <c r="AW14" s="3417"/>
      <c r="AX14" s="3417"/>
      <c r="AY14" s="3417"/>
      <c r="AZ14" s="3417"/>
      <c r="BA14" s="3417"/>
      <c r="BB14" s="3417"/>
      <c r="BC14" s="3417"/>
      <c r="BD14" s="3417"/>
      <c r="BE14" s="3417"/>
      <c r="BF14" s="3417"/>
      <c r="BG14" s="3417"/>
      <c r="BH14" s="3417"/>
      <c r="BI14" s="3417"/>
      <c r="BJ14" s="3417"/>
      <c r="BK14" s="3417"/>
      <c r="BL14" s="3417"/>
      <c r="BM14" s="3417"/>
      <c r="BN14" s="3417"/>
      <c r="BO14" s="3417"/>
      <c r="BP14" s="3417"/>
      <c r="BQ14" s="3417"/>
      <c r="BR14" s="3417"/>
      <c r="BS14" s="3418"/>
      <c r="BT14" s="3346"/>
      <c r="BU14" s="3216"/>
      <c r="BV14" s="3346"/>
      <c r="BW14" s="3216"/>
      <c r="BX14" s="3346"/>
      <c r="BY14" s="3216"/>
      <c r="BZ14" s="3346"/>
      <c r="CA14" s="3216"/>
      <c r="CB14" s="3346"/>
      <c r="CC14" s="3216"/>
      <c r="CD14" s="3346"/>
      <c r="CE14" s="3216"/>
      <c r="CF14" s="3346"/>
      <c r="CG14" s="3216"/>
      <c r="CH14" s="3345" t="s">
        <v>1111</v>
      </c>
      <c r="CI14" s="3386"/>
      <c r="CJ14" s="3345" t="s">
        <v>1112</v>
      </c>
      <c r="CK14" s="3386"/>
      <c r="CL14" s="3424"/>
      <c r="CM14" s="3417"/>
      <c r="CN14" s="3417"/>
      <c r="CO14" s="3417"/>
      <c r="CP14" s="3417"/>
      <c r="CQ14" s="3417"/>
      <c r="CR14" s="3417"/>
      <c r="CS14" s="3417"/>
      <c r="CT14" s="3417"/>
      <c r="CU14" s="3417"/>
      <c r="CV14" s="3417"/>
      <c r="CW14" s="3417"/>
      <c r="CX14" s="3418"/>
      <c r="CY14" s="3346"/>
      <c r="CZ14" s="3216"/>
      <c r="DA14" s="3346"/>
      <c r="DB14" s="3216"/>
      <c r="DC14" s="3346"/>
      <c r="DD14" s="3216"/>
      <c r="DE14" s="3346"/>
      <c r="DF14" s="3216"/>
      <c r="DG14" s="3345" t="s">
        <v>1113</v>
      </c>
      <c r="DH14" s="3386"/>
      <c r="DI14" s="3345" t="s">
        <v>1114</v>
      </c>
      <c r="DJ14" s="3386"/>
      <c r="DK14" s="3424"/>
      <c r="DL14" s="3417"/>
      <c r="DM14" s="3417"/>
      <c r="DN14" s="3417"/>
      <c r="DO14" s="3417"/>
      <c r="DP14" s="3417"/>
      <c r="DQ14" s="3417"/>
      <c r="DR14" s="3417"/>
      <c r="DS14" s="3417"/>
      <c r="DT14" s="3417"/>
      <c r="DU14" s="3417"/>
      <c r="DV14" s="3417"/>
      <c r="DW14" s="3417"/>
      <c r="DX14" s="3417"/>
      <c r="DY14" s="3417"/>
      <c r="DZ14" s="3417"/>
      <c r="EA14" s="3417"/>
      <c r="EB14" s="3417"/>
      <c r="EC14" s="3417"/>
      <c r="ED14" s="3417"/>
      <c r="EE14" s="3417"/>
      <c r="EF14" s="3417"/>
      <c r="EG14" s="3417"/>
      <c r="EH14" s="3417"/>
      <c r="EI14" s="3417"/>
      <c r="EJ14" s="3417"/>
      <c r="EK14" s="3417"/>
      <c r="EL14" s="3417"/>
      <c r="EM14" s="3417"/>
      <c r="EN14" s="3417"/>
      <c r="EO14" s="3417"/>
      <c r="EP14" s="3417"/>
      <c r="EQ14" s="3417"/>
      <c r="ER14" s="3417"/>
      <c r="ES14" s="3417"/>
      <c r="ET14" s="3417"/>
      <c r="EU14" s="3417"/>
      <c r="EV14" s="3417"/>
      <c r="EW14" s="3417"/>
      <c r="EX14" s="3417"/>
      <c r="EY14" s="3417"/>
      <c r="EZ14" s="3417"/>
      <c r="FA14" s="3417"/>
      <c r="FB14" s="3417"/>
      <c r="FC14" s="3417"/>
      <c r="FD14" s="3417"/>
      <c r="FE14" s="3417"/>
      <c r="FF14" s="3417"/>
      <c r="FG14" s="3417"/>
      <c r="FH14" s="3417"/>
      <c r="FI14" s="3417"/>
      <c r="FJ14" s="3417"/>
      <c r="FK14" s="3417"/>
      <c r="FL14" s="3417"/>
      <c r="FM14" s="3417"/>
      <c r="FN14" s="3417"/>
      <c r="FO14" s="3417"/>
      <c r="FP14" s="3417"/>
      <c r="FQ14" s="3417"/>
      <c r="FR14" s="3417"/>
      <c r="FS14" s="3417"/>
      <c r="FT14" s="3417"/>
      <c r="FU14" s="3417"/>
      <c r="FV14" s="3417"/>
      <c r="FW14" s="3422"/>
      <c r="FX14" s="697"/>
      <c r="GC14" s="856">
        <v>36</v>
      </c>
    </row>
    <row r="15" spans="2:185" ht="37.9" customHeight="1">
      <c r="D15" s="868"/>
      <c r="E15" s="867"/>
      <c r="F15" s="3208"/>
      <c r="G15" s="3208"/>
      <c r="H15" s="3208"/>
      <c r="I15" s="3208"/>
      <c r="J15" s="3434"/>
      <c r="K15" s="3434"/>
      <c r="L15" s="3434"/>
      <c r="M15" s="3434"/>
      <c r="N15" s="3434"/>
      <c r="O15" s="3347"/>
      <c r="P15" s="3403"/>
      <c r="Q15" s="3347"/>
      <c r="R15" s="3403"/>
      <c r="S15" s="3347"/>
      <c r="T15" s="3403"/>
      <c r="U15" s="3347"/>
      <c r="V15" s="3403"/>
      <c r="W15" s="3347"/>
      <c r="X15" s="3403"/>
      <c r="Y15" s="3347"/>
      <c r="Z15" s="3403"/>
      <c r="AA15" s="3347"/>
      <c r="AB15" s="3403"/>
      <c r="AC15" s="3417"/>
      <c r="AD15" s="3417"/>
      <c r="AE15" s="3417"/>
      <c r="AF15" s="3417"/>
      <c r="AG15" s="3417"/>
      <c r="AH15" s="3417"/>
      <c r="AI15" s="3417"/>
      <c r="AJ15" s="3417"/>
      <c r="AK15" s="3417"/>
      <c r="AL15" s="3417"/>
      <c r="AM15" s="3417"/>
      <c r="AN15" s="3417"/>
      <c r="AO15" s="3417"/>
      <c r="AP15" s="3417"/>
      <c r="AQ15" s="3417"/>
      <c r="AR15" s="3417"/>
      <c r="AS15" s="3417"/>
      <c r="AT15" s="3417"/>
      <c r="AU15" s="3417"/>
      <c r="AV15" s="3417"/>
      <c r="AW15" s="3417"/>
      <c r="AX15" s="3417"/>
      <c r="AY15" s="3417"/>
      <c r="AZ15" s="3417"/>
      <c r="BA15" s="3417"/>
      <c r="BB15" s="3417"/>
      <c r="BC15" s="3417"/>
      <c r="BD15" s="3417"/>
      <c r="BE15" s="3417"/>
      <c r="BF15" s="3417"/>
      <c r="BG15" s="3417"/>
      <c r="BH15" s="3417"/>
      <c r="BI15" s="3417"/>
      <c r="BJ15" s="3417"/>
      <c r="BK15" s="3417"/>
      <c r="BL15" s="3417"/>
      <c r="BM15" s="3417"/>
      <c r="BN15" s="3417"/>
      <c r="BO15" s="3417"/>
      <c r="BP15" s="3417"/>
      <c r="BQ15" s="3417"/>
      <c r="BR15" s="3417"/>
      <c r="BS15" s="3418"/>
      <c r="BT15" s="3347"/>
      <c r="BU15" s="3403"/>
      <c r="BV15" s="3347"/>
      <c r="BW15" s="3403"/>
      <c r="BX15" s="3347"/>
      <c r="BY15" s="3403"/>
      <c r="BZ15" s="3347"/>
      <c r="CA15" s="3403"/>
      <c r="CB15" s="3347"/>
      <c r="CC15" s="3403"/>
      <c r="CD15" s="3347"/>
      <c r="CE15" s="3403"/>
      <c r="CF15" s="3347"/>
      <c r="CG15" s="3403"/>
      <c r="CH15" s="3347"/>
      <c r="CI15" s="3403"/>
      <c r="CJ15" s="3347"/>
      <c r="CK15" s="3403"/>
      <c r="CL15" s="3424"/>
      <c r="CM15" s="3417"/>
      <c r="CN15" s="3417"/>
      <c r="CO15" s="3417"/>
      <c r="CP15" s="3417"/>
      <c r="CQ15" s="3417"/>
      <c r="CR15" s="3417"/>
      <c r="CS15" s="3417"/>
      <c r="CT15" s="3417"/>
      <c r="CU15" s="3417"/>
      <c r="CV15" s="3417"/>
      <c r="CW15" s="3417"/>
      <c r="CX15" s="3418"/>
      <c r="CY15" s="3347"/>
      <c r="CZ15" s="3403"/>
      <c r="DA15" s="3347"/>
      <c r="DB15" s="3403"/>
      <c r="DC15" s="3347"/>
      <c r="DD15" s="3403"/>
      <c r="DE15" s="3347"/>
      <c r="DF15" s="3403"/>
      <c r="DG15" s="3347"/>
      <c r="DH15" s="3403"/>
      <c r="DI15" s="3347"/>
      <c r="DJ15" s="3403"/>
      <c r="DK15" s="3424"/>
      <c r="DL15" s="3417"/>
      <c r="DM15" s="3417"/>
      <c r="DN15" s="3417"/>
      <c r="DO15" s="3417"/>
      <c r="DP15" s="3417"/>
      <c r="DQ15" s="3417"/>
      <c r="DR15" s="3417"/>
      <c r="DS15" s="3417"/>
      <c r="DT15" s="3417"/>
      <c r="DU15" s="3417"/>
      <c r="DV15" s="3417"/>
      <c r="DW15" s="3417"/>
      <c r="DX15" s="3417"/>
      <c r="DY15" s="3417"/>
      <c r="DZ15" s="3417"/>
      <c r="EA15" s="3417"/>
      <c r="EB15" s="3417"/>
      <c r="EC15" s="3417"/>
      <c r="ED15" s="3417"/>
      <c r="EE15" s="3417"/>
      <c r="EF15" s="3417"/>
      <c r="EG15" s="3417"/>
      <c r="EH15" s="3417"/>
      <c r="EI15" s="3417"/>
      <c r="EJ15" s="3417"/>
      <c r="EK15" s="3417"/>
      <c r="EL15" s="3417"/>
      <c r="EM15" s="3417"/>
      <c r="EN15" s="3417"/>
      <c r="EO15" s="3417"/>
      <c r="EP15" s="3417"/>
      <c r="EQ15" s="3417"/>
      <c r="ER15" s="3417"/>
      <c r="ES15" s="3417"/>
      <c r="ET15" s="3417"/>
      <c r="EU15" s="3417"/>
      <c r="EV15" s="3417"/>
      <c r="EW15" s="3417"/>
      <c r="EX15" s="3417"/>
      <c r="EY15" s="3417"/>
      <c r="EZ15" s="3417"/>
      <c r="FA15" s="3417"/>
      <c r="FB15" s="3417"/>
      <c r="FC15" s="3417"/>
      <c r="FD15" s="3417"/>
      <c r="FE15" s="3417"/>
      <c r="FF15" s="3417"/>
      <c r="FG15" s="3417"/>
      <c r="FH15" s="3417"/>
      <c r="FI15" s="3417"/>
      <c r="FJ15" s="3417"/>
      <c r="FK15" s="3417"/>
      <c r="FL15" s="3417"/>
      <c r="FM15" s="3417"/>
      <c r="FN15" s="3417"/>
      <c r="FO15" s="3417"/>
      <c r="FP15" s="3417"/>
      <c r="FQ15" s="3417"/>
      <c r="FR15" s="3417"/>
      <c r="FS15" s="3417"/>
      <c r="FT15" s="3417"/>
      <c r="FU15" s="3417"/>
      <c r="FV15" s="3417"/>
      <c r="FW15" s="3422"/>
      <c r="FX15" s="697"/>
      <c r="GC15" s="856">
        <v>36</v>
      </c>
    </row>
    <row r="16" spans="2:185" ht="12.75" customHeight="1">
      <c r="D16" s="868"/>
      <c r="E16" s="867"/>
      <c r="F16" s="3208"/>
      <c r="G16" s="3208"/>
      <c r="H16" s="3208"/>
      <c r="I16" s="3208"/>
      <c r="J16" s="3434"/>
      <c r="K16" s="3434"/>
      <c r="L16" s="3434"/>
      <c r="M16" s="3434"/>
      <c r="N16" s="3434"/>
      <c r="O16" s="3384" t="s">
        <v>832</v>
      </c>
      <c r="P16" s="3416"/>
      <c r="Q16" s="3384" t="s">
        <v>834</v>
      </c>
      <c r="R16" s="3416"/>
      <c r="S16" s="3384" t="s">
        <v>838</v>
      </c>
      <c r="T16" s="3416"/>
      <c r="U16" s="3384" t="s">
        <v>843</v>
      </c>
      <c r="V16" s="3416"/>
      <c r="W16" s="3384" t="s">
        <v>846</v>
      </c>
      <c r="X16" s="3416"/>
      <c r="Y16" s="3384" t="s">
        <v>850</v>
      </c>
      <c r="Z16" s="3416"/>
      <c r="AA16" s="3384" t="s">
        <v>853</v>
      </c>
      <c r="AB16" s="3416"/>
      <c r="AC16" s="3417"/>
      <c r="AD16" s="3417"/>
      <c r="AE16" s="3417"/>
      <c r="AF16" s="3417"/>
      <c r="AG16" s="3417"/>
      <c r="AH16" s="3417"/>
      <c r="AI16" s="3417"/>
      <c r="AJ16" s="3417"/>
      <c r="AK16" s="3417"/>
      <c r="AL16" s="3417"/>
      <c r="AM16" s="3417"/>
      <c r="AN16" s="3417"/>
      <c r="AO16" s="3417"/>
      <c r="AP16" s="3417"/>
      <c r="AQ16" s="3417"/>
      <c r="AR16" s="3417"/>
      <c r="AS16" s="3417"/>
      <c r="AT16" s="3417"/>
      <c r="AU16" s="3417"/>
      <c r="AV16" s="3417"/>
      <c r="AW16" s="3417"/>
      <c r="AX16" s="3417"/>
      <c r="AY16" s="3417"/>
      <c r="AZ16" s="3417"/>
      <c r="BA16" s="3417"/>
      <c r="BB16" s="3417"/>
      <c r="BC16" s="3417"/>
      <c r="BD16" s="3417"/>
      <c r="BE16" s="3417"/>
      <c r="BF16" s="3417"/>
      <c r="BG16" s="3417"/>
      <c r="BH16" s="3417"/>
      <c r="BI16" s="3417"/>
      <c r="BJ16" s="3417"/>
      <c r="BK16" s="3417"/>
      <c r="BL16" s="3417"/>
      <c r="BM16" s="3417"/>
      <c r="BN16" s="3417"/>
      <c r="BO16" s="3417"/>
      <c r="BP16" s="3417"/>
      <c r="BQ16" s="3417"/>
      <c r="BR16" s="3417"/>
      <c r="BS16" s="3418"/>
      <c r="BT16" s="3384" t="s">
        <v>565</v>
      </c>
      <c r="BU16" s="3416"/>
      <c r="BV16" s="3384" t="s">
        <v>565</v>
      </c>
      <c r="BW16" s="3416"/>
      <c r="BX16" s="3384" t="s">
        <v>565</v>
      </c>
      <c r="BY16" s="3416"/>
      <c r="BZ16" s="3384" t="s">
        <v>565</v>
      </c>
      <c r="CA16" s="3416"/>
      <c r="CB16" s="3384" t="s">
        <v>1115</v>
      </c>
      <c r="CC16" s="3416"/>
      <c r="CD16" s="3384" t="s">
        <v>565</v>
      </c>
      <c r="CE16" s="3416"/>
      <c r="CF16" s="3384" t="s">
        <v>1116</v>
      </c>
      <c r="CG16" s="3416"/>
      <c r="CH16" s="3384" t="s">
        <v>1117</v>
      </c>
      <c r="CI16" s="3416"/>
      <c r="CJ16" s="3384" t="s">
        <v>1117</v>
      </c>
      <c r="CK16" s="3416"/>
      <c r="CL16" s="3424"/>
      <c r="CM16" s="3417"/>
      <c r="CN16" s="3417"/>
      <c r="CO16" s="3417"/>
      <c r="CP16" s="3417"/>
      <c r="CQ16" s="3417"/>
      <c r="CR16" s="3417"/>
      <c r="CS16" s="3417"/>
      <c r="CT16" s="3417"/>
      <c r="CU16" s="3417"/>
      <c r="CV16" s="3417"/>
      <c r="CW16" s="3417"/>
      <c r="CX16" s="3418"/>
      <c r="CY16" s="3345" t="s">
        <v>565</v>
      </c>
      <c r="CZ16" s="3386"/>
      <c r="DA16" s="3345" t="s">
        <v>565</v>
      </c>
      <c r="DB16" s="3386"/>
      <c r="DC16" s="3345" t="s">
        <v>565</v>
      </c>
      <c r="DD16" s="3386"/>
      <c r="DE16" s="3384" t="s">
        <v>1115</v>
      </c>
      <c r="DF16" s="3416"/>
      <c r="DG16" s="3384" t="s">
        <v>1118</v>
      </c>
      <c r="DH16" s="3416"/>
      <c r="DI16" s="3384" t="s">
        <v>1118</v>
      </c>
      <c r="DJ16" s="3416"/>
      <c r="DK16" s="3424"/>
      <c r="DL16" s="3417"/>
      <c r="DM16" s="3417"/>
      <c r="DN16" s="3417"/>
      <c r="DO16" s="3417"/>
      <c r="DP16" s="3417"/>
      <c r="DQ16" s="3417"/>
      <c r="DR16" s="3417"/>
      <c r="DS16" s="3417"/>
      <c r="DT16" s="3417"/>
      <c r="DU16" s="3417"/>
      <c r="DV16" s="3417"/>
      <c r="DW16" s="3417"/>
      <c r="DX16" s="3417"/>
      <c r="DY16" s="3417"/>
      <c r="DZ16" s="3417"/>
      <c r="EA16" s="3417"/>
      <c r="EB16" s="3417"/>
      <c r="EC16" s="3417"/>
      <c r="ED16" s="3417"/>
      <c r="EE16" s="3417"/>
      <c r="EF16" s="3417"/>
      <c r="EG16" s="3417"/>
      <c r="EH16" s="3417"/>
      <c r="EI16" s="3417"/>
      <c r="EJ16" s="3417"/>
      <c r="EK16" s="3417"/>
      <c r="EL16" s="3417"/>
      <c r="EM16" s="3417"/>
      <c r="EN16" s="3417"/>
      <c r="EO16" s="3417"/>
      <c r="EP16" s="3417"/>
      <c r="EQ16" s="3417"/>
      <c r="ER16" s="3417"/>
      <c r="ES16" s="3417"/>
      <c r="ET16" s="3417"/>
      <c r="EU16" s="3417"/>
      <c r="EV16" s="3417"/>
      <c r="EW16" s="3417"/>
      <c r="EX16" s="3417"/>
      <c r="EY16" s="3417"/>
      <c r="EZ16" s="3417"/>
      <c r="FA16" s="3417"/>
      <c r="FB16" s="3417"/>
      <c r="FC16" s="3417"/>
      <c r="FD16" s="3417"/>
      <c r="FE16" s="3417"/>
      <c r="FF16" s="3417"/>
      <c r="FG16" s="3417"/>
      <c r="FH16" s="3417"/>
      <c r="FI16" s="3417"/>
      <c r="FJ16" s="3417"/>
      <c r="FK16" s="3417"/>
      <c r="FL16" s="3417"/>
      <c r="FM16" s="3417"/>
      <c r="FN16" s="3417"/>
      <c r="FO16" s="3417"/>
      <c r="FP16" s="3417"/>
      <c r="FQ16" s="3417"/>
      <c r="FR16" s="3417"/>
      <c r="FS16" s="3417"/>
      <c r="FT16" s="3417"/>
      <c r="FU16" s="3417"/>
      <c r="FV16" s="3417"/>
      <c r="FW16" s="3422"/>
      <c r="FX16" s="697"/>
      <c r="GC16" s="856">
        <v>12</v>
      </c>
    </row>
    <row r="17" spans="1:185" ht="15.75" customHeight="1">
      <c r="E17" s="867"/>
      <c r="F17" s="3208"/>
      <c r="G17" s="3208"/>
      <c r="H17" s="3208"/>
      <c r="I17" s="3208"/>
      <c r="J17" s="3434"/>
      <c r="K17" s="3434"/>
      <c r="L17" s="3434"/>
      <c r="M17" s="3434"/>
      <c r="N17" s="3434"/>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3417"/>
      <c r="AD17" s="3417"/>
      <c r="AE17" s="3417"/>
      <c r="AF17" s="3417"/>
      <c r="AG17" s="3417"/>
      <c r="AH17" s="3417"/>
      <c r="AI17" s="3417"/>
      <c r="AJ17" s="3417"/>
      <c r="AK17" s="3417"/>
      <c r="AL17" s="3417"/>
      <c r="AM17" s="3417"/>
      <c r="AN17" s="3417"/>
      <c r="AO17" s="3417"/>
      <c r="AP17" s="3417"/>
      <c r="AQ17" s="3417"/>
      <c r="AR17" s="3417"/>
      <c r="AS17" s="3417"/>
      <c r="AT17" s="3417"/>
      <c r="AU17" s="3417"/>
      <c r="AV17" s="3417"/>
      <c r="AW17" s="3417"/>
      <c r="AX17" s="3417"/>
      <c r="AY17" s="3417"/>
      <c r="AZ17" s="3417"/>
      <c r="BA17" s="3417"/>
      <c r="BB17" s="3417"/>
      <c r="BC17" s="3417"/>
      <c r="BD17" s="3417"/>
      <c r="BE17" s="3417"/>
      <c r="BF17" s="3417"/>
      <c r="BG17" s="3417"/>
      <c r="BH17" s="3417"/>
      <c r="BI17" s="3417"/>
      <c r="BJ17" s="3417"/>
      <c r="BK17" s="3417"/>
      <c r="BL17" s="3417"/>
      <c r="BM17" s="3417"/>
      <c r="BN17" s="3417"/>
      <c r="BO17" s="3417"/>
      <c r="BP17" s="3417"/>
      <c r="BQ17" s="3417"/>
      <c r="BR17" s="3417"/>
      <c r="BS17" s="3418"/>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3424"/>
      <c r="CM17" s="3417"/>
      <c r="CN17" s="3417"/>
      <c r="CO17" s="3417"/>
      <c r="CP17" s="3417"/>
      <c r="CQ17" s="3417"/>
      <c r="CR17" s="3417"/>
      <c r="CS17" s="3417"/>
      <c r="CT17" s="3417"/>
      <c r="CU17" s="3417"/>
      <c r="CV17" s="3417"/>
      <c r="CW17" s="3417"/>
      <c r="CX17" s="3418"/>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3424"/>
      <c r="DL17" s="3417"/>
      <c r="DM17" s="3417"/>
      <c r="DN17" s="3417"/>
      <c r="DO17" s="3417"/>
      <c r="DP17" s="3417"/>
      <c r="DQ17" s="3417"/>
      <c r="DR17" s="3417"/>
      <c r="DS17" s="3417"/>
      <c r="DT17" s="3417"/>
      <c r="DU17" s="3417"/>
      <c r="DV17" s="3417"/>
      <c r="DW17" s="3417"/>
      <c r="DX17" s="3417"/>
      <c r="DY17" s="3417"/>
      <c r="DZ17" s="3417"/>
      <c r="EA17" s="3417"/>
      <c r="EB17" s="3417"/>
      <c r="EC17" s="3417"/>
      <c r="ED17" s="3417"/>
      <c r="EE17" s="3417"/>
      <c r="EF17" s="3417"/>
      <c r="EG17" s="3417"/>
      <c r="EH17" s="3417"/>
      <c r="EI17" s="3417"/>
      <c r="EJ17" s="3417"/>
      <c r="EK17" s="3417"/>
      <c r="EL17" s="3417"/>
      <c r="EM17" s="3417"/>
      <c r="EN17" s="3417"/>
      <c r="EO17" s="3417"/>
      <c r="EP17" s="3417"/>
      <c r="EQ17" s="3417"/>
      <c r="ER17" s="3417"/>
      <c r="ES17" s="3417"/>
      <c r="ET17" s="3417"/>
      <c r="EU17" s="3417"/>
      <c r="EV17" s="3417"/>
      <c r="EW17" s="3417"/>
      <c r="EX17" s="3417"/>
      <c r="EY17" s="3417"/>
      <c r="EZ17" s="3417"/>
      <c r="FA17" s="3417"/>
      <c r="FB17" s="3417"/>
      <c r="FC17" s="3417"/>
      <c r="FD17" s="3417"/>
      <c r="FE17" s="3417"/>
      <c r="FF17" s="3417"/>
      <c r="FG17" s="3417"/>
      <c r="FH17" s="3417"/>
      <c r="FI17" s="3417"/>
      <c r="FJ17" s="3417"/>
      <c r="FK17" s="3417"/>
      <c r="FL17" s="3417"/>
      <c r="FM17" s="3417"/>
      <c r="FN17" s="3417"/>
      <c r="FO17" s="3417"/>
      <c r="FP17" s="3417"/>
      <c r="FQ17" s="3417"/>
      <c r="FR17" s="3417"/>
      <c r="FS17" s="3417"/>
      <c r="FT17" s="3417"/>
      <c r="FU17" s="3417"/>
      <c r="FV17" s="3417"/>
      <c r="FW17" s="342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79</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CFE3D-68F6-54D6-AE9C-DC7409874BC6}">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169</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323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232"/>
      <c r="F5" s="3232"/>
      <c r="G5" s="3232"/>
      <c r="H5" s="3232"/>
      <c r="I5" s="474"/>
      <c r="S5" s="442">
        <v>38</v>
      </c>
    </row>
    <row r="6" spans="1:19" ht="15.75" customHeight="1">
      <c r="C6" s="114"/>
      <c r="D6" s="3204" t="str">
        <f>IF(org=0,"Не определено",org)</f>
        <v>АО Нижневартовская ГРЭС</v>
      </c>
      <c r="E6" s="3204"/>
      <c r="F6" s="3204"/>
      <c r="G6" s="3204"/>
      <c r="H6" s="3204"/>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115</v>
      </c>
      <c r="S8" s="442">
        <v>1</v>
      </c>
    </row>
    <row r="9" spans="1:19" ht="15.75" customHeight="1">
      <c r="C9" s="114"/>
      <c r="D9" s="648"/>
      <c r="E9" s="3370" t="s">
        <v>103</v>
      </c>
      <c r="F9" s="3371"/>
      <c r="G9" s="747" t="str">
        <f>IF(G8="","",INDEX(DIFFERENTIATION_UNMERGE_VD,MATCH(G8,DIFFERENTIATION_ID_DIFF,0)))</f>
        <v/>
      </c>
      <c r="H9" s="747">
        <f>IF(H8="","",INDEX(DIFFERENTIATION_UNMERGE_VD,MATCH(H8,DIFFERENTIATION_ID_DIFF,0)))</f>
        <v>0</v>
      </c>
      <c r="I9" s="3111" t="s">
        <v>309</v>
      </c>
      <c r="S9" s="442">
        <v>15</v>
      </c>
    </row>
    <row r="10" spans="1:19" s="1562" customFormat="1" ht="15.75" customHeight="1">
      <c r="A10" s="694"/>
      <c r="C10" s="114"/>
      <c r="D10" s="648"/>
      <c r="E10" s="3370" t="s">
        <v>571</v>
      </c>
      <c r="F10" s="3371"/>
      <c r="G10" s="747" t="str">
        <f>IF(G8="","",INDEX(DIFFERENTIATION_UNMERGE_AREA,MATCH(G8,DIFFERENTIATION_ID_DIFF,0)))</f>
        <v/>
      </c>
      <c r="H10" s="747" t="str">
        <f>IF(H8="","",INDEX(DIFFERENTIATION_UNMERGE_AREA,MATCH(H8,DIFFERENTIATION_ID_DIFF,0)))</f>
        <v/>
      </c>
      <c r="I10" s="3111"/>
      <c r="R10" s="612"/>
      <c r="S10" s="693">
        <v>15</v>
      </c>
    </row>
    <row r="11" spans="1:19" s="1562" customFormat="1" ht="15.75" customHeight="1">
      <c r="A11" s="694"/>
      <c r="C11" s="114"/>
      <c r="D11" s="648"/>
      <c r="E11" s="3370" t="s">
        <v>572</v>
      </c>
      <c r="F11" s="3371"/>
      <c r="G11" s="747" t="str">
        <f>IF(G8="","",INDEX(DIFFERENTIATION_UNMERGE_SYSTEM,MATCH(G8,DIFFERENTIATION_ID_DIFF,0)))</f>
        <v/>
      </c>
      <c r="H11" s="747" t="str">
        <f>IF(H8="","",INDEX(DIFFERENTIATION_UNMERGE_SYSTEM,MATCH(H8,DIFFERENTIATION_ID_DIFF,0)))</f>
        <v>без дифференциации</v>
      </c>
      <c r="I11" s="3111"/>
      <c r="R11" s="612"/>
      <c r="S11" s="693">
        <v>15</v>
      </c>
    </row>
    <row r="12" spans="1:19" s="1562" customFormat="1" ht="15.75" customHeight="1">
      <c r="A12" s="694"/>
      <c r="C12" s="114"/>
      <c r="D12" s="3372" t="s">
        <v>308</v>
      </c>
      <c r="E12" s="3373"/>
      <c r="F12" s="3373"/>
      <c r="G12" s="817"/>
      <c r="H12" s="817"/>
      <c r="I12" s="3111"/>
      <c r="R12" s="612"/>
      <c r="S12" s="693">
        <v>15</v>
      </c>
    </row>
    <row r="13" spans="1:19" ht="35.65" customHeight="1">
      <c r="C13" s="114"/>
      <c r="D13" s="696" t="s">
        <v>85</v>
      </c>
      <c r="E13" s="695" t="s">
        <v>310</v>
      </c>
      <c r="F13" s="695" t="s">
        <v>573</v>
      </c>
      <c r="G13" s="739" t="s">
        <v>311</v>
      </c>
      <c r="H13" s="691" t="s">
        <v>311</v>
      </c>
      <c r="I13" s="3111"/>
      <c r="S13" s="442">
        <v>34</v>
      </c>
    </row>
    <row r="14" spans="1:19" ht="15" hidden="1" customHeight="1">
      <c r="C14" s="114"/>
      <c r="D14" s="530" t="s">
        <v>107</v>
      </c>
      <c r="E14" s="530" t="s">
        <v>108</v>
      </c>
      <c r="F14" s="530" t="s">
        <v>87</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1121</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1121</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1121</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1122</v>
      </c>
      <c r="E20" s="625"/>
      <c r="F20" s="446"/>
      <c r="G20" s="446"/>
      <c r="H20" s="446"/>
      <c r="I20" s="1689"/>
      <c r="S20" s="442">
        <v>0</v>
      </c>
    </row>
    <row r="21" spans="1:19" ht="29.25" customHeight="1">
      <c r="C21" s="388"/>
      <c r="D21" s="476" t="s">
        <v>321</v>
      </c>
      <c r="E21" s="607"/>
      <c r="F21" s="1687" t="str">
        <f>IF(TEMPLATE_SPHERE="HEAT","Гкал/час","тыс. куб. м/сутки")</f>
        <v>Гкал/час</v>
      </c>
      <c r="G21" s="617"/>
      <c r="H21" s="617"/>
      <c r="I21" s="315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1123</v>
      </c>
      <c r="F22" s="509"/>
      <c r="G22" s="509"/>
      <c r="H22" s="509"/>
      <c r="I22" s="3157"/>
      <c r="R22" s="442"/>
      <c r="S22" s="442">
        <v>15</v>
      </c>
    </row>
    <row r="23" spans="1:19" ht="22.5" hidden="1" customHeight="1">
      <c r="A23" s="386" t="s">
        <v>79</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7AA98-1513-65BF-B2AC-4A3D245AD41B}">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16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64"/>
      <c r="F5" s="3164"/>
      <c r="G5" s="3165"/>
      <c r="Q5" s="23">
        <v>28</v>
      </c>
    </row>
    <row r="6" spans="1:17" s="1562" customFormat="1" ht="18.75" customHeight="1">
      <c r="A6" s="812"/>
      <c r="B6" s="354"/>
      <c r="C6" s="313"/>
      <c r="D6" s="3226" t="str">
        <f>IF(org=0,"Не определено",org)</f>
        <v>АО Нижневартовская ГРЭС</v>
      </c>
      <c r="E6" s="3227"/>
      <c r="F6" s="3227"/>
      <c r="G6" s="3228"/>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3212" t="s">
        <v>308</v>
      </c>
      <c r="E9" s="3212"/>
      <c r="F9" s="3212"/>
      <c r="G9" s="3387" t="s">
        <v>309</v>
      </c>
      <c r="Q9" s="23">
        <v>14</v>
      </c>
    </row>
    <row r="10" spans="1:17" ht="24" customHeight="1">
      <c r="C10" s="36"/>
      <c r="D10" s="45" t="s">
        <v>85</v>
      </c>
      <c r="E10" s="48" t="s">
        <v>310</v>
      </c>
      <c r="F10" s="48" t="s">
        <v>398</v>
      </c>
      <c r="G10" s="338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314</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314</v>
      </c>
      <c r="G13" s="89"/>
      <c r="Q13" s="23">
        <v>23</v>
      </c>
    </row>
    <row r="14" spans="1:17" ht="14.65" customHeight="1">
      <c r="A14" s="130"/>
      <c r="C14" s="36"/>
      <c r="D14" s="85" t="s">
        <v>1064</v>
      </c>
      <c r="E14" s="133"/>
      <c r="F14" s="151"/>
      <c r="G14" s="315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3157"/>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314</v>
      </c>
      <c r="G16" s="275"/>
      <c r="Q16" s="23">
        <v>14</v>
      </c>
    </row>
    <row r="17" spans="1:17" ht="14.65" customHeight="1">
      <c r="A17" s="130"/>
      <c r="C17" s="36"/>
      <c r="D17" s="85" t="s">
        <v>1072</v>
      </c>
      <c r="E17" s="133"/>
      <c r="F17" s="322"/>
      <c r="G17" s="315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1125</v>
      </c>
      <c r="F18" s="276"/>
      <c r="G18" s="3157"/>
      <c r="I18" s="287"/>
      <c r="J18" s="287"/>
      <c r="Q18" s="280">
        <v>21</v>
      </c>
    </row>
    <row r="19" spans="1:17" s="1562" customFormat="1" ht="256.5" hidden="1" customHeight="1">
      <c r="A19" s="281"/>
      <c r="B19" s="354"/>
      <c r="C19" s="313"/>
      <c r="D19" s="814" t="s">
        <v>1032</v>
      </c>
      <c r="E19" s="813" t="s">
        <v>1126</v>
      </c>
      <c r="F19" s="322"/>
      <c r="G19" s="275" t="s">
        <v>1127</v>
      </c>
      <c r="I19" s="437"/>
      <c r="J19" s="437"/>
      <c r="Q19" s="693">
        <v>0</v>
      </c>
    </row>
    <row r="20" spans="1:17" s="1562" customFormat="1" ht="14.65" customHeight="1">
      <c r="A20" s="281"/>
      <c r="B20" s="84"/>
      <c r="C20" s="245"/>
      <c r="D20" s="815">
        <v>2</v>
      </c>
      <c r="E20" s="268" t="s">
        <v>1128</v>
      </c>
      <c r="F20" s="136" t="s">
        <v>314</v>
      </c>
      <c r="G20" s="275"/>
      <c r="I20" s="287"/>
      <c r="J20" s="287"/>
      <c r="Q20" s="280">
        <v>14</v>
      </c>
    </row>
    <row r="21" spans="1:17" s="1562" customFormat="1" ht="18.75" hidden="1" customHeight="1">
      <c r="A21" s="281"/>
      <c r="B21" s="84"/>
      <c r="C21" s="245"/>
      <c r="D21" s="271" t="s">
        <v>643</v>
      </c>
      <c r="E21" s="270"/>
      <c r="F21" s="269"/>
      <c r="G21" s="279"/>
      <c r="H21" s="272"/>
      <c r="I21" s="287"/>
      <c r="J21" s="287"/>
      <c r="Q21" s="280">
        <v>0</v>
      </c>
    </row>
    <row r="22" spans="1:17" ht="15.75" customHeight="1">
      <c r="A22" s="130"/>
      <c r="C22" s="36"/>
      <c r="D22" s="49"/>
      <c r="E22" s="141" t="s">
        <v>330</v>
      </c>
      <c r="F22" s="276"/>
      <c r="G22" s="277"/>
      <c r="Q22" s="23">
        <v>15</v>
      </c>
    </row>
    <row r="23" spans="1:17" s="1562" customFormat="1" ht="22.5" hidden="1" customHeight="1">
      <c r="A23" s="281"/>
      <c r="B23" s="1087"/>
      <c r="C23" s="313"/>
      <c r="D23" s="1600" t="s">
        <v>108</v>
      </c>
      <c r="E23" s="135" t="s">
        <v>1129</v>
      </c>
      <c r="F23" s="1597" t="s">
        <v>314</v>
      </c>
      <c r="G23" s="283"/>
      <c r="I23" s="1551"/>
      <c r="J23" s="1551"/>
      <c r="Q23" s="1558">
        <v>0</v>
      </c>
    </row>
    <row r="24" spans="1:17" s="1562" customFormat="1" ht="14.25" hidden="1" customHeight="1">
      <c r="A24" s="281"/>
      <c r="B24" s="1087"/>
      <c r="C24" s="313"/>
      <c r="D24" s="1600" t="s">
        <v>715</v>
      </c>
      <c r="E24" s="1599" t="s">
        <v>1130</v>
      </c>
      <c r="F24" s="1597" t="s">
        <v>314</v>
      </c>
      <c r="G24" s="275"/>
      <c r="I24" s="1551"/>
      <c r="J24" s="1551"/>
      <c r="Q24" s="1558">
        <v>0</v>
      </c>
    </row>
    <row r="25" spans="1:17" s="1562" customFormat="1" ht="14.25" hidden="1" customHeight="1">
      <c r="A25" s="281"/>
      <c r="B25" s="1087"/>
      <c r="C25" s="313"/>
      <c r="D25" s="1600" t="s">
        <v>718</v>
      </c>
      <c r="E25" s="133"/>
      <c r="F25" s="322"/>
      <c r="G25" s="3155" t="s">
        <v>1131</v>
      </c>
      <c r="I25" s="1551"/>
      <c r="J25" s="1551"/>
      <c r="Q25" s="1558">
        <v>0</v>
      </c>
    </row>
    <row r="26" spans="1:17" s="1562" customFormat="1" ht="22.5" hidden="1" customHeight="1">
      <c r="A26" s="281"/>
      <c r="B26" s="1087"/>
      <c r="C26" s="313"/>
      <c r="D26" s="285"/>
      <c r="E26" s="286" t="s">
        <v>1132</v>
      </c>
      <c r="F26" s="276"/>
      <c r="G26" s="315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79</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51EC8-2A44-695D-FA3A-1C3662A0CE59}">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169</v>
      </c>
      <c r="D2" s="1600"/>
      <c r="E2" s="137"/>
      <c r="F2" s="1597"/>
      <c r="G2" s="1597" t="s">
        <v>314</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169</v>
      </c>
      <c r="D4" s="1600"/>
      <c r="E4" s="143" t="s">
        <v>1133</v>
      </c>
      <c r="F4" s="1597"/>
      <c r="G4" s="195"/>
      <c r="H4" s="1597" t="s">
        <v>314</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169</v>
      </c>
      <c r="D6" s="1600"/>
      <c r="E6" s="144" t="s">
        <v>1134</v>
      </c>
      <c r="F6" s="1597"/>
      <c r="G6" s="195"/>
      <c r="H6" s="1597" t="s">
        <v>314</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169</v>
      </c>
      <c r="D8" s="1600"/>
      <c r="E8" s="144" t="s">
        <v>1135</v>
      </c>
      <c r="F8" s="1597"/>
      <c r="G8" s="195"/>
      <c r="H8" s="1597" t="s">
        <v>314</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169</v>
      </c>
      <c r="D10" s="1600"/>
      <c r="E10" s="144" t="s">
        <v>1136</v>
      </c>
      <c r="F10" s="1597"/>
      <c r="G10" s="1601"/>
      <c r="H10" s="1597" t="s">
        <v>314</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16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64"/>
      <c r="F14" s="3164"/>
      <c r="G14" s="3164"/>
      <c r="H14" s="3165"/>
      <c r="J14" s="1558"/>
      <c r="M14" s="23">
        <v>28</v>
      </c>
    </row>
    <row r="15" spans="1:13" s="1562" customFormat="1" ht="14.65" customHeight="1">
      <c r="A15" s="1289"/>
      <c r="B15" s="1087"/>
      <c r="C15" s="313"/>
      <c r="D15" s="3226" t="str">
        <f>IF(org=0,"Не определено",org)</f>
        <v>АО Нижневартовская ГРЭС</v>
      </c>
      <c r="E15" s="3227"/>
      <c r="F15" s="3227"/>
      <c r="G15" s="3227"/>
      <c r="H15" s="3228"/>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3212" t="s">
        <v>308</v>
      </c>
      <c r="E18" s="3212"/>
      <c r="F18" s="3212"/>
      <c r="G18" s="3212"/>
      <c r="H18" s="3212"/>
      <c r="I18" s="3387" t="s">
        <v>309</v>
      </c>
      <c r="M18" s="23">
        <v>21</v>
      </c>
    </row>
    <row r="19" spans="1:13" ht="21.95" customHeight="1">
      <c r="C19" s="36"/>
      <c r="D19" s="45" t="s">
        <v>85</v>
      </c>
      <c r="E19" s="48" t="s">
        <v>310</v>
      </c>
      <c r="F19" s="48"/>
      <c r="G19" s="48" t="s">
        <v>311</v>
      </c>
      <c r="H19" s="48" t="s">
        <v>398</v>
      </c>
      <c r="I19" s="3387"/>
      <c r="M19" s="23">
        <v>21</v>
      </c>
    </row>
    <row r="20" spans="1:13" ht="12" hidden="1" customHeight="1">
      <c r="C20" s="36"/>
      <c r="D20" s="27"/>
      <c r="E20" s="27"/>
      <c r="F20" s="27"/>
      <c r="G20" s="27"/>
      <c r="H20" s="27"/>
      <c r="I20" s="27"/>
      <c r="M20" s="23">
        <v>0</v>
      </c>
    </row>
    <row r="21" spans="1:13" ht="14.65" customHeight="1">
      <c r="A21" s="1610"/>
      <c r="C21" s="36"/>
      <c r="D21" s="85">
        <v>1</v>
      </c>
      <c r="E21" s="3438" t="s">
        <v>1138</v>
      </c>
      <c r="F21" s="3438"/>
      <c r="G21" s="3438"/>
      <c r="H21" s="3438"/>
      <c r="I21" s="146"/>
      <c r="M21" s="23">
        <v>14</v>
      </c>
    </row>
    <row r="22" spans="1:13" ht="21" customHeight="1">
      <c r="A22" s="1610"/>
      <c r="C22" s="36"/>
      <c r="D22" s="85" t="s">
        <v>1028</v>
      </c>
      <c r="E22" s="132" t="s">
        <v>1139</v>
      </c>
      <c r="F22" s="136"/>
      <c r="G22" s="1663"/>
      <c r="H22" s="136" t="s">
        <v>314</v>
      </c>
      <c r="I22" s="89" t="s">
        <v>1140</v>
      </c>
      <c r="M22" s="23">
        <v>20</v>
      </c>
    </row>
    <row r="23" spans="1:13" ht="60" customHeight="1">
      <c r="A23" s="1610"/>
      <c r="C23" s="36"/>
      <c r="D23" s="85" t="s">
        <v>1030</v>
      </c>
      <c r="E23" s="132" t="s">
        <v>1141</v>
      </c>
      <c r="F23" s="136"/>
      <c r="G23" s="195"/>
      <c r="H23" s="151"/>
      <c r="I23" s="196" t="s">
        <v>1142</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314</v>
      </c>
      <c r="H24" s="151"/>
      <c r="I24" s="197" t="s">
        <v>638</v>
      </c>
      <c r="M24" s="23">
        <v>14</v>
      </c>
    </row>
    <row r="25" spans="1:13" ht="48.2" customHeight="1">
      <c r="A25" s="1610"/>
      <c r="C25" s="36"/>
      <c r="D25" s="85">
        <v>3</v>
      </c>
      <c r="E25" s="34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438"/>
      <c r="G25" s="3438"/>
      <c r="H25" s="3438"/>
      <c r="I25" s="194"/>
      <c r="M25" s="23">
        <v>46</v>
      </c>
    </row>
    <row r="26" spans="1:13" ht="14.65" customHeight="1">
      <c r="A26" s="1610"/>
      <c r="C26" s="36"/>
      <c r="D26" s="85" t="s">
        <v>332</v>
      </c>
      <c r="E26" s="137"/>
      <c r="F26" s="136"/>
      <c r="G26" s="136" t="s">
        <v>314</v>
      </c>
      <c r="H26" s="151"/>
      <c r="I26" s="3155" t="s">
        <v>1143</v>
      </c>
      <c r="M26" s="23">
        <v>14</v>
      </c>
    </row>
    <row r="27" spans="1:13" ht="15.75" customHeight="1">
      <c r="A27" s="1610" t="s">
        <v>107</v>
      </c>
      <c r="C27" s="36"/>
      <c r="D27" s="49"/>
      <c r="E27" s="141" t="s">
        <v>330</v>
      </c>
      <c r="F27" s="142"/>
      <c r="G27" s="142"/>
      <c r="H27" s="139"/>
      <c r="I27" s="3157"/>
      <c r="M27" s="23">
        <v>15</v>
      </c>
    </row>
    <row r="28" spans="1:13" ht="39.75" customHeight="1">
      <c r="A28" s="1610"/>
      <c r="B28" s="84">
        <v>3</v>
      </c>
      <c r="C28" s="36"/>
      <c r="D28" s="85">
        <v>4</v>
      </c>
      <c r="E28" s="34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438"/>
      <c r="G28" s="3438"/>
      <c r="H28" s="3438"/>
      <c r="I28" s="194"/>
      <c r="M28" s="23">
        <v>38</v>
      </c>
    </row>
    <row r="29" spans="1:13" ht="21" customHeight="1">
      <c r="A29" s="1610"/>
      <c r="C29" s="36"/>
      <c r="D29" s="85" t="s">
        <v>760</v>
      </c>
      <c r="E29" s="143" t="s">
        <v>1133</v>
      </c>
      <c r="F29" s="136"/>
      <c r="G29" s="195"/>
      <c r="H29" s="136" t="s">
        <v>314</v>
      </c>
      <c r="I29" s="3155" t="s">
        <v>1144</v>
      </c>
      <c r="M29" s="23">
        <v>20</v>
      </c>
    </row>
    <row r="30" spans="1:13" ht="15.75" customHeight="1">
      <c r="A30" s="1610" t="s">
        <v>108</v>
      </c>
      <c r="C30" s="36"/>
      <c r="D30" s="49"/>
      <c r="E30" s="141" t="s">
        <v>330</v>
      </c>
      <c r="F30" s="142"/>
      <c r="G30" s="142"/>
      <c r="H30" s="139"/>
      <c r="I30" s="3157"/>
      <c r="M30" s="23">
        <v>15</v>
      </c>
    </row>
    <row r="31" spans="1:13" ht="31.5" customHeight="1">
      <c r="A31" s="1610"/>
      <c r="B31" s="84">
        <v>3</v>
      </c>
      <c r="C31" s="36"/>
      <c r="D31" s="85">
        <v>5</v>
      </c>
      <c r="E31" s="34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438"/>
      <c r="G31" s="3438"/>
      <c r="H31" s="3438"/>
      <c r="I31" s="194"/>
      <c r="M31" s="23">
        <v>30</v>
      </c>
    </row>
    <row r="32" spans="1:13" ht="27.4" customHeight="1">
      <c r="A32" s="1610"/>
      <c r="C32" s="36"/>
      <c r="D32" s="85" t="s">
        <v>321</v>
      </c>
      <c r="E32" s="34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401"/>
      <c r="G32" s="3401"/>
      <c r="H32" s="3401"/>
      <c r="I32" s="194"/>
      <c r="M32" s="23">
        <v>26</v>
      </c>
    </row>
    <row r="33" spans="1:13" ht="14.65" customHeight="1">
      <c r="A33" s="1610"/>
      <c r="C33" s="36"/>
      <c r="D33" s="85" t="s">
        <v>1145</v>
      </c>
      <c r="E33" s="144" t="s">
        <v>1134</v>
      </c>
      <c r="F33" s="136"/>
      <c r="G33" s="195"/>
      <c r="H33" s="136" t="s">
        <v>314</v>
      </c>
      <c r="I33" s="3155" t="s">
        <v>1146</v>
      </c>
      <c r="M33" s="23">
        <v>14</v>
      </c>
    </row>
    <row r="34" spans="1:13" ht="15.75" customHeight="1">
      <c r="A34" s="1610" t="s">
        <v>87</v>
      </c>
      <c r="C34" s="36"/>
      <c r="D34" s="49"/>
      <c r="E34" s="142" t="s">
        <v>330</v>
      </c>
      <c r="F34" s="138"/>
      <c r="G34" s="138"/>
      <c r="H34" s="139"/>
      <c r="I34" s="3157"/>
      <c r="M34" s="23">
        <v>15</v>
      </c>
    </row>
    <row r="35" spans="1:13" ht="25.15" customHeight="1">
      <c r="A35" s="1610"/>
      <c r="C35" s="36"/>
      <c r="D35" s="85" t="s">
        <v>888</v>
      </c>
      <c r="E35" s="34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401"/>
      <c r="G35" s="3401"/>
      <c r="H35" s="3401"/>
      <c r="I35" s="194"/>
      <c r="M35" s="23">
        <v>24</v>
      </c>
    </row>
    <row r="36" spans="1:13" ht="14.65" customHeight="1">
      <c r="A36" s="1610"/>
      <c r="C36" s="36"/>
      <c r="D36" s="85" t="s">
        <v>1147</v>
      </c>
      <c r="E36" s="144" t="s">
        <v>1135</v>
      </c>
      <c r="F36" s="136"/>
      <c r="G36" s="195"/>
      <c r="H36" s="136" t="s">
        <v>314</v>
      </c>
      <c r="I36" s="3133" t="s">
        <v>1148</v>
      </c>
      <c r="M36" s="23">
        <v>14</v>
      </c>
    </row>
    <row r="37" spans="1:13" ht="15.75" customHeight="1">
      <c r="A37" s="1610" t="s">
        <v>88</v>
      </c>
      <c r="C37" s="36"/>
      <c r="D37" s="49"/>
      <c r="E37" s="142" t="s">
        <v>330</v>
      </c>
      <c r="F37" s="138"/>
      <c r="G37" s="138"/>
      <c r="H37" s="139"/>
      <c r="I37" s="3133"/>
      <c r="M37" s="23">
        <v>15</v>
      </c>
    </row>
    <row r="38" spans="1:13" ht="27.4" customHeight="1">
      <c r="A38" s="1610"/>
      <c r="C38" s="36"/>
      <c r="D38" s="85" t="s">
        <v>889</v>
      </c>
      <c r="E38" s="34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401"/>
      <c r="G38" s="3401"/>
      <c r="H38" s="3401"/>
      <c r="I38" s="194"/>
      <c r="M38" s="23">
        <v>26</v>
      </c>
    </row>
    <row r="39" spans="1:13" ht="14.65" customHeight="1">
      <c r="A39" s="1610"/>
      <c r="C39" s="36"/>
      <c r="D39" s="85" t="s">
        <v>890</v>
      </c>
      <c r="E39" s="144" t="s">
        <v>1136</v>
      </c>
      <c r="F39" s="136"/>
      <c r="G39" s="145"/>
      <c r="H39" s="136" t="s">
        <v>314</v>
      </c>
      <c r="I39" s="3155" t="s">
        <v>1149</v>
      </c>
      <c r="L39" s="93" t="s">
        <v>1137</v>
      </c>
      <c r="M39" s="23">
        <v>14</v>
      </c>
    </row>
    <row r="40" spans="1:13" ht="15.75" customHeight="1">
      <c r="A40" s="1610" t="s">
        <v>109</v>
      </c>
      <c r="C40" s="36"/>
      <c r="D40" s="49"/>
      <c r="E40" s="142" t="s">
        <v>330</v>
      </c>
      <c r="F40" s="138"/>
      <c r="G40" s="138"/>
      <c r="H40" s="139"/>
      <c r="I40" s="3157"/>
      <c r="M40" s="23">
        <v>15</v>
      </c>
    </row>
    <row r="41" spans="1:13" s="1748" customFormat="1" ht="3" customHeight="1">
      <c r="A41" s="1610"/>
      <c r="K41" s="134"/>
      <c r="L41" s="134"/>
      <c r="M41" s="79">
        <v>3</v>
      </c>
    </row>
    <row r="42" spans="1:13" ht="26.25" customHeight="1">
      <c r="D42" s="1608" t="s">
        <v>810</v>
      </c>
      <c r="E42" s="325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252"/>
      <c r="G42" s="3252"/>
      <c r="H42" s="3252"/>
      <c r="I42" s="3252"/>
      <c r="M42" s="23">
        <v>25</v>
      </c>
    </row>
    <row r="43" spans="1:13" ht="22.5" hidden="1" customHeight="1">
      <c r="A43" s="1289" t="s">
        <v>79</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2D172-B018-7A42-D164-4105D1A4249B}">
  <sheetPr>
    <tabColor theme="6" tint="0.39997558519241921"/>
  </sheetPr>
  <dimension ref="A1:AH370"/>
  <sheetViews>
    <sheetView showGridLines="0" zoomScale="90" workbookViewId="0">
      <pane xSplit="7" ySplit="21" topLeftCell="H160" activePane="bottomRight" state="frozen"/>
      <selection pane="topRight" activeCell="H1" sqref="H1"/>
      <selection pane="bottomLeft" activeCell="A22" sqref="A22"/>
      <selection pane="bottomRight" activeCell="K172" sqref="K172"/>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153</v>
      </c>
      <c r="B2" s="1706" t="s">
        <v>154</v>
      </c>
      <c r="C2" s="306"/>
      <c r="D2" s="282"/>
      <c r="E2" s="961"/>
      <c r="F2" s="961"/>
      <c r="G2" s="3414" t="str">
        <f>INDEX(PT_DIFFERENTIATION_NTAR,MATCH(B2,PT_DIFFERENTIATION_NTAR_ID,0))</f>
        <v/>
      </c>
      <c r="H2" s="1789"/>
      <c r="I2" s="1665"/>
      <c r="J2" s="1699"/>
      <c r="K2" s="1790"/>
      <c r="L2" s="1789" t="s">
        <v>314</v>
      </c>
      <c r="M2" s="1800"/>
      <c r="N2" s="272"/>
      <c r="O2" s="1551"/>
      <c r="P2" s="1551"/>
      <c r="AH2" s="1558">
        <v>0</v>
      </c>
    </row>
    <row r="3" spans="1:34" s="1562" customFormat="1" ht="18.75" hidden="1" customHeight="1">
      <c r="A3" s="1706"/>
      <c r="B3" s="1706"/>
      <c r="C3" s="306" t="s">
        <v>1150</v>
      </c>
      <c r="D3" s="282"/>
      <c r="E3" s="961"/>
      <c r="F3" s="961"/>
      <c r="G3" s="3414"/>
      <c r="H3" s="1427"/>
      <c r="I3" s="588" t="s">
        <v>1151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153</v>
      </c>
      <c r="B5" s="1706" t="s">
        <v>154</v>
      </c>
      <c r="C5" s="306"/>
      <c r="D5" s="282"/>
      <c r="E5" s="961"/>
      <c r="F5" s="961"/>
      <c r="G5" s="3414" t="str">
        <f>INDEX(PT_DIFFERENTIATION_NTAR,MATCH(B5,PT_DIFFERENTIATION_NTAR_ID,0))</f>
        <v/>
      </c>
      <c r="H5" s="1789"/>
      <c r="I5" s="1665"/>
      <c r="J5" s="1699"/>
      <c r="K5" s="1704"/>
      <c r="L5" s="1789" t="s">
        <v>314</v>
      </c>
      <c r="M5" s="1800"/>
      <c r="N5" s="272"/>
      <c r="O5" s="1551"/>
      <c r="P5" s="1551"/>
      <c r="AH5" s="1558">
        <v>0</v>
      </c>
    </row>
    <row r="6" spans="1:34" s="1562" customFormat="1" ht="18.75" hidden="1" customHeight="1">
      <c r="A6" s="1706"/>
      <c r="B6" s="1706"/>
      <c r="C6" s="306" t="s">
        <v>1152</v>
      </c>
      <c r="D6" s="282"/>
      <c r="E6" s="961"/>
      <c r="F6" s="961"/>
      <c r="G6" s="3414"/>
      <c r="H6" s="1427"/>
      <c r="I6" s="588" t="s">
        <v>1151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314</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314</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34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442"/>
      <c r="G14" s="3442"/>
      <c r="H14" s="3442"/>
      <c r="I14" s="3442"/>
      <c r="J14" s="3442"/>
      <c r="K14" s="3442"/>
      <c r="L14" s="3442"/>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3244">
        <f>IF(TITLE_DATE_PR_CHANGE="",IF(TITLE_DATE_PR="","",TITLE_DATE_PR),TITLE_DATE_PR_CHANGE)</f>
        <v>45595.546053240738</v>
      </c>
      <c r="H16" s="3244"/>
      <c r="I16" s="3244"/>
      <c r="J16" s="3244"/>
      <c r="K16" s="3244"/>
      <c r="L16" s="3244"/>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3245" t="str">
        <f>IF(TITLE_NUMBER_PR_CHANGE="",IF(TITLE_NUMBER_PR="","",TITLE_NUMBER_PR),TITLE_NUMBER_PR_CHANGE)</f>
        <v>03/3636</v>
      </c>
      <c r="H17" s="3245"/>
      <c r="I17" s="3245"/>
      <c r="J17" s="3245"/>
      <c r="K17" s="3245"/>
      <c r="L17" s="3245"/>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3212" t="s">
        <v>308</v>
      </c>
      <c r="F19" s="3212"/>
      <c r="G19" s="3212"/>
      <c r="H19" s="3212"/>
      <c r="I19" s="3212"/>
      <c r="J19" s="3212"/>
      <c r="K19" s="3212"/>
      <c r="L19" s="3212"/>
      <c r="M19" s="3387" t="s">
        <v>309</v>
      </c>
      <c r="AH19" s="311">
        <v>21</v>
      </c>
    </row>
    <row r="20" spans="1:34" ht="21.95" customHeight="1">
      <c r="D20" s="313"/>
      <c r="E20" s="3272" t="s">
        <v>85</v>
      </c>
      <c r="F20" s="3218" t="s">
        <v>120</v>
      </c>
      <c r="G20" s="3218" t="s">
        <v>121</v>
      </c>
      <c r="H20" s="3384" t="s">
        <v>1153</v>
      </c>
      <c r="I20" s="3385"/>
      <c r="J20" s="3416"/>
      <c r="K20" s="3218" t="s">
        <v>311</v>
      </c>
      <c r="L20" s="3218" t="s">
        <v>398</v>
      </c>
      <c r="M20" s="3387"/>
      <c r="AH20" s="311">
        <v>21</v>
      </c>
    </row>
    <row r="21" spans="1:34" ht="21.95" customHeight="1">
      <c r="D21" s="313"/>
      <c r="E21" s="3274"/>
      <c r="F21" s="3219"/>
      <c r="G21" s="3219"/>
      <c r="H21" s="3217" t="s">
        <v>1154</v>
      </c>
      <c r="I21" s="3231"/>
      <c r="J21" s="48" t="s">
        <v>1155</v>
      </c>
      <c r="K21" s="3219"/>
      <c r="L21" s="3219"/>
      <c r="M21" s="3387"/>
      <c r="AH21" s="311">
        <v>21</v>
      </c>
    </row>
    <row r="22" spans="1:34" ht="12.75" customHeight="1">
      <c r="D22" s="313"/>
      <c r="E22" s="219"/>
      <c r="F22" s="219"/>
      <c r="G22" s="219"/>
      <c r="H22" s="3444"/>
      <c r="I22" s="3444"/>
      <c r="J22" s="219"/>
      <c r="K22" s="219"/>
      <c r="L22" s="219"/>
      <c r="M22" s="219"/>
      <c r="AH22" s="311">
        <v>12</v>
      </c>
    </row>
    <row r="23" spans="1:34" ht="19.899999999999999" customHeight="1">
      <c r="A23" s="1706"/>
      <c r="B23" s="1706"/>
      <c r="D23" s="313"/>
      <c r="E23" s="1791" t="s">
        <v>107</v>
      </c>
      <c r="F23" s="3445" t="str">
        <f>"Предлагаемый метод регулирования"&amp;IF(TEMPLATE_SPHERE="HEAT"," в сфере "&amp;TEMPLATE_SPHERE_RUS,"")</f>
        <v>Предлагаемый метод регулирования в сфере теплоснабжения</v>
      </c>
      <c r="G23" s="3445"/>
      <c r="H23" s="3438"/>
      <c r="I23" s="3438"/>
      <c r="J23" s="3438"/>
      <c r="K23" s="3445" t="s">
        <v>314</v>
      </c>
      <c r="L23" s="3438"/>
      <c r="M23" s="1695"/>
      <c r="N23" s="272"/>
      <c r="AH23" s="311">
        <v>19</v>
      </c>
    </row>
    <row r="24" spans="1:34" ht="60.75" hidden="1" customHeight="1">
      <c r="A24" s="1706" t="s">
        <v>153</v>
      </c>
      <c r="B24" s="1706" t="s">
        <v>154</v>
      </c>
      <c r="D24" s="3443"/>
      <c r="E24" s="3207"/>
      <c r="F24" s="34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414" t="str">
        <f>INDEX(PT_DIFFERENTIATION_NTAR,MATCH(B24,PT_DIFFERENTIATION_NTAR_ID,0))</f>
        <v/>
      </c>
      <c r="H24" s="1787"/>
      <c r="I24" s="1665">
        <v>45292.578310185185</v>
      </c>
      <c r="J24" s="1699">
        <v>47118.578414351854</v>
      </c>
      <c r="K24" s="1790" t="s">
        <v>1156</v>
      </c>
      <c r="L24" s="1694" t="s">
        <v>314</v>
      </c>
      <c r="M24" s="3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1150</v>
      </c>
      <c r="D25" s="3443"/>
      <c r="E25" s="3207"/>
      <c r="F25" s="3446"/>
      <c r="G25" s="3414"/>
      <c r="H25" s="1427"/>
      <c r="I25" s="588" t="s">
        <v>1151</v>
      </c>
      <c r="J25" s="508"/>
      <c r="K25" s="1427"/>
      <c r="L25" s="152"/>
      <c r="M25" s="3156"/>
      <c r="N25" s="272"/>
      <c r="O25" s="1551"/>
      <c r="P25" s="1551"/>
      <c r="AH25" s="1558">
        <v>0</v>
      </c>
    </row>
    <row r="26" spans="1:34" ht="0.75" hidden="1" customHeight="1">
      <c r="A26" s="1706"/>
      <c r="B26" s="1706"/>
      <c r="C26" s="306" t="s">
        <v>1157</v>
      </c>
      <c r="D26" s="3443"/>
      <c r="E26" s="3207"/>
      <c r="F26" s="3377"/>
      <c r="G26" s="337"/>
      <c r="H26" s="1427"/>
      <c r="I26" s="332"/>
      <c r="J26" s="286"/>
      <c r="K26" s="1427"/>
      <c r="L26" s="139"/>
      <c r="M26" s="3156"/>
      <c r="N26" s="272"/>
      <c r="AH26" s="311">
        <v>0</v>
      </c>
    </row>
    <row r="27" spans="1:34" s="1562" customFormat="1" ht="68.25" customHeight="1">
      <c r="A27" s="1706" t="s">
        <v>161</v>
      </c>
      <c r="B27" s="1706" t="s">
        <v>162</v>
      </c>
      <c r="C27" s="306"/>
      <c r="D27" s="3439"/>
      <c r="E27" s="3447"/>
      <c r="F27" s="344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414" t="str">
        <f>INDEX(PT_DIFFERENTIATION_NTAR,MATCH(B27,PT_DIFFERENTIATION_NTAR_ID,0))</f>
        <v>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v>
      </c>
      <c r="H27" s="1787"/>
      <c r="I27" s="1665">
        <v>45658.582094907404</v>
      </c>
      <c r="J27" s="1699">
        <v>47118.58216435185</v>
      </c>
      <c r="K27" s="1790" t="s">
        <v>1156</v>
      </c>
      <c r="L27" s="1787" t="s">
        <v>314</v>
      </c>
      <c r="M27" s="3156"/>
      <c r="N27" s="272"/>
      <c r="O27" s="1551"/>
      <c r="P27" s="1551"/>
      <c r="AH27" s="1558">
        <v>0</v>
      </c>
    </row>
    <row r="28" spans="1:34" s="1562" customFormat="1" ht="20.25" customHeight="1">
      <c r="A28" s="1706"/>
      <c r="B28" s="1706"/>
      <c r="C28" s="306" t="s">
        <v>1150</v>
      </c>
      <c r="D28" s="3439"/>
      <c r="E28" s="3447"/>
      <c r="F28" s="3448"/>
      <c r="G28" s="3414"/>
      <c r="H28" s="1427"/>
      <c r="I28" s="588" t="s">
        <v>1151</v>
      </c>
      <c r="J28" s="508"/>
      <c r="K28" s="1427"/>
      <c r="L28" s="152"/>
      <c r="M28" s="3156"/>
      <c r="N28" s="272"/>
      <c r="O28" s="1551"/>
      <c r="P28" s="1551"/>
      <c r="AH28" s="1558">
        <v>0</v>
      </c>
    </row>
    <row r="29" spans="1:34" s="1562" customFormat="1" ht="27" customHeight="1">
      <c r="A29" s="1748" t="s">
        <v>161</v>
      </c>
      <c r="B29" s="1748" t="s">
        <v>171</v>
      </c>
      <c r="C29" s="1614"/>
      <c r="D29" s="3440"/>
      <c r="E29" s="3441"/>
      <c r="F29" s="3441"/>
      <c r="G29" s="3414" t="str">
        <f>INDEX(PT_DIFFERENTIATION_NTAR,MATCH(B29,PT_DIFFERENTIATION_NTAR_ID,0))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v>
      </c>
      <c r="H29" s="2009"/>
      <c r="I29" s="1665">
        <v>45658.552615740744</v>
      </c>
      <c r="J29" s="1699">
        <v>47118.552673611113</v>
      </c>
      <c r="K29" s="2012" t="s">
        <v>1156</v>
      </c>
      <c r="L29" s="2009" t="s">
        <v>314</v>
      </c>
      <c r="M29" s="3324"/>
      <c r="N29" s="555"/>
      <c r="O29" s="1551"/>
      <c r="P29" s="1551"/>
      <c r="AH29" s="1562">
        <v>0</v>
      </c>
    </row>
    <row r="30" spans="1:34" s="1562" customFormat="1" ht="81" customHeight="1">
      <c r="A30" s="1748"/>
      <c r="B30" s="1748"/>
      <c r="C30" s="1614" t="s">
        <v>1150</v>
      </c>
      <c r="D30" s="3440"/>
      <c r="E30" s="3441"/>
      <c r="F30" s="3441"/>
      <c r="G30" s="3414"/>
      <c r="H30" s="2895"/>
      <c r="I30" s="2896" t="s">
        <v>1151</v>
      </c>
      <c r="J30" s="2897"/>
      <c r="K30" s="2898"/>
      <c r="L30" s="2899"/>
      <c r="M30" s="3324"/>
      <c r="N30" s="555"/>
      <c r="O30" s="1551"/>
      <c r="P30" s="1551"/>
      <c r="AH30" s="1562">
        <v>0</v>
      </c>
    </row>
    <row r="31" spans="1:34" s="1562" customFormat="1" ht="14.25" customHeight="1">
      <c r="A31" s="1706"/>
      <c r="B31" s="1706"/>
      <c r="C31" s="306" t="s">
        <v>1157</v>
      </c>
      <c r="D31" s="3439"/>
      <c r="E31" s="3207"/>
      <c r="F31" s="3377"/>
      <c r="G31" s="337"/>
      <c r="H31" s="1427"/>
      <c r="I31" s="588"/>
      <c r="J31" s="508"/>
      <c r="K31" s="1427"/>
      <c r="L31" s="152"/>
      <c r="M31" s="3156"/>
      <c r="N31" s="272"/>
      <c r="O31" s="1551"/>
      <c r="P31" s="1551"/>
      <c r="AH31" s="1558">
        <v>0</v>
      </c>
    </row>
    <row r="32" spans="1:34" s="1562" customFormat="1" ht="45" hidden="1" customHeight="1">
      <c r="A32" s="1706" t="s">
        <v>177</v>
      </c>
      <c r="B32" s="1706" t="s">
        <v>178</v>
      </c>
      <c r="C32" s="306"/>
      <c r="D32" s="3439"/>
      <c r="E32" s="3207"/>
      <c r="F32" s="3377" t="str">
        <f>INDEX(PT_DIFFERENTIATION_VTAR,MATCH(A32,PT_DIFFERENTIATION_VTAR_ID,0))</f>
        <v>Тарифы на теплоноситель, поставляемый теплоснабжающими организациями потребителям, другим теплоснабжающим организациям</v>
      </c>
      <c r="G32" s="3414" t="str">
        <f>INDEX(PT_DIFFERENTIATION_NTAR,MATCH(B32,PT_DIFFERENTIATION_NTAR_ID,0))</f>
        <v/>
      </c>
      <c r="H32" s="1787"/>
      <c r="I32" s="1665"/>
      <c r="J32" s="1699"/>
      <c r="K32" s="1790"/>
      <c r="L32" s="1787" t="s">
        <v>314</v>
      </c>
      <c r="M32" s="3156"/>
      <c r="N32" s="272"/>
      <c r="O32" s="1551"/>
      <c r="P32" s="1551"/>
      <c r="AH32" s="1558">
        <v>0</v>
      </c>
    </row>
    <row r="33" spans="1:34" s="1562" customFormat="1" ht="18.75" hidden="1" customHeight="1">
      <c r="A33" s="1706"/>
      <c r="B33" s="1706"/>
      <c r="C33" s="306" t="s">
        <v>1150</v>
      </c>
      <c r="D33" s="3439"/>
      <c r="E33" s="3207"/>
      <c r="F33" s="3377"/>
      <c r="G33" s="3414"/>
      <c r="H33" s="1427"/>
      <c r="I33" s="588" t="s">
        <v>1151</v>
      </c>
      <c r="J33" s="508"/>
      <c r="K33" s="1427"/>
      <c r="L33" s="152"/>
      <c r="M33" s="3156"/>
      <c r="N33" s="272"/>
      <c r="O33" s="1551"/>
      <c r="P33" s="1551"/>
      <c r="AH33" s="1558">
        <v>0</v>
      </c>
    </row>
    <row r="34" spans="1:34" s="1562" customFormat="1" ht="0.75" hidden="1" customHeight="1">
      <c r="A34" s="1706"/>
      <c r="B34" s="1706"/>
      <c r="C34" s="306" t="s">
        <v>1157</v>
      </c>
      <c r="D34" s="3439"/>
      <c r="E34" s="3207"/>
      <c r="F34" s="3377"/>
      <c r="G34" s="337"/>
      <c r="H34" s="1427"/>
      <c r="I34" s="588"/>
      <c r="J34" s="508"/>
      <c r="K34" s="1427"/>
      <c r="L34" s="152"/>
      <c r="M34" s="3156"/>
      <c r="N34" s="272"/>
      <c r="O34" s="1551"/>
      <c r="P34" s="1551"/>
      <c r="AH34" s="1558">
        <v>0</v>
      </c>
    </row>
    <row r="35" spans="1:34" s="1562" customFormat="1" ht="45" hidden="1" customHeight="1">
      <c r="A35" s="1706" t="s">
        <v>183</v>
      </c>
      <c r="B35" s="1706" t="s">
        <v>184</v>
      </c>
      <c r="C35" s="306"/>
      <c r="D35" s="3439"/>
      <c r="E35" s="3207"/>
      <c r="F35" s="3377"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3414" t="str">
        <f>INDEX(PT_DIFFERENTIATION_NTAR,MATCH(B35,PT_DIFFERENTIATION_NTAR_ID,0))</f>
        <v/>
      </c>
      <c r="H35" s="1787"/>
      <c r="I35" s="1665"/>
      <c r="J35" s="1699"/>
      <c r="K35" s="1790"/>
      <c r="L35" s="1787" t="s">
        <v>314</v>
      </c>
      <c r="M35" s="3156"/>
      <c r="N35" s="272"/>
      <c r="O35" s="1551"/>
      <c r="P35" s="1551"/>
      <c r="AH35" s="1558">
        <v>0</v>
      </c>
    </row>
    <row r="36" spans="1:34" s="1562" customFormat="1" ht="18.75" hidden="1" customHeight="1">
      <c r="A36" s="1706"/>
      <c r="B36" s="1706"/>
      <c r="C36" s="306" t="s">
        <v>1150</v>
      </c>
      <c r="D36" s="3439"/>
      <c r="E36" s="3207"/>
      <c r="F36" s="3377"/>
      <c r="G36" s="3414"/>
      <c r="H36" s="1427"/>
      <c r="I36" s="588" t="s">
        <v>1151</v>
      </c>
      <c r="J36" s="508"/>
      <c r="K36" s="1427"/>
      <c r="L36" s="152"/>
      <c r="M36" s="3156"/>
      <c r="N36" s="272"/>
      <c r="O36" s="1551"/>
      <c r="P36" s="1551"/>
      <c r="AH36" s="1558">
        <v>0</v>
      </c>
    </row>
    <row r="37" spans="1:34" s="1562" customFormat="1" ht="0.75" hidden="1" customHeight="1">
      <c r="A37" s="1706"/>
      <c r="B37" s="1706"/>
      <c r="C37" s="306" t="s">
        <v>1157</v>
      </c>
      <c r="D37" s="3439"/>
      <c r="E37" s="3207"/>
      <c r="F37" s="3377"/>
      <c r="G37" s="337"/>
      <c r="H37" s="1427"/>
      <c r="I37" s="588"/>
      <c r="J37" s="508"/>
      <c r="K37" s="1427"/>
      <c r="L37" s="152"/>
      <c r="M37" s="3156"/>
      <c r="N37" s="272"/>
      <c r="O37" s="1551"/>
      <c r="P37" s="1551"/>
      <c r="AH37" s="1558">
        <v>0</v>
      </c>
    </row>
    <row r="38" spans="1:34" s="1562" customFormat="1" ht="18.75" hidden="1" customHeight="1">
      <c r="A38" s="1706" t="s">
        <v>189</v>
      </c>
      <c r="B38" s="1706" t="s">
        <v>190</v>
      </c>
      <c r="C38" s="306"/>
      <c r="D38" s="3439"/>
      <c r="E38" s="3207"/>
      <c r="F38" s="3377" t="str">
        <f>INDEX(PT_DIFFERENTIATION_VTAR,MATCH(A38,PT_DIFFERENTIATION_VTAR_ID,0))</f>
        <v>Тарифы на услуги по передаче тепловой энергии</v>
      </c>
      <c r="G38" s="3414" t="str">
        <f>INDEX(PT_DIFFERENTIATION_NTAR,MATCH(B38,PT_DIFFERENTIATION_NTAR_ID,0))</f>
        <v/>
      </c>
      <c r="H38" s="1787"/>
      <c r="I38" s="1665"/>
      <c r="J38" s="1699"/>
      <c r="K38" s="1790"/>
      <c r="L38" s="1787" t="s">
        <v>314</v>
      </c>
      <c r="M38" s="3156"/>
      <c r="N38" s="272"/>
      <c r="O38" s="1551"/>
      <c r="P38" s="1551"/>
      <c r="AH38" s="1558">
        <v>0</v>
      </c>
    </row>
    <row r="39" spans="1:34" s="1562" customFormat="1" ht="18.75" hidden="1" customHeight="1">
      <c r="A39" s="1706"/>
      <c r="B39" s="1706"/>
      <c r="C39" s="306" t="s">
        <v>1150</v>
      </c>
      <c r="D39" s="3439"/>
      <c r="E39" s="3207"/>
      <c r="F39" s="3377"/>
      <c r="G39" s="3414"/>
      <c r="H39" s="1427"/>
      <c r="I39" s="588" t="s">
        <v>1151</v>
      </c>
      <c r="J39" s="508"/>
      <c r="K39" s="1427"/>
      <c r="L39" s="152"/>
      <c r="M39" s="3156"/>
      <c r="N39" s="272"/>
      <c r="O39" s="1551"/>
      <c r="P39" s="1551"/>
      <c r="AH39" s="1558">
        <v>0</v>
      </c>
    </row>
    <row r="40" spans="1:34" s="1562" customFormat="1" ht="0.75" hidden="1" customHeight="1">
      <c r="A40" s="1706"/>
      <c r="B40" s="1706"/>
      <c r="C40" s="306" t="s">
        <v>1157</v>
      </c>
      <c r="D40" s="3439"/>
      <c r="E40" s="3207"/>
      <c r="F40" s="3377"/>
      <c r="G40" s="337"/>
      <c r="H40" s="1427"/>
      <c r="I40" s="588"/>
      <c r="J40" s="508"/>
      <c r="K40" s="1427"/>
      <c r="L40" s="152"/>
      <c r="M40" s="3156"/>
      <c r="N40" s="272"/>
      <c r="O40" s="1551"/>
      <c r="P40" s="1551"/>
      <c r="AH40" s="1558">
        <v>0</v>
      </c>
    </row>
    <row r="41" spans="1:34" s="1562" customFormat="1" ht="18.75" hidden="1" customHeight="1">
      <c r="A41" s="1706" t="s">
        <v>195</v>
      </c>
      <c r="B41" s="1706" t="s">
        <v>196</v>
      </c>
      <c r="C41" s="306"/>
      <c r="D41" s="3439"/>
      <c r="E41" s="3207"/>
      <c r="F41" s="3377" t="str">
        <f>INDEX(PT_DIFFERENTIATION_VTAR,MATCH(A41,PT_DIFFERENTIATION_VTAR_ID,0))</f>
        <v>Тарифы на услуги по передаче теплоносителя</v>
      </c>
      <c r="G41" s="3414" t="str">
        <f>INDEX(PT_DIFFERENTIATION_NTAR,MATCH(B41,PT_DIFFERENTIATION_NTAR_ID,0))</f>
        <v/>
      </c>
      <c r="H41" s="1787"/>
      <c r="I41" s="1665"/>
      <c r="J41" s="1699"/>
      <c r="K41" s="1790"/>
      <c r="L41" s="1787" t="s">
        <v>314</v>
      </c>
      <c r="M41" s="3156"/>
      <c r="N41" s="272"/>
      <c r="O41" s="1551"/>
      <c r="P41" s="1551"/>
      <c r="AH41" s="1558">
        <v>0</v>
      </c>
    </row>
    <row r="42" spans="1:34" s="1562" customFormat="1" ht="18.75" hidden="1" customHeight="1">
      <c r="A42" s="1706"/>
      <c r="B42" s="1706"/>
      <c r="C42" s="306" t="s">
        <v>1150</v>
      </c>
      <c r="D42" s="3439"/>
      <c r="E42" s="3207"/>
      <c r="F42" s="3377"/>
      <c r="G42" s="3414"/>
      <c r="H42" s="1427"/>
      <c r="I42" s="588" t="s">
        <v>1151</v>
      </c>
      <c r="J42" s="508"/>
      <c r="K42" s="1427"/>
      <c r="L42" s="152"/>
      <c r="M42" s="3156"/>
      <c r="N42" s="272"/>
      <c r="O42" s="1551"/>
      <c r="P42" s="1551"/>
      <c r="AH42" s="1558">
        <v>0</v>
      </c>
    </row>
    <row r="43" spans="1:34" s="1562" customFormat="1" ht="0.75" hidden="1" customHeight="1">
      <c r="A43" s="1706"/>
      <c r="B43" s="1706"/>
      <c r="C43" s="306" t="s">
        <v>1157</v>
      </c>
      <c r="D43" s="3439"/>
      <c r="E43" s="3207"/>
      <c r="F43" s="3377"/>
      <c r="G43" s="337"/>
      <c r="H43" s="1427"/>
      <c r="I43" s="588"/>
      <c r="J43" s="508"/>
      <c r="K43" s="1427"/>
      <c r="L43" s="152"/>
      <c r="M43" s="3156"/>
      <c r="N43" s="272"/>
      <c r="O43" s="1551"/>
      <c r="P43" s="1551"/>
      <c r="AH43" s="1558">
        <v>0</v>
      </c>
    </row>
    <row r="44" spans="1:34" s="1562" customFormat="1" ht="18.75" hidden="1" customHeight="1">
      <c r="A44" s="1706" t="s">
        <v>201</v>
      </c>
      <c r="B44" s="1706" t="s">
        <v>202</v>
      </c>
      <c r="C44" s="306"/>
      <c r="D44" s="3439"/>
      <c r="E44" s="3207"/>
      <c r="F44" s="3377" t="str">
        <f>INDEX(PT_DIFFERENTIATION_VTAR,MATCH(A44,PT_DIFFERENTIATION_VTAR_ID,0))</f>
        <v>Плата за услуги по поддержанию резервной тепловой мощности при отсутствии потребления тепловой энергии</v>
      </c>
      <c r="G44" s="3414" t="str">
        <f>INDEX(PT_DIFFERENTIATION_NTAR,MATCH(B44,PT_DIFFERENTIATION_NTAR_ID,0))</f>
        <v/>
      </c>
      <c r="H44" s="1787"/>
      <c r="I44" s="1665"/>
      <c r="J44" s="1699"/>
      <c r="K44" s="1790"/>
      <c r="L44" s="1787" t="s">
        <v>314</v>
      </c>
      <c r="M44" s="3156"/>
      <c r="N44" s="272"/>
      <c r="O44" s="1551"/>
      <c r="P44" s="1551"/>
      <c r="AH44" s="1558">
        <v>0</v>
      </c>
    </row>
    <row r="45" spans="1:34" s="1562" customFormat="1" ht="18.75" hidden="1" customHeight="1">
      <c r="A45" s="1706"/>
      <c r="B45" s="1706"/>
      <c r="C45" s="306" t="s">
        <v>1150</v>
      </c>
      <c r="D45" s="3439"/>
      <c r="E45" s="3207"/>
      <c r="F45" s="3377"/>
      <c r="G45" s="3414"/>
      <c r="H45" s="1427"/>
      <c r="I45" s="588" t="s">
        <v>1151</v>
      </c>
      <c r="J45" s="508"/>
      <c r="K45" s="1427"/>
      <c r="L45" s="152"/>
      <c r="M45" s="3156"/>
      <c r="N45" s="272"/>
      <c r="O45" s="1551"/>
      <c r="P45" s="1551"/>
      <c r="AH45" s="1558">
        <v>0</v>
      </c>
    </row>
    <row r="46" spans="1:34" s="1562" customFormat="1" ht="0.75" hidden="1" customHeight="1">
      <c r="A46" s="1706"/>
      <c r="B46" s="1706"/>
      <c r="C46" s="306" t="s">
        <v>1157</v>
      </c>
      <c r="D46" s="3439"/>
      <c r="E46" s="3207"/>
      <c r="F46" s="3377"/>
      <c r="G46" s="337"/>
      <c r="H46" s="1427"/>
      <c r="I46" s="588"/>
      <c r="J46" s="508"/>
      <c r="K46" s="1427"/>
      <c r="L46" s="152"/>
      <c r="M46" s="3156"/>
      <c r="N46" s="272"/>
      <c r="O46" s="1551"/>
      <c r="P46" s="1551"/>
      <c r="AH46" s="1558">
        <v>0</v>
      </c>
    </row>
    <row r="47" spans="1:34" s="1562" customFormat="1" ht="18.75" hidden="1" customHeight="1">
      <c r="A47" s="1706" t="s">
        <v>207</v>
      </c>
      <c r="B47" s="1706" t="s">
        <v>208</v>
      </c>
      <c r="C47" s="306"/>
      <c r="D47" s="3439"/>
      <c r="E47" s="3207"/>
      <c r="F47" s="3377" t="str">
        <f>INDEX(PT_DIFFERENTIATION_VTAR,MATCH(A47,PT_DIFFERENTIATION_VTAR_ID,0))</f>
        <v>Плата за подключение (технологическое присоединение) к системе теплоснабжения</v>
      </c>
      <c r="G47" s="3414" t="str">
        <f>INDEX(PT_DIFFERENTIATION_NTAR,MATCH(B47,PT_DIFFERENTIATION_NTAR_ID,0))</f>
        <v/>
      </c>
      <c r="H47" s="1787"/>
      <c r="I47" s="1665"/>
      <c r="J47" s="1699"/>
      <c r="K47" s="1790"/>
      <c r="L47" s="1787" t="s">
        <v>314</v>
      </c>
      <c r="M47" s="3156"/>
      <c r="N47" s="272"/>
      <c r="O47" s="1551"/>
      <c r="P47" s="1551"/>
      <c r="AH47" s="1558">
        <v>0</v>
      </c>
    </row>
    <row r="48" spans="1:34" s="1562" customFormat="1" ht="18.75" hidden="1" customHeight="1">
      <c r="A48" s="1706"/>
      <c r="B48" s="1706"/>
      <c r="C48" s="306" t="s">
        <v>1150</v>
      </c>
      <c r="D48" s="3439"/>
      <c r="E48" s="3207"/>
      <c r="F48" s="3377"/>
      <c r="G48" s="3414"/>
      <c r="H48" s="1427"/>
      <c r="I48" s="588" t="s">
        <v>1151</v>
      </c>
      <c r="J48" s="508"/>
      <c r="K48" s="1427"/>
      <c r="L48" s="152"/>
      <c r="M48" s="3156"/>
      <c r="N48" s="272"/>
      <c r="O48" s="1551"/>
      <c r="P48" s="1551"/>
      <c r="AH48" s="1558">
        <v>0</v>
      </c>
    </row>
    <row r="49" spans="1:34" s="1562" customFormat="1" ht="0.75" hidden="1" customHeight="1">
      <c r="A49" s="1706"/>
      <c r="B49" s="1706"/>
      <c r="C49" s="306" t="s">
        <v>1157</v>
      </c>
      <c r="D49" s="3439"/>
      <c r="E49" s="3207"/>
      <c r="F49" s="3377"/>
      <c r="G49" s="337"/>
      <c r="H49" s="1427"/>
      <c r="I49" s="588"/>
      <c r="J49" s="508"/>
      <c r="K49" s="1427"/>
      <c r="L49" s="152"/>
      <c r="M49" s="3156"/>
      <c r="N49" s="272"/>
      <c r="O49" s="1551"/>
      <c r="P49" s="1551"/>
      <c r="AH49" s="1558">
        <v>0</v>
      </c>
    </row>
    <row r="50" spans="1:34" s="1562" customFormat="1" ht="18.75" hidden="1" customHeight="1">
      <c r="A50" s="1706" t="s">
        <v>213</v>
      </c>
      <c r="B50" s="1706" t="s">
        <v>214</v>
      </c>
      <c r="C50" s="306"/>
      <c r="D50" s="3439"/>
      <c r="E50" s="3207"/>
      <c r="F50" s="3377" t="str">
        <f>INDEX(PT_DIFFERENTIATION_VTAR,MATCH(A50,PT_DIFFERENTIATION_VTAR_ID,0))</f>
        <v>Плата за подключение (технологическое присоединение) к системе теплоснабжения (индивидуальная)</v>
      </c>
      <c r="G50" s="3414" t="str">
        <f>INDEX(PT_DIFFERENTIATION_NTAR,MATCH(B50,PT_DIFFERENTIATION_NTAR_ID,0))</f>
        <v/>
      </c>
      <c r="H50" s="1911"/>
      <c r="I50" s="1665"/>
      <c r="J50" s="1699"/>
      <c r="K50" s="1790"/>
      <c r="L50" s="1911" t="s">
        <v>314</v>
      </c>
      <c r="M50" s="3156"/>
      <c r="N50" s="272"/>
      <c r="O50" s="1551"/>
      <c r="P50" s="1551"/>
      <c r="AH50" s="1558">
        <v>0</v>
      </c>
    </row>
    <row r="51" spans="1:34" s="1562" customFormat="1" ht="18.75" hidden="1" customHeight="1">
      <c r="A51" s="1706"/>
      <c r="B51" s="1706"/>
      <c r="C51" s="306" t="s">
        <v>1150</v>
      </c>
      <c r="D51" s="3439"/>
      <c r="E51" s="3207"/>
      <c r="F51" s="3377"/>
      <c r="G51" s="3414"/>
      <c r="H51" s="1427"/>
      <c r="I51" s="588" t="s">
        <v>1151</v>
      </c>
      <c r="J51" s="508"/>
      <c r="K51" s="1427"/>
      <c r="L51" s="152"/>
      <c r="M51" s="3156"/>
      <c r="N51" s="272"/>
      <c r="O51" s="1551"/>
      <c r="P51" s="1551"/>
      <c r="AH51" s="1558">
        <v>0</v>
      </c>
    </row>
    <row r="52" spans="1:34" s="1562" customFormat="1" ht="0.75" hidden="1" customHeight="1">
      <c r="A52" s="1706"/>
      <c r="B52" s="1706"/>
      <c r="C52" s="306" t="s">
        <v>1157</v>
      </c>
      <c r="D52" s="3439"/>
      <c r="E52" s="3207"/>
      <c r="F52" s="3377"/>
      <c r="G52" s="337"/>
      <c r="H52" s="1427"/>
      <c r="I52" s="588"/>
      <c r="J52" s="508"/>
      <c r="K52" s="1427"/>
      <c r="L52" s="152"/>
      <c r="M52" s="3156"/>
      <c r="N52" s="272"/>
      <c r="O52" s="1551"/>
      <c r="P52" s="1551"/>
      <c r="AH52" s="1558">
        <v>0</v>
      </c>
    </row>
    <row r="53" spans="1:34" s="1562" customFormat="1" ht="18.75" hidden="1" customHeight="1">
      <c r="A53" s="1706" t="s">
        <v>233</v>
      </c>
      <c r="B53" s="1706" t="s">
        <v>234</v>
      </c>
      <c r="C53" s="306"/>
      <c r="D53" s="3439"/>
      <c r="E53" s="3207"/>
      <c r="F53" s="3377" t="str">
        <f>INDEX(PT_DIFFERENTIATION_VTAR,MATCH(A53,PT_DIFFERENTIATION_VTAR_ID,0))</f>
        <v>Тариф на питьевую воду (питьевое водоснабжение)</v>
      </c>
      <c r="G53" s="3414" t="str">
        <f>INDEX(PT_DIFFERENTIATION_NTAR,MATCH(B53,PT_DIFFERENTIATION_NTAR_ID,0))</f>
        <v/>
      </c>
      <c r="H53" s="1787"/>
      <c r="I53" s="1665"/>
      <c r="J53" s="1699"/>
      <c r="K53" s="1790"/>
      <c r="L53" s="1787" t="s">
        <v>314</v>
      </c>
      <c r="M53" s="3156"/>
      <c r="N53" s="272"/>
      <c r="O53" s="1551"/>
      <c r="P53" s="1551"/>
      <c r="AH53" s="1558">
        <v>0</v>
      </c>
    </row>
    <row r="54" spans="1:34" s="1562" customFormat="1" ht="18.75" hidden="1" customHeight="1">
      <c r="A54" s="1706"/>
      <c r="B54" s="1706"/>
      <c r="C54" s="306" t="s">
        <v>1150</v>
      </c>
      <c r="D54" s="3439"/>
      <c r="E54" s="3207"/>
      <c r="F54" s="3377"/>
      <c r="G54" s="3414"/>
      <c r="H54" s="1427"/>
      <c r="I54" s="588" t="s">
        <v>1151</v>
      </c>
      <c r="J54" s="508"/>
      <c r="K54" s="1427"/>
      <c r="L54" s="152"/>
      <c r="M54" s="3156"/>
      <c r="N54" s="272"/>
      <c r="O54" s="1551"/>
      <c r="P54" s="1551"/>
      <c r="AH54" s="1558">
        <v>0</v>
      </c>
    </row>
    <row r="55" spans="1:34" s="1562" customFormat="1" ht="0.75" hidden="1" customHeight="1">
      <c r="A55" s="1706"/>
      <c r="B55" s="1706"/>
      <c r="C55" s="306" t="s">
        <v>1157</v>
      </c>
      <c r="D55" s="3439"/>
      <c r="E55" s="3207"/>
      <c r="F55" s="3377"/>
      <c r="G55" s="337"/>
      <c r="H55" s="1427"/>
      <c r="I55" s="588"/>
      <c r="J55" s="508"/>
      <c r="K55" s="1427"/>
      <c r="L55" s="152"/>
      <c r="M55" s="3156"/>
      <c r="N55" s="272"/>
      <c r="O55" s="1551"/>
      <c r="P55" s="1551"/>
      <c r="AH55" s="1558">
        <v>0</v>
      </c>
    </row>
    <row r="56" spans="1:34" s="1562" customFormat="1" ht="18.75" hidden="1" customHeight="1">
      <c r="A56" s="1706" t="s">
        <v>238</v>
      </c>
      <c r="B56" s="1706" t="s">
        <v>239</v>
      </c>
      <c r="C56" s="306"/>
      <c r="D56" s="3439"/>
      <c r="E56" s="3207"/>
      <c r="F56" s="3377" t="str">
        <f>INDEX(PT_DIFFERENTIATION_VTAR,MATCH(A56,PT_DIFFERENTIATION_VTAR_ID,0))</f>
        <v>Тариф на техническую воду</v>
      </c>
      <c r="G56" s="3414" t="str">
        <f>INDEX(PT_DIFFERENTIATION_NTAR,MATCH(B56,PT_DIFFERENTIATION_NTAR_ID,0))</f>
        <v/>
      </c>
      <c r="H56" s="1787"/>
      <c r="I56" s="1665"/>
      <c r="J56" s="1699"/>
      <c r="K56" s="1790"/>
      <c r="L56" s="1787" t="s">
        <v>314</v>
      </c>
      <c r="M56" s="3156"/>
      <c r="N56" s="272"/>
      <c r="O56" s="1551"/>
      <c r="P56" s="1551"/>
      <c r="AH56" s="1558">
        <v>0</v>
      </c>
    </row>
    <row r="57" spans="1:34" s="1562" customFormat="1" ht="18.75" hidden="1" customHeight="1">
      <c r="A57" s="1706"/>
      <c r="B57" s="1706"/>
      <c r="C57" s="306" t="s">
        <v>1150</v>
      </c>
      <c r="D57" s="3439"/>
      <c r="E57" s="3207"/>
      <c r="F57" s="3377"/>
      <c r="G57" s="3414"/>
      <c r="H57" s="1427"/>
      <c r="I57" s="588" t="s">
        <v>1151</v>
      </c>
      <c r="J57" s="508"/>
      <c r="K57" s="1427"/>
      <c r="L57" s="152"/>
      <c r="M57" s="3156"/>
      <c r="N57" s="272"/>
      <c r="O57" s="1551"/>
      <c r="P57" s="1551"/>
      <c r="AH57" s="1558">
        <v>0</v>
      </c>
    </row>
    <row r="58" spans="1:34" s="1562" customFormat="1" ht="0.75" hidden="1" customHeight="1">
      <c r="A58" s="1706"/>
      <c r="B58" s="1706"/>
      <c r="C58" s="306" t="s">
        <v>1157</v>
      </c>
      <c r="D58" s="3439"/>
      <c r="E58" s="3207"/>
      <c r="F58" s="3377"/>
      <c r="G58" s="337"/>
      <c r="H58" s="1427"/>
      <c r="I58" s="588"/>
      <c r="J58" s="508"/>
      <c r="K58" s="1427"/>
      <c r="L58" s="152"/>
      <c r="M58" s="3156"/>
      <c r="N58" s="272"/>
      <c r="O58" s="1551"/>
      <c r="P58" s="1551"/>
      <c r="AH58" s="1558">
        <v>0</v>
      </c>
    </row>
    <row r="59" spans="1:34" s="1562" customFormat="1" ht="18.75" hidden="1" customHeight="1">
      <c r="A59" s="1706" t="s">
        <v>243</v>
      </c>
      <c r="B59" s="1706" t="s">
        <v>244</v>
      </c>
      <c r="C59" s="306"/>
      <c r="D59" s="3439"/>
      <c r="E59" s="3207"/>
      <c r="F59" s="3377" t="str">
        <f>INDEX(PT_DIFFERENTIATION_VTAR,MATCH(A59,PT_DIFFERENTIATION_VTAR_ID,0))</f>
        <v>Тариф на транспортировку воды</v>
      </c>
      <c r="G59" s="3414" t="str">
        <f>INDEX(PT_DIFFERENTIATION_NTAR,MATCH(B59,PT_DIFFERENTIATION_NTAR_ID,0))</f>
        <v/>
      </c>
      <c r="H59" s="1787"/>
      <c r="I59" s="1665"/>
      <c r="J59" s="1699"/>
      <c r="K59" s="1790"/>
      <c r="L59" s="1787" t="s">
        <v>314</v>
      </c>
      <c r="M59" s="3156"/>
      <c r="N59" s="272"/>
      <c r="O59" s="1551"/>
      <c r="P59" s="1551"/>
      <c r="AH59" s="1558">
        <v>0</v>
      </c>
    </row>
    <row r="60" spans="1:34" s="1562" customFormat="1" ht="18.75" hidden="1" customHeight="1">
      <c r="A60" s="1706"/>
      <c r="B60" s="1706"/>
      <c r="C60" s="306" t="s">
        <v>1150</v>
      </c>
      <c r="D60" s="3439"/>
      <c r="E60" s="3207"/>
      <c r="F60" s="3377"/>
      <c r="G60" s="3414"/>
      <c r="H60" s="1427"/>
      <c r="I60" s="588" t="s">
        <v>1151</v>
      </c>
      <c r="J60" s="508"/>
      <c r="K60" s="1427"/>
      <c r="L60" s="152"/>
      <c r="M60" s="3156"/>
      <c r="N60" s="272"/>
      <c r="O60" s="1551"/>
      <c r="P60" s="1551"/>
      <c r="AH60" s="1558">
        <v>0</v>
      </c>
    </row>
    <row r="61" spans="1:34" s="1562" customFormat="1" ht="0.75" hidden="1" customHeight="1">
      <c r="A61" s="1706"/>
      <c r="B61" s="1706"/>
      <c r="C61" s="306" t="s">
        <v>1157</v>
      </c>
      <c r="D61" s="3439"/>
      <c r="E61" s="3207"/>
      <c r="F61" s="3377"/>
      <c r="G61" s="337"/>
      <c r="H61" s="1427"/>
      <c r="I61" s="588"/>
      <c r="J61" s="508"/>
      <c r="K61" s="1427"/>
      <c r="L61" s="152"/>
      <c r="M61" s="3156"/>
      <c r="N61" s="272"/>
      <c r="O61" s="1551"/>
      <c r="P61" s="1551"/>
      <c r="AH61" s="1558">
        <v>0</v>
      </c>
    </row>
    <row r="62" spans="1:34" s="1562" customFormat="1" ht="18.75" hidden="1" customHeight="1">
      <c r="A62" s="1706" t="s">
        <v>248</v>
      </c>
      <c r="B62" s="1706" t="s">
        <v>249</v>
      </c>
      <c r="C62" s="306"/>
      <c r="D62" s="3439"/>
      <c r="E62" s="3207"/>
      <c r="F62" s="3377" t="str">
        <f>INDEX(PT_DIFFERENTIATION_VTAR,MATCH(A62,PT_DIFFERENTIATION_VTAR_ID,0))</f>
        <v>Тариф на подвоз воды</v>
      </c>
      <c r="G62" s="3414" t="str">
        <f>INDEX(PT_DIFFERENTIATION_NTAR,MATCH(B62,PT_DIFFERENTIATION_NTAR_ID,0))</f>
        <v/>
      </c>
      <c r="H62" s="1787"/>
      <c r="I62" s="1665"/>
      <c r="J62" s="1699"/>
      <c r="K62" s="1790"/>
      <c r="L62" s="1787" t="s">
        <v>314</v>
      </c>
      <c r="M62" s="3156"/>
      <c r="N62" s="272"/>
      <c r="O62" s="1551"/>
      <c r="P62" s="1551"/>
      <c r="AH62" s="1558">
        <v>0</v>
      </c>
    </row>
    <row r="63" spans="1:34" s="1562" customFormat="1" ht="18.75" hidden="1" customHeight="1">
      <c r="A63" s="1706"/>
      <c r="B63" s="1706"/>
      <c r="C63" s="306" t="s">
        <v>1150</v>
      </c>
      <c r="D63" s="3439"/>
      <c r="E63" s="3207"/>
      <c r="F63" s="3377"/>
      <c r="G63" s="3414"/>
      <c r="H63" s="1427"/>
      <c r="I63" s="588" t="s">
        <v>1151</v>
      </c>
      <c r="J63" s="508"/>
      <c r="K63" s="1427"/>
      <c r="L63" s="152"/>
      <c r="M63" s="3156"/>
      <c r="N63" s="272"/>
      <c r="O63" s="1551"/>
      <c r="P63" s="1551"/>
      <c r="AH63" s="1558">
        <v>0</v>
      </c>
    </row>
    <row r="64" spans="1:34" s="1562" customFormat="1" ht="0.75" hidden="1" customHeight="1">
      <c r="A64" s="1706"/>
      <c r="B64" s="1706"/>
      <c r="C64" s="306" t="s">
        <v>1157</v>
      </c>
      <c r="D64" s="3439"/>
      <c r="E64" s="3207"/>
      <c r="F64" s="3377"/>
      <c r="G64" s="337"/>
      <c r="H64" s="1427"/>
      <c r="I64" s="588"/>
      <c r="J64" s="508"/>
      <c r="K64" s="1427"/>
      <c r="L64" s="152"/>
      <c r="M64" s="3156"/>
      <c r="N64" s="272"/>
      <c r="O64" s="1551"/>
      <c r="P64" s="1551"/>
      <c r="AH64" s="1558">
        <v>0</v>
      </c>
    </row>
    <row r="65" spans="1:34" s="1562" customFormat="1" ht="18.75" hidden="1" customHeight="1">
      <c r="A65" s="1706" t="s">
        <v>253</v>
      </c>
      <c r="B65" s="1706" t="s">
        <v>254</v>
      </c>
      <c r="C65" s="306"/>
      <c r="D65" s="3439"/>
      <c r="E65" s="3207"/>
      <c r="F65" s="3377" t="str">
        <f>INDEX(PT_DIFFERENTIATION_VTAR,MATCH(A65,PT_DIFFERENTIATION_VTAR_ID,0))</f>
        <v>Тариф на подключение (технологическое присоединение) к централизованной системе холодного водоснабжения</v>
      </c>
      <c r="G65" s="3414" t="str">
        <f>INDEX(PT_DIFFERENTIATION_NTAR,MATCH(B65,PT_DIFFERENTIATION_NTAR_ID,0))</f>
        <v/>
      </c>
      <c r="H65" s="1787"/>
      <c r="I65" s="1665"/>
      <c r="J65" s="1699"/>
      <c r="K65" s="1790"/>
      <c r="L65" s="1787" t="s">
        <v>314</v>
      </c>
      <c r="M65" s="3156"/>
      <c r="N65" s="272"/>
      <c r="O65" s="1551"/>
      <c r="P65" s="1551"/>
      <c r="AH65" s="1558">
        <v>0</v>
      </c>
    </row>
    <row r="66" spans="1:34" s="1562" customFormat="1" ht="18.75" hidden="1" customHeight="1">
      <c r="A66" s="1706"/>
      <c r="B66" s="1706"/>
      <c r="C66" s="306" t="s">
        <v>1150</v>
      </c>
      <c r="D66" s="3439"/>
      <c r="E66" s="3207"/>
      <c r="F66" s="3377"/>
      <c r="G66" s="3414"/>
      <c r="H66" s="1427"/>
      <c r="I66" s="588" t="s">
        <v>1151</v>
      </c>
      <c r="J66" s="508"/>
      <c r="K66" s="1427"/>
      <c r="L66" s="152"/>
      <c r="M66" s="3156"/>
      <c r="N66" s="272"/>
      <c r="O66" s="1551"/>
      <c r="P66" s="1551"/>
      <c r="AH66" s="1558">
        <v>0</v>
      </c>
    </row>
    <row r="67" spans="1:34" s="1562" customFormat="1" ht="0.75" hidden="1" customHeight="1">
      <c r="A67" s="1706"/>
      <c r="B67" s="1706"/>
      <c r="C67" s="306" t="s">
        <v>1157</v>
      </c>
      <c r="D67" s="3439"/>
      <c r="E67" s="3207"/>
      <c r="F67" s="3377"/>
      <c r="G67" s="337"/>
      <c r="H67" s="1427"/>
      <c r="I67" s="588"/>
      <c r="J67" s="508"/>
      <c r="K67" s="1427"/>
      <c r="L67" s="152"/>
      <c r="M67" s="3156"/>
      <c r="N67" s="272"/>
      <c r="O67" s="1551"/>
      <c r="P67" s="1551"/>
      <c r="AH67" s="1558">
        <v>0</v>
      </c>
    </row>
    <row r="68" spans="1:34" s="1562" customFormat="1" ht="18.75" hidden="1" customHeight="1">
      <c r="A68" s="1706" t="s">
        <v>258</v>
      </c>
      <c r="B68" s="1706" t="s">
        <v>259</v>
      </c>
      <c r="C68" s="306"/>
      <c r="D68" s="3439"/>
      <c r="E68" s="3207"/>
      <c r="F68" s="3377" t="str">
        <f>INDEX(PT_DIFFERENTIATION_VTAR,MATCH(A68,PT_DIFFERENTIATION_VTAR_ID,0))</f>
        <v>Тариф на горячую воду (горячее водоснабжение)</v>
      </c>
      <c r="G68" s="3414" t="str">
        <f>INDEX(PT_DIFFERENTIATION_NTAR,MATCH(B68,PT_DIFFERENTIATION_NTAR_ID,0))</f>
        <v/>
      </c>
      <c r="H68" s="1787"/>
      <c r="I68" s="1665"/>
      <c r="J68" s="1699"/>
      <c r="K68" s="1790"/>
      <c r="L68" s="1787" t="s">
        <v>314</v>
      </c>
      <c r="M68" s="3156"/>
      <c r="N68" s="272"/>
      <c r="O68" s="1551"/>
      <c r="P68" s="1551"/>
      <c r="AH68" s="1558">
        <v>0</v>
      </c>
    </row>
    <row r="69" spans="1:34" s="1562" customFormat="1" ht="18.75" hidden="1" customHeight="1">
      <c r="A69" s="1706"/>
      <c r="B69" s="1706"/>
      <c r="C69" s="306" t="s">
        <v>1150</v>
      </c>
      <c r="D69" s="3439"/>
      <c r="E69" s="3207"/>
      <c r="F69" s="3377"/>
      <c r="G69" s="3414"/>
      <c r="H69" s="1427"/>
      <c r="I69" s="588" t="s">
        <v>1151</v>
      </c>
      <c r="J69" s="508"/>
      <c r="K69" s="1427"/>
      <c r="L69" s="152"/>
      <c r="M69" s="3156"/>
      <c r="N69" s="272"/>
      <c r="O69" s="1551"/>
      <c r="P69" s="1551"/>
      <c r="AH69" s="1558">
        <v>0</v>
      </c>
    </row>
    <row r="70" spans="1:34" s="1562" customFormat="1" ht="0.75" hidden="1" customHeight="1">
      <c r="A70" s="1706"/>
      <c r="B70" s="1706"/>
      <c r="C70" s="306" t="s">
        <v>1157</v>
      </c>
      <c r="D70" s="3439"/>
      <c r="E70" s="3207"/>
      <c r="F70" s="3377"/>
      <c r="G70" s="337"/>
      <c r="H70" s="1427"/>
      <c r="I70" s="588"/>
      <c r="J70" s="508"/>
      <c r="K70" s="1427"/>
      <c r="L70" s="152"/>
      <c r="M70" s="3156"/>
      <c r="N70" s="272"/>
      <c r="O70" s="1551"/>
      <c r="P70" s="1551"/>
      <c r="AH70" s="1558">
        <v>0</v>
      </c>
    </row>
    <row r="71" spans="1:34" s="1562" customFormat="1" ht="18.75" hidden="1" customHeight="1">
      <c r="A71" s="1706" t="s">
        <v>263</v>
      </c>
      <c r="B71" s="1706" t="s">
        <v>264</v>
      </c>
      <c r="C71" s="306"/>
      <c r="D71" s="3439"/>
      <c r="E71" s="3207"/>
      <c r="F71" s="3377" t="str">
        <f>INDEX(PT_DIFFERENTIATION_VTAR,MATCH(A71,PT_DIFFERENTIATION_VTAR_ID,0))</f>
        <v>Тариф на транспортировку горячей воды</v>
      </c>
      <c r="G71" s="3414" t="str">
        <f>INDEX(PT_DIFFERENTIATION_NTAR,MATCH(B71,PT_DIFFERENTIATION_NTAR_ID,0))</f>
        <v/>
      </c>
      <c r="H71" s="1787"/>
      <c r="I71" s="1665"/>
      <c r="J71" s="1699"/>
      <c r="K71" s="1790"/>
      <c r="L71" s="1787" t="s">
        <v>314</v>
      </c>
      <c r="M71" s="3156"/>
      <c r="N71" s="272"/>
      <c r="O71" s="1551"/>
      <c r="P71" s="1551"/>
      <c r="AH71" s="1558">
        <v>0</v>
      </c>
    </row>
    <row r="72" spans="1:34" s="1562" customFormat="1" ht="18.75" hidden="1" customHeight="1">
      <c r="A72" s="1706"/>
      <c r="B72" s="1706"/>
      <c r="C72" s="306" t="s">
        <v>1150</v>
      </c>
      <c r="D72" s="3439"/>
      <c r="E72" s="3207"/>
      <c r="F72" s="3377"/>
      <c r="G72" s="3414"/>
      <c r="H72" s="1427"/>
      <c r="I72" s="588" t="s">
        <v>1151</v>
      </c>
      <c r="J72" s="508"/>
      <c r="K72" s="1427"/>
      <c r="L72" s="152"/>
      <c r="M72" s="3156"/>
      <c r="N72" s="272"/>
      <c r="O72" s="1551"/>
      <c r="P72" s="1551"/>
      <c r="AH72" s="1558">
        <v>0</v>
      </c>
    </row>
    <row r="73" spans="1:34" s="1562" customFormat="1" ht="0.75" hidden="1" customHeight="1">
      <c r="A73" s="1706"/>
      <c r="B73" s="1706"/>
      <c r="C73" s="306" t="s">
        <v>1157</v>
      </c>
      <c r="D73" s="3439"/>
      <c r="E73" s="3207"/>
      <c r="F73" s="3377"/>
      <c r="G73" s="337"/>
      <c r="H73" s="1427"/>
      <c r="I73" s="588"/>
      <c r="J73" s="508"/>
      <c r="K73" s="1427"/>
      <c r="L73" s="152"/>
      <c r="M73" s="3156"/>
      <c r="N73" s="272"/>
      <c r="O73" s="1551"/>
      <c r="P73" s="1551"/>
      <c r="AH73" s="1558">
        <v>0</v>
      </c>
    </row>
    <row r="74" spans="1:34" s="1562" customFormat="1" ht="18.75" hidden="1" customHeight="1">
      <c r="A74" s="1706" t="s">
        <v>268</v>
      </c>
      <c r="B74" s="1706" t="s">
        <v>269</v>
      </c>
      <c r="C74" s="306"/>
      <c r="D74" s="3439"/>
      <c r="E74" s="3207"/>
      <c r="F74" s="3377" t="str">
        <f>INDEX(PT_DIFFERENTIATION_VTAR,MATCH(A74,PT_DIFFERENTIATION_VTAR_ID,0))</f>
        <v>Тариф на подключение (технологическое присоединение) к централизованной системе горячего водоснабжения</v>
      </c>
      <c r="G74" s="3414" t="str">
        <f>INDEX(PT_DIFFERENTIATION_NTAR,MATCH(B74,PT_DIFFERENTIATION_NTAR_ID,0))</f>
        <v/>
      </c>
      <c r="H74" s="1787"/>
      <c r="I74" s="1665"/>
      <c r="J74" s="1699"/>
      <c r="K74" s="1790"/>
      <c r="L74" s="1787" t="s">
        <v>314</v>
      </c>
      <c r="M74" s="3156"/>
      <c r="N74" s="272"/>
      <c r="O74" s="1551"/>
      <c r="P74" s="1551"/>
      <c r="AH74" s="1558">
        <v>0</v>
      </c>
    </row>
    <row r="75" spans="1:34" s="1562" customFormat="1" ht="18.75" hidden="1" customHeight="1">
      <c r="A75" s="1706"/>
      <c r="B75" s="1706"/>
      <c r="C75" s="306" t="s">
        <v>1150</v>
      </c>
      <c r="D75" s="3439"/>
      <c r="E75" s="3207"/>
      <c r="F75" s="3377"/>
      <c r="G75" s="3414"/>
      <c r="H75" s="1427"/>
      <c r="I75" s="588" t="s">
        <v>1151</v>
      </c>
      <c r="J75" s="508"/>
      <c r="K75" s="1427"/>
      <c r="L75" s="152"/>
      <c r="M75" s="3156"/>
      <c r="N75" s="272"/>
      <c r="O75" s="1551"/>
      <c r="P75" s="1551"/>
      <c r="AH75" s="1558">
        <v>0</v>
      </c>
    </row>
    <row r="76" spans="1:34" s="1562" customFormat="1" ht="0.75" hidden="1" customHeight="1">
      <c r="A76" s="1706"/>
      <c r="B76" s="1706"/>
      <c r="C76" s="306" t="s">
        <v>1157</v>
      </c>
      <c r="D76" s="3439"/>
      <c r="E76" s="3207"/>
      <c r="F76" s="3377"/>
      <c r="G76" s="337"/>
      <c r="H76" s="1427"/>
      <c r="I76" s="588"/>
      <c r="J76" s="508"/>
      <c r="K76" s="1427"/>
      <c r="L76" s="152"/>
      <c r="M76" s="3156"/>
      <c r="N76" s="272"/>
      <c r="O76" s="1551"/>
      <c r="P76" s="1551"/>
      <c r="AH76" s="1558">
        <v>0</v>
      </c>
    </row>
    <row r="77" spans="1:34" s="1562" customFormat="1" ht="18.75" hidden="1" customHeight="1">
      <c r="A77" s="1706" t="s">
        <v>273</v>
      </c>
      <c r="B77" s="1706" t="s">
        <v>274</v>
      </c>
      <c r="C77" s="306"/>
      <c r="D77" s="3439"/>
      <c r="E77" s="3207"/>
      <c r="F77" s="3377" t="str">
        <f>INDEX(PT_DIFFERENTIATION_VTAR,MATCH(A77,PT_DIFFERENTIATION_VTAR_ID,0))</f>
        <v>Тариф на водоотведение</v>
      </c>
      <c r="G77" s="3414" t="str">
        <f>INDEX(PT_DIFFERENTIATION_NTAR,MATCH(B77,PT_DIFFERENTIATION_NTAR_ID,0))</f>
        <v/>
      </c>
      <c r="H77" s="1787"/>
      <c r="I77" s="1665"/>
      <c r="J77" s="1699"/>
      <c r="K77" s="1790"/>
      <c r="L77" s="1787" t="s">
        <v>314</v>
      </c>
      <c r="M77" s="3156"/>
      <c r="N77" s="272"/>
      <c r="O77" s="1551"/>
      <c r="P77" s="1551"/>
      <c r="AH77" s="1558">
        <v>0</v>
      </c>
    </row>
    <row r="78" spans="1:34" s="1562" customFormat="1" ht="18.75" hidden="1" customHeight="1">
      <c r="A78" s="1706"/>
      <c r="B78" s="1706"/>
      <c r="C78" s="306" t="s">
        <v>1150</v>
      </c>
      <c r="D78" s="3439"/>
      <c r="E78" s="3207"/>
      <c r="F78" s="3377"/>
      <c r="G78" s="3414"/>
      <c r="H78" s="1427"/>
      <c r="I78" s="588" t="s">
        <v>1151</v>
      </c>
      <c r="J78" s="508"/>
      <c r="K78" s="1427"/>
      <c r="L78" s="152"/>
      <c r="M78" s="3156"/>
      <c r="N78" s="272"/>
      <c r="O78" s="1551"/>
      <c r="P78" s="1551"/>
      <c r="AH78" s="1558">
        <v>0</v>
      </c>
    </row>
    <row r="79" spans="1:34" s="1562" customFormat="1" ht="0.75" hidden="1" customHeight="1">
      <c r="A79" s="1706"/>
      <c r="B79" s="1706"/>
      <c r="C79" s="306" t="s">
        <v>1157</v>
      </c>
      <c r="D79" s="3439"/>
      <c r="E79" s="3207"/>
      <c r="F79" s="3377"/>
      <c r="G79" s="337"/>
      <c r="H79" s="1427"/>
      <c r="I79" s="588"/>
      <c r="J79" s="508"/>
      <c r="K79" s="1427"/>
      <c r="L79" s="152"/>
      <c r="M79" s="3156"/>
      <c r="N79" s="272"/>
      <c r="O79" s="1551"/>
      <c r="P79" s="1551"/>
      <c r="AH79" s="1558">
        <v>0</v>
      </c>
    </row>
    <row r="80" spans="1:34" s="1562" customFormat="1" ht="18.75" hidden="1" customHeight="1">
      <c r="A80" s="1706" t="s">
        <v>278</v>
      </c>
      <c r="B80" s="1706" t="s">
        <v>279</v>
      </c>
      <c r="C80" s="306"/>
      <c r="D80" s="3439"/>
      <c r="E80" s="3207"/>
      <c r="F80" s="3377" t="str">
        <f>INDEX(PT_DIFFERENTIATION_VTAR,MATCH(A80,PT_DIFFERENTIATION_VTAR_ID,0))</f>
        <v>Тариф на транспортировку сточных вод</v>
      </c>
      <c r="G80" s="3414" t="str">
        <f>INDEX(PT_DIFFERENTIATION_NTAR,MATCH(B80,PT_DIFFERENTIATION_NTAR_ID,0))</f>
        <v/>
      </c>
      <c r="H80" s="1787"/>
      <c r="I80" s="1665"/>
      <c r="J80" s="1699"/>
      <c r="K80" s="1790"/>
      <c r="L80" s="1787" t="s">
        <v>314</v>
      </c>
      <c r="M80" s="3156"/>
      <c r="N80" s="272"/>
      <c r="O80" s="1551"/>
      <c r="P80" s="1551"/>
      <c r="AH80" s="1558">
        <v>0</v>
      </c>
    </row>
    <row r="81" spans="1:34" s="1562" customFormat="1" ht="18.75" hidden="1" customHeight="1">
      <c r="A81" s="1706"/>
      <c r="B81" s="1706"/>
      <c r="C81" s="306" t="s">
        <v>1150</v>
      </c>
      <c r="D81" s="3439"/>
      <c r="E81" s="3207"/>
      <c r="F81" s="3377"/>
      <c r="G81" s="3414"/>
      <c r="H81" s="1427"/>
      <c r="I81" s="588" t="s">
        <v>1151</v>
      </c>
      <c r="J81" s="508"/>
      <c r="K81" s="1427"/>
      <c r="L81" s="152"/>
      <c r="M81" s="3156"/>
      <c r="N81" s="272"/>
      <c r="O81" s="1551"/>
      <c r="P81" s="1551"/>
      <c r="AH81" s="1558">
        <v>0</v>
      </c>
    </row>
    <row r="82" spans="1:34" s="1562" customFormat="1" ht="0.75" hidden="1" customHeight="1">
      <c r="A82" s="1706"/>
      <c r="B82" s="1706"/>
      <c r="C82" s="306" t="s">
        <v>1157</v>
      </c>
      <c r="D82" s="3439"/>
      <c r="E82" s="3207"/>
      <c r="F82" s="3377"/>
      <c r="G82" s="337"/>
      <c r="H82" s="1427"/>
      <c r="I82" s="588"/>
      <c r="J82" s="508"/>
      <c r="K82" s="1427"/>
      <c r="L82" s="152"/>
      <c r="M82" s="3156"/>
      <c r="N82" s="272"/>
      <c r="O82" s="1551"/>
      <c r="P82" s="1551"/>
      <c r="AH82" s="1558">
        <v>0</v>
      </c>
    </row>
    <row r="83" spans="1:34" s="1562" customFormat="1" ht="18.75" hidden="1" customHeight="1">
      <c r="A83" s="1706" t="s">
        <v>283</v>
      </c>
      <c r="B83" s="1706" t="s">
        <v>284</v>
      </c>
      <c r="C83" s="306"/>
      <c r="D83" s="3439"/>
      <c r="E83" s="3207"/>
      <c r="F83" s="3377" t="str">
        <f>INDEX(PT_DIFFERENTIATION_VTAR,MATCH(A83,PT_DIFFERENTIATION_VTAR_ID,0))</f>
        <v>Тариф на подключение (технологическое присоединение) к централизованной системе водоотведения</v>
      </c>
      <c r="G83" s="3414" t="str">
        <f>INDEX(PT_DIFFERENTIATION_NTAR,MATCH(B83,PT_DIFFERENTIATION_NTAR_ID,0))</f>
        <v/>
      </c>
      <c r="H83" s="1787"/>
      <c r="I83" s="1665"/>
      <c r="J83" s="1699"/>
      <c r="K83" s="1790"/>
      <c r="L83" s="1787" t="s">
        <v>314</v>
      </c>
      <c r="M83" s="3156"/>
      <c r="N83" s="272"/>
      <c r="O83" s="1551"/>
      <c r="P83" s="1551"/>
      <c r="AH83" s="1558">
        <v>0</v>
      </c>
    </row>
    <row r="84" spans="1:34" s="1562" customFormat="1" ht="18.75" hidden="1" customHeight="1">
      <c r="A84" s="1706"/>
      <c r="B84" s="1706"/>
      <c r="C84" s="306" t="s">
        <v>1150</v>
      </c>
      <c r="D84" s="3439"/>
      <c r="E84" s="3207"/>
      <c r="F84" s="3377"/>
      <c r="G84" s="3414"/>
      <c r="H84" s="1427"/>
      <c r="I84" s="588" t="s">
        <v>1151</v>
      </c>
      <c r="J84" s="508"/>
      <c r="K84" s="1427"/>
      <c r="L84" s="152"/>
      <c r="M84" s="3156"/>
      <c r="N84" s="272"/>
      <c r="O84" s="1551"/>
      <c r="P84" s="1551"/>
      <c r="AH84" s="1558">
        <v>0</v>
      </c>
    </row>
    <row r="85" spans="1:34" s="1562" customFormat="1" ht="1.1499999999999999" customHeight="1">
      <c r="A85" s="1706"/>
      <c r="B85" s="1706"/>
      <c r="C85" s="306" t="s">
        <v>1157</v>
      </c>
      <c r="D85" s="3439"/>
      <c r="E85" s="3207"/>
      <c r="F85" s="3377"/>
      <c r="G85" s="337"/>
      <c r="H85" s="1427"/>
      <c r="I85" s="588"/>
      <c r="J85" s="508"/>
      <c r="K85" s="1427"/>
      <c r="L85" s="152"/>
      <c r="M85" s="3156"/>
      <c r="N85" s="272"/>
      <c r="O85" s="1551"/>
      <c r="P85" s="1551"/>
      <c r="AH85" s="1558">
        <v>1</v>
      </c>
    </row>
    <row r="86" spans="1:34" ht="19.899999999999999" customHeight="1">
      <c r="A86" s="1706"/>
      <c r="B86" s="1706"/>
      <c r="D86" s="313"/>
      <c r="E86" s="85" t="s">
        <v>108</v>
      </c>
      <c r="F86" s="34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6" s="3438"/>
      <c r="H86" s="3438"/>
      <c r="I86" s="3438"/>
      <c r="J86" s="3438"/>
      <c r="K86" s="3438"/>
      <c r="L86" s="3438"/>
      <c r="M86" s="235"/>
      <c r="N86" s="272"/>
      <c r="AH86" s="311">
        <v>19</v>
      </c>
    </row>
    <row r="87" spans="1:34" ht="36" customHeight="1">
      <c r="A87" s="1706"/>
      <c r="B87" s="1706"/>
      <c r="D87" s="313"/>
      <c r="E87" s="336"/>
      <c r="F87" s="136" t="s">
        <v>314</v>
      </c>
      <c r="G87" s="136" t="s">
        <v>314</v>
      </c>
      <c r="H87" s="3217" t="s">
        <v>314</v>
      </c>
      <c r="I87" s="3231"/>
      <c r="J87" s="136" t="s">
        <v>314</v>
      </c>
      <c r="K87" s="136" t="s">
        <v>314</v>
      </c>
      <c r="L87" s="2900" t="s">
        <v>1158</v>
      </c>
      <c r="M87" s="283" t="s">
        <v>1159</v>
      </c>
      <c r="N87" s="272"/>
      <c r="AH87" s="311">
        <v>34</v>
      </c>
    </row>
    <row r="88" spans="1:34" ht="19.899999999999999" customHeight="1">
      <c r="A88" s="1706"/>
      <c r="B88" s="1706"/>
      <c r="D88" s="313"/>
      <c r="E88" s="85" t="s">
        <v>87</v>
      </c>
      <c r="F88" s="3438" t="s">
        <v>1160</v>
      </c>
      <c r="G88" s="3438"/>
      <c r="H88" s="3438"/>
      <c r="I88" s="3438"/>
      <c r="J88" s="3438"/>
      <c r="K88" s="3438"/>
      <c r="L88" s="3438"/>
      <c r="M88" s="235"/>
      <c r="N88" s="272"/>
      <c r="AH88" s="311">
        <v>19</v>
      </c>
    </row>
    <row r="89" spans="1:34" s="1562" customFormat="1" ht="13.5" hidden="1" customHeight="1">
      <c r="A89" s="1706" t="s">
        <v>153</v>
      </c>
      <c r="B89" s="1706" t="s">
        <v>154</v>
      </c>
      <c r="C89" s="306"/>
      <c r="D89" s="3439"/>
      <c r="E89" s="3207"/>
      <c r="F89" s="3377"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3414" t="str">
        <f>INDEX(PT_DIFFERENTIATION_NTAR,MATCH(B89,PT_DIFFERENTIATION_NTAR_ID,0))</f>
        <v/>
      </c>
      <c r="H89" s="1787"/>
      <c r="I89" s="1665"/>
      <c r="J89" s="1699"/>
      <c r="K89" s="1704"/>
      <c r="L89" s="1787" t="s">
        <v>314</v>
      </c>
      <c r="M89" s="3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2"/>
      <c r="O89" s="1551"/>
      <c r="P89" s="1551"/>
      <c r="AH89" s="1558">
        <v>0</v>
      </c>
    </row>
    <row r="90" spans="1:34" s="1562" customFormat="1" ht="13.5" hidden="1" customHeight="1">
      <c r="A90" s="1748"/>
      <c r="B90" s="1748"/>
      <c r="C90" s="1614"/>
      <c r="D90" s="3440"/>
      <c r="E90" s="3441"/>
      <c r="F90" s="3441"/>
      <c r="G90" s="3441"/>
      <c r="H90" s="2021" t="s">
        <v>169</v>
      </c>
      <c r="I90" s="1665"/>
      <c r="J90" s="1699"/>
      <c r="K90" s="1704"/>
      <c r="L90" s="2009" t="s">
        <v>314</v>
      </c>
      <c r="M90" s="3324"/>
      <c r="N90" s="555"/>
      <c r="O90" s="1551"/>
      <c r="P90" s="1551"/>
      <c r="AH90" s="1562">
        <v>0</v>
      </c>
    </row>
    <row r="91" spans="1:34" s="1562" customFormat="1" ht="13.5" hidden="1" customHeight="1">
      <c r="A91" s="1748"/>
      <c r="B91" s="1748"/>
      <c r="C91" s="1614"/>
      <c r="D91" s="3440"/>
      <c r="E91" s="3441"/>
      <c r="F91" s="3441"/>
      <c r="G91" s="3441"/>
      <c r="H91" s="2021" t="s">
        <v>169</v>
      </c>
      <c r="I91" s="1665"/>
      <c r="J91" s="1699"/>
      <c r="K91" s="1704"/>
      <c r="L91" s="2009" t="s">
        <v>314</v>
      </c>
      <c r="M91" s="3324"/>
      <c r="N91" s="555"/>
      <c r="O91" s="1551"/>
      <c r="P91" s="1551"/>
      <c r="AH91" s="1562">
        <v>0</v>
      </c>
    </row>
    <row r="92" spans="1:34" s="1562" customFormat="1" ht="13.5" hidden="1" customHeight="1">
      <c r="A92" s="1748"/>
      <c r="B92" s="1748"/>
      <c r="C92" s="1614"/>
      <c r="D92" s="3440"/>
      <c r="E92" s="3441"/>
      <c r="F92" s="3441"/>
      <c r="G92" s="3441"/>
      <c r="H92" s="2021" t="s">
        <v>169</v>
      </c>
      <c r="I92" s="1665"/>
      <c r="J92" s="1699"/>
      <c r="K92" s="1704"/>
      <c r="L92" s="2009" t="s">
        <v>314</v>
      </c>
      <c r="M92" s="3324"/>
      <c r="N92" s="555"/>
      <c r="O92" s="1551"/>
      <c r="P92" s="1551"/>
      <c r="AH92" s="1562">
        <v>0</v>
      </c>
    </row>
    <row r="93" spans="1:34" s="1562" customFormat="1" ht="13.5" hidden="1" customHeight="1">
      <c r="A93" s="1748"/>
      <c r="B93" s="1748"/>
      <c r="C93" s="1614"/>
      <c r="D93" s="3440"/>
      <c r="E93" s="3441"/>
      <c r="F93" s="3441"/>
      <c r="G93" s="3441"/>
      <c r="H93" s="2021" t="s">
        <v>169</v>
      </c>
      <c r="I93" s="1665"/>
      <c r="J93" s="1699"/>
      <c r="K93" s="1704"/>
      <c r="L93" s="2009" t="s">
        <v>314</v>
      </c>
      <c r="M93" s="3324"/>
      <c r="N93" s="555"/>
      <c r="O93" s="1551"/>
      <c r="P93" s="1551"/>
      <c r="AH93" s="1562">
        <v>0</v>
      </c>
    </row>
    <row r="94" spans="1:34" s="1562" customFormat="1" ht="18.75" hidden="1" customHeight="1">
      <c r="A94" s="1706"/>
      <c r="B94" s="1706"/>
      <c r="C94" s="306" t="s">
        <v>1152</v>
      </c>
      <c r="D94" s="3439"/>
      <c r="E94" s="3207"/>
      <c r="F94" s="3377"/>
      <c r="G94" s="3414"/>
      <c r="H94" s="1427"/>
      <c r="I94" s="588" t="s">
        <v>1151</v>
      </c>
      <c r="J94" s="508"/>
      <c r="K94" s="1427"/>
      <c r="L94" s="152"/>
      <c r="M94" s="3156"/>
      <c r="N94" s="272"/>
      <c r="O94" s="1551"/>
      <c r="P94" s="1551"/>
      <c r="AH94" s="1558">
        <v>0</v>
      </c>
    </row>
    <row r="95" spans="1:34" s="1562" customFormat="1" ht="0.75" hidden="1" customHeight="1">
      <c r="A95" s="1706"/>
      <c r="B95" s="1706"/>
      <c r="C95" s="306" t="s">
        <v>1161</v>
      </c>
      <c r="D95" s="3439"/>
      <c r="E95" s="3207"/>
      <c r="F95" s="3377"/>
      <c r="G95" s="337"/>
      <c r="H95" s="1427"/>
      <c r="I95" s="588"/>
      <c r="J95" s="508"/>
      <c r="K95" s="1427"/>
      <c r="L95" s="152"/>
      <c r="M95" s="3156"/>
      <c r="N95" s="272"/>
      <c r="O95" s="1551"/>
      <c r="P95" s="1551"/>
      <c r="AH95" s="1558">
        <v>0</v>
      </c>
    </row>
    <row r="96" spans="1:34" s="1562" customFormat="1" ht="13.5" customHeight="1">
      <c r="A96" s="1706" t="s">
        <v>161</v>
      </c>
      <c r="B96" s="1706" t="s">
        <v>162</v>
      </c>
      <c r="C96" s="306"/>
      <c r="D96" s="3439"/>
      <c r="E96" s="3207"/>
      <c r="F96" s="3377" t="str">
        <f>INDEX(PT_DIFFERENTIATION_VTAR,MATCH(A96,PT_DIFFERENTIATION_VTAR_ID,0))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6" s="3414" t="str">
        <f>INDEX(PT_DIFFERENTIATION_NTAR,MATCH(B96,PT_DIFFERENTIATION_NTAR_ID,0))</f>
        <v>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v>
      </c>
      <c r="H96" s="1787"/>
      <c r="I96" s="1665">
        <v>45658.553182870368</v>
      </c>
      <c r="J96" s="1699">
        <v>46022.553240740737</v>
      </c>
      <c r="K96" s="1704">
        <v>277405.71999999997</v>
      </c>
      <c r="L96" s="1787" t="s">
        <v>314</v>
      </c>
      <c r="M96" s="3157"/>
      <c r="N96" s="272"/>
      <c r="O96" s="1551"/>
      <c r="P96" s="1551"/>
      <c r="AH96" s="1558">
        <v>0</v>
      </c>
    </row>
    <row r="97" spans="1:34" s="1562" customFormat="1" ht="13.5" customHeight="1">
      <c r="A97" s="1748"/>
      <c r="B97" s="1748"/>
      <c r="C97" s="1614"/>
      <c r="D97" s="3440"/>
      <c r="E97" s="3441"/>
      <c r="F97" s="3441"/>
      <c r="G97" s="3441"/>
      <c r="H97" s="2021" t="s">
        <v>169</v>
      </c>
      <c r="I97" s="1665">
        <v>46023.553287037037</v>
      </c>
      <c r="J97" s="1699">
        <v>46387.553356481483</v>
      </c>
      <c r="K97" s="1704">
        <v>322993.37</v>
      </c>
      <c r="L97" s="2009" t="s">
        <v>314</v>
      </c>
      <c r="M97" s="2013"/>
      <c r="N97" s="555"/>
      <c r="O97" s="1551"/>
      <c r="P97" s="1551"/>
      <c r="AH97" s="1562">
        <v>0</v>
      </c>
    </row>
    <row r="98" spans="1:34" s="1562" customFormat="1" ht="13.5" customHeight="1">
      <c r="A98" s="1748"/>
      <c r="B98" s="1748"/>
      <c r="C98" s="1614"/>
      <c r="D98" s="3440"/>
      <c r="E98" s="3441"/>
      <c r="F98" s="3441"/>
      <c r="G98" s="3441"/>
      <c r="H98" s="2021" t="s">
        <v>169</v>
      </c>
      <c r="I98" s="1665">
        <v>46388.553425925929</v>
      </c>
      <c r="J98" s="1699">
        <v>46752.553483796299</v>
      </c>
      <c r="K98" s="1704">
        <v>338935.95</v>
      </c>
      <c r="L98" s="2009" t="s">
        <v>314</v>
      </c>
      <c r="M98" s="2013"/>
      <c r="N98" s="555"/>
      <c r="O98" s="1551"/>
      <c r="P98" s="1551"/>
      <c r="AH98" s="1562">
        <v>0</v>
      </c>
    </row>
    <row r="99" spans="1:34" s="1562" customFormat="1" ht="13.5" customHeight="1">
      <c r="A99" s="1748"/>
      <c r="B99" s="1748"/>
      <c r="C99" s="1614"/>
      <c r="D99" s="3440"/>
      <c r="E99" s="3441"/>
      <c r="F99" s="3441"/>
      <c r="G99" s="3441"/>
      <c r="H99" s="2021" t="s">
        <v>169</v>
      </c>
      <c r="I99" s="1665">
        <v>46753.553541666668</v>
      </c>
      <c r="J99" s="1699">
        <v>47118.553622685184</v>
      </c>
      <c r="K99" s="1704">
        <v>354794.79</v>
      </c>
      <c r="L99" s="2009" t="s">
        <v>314</v>
      </c>
      <c r="M99" s="2013"/>
      <c r="N99" s="555"/>
      <c r="O99" s="1551"/>
      <c r="P99" s="1551"/>
      <c r="AH99" s="1562">
        <v>0</v>
      </c>
    </row>
    <row r="100" spans="1:34" s="1562" customFormat="1" ht="22.5" customHeight="1">
      <c r="A100" s="1706"/>
      <c r="B100" s="1706"/>
      <c r="C100" s="306" t="s">
        <v>1152</v>
      </c>
      <c r="D100" s="3439"/>
      <c r="E100" s="3207"/>
      <c r="F100" s="3377"/>
      <c r="G100" s="3414"/>
      <c r="H100" s="1427"/>
      <c r="I100" s="588" t="s">
        <v>1151</v>
      </c>
      <c r="J100" s="508"/>
      <c r="K100" s="1427"/>
      <c r="L100" s="152"/>
      <c r="M100" s="1786"/>
      <c r="N100" s="272"/>
      <c r="O100" s="1551"/>
      <c r="P100" s="1551"/>
      <c r="AH100" s="1558">
        <v>0</v>
      </c>
    </row>
    <row r="101" spans="1:34" s="1562" customFormat="1" ht="18.75" customHeight="1">
      <c r="A101" s="1748" t="s">
        <v>161</v>
      </c>
      <c r="B101" s="1748" t="s">
        <v>171</v>
      </c>
      <c r="C101" s="1614"/>
      <c r="D101" s="3440"/>
      <c r="E101" s="3441"/>
      <c r="F101" s="3441"/>
      <c r="G101" s="3414" t="str">
        <f>INDEX(PT_DIFFERENTIATION_NTAR,MATCH(B101,PT_DIFFERENTIATION_NTAR_ID,0))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v>
      </c>
      <c r="H101" s="2009"/>
      <c r="I101" s="1665">
        <v>45658.555254629631</v>
      </c>
      <c r="J101" s="1699">
        <v>46022.555312500001</v>
      </c>
      <c r="K101" s="1704">
        <v>36548.730000000003</v>
      </c>
      <c r="L101" s="2009" t="s">
        <v>314</v>
      </c>
      <c r="M101" s="2013"/>
      <c r="N101" s="555"/>
      <c r="O101" s="1551"/>
      <c r="P101" s="1551"/>
      <c r="AH101" s="1562">
        <v>0</v>
      </c>
    </row>
    <row r="102" spans="1:34" s="1562" customFormat="1" ht="36" customHeight="1">
      <c r="A102" s="1748"/>
      <c r="B102" s="1748"/>
      <c r="C102" s="1614"/>
      <c r="D102" s="3440"/>
      <c r="E102" s="3441"/>
      <c r="F102" s="3441"/>
      <c r="G102" s="3441"/>
      <c r="H102" s="2021" t="s">
        <v>169</v>
      </c>
      <c r="I102" s="1665">
        <v>46023.55537037037</v>
      </c>
      <c r="J102" s="1699">
        <v>46387.555798611109</v>
      </c>
      <c r="K102" s="1704">
        <v>43685.46</v>
      </c>
      <c r="L102" s="2009" t="s">
        <v>314</v>
      </c>
      <c r="M102" s="2013"/>
      <c r="N102" s="555"/>
      <c r="O102" s="1551"/>
      <c r="P102" s="1551"/>
      <c r="AH102" s="1562">
        <v>0</v>
      </c>
    </row>
    <row r="103" spans="1:34" s="1562" customFormat="1" ht="13.5" customHeight="1">
      <c r="A103" s="1748"/>
      <c r="B103" s="1748"/>
      <c r="C103" s="1614"/>
      <c r="D103" s="3440"/>
      <c r="E103" s="3441"/>
      <c r="F103" s="3441"/>
      <c r="G103" s="3441"/>
      <c r="H103" s="2021" t="s">
        <v>169</v>
      </c>
      <c r="I103" s="1665">
        <v>46388.555451388886</v>
      </c>
      <c r="J103" s="1699">
        <v>46752.555856481478</v>
      </c>
      <c r="K103" s="1704">
        <v>45929.43</v>
      </c>
      <c r="L103" s="2009" t="s">
        <v>314</v>
      </c>
      <c r="M103" s="2013"/>
      <c r="N103" s="555"/>
      <c r="O103" s="1551"/>
      <c r="P103" s="1551"/>
      <c r="AH103" s="1562">
        <v>0</v>
      </c>
    </row>
    <row r="104" spans="1:34" s="1562" customFormat="1" ht="13.5" customHeight="1">
      <c r="A104" s="1748"/>
      <c r="B104" s="1748"/>
      <c r="C104" s="1614"/>
      <c r="D104" s="3440"/>
      <c r="E104" s="3441"/>
      <c r="F104" s="3441"/>
      <c r="G104" s="3441"/>
      <c r="H104" s="2021" t="s">
        <v>169</v>
      </c>
      <c r="I104" s="1665">
        <v>46753.555509259262</v>
      </c>
      <c r="J104" s="1699">
        <v>47118.55605324074</v>
      </c>
      <c r="K104" s="1704">
        <v>48134.04</v>
      </c>
      <c r="L104" s="2009" t="s">
        <v>314</v>
      </c>
      <c r="M104" s="2013"/>
      <c r="N104" s="555"/>
      <c r="O104" s="1551"/>
      <c r="P104" s="1551"/>
      <c r="AH104" s="1562">
        <v>0</v>
      </c>
    </row>
    <row r="105" spans="1:34" s="1562" customFormat="1" ht="18.75" customHeight="1">
      <c r="A105" s="1748"/>
      <c r="B105" s="1748"/>
      <c r="C105" s="1614" t="s">
        <v>1152</v>
      </c>
      <c r="D105" s="3440"/>
      <c r="E105" s="3441"/>
      <c r="F105" s="3441"/>
      <c r="G105" s="3414"/>
      <c r="H105" s="2901"/>
      <c r="I105" s="2902" t="s">
        <v>1151</v>
      </c>
      <c r="J105" s="2903"/>
      <c r="K105" s="2904"/>
      <c r="L105" s="2905"/>
      <c r="M105" s="2013"/>
      <c r="N105" s="555"/>
      <c r="O105" s="1551"/>
      <c r="P105" s="1551"/>
      <c r="AH105" s="1562">
        <v>0</v>
      </c>
    </row>
    <row r="106" spans="1:34" s="1562" customFormat="1" ht="0.75" customHeight="1">
      <c r="A106" s="1706"/>
      <c r="B106" s="1706"/>
      <c r="C106" s="306" t="s">
        <v>1161</v>
      </c>
      <c r="D106" s="3439"/>
      <c r="E106" s="3207"/>
      <c r="F106" s="3377"/>
      <c r="G106" s="337"/>
      <c r="H106" s="1427"/>
      <c r="I106" s="588"/>
      <c r="J106" s="508"/>
      <c r="K106" s="1427"/>
      <c r="L106" s="152"/>
      <c r="M106" s="279"/>
      <c r="N106" s="272"/>
      <c r="O106" s="1551"/>
      <c r="P106" s="1551"/>
      <c r="AH106" s="1558">
        <v>0</v>
      </c>
    </row>
    <row r="107" spans="1:34" s="1562" customFormat="1" ht="45" hidden="1" customHeight="1">
      <c r="A107" s="1706" t="s">
        <v>177</v>
      </c>
      <c r="B107" s="1706" t="s">
        <v>178</v>
      </c>
      <c r="C107" s="306"/>
      <c r="D107" s="3439"/>
      <c r="E107" s="3207"/>
      <c r="F107" s="3377" t="str">
        <f>INDEX(PT_DIFFERENTIATION_VTAR,MATCH(A107,PT_DIFFERENTIATION_VTAR_ID,0))</f>
        <v>Тарифы на теплоноситель, поставляемый теплоснабжающими организациями потребителям, другим теплоснабжающим организациям</v>
      </c>
      <c r="G107" s="3414" t="str">
        <f>INDEX(PT_DIFFERENTIATION_NTAR,MATCH(B107,PT_DIFFERENTIATION_NTAR_ID,0))</f>
        <v/>
      </c>
      <c r="H107" s="1787"/>
      <c r="I107" s="1665"/>
      <c r="J107" s="1699"/>
      <c r="K107" s="1704"/>
      <c r="L107" s="1787" t="s">
        <v>314</v>
      </c>
      <c r="M107" s="279"/>
      <c r="N107" s="272"/>
      <c r="O107" s="1551"/>
      <c r="P107" s="1551"/>
      <c r="AH107" s="1558">
        <v>0</v>
      </c>
    </row>
    <row r="108" spans="1:34" s="1562" customFormat="1" ht="18.75" hidden="1" customHeight="1">
      <c r="A108" s="1706"/>
      <c r="B108" s="1706"/>
      <c r="C108" s="306" t="s">
        <v>1152</v>
      </c>
      <c r="D108" s="3439"/>
      <c r="E108" s="3207"/>
      <c r="F108" s="3377"/>
      <c r="G108" s="3414"/>
      <c r="H108" s="1427"/>
      <c r="I108" s="588" t="s">
        <v>1151</v>
      </c>
      <c r="J108" s="508"/>
      <c r="K108" s="1427"/>
      <c r="L108" s="152"/>
      <c r="M108" s="279"/>
      <c r="N108" s="272"/>
      <c r="O108" s="1551"/>
      <c r="P108" s="1551"/>
      <c r="AH108" s="1558">
        <v>0</v>
      </c>
    </row>
    <row r="109" spans="1:34" s="1562" customFormat="1" ht="0.75" hidden="1" customHeight="1">
      <c r="A109" s="1706"/>
      <c r="B109" s="1706"/>
      <c r="C109" s="306" t="s">
        <v>1161</v>
      </c>
      <c r="D109" s="3439"/>
      <c r="E109" s="3207"/>
      <c r="F109" s="3377"/>
      <c r="G109" s="337"/>
      <c r="H109" s="1427"/>
      <c r="I109" s="588"/>
      <c r="J109" s="508"/>
      <c r="K109" s="1427"/>
      <c r="L109" s="152"/>
      <c r="M109" s="279"/>
      <c r="N109" s="272"/>
      <c r="O109" s="1551"/>
      <c r="P109" s="1551"/>
      <c r="AH109" s="1558">
        <v>0</v>
      </c>
    </row>
    <row r="110" spans="1:34" s="1562" customFormat="1" ht="45" hidden="1" customHeight="1">
      <c r="A110" s="1706" t="s">
        <v>183</v>
      </c>
      <c r="B110" s="1706" t="s">
        <v>184</v>
      </c>
      <c r="C110" s="306"/>
      <c r="D110" s="3439"/>
      <c r="E110" s="3207"/>
      <c r="F110" s="3377" t="str">
        <f>INDEX(PT_DIFFERENTIATION_VTAR,MATCH(A110,PT_DIFFERENTIATION_VTAR_ID,0))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10" s="3414" t="str">
        <f>INDEX(PT_DIFFERENTIATION_NTAR,MATCH(B110,PT_DIFFERENTIATION_NTAR_ID,0))</f>
        <v/>
      </c>
      <c r="H110" s="1787"/>
      <c r="I110" s="1665"/>
      <c r="J110" s="1699"/>
      <c r="K110" s="1704"/>
      <c r="L110" s="1787" t="s">
        <v>314</v>
      </c>
      <c r="M110" s="279"/>
      <c r="N110" s="272"/>
      <c r="O110" s="1551"/>
      <c r="P110" s="1551"/>
      <c r="AH110" s="1558">
        <v>0</v>
      </c>
    </row>
    <row r="111" spans="1:34" s="1562" customFormat="1" ht="18.75" hidden="1" customHeight="1">
      <c r="A111" s="1706"/>
      <c r="B111" s="1706"/>
      <c r="C111" s="306" t="s">
        <v>1152</v>
      </c>
      <c r="D111" s="3439"/>
      <c r="E111" s="3207"/>
      <c r="F111" s="3377"/>
      <c r="G111" s="3414"/>
      <c r="H111" s="1427"/>
      <c r="I111" s="588" t="s">
        <v>1151</v>
      </c>
      <c r="J111" s="508"/>
      <c r="K111" s="1427"/>
      <c r="L111" s="152"/>
      <c r="M111" s="279"/>
      <c r="N111" s="272"/>
      <c r="O111" s="1551"/>
      <c r="P111" s="1551"/>
      <c r="AH111" s="1558">
        <v>0</v>
      </c>
    </row>
    <row r="112" spans="1:34" s="1562" customFormat="1" ht="0.75" hidden="1" customHeight="1">
      <c r="A112" s="1706"/>
      <c r="B112" s="1706"/>
      <c r="C112" s="306" t="s">
        <v>1161</v>
      </c>
      <c r="D112" s="3439"/>
      <c r="E112" s="3207"/>
      <c r="F112" s="3377"/>
      <c r="G112" s="337"/>
      <c r="H112" s="1427"/>
      <c r="I112" s="588"/>
      <c r="J112" s="508"/>
      <c r="K112" s="1427"/>
      <c r="L112" s="152"/>
      <c r="M112" s="279"/>
      <c r="N112" s="272"/>
      <c r="O112" s="1551"/>
      <c r="P112" s="1551"/>
      <c r="AH112" s="1558">
        <v>0</v>
      </c>
    </row>
    <row r="113" spans="1:34" s="1562" customFormat="1" ht="18.75" hidden="1" customHeight="1">
      <c r="A113" s="1706" t="s">
        <v>189</v>
      </c>
      <c r="B113" s="1706" t="s">
        <v>190</v>
      </c>
      <c r="C113" s="306"/>
      <c r="D113" s="3439"/>
      <c r="E113" s="3207"/>
      <c r="F113" s="3377" t="str">
        <f>INDEX(PT_DIFFERENTIATION_VTAR,MATCH(A113,PT_DIFFERENTIATION_VTAR_ID,0))</f>
        <v>Тарифы на услуги по передаче тепловой энергии</v>
      </c>
      <c r="G113" s="3414" t="str">
        <f>INDEX(PT_DIFFERENTIATION_NTAR,MATCH(B113,PT_DIFFERENTIATION_NTAR_ID,0))</f>
        <v/>
      </c>
      <c r="H113" s="1787"/>
      <c r="I113" s="1665"/>
      <c r="J113" s="1699"/>
      <c r="K113" s="1704"/>
      <c r="L113" s="1787" t="s">
        <v>314</v>
      </c>
      <c r="M113" s="279"/>
      <c r="N113" s="272"/>
      <c r="O113" s="1551"/>
      <c r="P113" s="1551"/>
      <c r="AH113" s="1558">
        <v>0</v>
      </c>
    </row>
    <row r="114" spans="1:34" s="1562" customFormat="1" ht="18.75" hidden="1" customHeight="1">
      <c r="A114" s="1706"/>
      <c r="B114" s="1706"/>
      <c r="C114" s="306" t="s">
        <v>1152</v>
      </c>
      <c r="D114" s="3439"/>
      <c r="E114" s="3207"/>
      <c r="F114" s="3377"/>
      <c r="G114" s="3414"/>
      <c r="H114" s="1427"/>
      <c r="I114" s="588" t="s">
        <v>1151</v>
      </c>
      <c r="J114" s="508"/>
      <c r="K114" s="1427"/>
      <c r="L114" s="152"/>
      <c r="M114" s="279"/>
      <c r="N114" s="272"/>
      <c r="O114" s="1551"/>
      <c r="P114" s="1551"/>
      <c r="AH114" s="1558">
        <v>0</v>
      </c>
    </row>
    <row r="115" spans="1:34" s="1562" customFormat="1" ht="0.75" hidden="1" customHeight="1">
      <c r="A115" s="1706"/>
      <c r="B115" s="1706"/>
      <c r="C115" s="306" t="s">
        <v>1161</v>
      </c>
      <c r="D115" s="3439"/>
      <c r="E115" s="3207"/>
      <c r="F115" s="3377"/>
      <c r="G115" s="337"/>
      <c r="H115" s="1427"/>
      <c r="I115" s="588"/>
      <c r="J115" s="508"/>
      <c r="K115" s="1427"/>
      <c r="L115" s="152"/>
      <c r="M115" s="279"/>
      <c r="N115" s="272"/>
      <c r="O115" s="1551"/>
      <c r="P115" s="1551"/>
      <c r="AH115" s="1558">
        <v>0</v>
      </c>
    </row>
    <row r="116" spans="1:34" s="1562" customFormat="1" ht="18.75" hidden="1" customHeight="1">
      <c r="A116" s="1706" t="s">
        <v>195</v>
      </c>
      <c r="B116" s="1706" t="s">
        <v>196</v>
      </c>
      <c r="C116" s="306"/>
      <c r="D116" s="3439"/>
      <c r="E116" s="3207"/>
      <c r="F116" s="3377" t="str">
        <f>INDEX(PT_DIFFERENTIATION_VTAR,MATCH(A116,PT_DIFFERENTIATION_VTAR_ID,0))</f>
        <v>Тарифы на услуги по передаче теплоносителя</v>
      </c>
      <c r="G116" s="3414" t="str">
        <f>INDEX(PT_DIFFERENTIATION_NTAR,MATCH(B116,PT_DIFFERENTIATION_NTAR_ID,0))</f>
        <v/>
      </c>
      <c r="H116" s="1787"/>
      <c r="I116" s="1665"/>
      <c r="J116" s="1699"/>
      <c r="K116" s="1704"/>
      <c r="L116" s="1787" t="s">
        <v>314</v>
      </c>
      <c r="M116" s="279"/>
      <c r="N116" s="272"/>
      <c r="O116" s="1551"/>
      <c r="P116" s="1551"/>
      <c r="AH116" s="1558">
        <v>0</v>
      </c>
    </row>
    <row r="117" spans="1:34" s="1562" customFormat="1" ht="18.75" hidden="1" customHeight="1">
      <c r="A117" s="1706"/>
      <c r="B117" s="1706"/>
      <c r="C117" s="306" t="s">
        <v>1152</v>
      </c>
      <c r="D117" s="3439"/>
      <c r="E117" s="3207"/>
      <c r="F117" s="3377"/>
      <c r="G117" s="3414"/>
      <c r="H117" s="1427"/>
      <c r="I117" s="588" t="s">
        <v>1151</v>
      </c>
      <c r="J117" s="508"/>
      <c r="K117" s="1427"/>
      <c r="L117" s="152"/>
      <c r="M117" s="279"/>
      <c r="N117" s="272"/>
      <c r="O117" s="1551"/>
      <c r="P117" s="1551"/>
      <c r="AH117" s="1558">
        <v>0</v>
      </c>
    </row>
    <row r="118" spans="1:34" s="1562" customFormat="1" ht="0.75" hidden="1" customHeight="1">
      <c r="A118" s="1706"/>
      <c r="B118" s="1706"/>
      <c r="C118" s="306" t="s">
        <v>1161</v>
      </c>
      <c r="D118" s="3439"/>
      <c r="E118" s="3207"/>
      <c r="F118" s="3377"/>
      <c r="G118" s="337"/>
      <c r="H118" s="1427"/>
      <c r="I118" s="588"/>
      <c r="J118" s="508"/>
      <c r="K118" s="1427"/>
      <c r="L118" s="152"/>
      <c r="M118" s="279"/>
      <c r="N118" s="272"/>
      <c r="O118" s="1551"/>
      <c r="P118" s="1551"/>
      <c r="AH118" s="1558">
        <v>0</v>
      </c>
    </row>
    <row r="119" spans="1:34" s="1562" customFormat="1" ht="18.75" hidden="1" customHeight="1">
      <c r="A119" s="1706" t="s">
        <v>201</v>
      </c>
      <c r="B119" s="1706" t="s">
        <v>202</v>
      </c>
      <c r="C119" s="306"/>
      <c r="D119" s="3439"/>
      <c r="E119" s="3207"/>
      <c r="F119" s="3377" t="str">
        <f>INDEX(PT_DIFFERENTIATION_VTAR,MATCH(A119,PT_DIFFERENTIATION_VTAR_ID,0))</f>
        <v>Плата за услуги по поддержанию резервной тепловой мощности при отсутствии потребления тепловой энергии</v>
      </c>
      <c r="G119" s="3414" t="str">
        <f>INDEX(PT_DIFFERENTIATION_NTAR,MATCH(B119,PT_DIFFERENTIATION_NTAR_ID,0))</f>
        <v/>
      </c>
      <c r="H119" s="1787"/>
      <c r="I119" s="1665"/>
      <c r="J119" s="1699"/>
      <c r="K119" s="1704"/>
      <c r="L119" s="1787" t="s">
        <v>314</v>
      </c>
      <c r="M119" s="279"/>
      <c r="N119" s="272"/>
      <c r="O119" s="1551"/>
      <c r="P119" s="1551"/>
      <c r="AH119" s="1558">
        <v>0</v>
      </c>
    </row>
    <row r="120" spans="1:34" s="1562" customFormat="1" ht="18.75" hidden="1" customHeight="1">
      <c r="A120" s="1706"/>
      <c r="B120" s="1706"/>
      <c r="C120" s="306" t="s">
        <v>1152</v>
      </c>
      <c r="D120" s="3439"/>
      <c r="E120" s="3207"/>
      <c r="F120" s="3377"/>
      <c r="G120" s="3414"/>
      <c r="H120" s="1427"/>
      <c r="I120" s="588" t="s">
        <v>1151</v>
      </c>
      <c r="J120" s="508"/>
      <c r="K120" s="1427"/>
      <c r="L120" s="152"/>
      <c r="M120" s="279"/>
      <c r="N120" s="272"/>
      <c r="O120" s="1551"/>
      <c r="P120" s="1551"/>
      <c r="AH120" s="1558">
        <v>0</v>
      </c>
    </row>
    <row r="121" spans="1:34" s="1562" customFormat="1" ht="0.75" hidden="1" customHeight="1">
      <c r="A121" s="1706"/>
      <c r="B121" s="1706"/>
      <c r="C121" s="306" t="s">
        <v>1161</v>
      </c>
      <c r="D121" s="3439"/>
      <c r="E121" s="3207"/>
      <c r="F121" s="3377"/>
      <c r="G121" s="337"/>
      <c r="H121" s="1427"/>
      <c r="I121" s="588"/>
      <c r="J121" s="508"/>
      <c r="K121" s="1427"/>
      <c r="L121" s="152"/>
      <c r="M121" s="279"/>
      <c r="N121" s="272"/>
      <c r="O121" s="1551"/>
      <c r="P121" s="1551"/>
      <c r="AH121" s="1558">
        <v>0</v>
      </c>
    </row>
    <row r="122" spans="1:34" s="1562" customFormat="1" ht="18.75" hidden="1" customHeight="1">
      <c r="A122" s="1706" t="s">
        <v>207</v>
      </c>
      <c r="B122" s="1706" t="s">
        <v>208</v>
      </c>
      <c r="C122" s="306"/>
      <c r="D122" s="3439"/>
      <c r="E122" s="3207"/>
      <c r="F122" s="3377" t="str">
        <f>INDEX(PT_DIFFERENTIATION_VTAR,MATCH(A122,PT_DIFFERENTIATION_VTAR_ID,0))</f>
        <v>Плата за подключение (технологическое присоединение) к системе теплоснабжения</v>
      </c>
      <c r="G122" s="3414" t="str">
        <f>INDEX(PT_DIFFERENTIATION_NTAR,MATCH(B122,PT_DIFFERENTIATION_NTAR_ID,0))</f>
        <v/>
      </c>
      <c r="H122" s="1787"/>
      <c r="I122" s="1665"/>
      <c r="J122" s="1699"/>
      <c r="K122" s="1704"/>
      <c r="L122" s="1787" t="s">
        <v>314</v>
      </c>
      <c r="M122" s="279"/>
      <c r="N122" s="272"/>
      <c r="O122" s="1551"/>
      <c r="P122" s="1551"/>
      <c r="AH122" s="1558">
        <v>0</v>
      </c>
    </row>
    <row r="123" spans="1:34" s="1562" customFormat="1" ht="18.75" hidden="1" customHeight="1">
      <c r="A123" s="1706"/>
      <c r="B123" s="1706"/>
      <c r="C123" s="306" t="s">
        <v>1152</v>
      </c>
      <c r="D123" s="3439"/>
      <c r="E123" s="3207"/>
      <c r="F123" s="3377"/>
      <c r="G123" s="3414"/>
      <c r="H123" s="1427"/>
      <c r="I123" s="588" t="s">
        <v>1151</v>
      </c>
      <c r="J123" s="508"/>
      <c r="K123" s="1427"/>
      <c r="L123" s="152"/>
      <c r="M123" s="279"/>
      <c r="N123" s="272"/>
      <c r="O123" s="1551"/>
      <c r="P123" s="1551"/>
      <c r="AH123" s="1558">
        <v>0</v>
      </c>
    </row>
    <row r="124" spans="1:34" s="1562" customFormat="1" ht="0.75" hidden="1" customHeight="1">
      <c r="A124" s="1706"/>
      <c r="B124" s="1706"/>
      <c r="C124" s="306" t="s">
        <v>1161</v>
      </c>
      <c r="D124" s="3439"/>
      <c r="E124" s="3207"/>
      <c r="F124" s="3377"/>
      <c r="G124" s="337"/>
      <c r="H124" s="1427"/>
      <c r="I124" s="588"/>
      <c r="J124" s="508"/>
      <c r="K124" s="1427"/>
      <c r="L124" s="152"/>
      <c r="M124" s="279"/>
      <c r="N124" s="272"/>
      <c r="O124" s="1551"/>
      <c r="P124" s="1551"/>
      <c r="AH124" s="1558">
        <v>0</v>
      </c>
    </row>
    <row r="125" spans="1:34" s="1562" customFormat="1" ht="18.75" hidden="1" customHeight="1">
      <c r="A125" s="1706" t="s">
        <v>213</v>
      </c>
      <c r="B125" s="1706" t="s">
        <v>214</v>
      </c>
      <c r="C125" s="306"/>
      <c r="D125" s="3439"/>
      <c r="E125" s="3207"/>
      <c r="F125" s="3377" t="str">
        <f>INDEX(PT_DIFFERENTIATION_VTAR,MATCH(A125,PT_DIFFERENTIATION_VTAR_ID,0))</f>
        <v>Плата за подключение (технологическое присоединение) к системе теплоснабжения (индивидуальная)</v>
      </c>
      <c r="G125" s="3414" t="str">
        <f>INDEX(PT_DIFFERENTIATION_NTAR,MATCH(B125,PT_DIFFERENTIATION_NTAR_ID,0))</f>
        <v/>
      </c>
      <c r="H125" s="1911"/>
      <c r="I125" s="1665"/>
      <c r="J125" s="1699"/>
      <c r="K125" s="1704"/>
      <c r="L125" s="1911" t="s">
        <v>314</v>
      </c>
      <c r="M125" s="279"/>
      <c r="N125" s="272"/>
      <c r="O125" s="1551"/>
      <c r="P125" s="1551"/>
      <c r="AH125" s="1558">
        <v>0</v>
      </c>
    </row>
    <row r="126" spans="1:34" s="1562" customFormat="1" ht="18.75" hidden="1" customHeight="1">
      <c r="A126" s="1706"/>
      <c r="B126" s="1706"/>
      <c r="C126" s="306" t="s">
        <v>1152</v>
      </c>
      <c r="D126" s="3439"/>
      <c r="E126" s="3207"/>
      <c r="F126" s="3377"/>
      <c r="G126" s="3414"/>
      <c r="H126" s="1427"/>
      <c r="I126" s="588" t="s">
        <v>1151</v>
      </c>
      <c r="J126" s="508"/>
      <c r="K126" s="1427"/>
      <c r="L126" s="152"/>
      <c r="M126" s="279"/>
      <c r="N126" s="272"/>
      <c r="O126" s="1551"/>
      <c r="P126" s="1551"/>
      <c r="AH126" s="1558">
        <v>0</v>
      </c>
    </row>
    <row r="127" spans="1:34" s="1562" customFormat="1" ht="0.75" hidden="1" customHeight="1">
      <c r="A127" s="1706"/>
      <c r="B127" s="1706"/>
      <c r="C127" s="306" t="s">
        <v>1161</v>
      </c>
      <c r="D127" s="3439"/>
      <c r="E127" s="3207"/>
      <c r="F127" s="3377"/>
      <c r="G127" s="337"/>
      <c r="H127" s="1427"/>
      <c r="I127" s="588"/>
      <c r="J127" s="508"/>
      <c r="K127" s="1427"/>
      <c r="L127" s="152"/>
      <c r="M127" s="279"/>
      <c r="N127" s="272"/>
      <c r="O127" s="1551"/>
      <c r="P127" s="1551"/>
      <c r="AH127" s="1558">
        <v>0</v>
      </c>
    </row>
    <row r="128" spans="1:34" s="1562" customFormat="1" ht="18.75" hidden="1" customHeight="1">
      <c r="A128" s="1706" t="s">
        <v>233</v>
      </c>
      <c r="B128" s="1706" t="s">
        <v>234</v>
      </c>
      <c r="C128" s="306"/>
      <c r="D128" s="3439"/>
      <c r="E128" s="3207"/>
      <c r="F128" s="3377" t="str">
        <f>INDEX(PT_DIFFERENTIATION_VTAR,MATCH(A128,PT_DIFFERENTIATION_VTAR_ID,0))</f>
        <v>Тариф на питьевую воду (питьевое водоснабжение)</v>
      </c>
      <c r="G128" s="3414" t="str">
        <f>INDEX(PT_DIFFERENTIATION_NTAR,MATCH(B128,PT_DIFFERENTIATION_NTAR_ID,0))</f>
        <v/>
      </c>
      <c r="H128" s="1787"/>
      <c r="I128" s="1665"/>
      <c r="J128" s="1699"/>
      <c r="K128" s="1704"/>
      <c r="L128" s="1787" t="s">
        <v>314</v>
      </c>
      <c r="M128" s="279"/>
      <c r="N128" s="272"/>
      <c r="O128" s="1551"/>
      <c r="P128" s="1551"/>
      <c r="AH128" s="1558">
        <v>0</v>
      </c>
    </row>
    <row r="129" spans="1:34" s="1562" customFormat="1" ht="18.75" hidden="1" customHeight="1">
      <c r="A129" s="1706"/>
      <c r="B129" s="1706"/>
      <c r="C129" s="306" t="s">
        <v>1152</v>
      </c>
      <c r="D129" s="3439"/>
      <c r="E129" s="3207"/>
      <c r="F129" s="3377"/>
      <c r="G129" s="3414"/>
      <c r="H129" s="1427"/>
      <c r="I129" s="588" t="s">
        <v>1151</v>
      </c>
      <c r="J129" s="508"/>
      <c r="K129" s="1427"/>
      <c r="L129" s="152"/>
      <c r="M129" s="279"/>
      <c r="N129" s="272"/>
      <c r="O129" s="1551"/>
      <c r="P129" s="1551"/>
      <c r="AH129" s="1558">
        <v>0</v>
      </c>
    </row>
    <row r="130" spans="1:34" s="1562" customFormat="1" ht="0.75" hidden="1" customHeight="1">
      <c r="A130" s="1706"/>
      <c r="B130" s="1706"/>
      <c r="C130" s="306" t="s">
        <v>1161</v>
      </c>
      <c r="D130" s="3439"/>
      <c r="E130" s="3207"/>
      <c r="F130" s="3377"/>
      <c r="G130" s="337"/>
      <c r="H130" s="1427"/>
      <c r="I130" s="588"/>
      <c r="J130" s="508"/>
      <c r="K130" s="1427"/>
      <c r="L130" s="152"/>
      <c r="M130" s="279"/>
      <c r="N130" s="272"/>
      <c r="O130" s="1551"/>
      <c r="P130" s="1551"/>
      <c r="AH130" s="1558">
        <v>0</v>
      </c>
    </row>
    <row r="131" spans="1:34" s="1562" customFormat="1" ht="18.75" hidden="1" customHeight="1">
      <c r="A131" s="1706" t="s">
        <v>238</v>
      </c>
      <c r="B131" s="1706" t="s">
        <v>239</v>
      </c>
      <c r="C131" s="306"/>
      <c r="D131" s="3439"/>
      <c r="E131" s="3207"/>
      <c r="F131" s="3377" t="str">
        <f>INDEX(PT_DIFFERENTIATION_VTAR,MATCH(A131,PT_DIFFERENTIATION_VTAR_ID,0))</f>
        <v>Тариф на техническую воду</v>
      </c>
      <c r="G131" s="3414" t="str">
        <f>INDEX(PT_DIFFERENTIATION_NTAR,MATCH(B131,PT_DIFFERENTIATION_NTAR_ID,0))</f>
        <v/>
      </c>
      <c r="H131" s="1787"/>
      <c r="I131" s="1665"/>
      <c r="J131" s="1699"/>
      <c r="K131" s="1704"/>
      <c r="L131" s="1787" t="s">
        <v>314</v>
      </c>
      <c r="M131" s="279"/>
      <c r="N131" s="272"/>
      <c r="O131" s="1551"/>
      <c r="P131" s="1551"/>
      <c r="AH131" s="1558">
        <v>0</v>
      </c>
    </row>
    <row r="132" spans="1:34" s="1562" customFormat="1" ht="18.75" hidden="1" customHeight="1">
      <c r="A132" s="1706"/>
      <c r="B132" s="1706"/>
      <c r="C132" s="306" t="s">
        <v>1152</v>
      </c>
      <c r="D132" s="3439"/>
      <c r="E132" s="3207"/>
      <c r="F132" s="3377"/>
      <c r="G132" s="3414"/>
      <c r="H132" s="1427"/>
      <c r="I132" s="588" t="s">
        <v>1151</v>
      </c>
      <c r="J132" s="508"/>
      <c r="K132" s="1427"/>
      <c r="L132" s="152"/>
      <c r="M132" s="279"/>
      <c r="N132" s="272"/>
      <c r="O132" s="1551"/>
      <c r="P132" s="1551"/>
      <c r="AH132" s="1558">
        <v>0</v>
      </c>
    </row>
    <row r="133" spans="1:34" s="1562" customFormat="1" ht="0.75" hidden="1" customHeight="1">
      <c r="A133" s="1706"/>
      <c r="B133" s="1706"/>
      <c r="C133" s="306" t="s">
        <v>1161</v>
      </c>
      <c r="D133" s="3439"/>
      <c r="E133" s="3207"/>
      <c r="F133" s="3377"/>
      <c r="G133" s="337"/>
      <c r="H133" s="1427"/>
      <c r="I133" s="588"/>
      <c r="J133" s="508"/>
      <c r="K133" s="1427"/>
      <c r="L133" s="152"/>
      <c r="M133" s="279"/>
      <c r="N133" s="272"/>
      <c r="O133" s="1551"/>
      <c r="P133" s="1551"/>
      <c r="AH133" s="1558">
        <v>0</v>
      </c>
    </row>
    <row r="134" spans="1:34" s="1562" customFormat="1" ht="18.75" hidden="1" customHeight="1">
      <c r="A134" s="1706" t="s">
        <v>243</v>
      </c>
      <c r="B134" s="1706" t="s">
        <v>244</v>
      </c>
      <c r="C134" s="306"/>
      <c r="D134" s="3439"/>
      <c r="E134" s="3207"/>
      <c r="F134" s="3377" t="str">
        <f>INDEX(PT_DIFFERENTIATION_VTAR,MATCH(A134,PT_DIFFERENTIATION_VTAR_ID,0))</f>
        <v>Тариф на транспортировку воды</v>
      </c>
      <c r="G134" s="3414" t="str">
        <f>INDEX(PT_DIFFERENTIATION_NTAR,MATCH(B134,PT_DIFFERENTIATION_NTAR_ID,0))</f>
        <v/>
      </c>
      <c r="H134" s="1787"/>
      <c r="I134" s="1665"/>
      <c r="J134" s="1699"/>
      <c r="K134" s="1704"/>
      <c r="L134" s="1787" t="s">
        <v>314</v>
      </c>
      <c r="M134" s="279"/>
      <c r="N134" s="272"/>
      <c r="O134" s="1551"/>
      <c r="P134" s="1551"/>
      <c r="AH134" s="1558">
        <v>0</v>
      </c>
    </row>
    <row r="135" spans="1:34" s="1562" customFormat="1" ht="18.75" hidden="1" customHeight="1">
      <c r="A135" s="1706"/>
      <c r="B135" s="1706"/>
      <c r="C135" s="306" t="s">
        <v>1152</v>
      </c>
      <c r="D135" s="3439"/>
      <c r="E135" s="3207"/>
      <c r="F135" s="3377"/>
      <c r="G135" s="3414"/>
      <c r="H135" s="1427"/>
      <c r="I135" s="588" t="s">
        <v>1151</v>
      </c>
      <c r="J135" s="508"/>
      <c r="K135" s="1427"/>
      <c r="L135" s="152"/>
      <c r="M135" s="279"/>
      <c r="N135" s="272"/>
      <c r="O135" s="1551"/>
      <c r="P135" s="1551"/>
      <c r="AH135" s="1558">
        <v>0</v>
      </c>
    </row>
    <row r="136" spans="1:34" s="1562" customFormat="1" ht="0.75" hidden="1" customHeight="1">
      <c r="A136" s="1706"/>
      <c r="B136" s="1706"/>
      <c r="C136" s="306" t="s">
        <v>1161</v>
      </c>
      <c r="D136" s="3439"/>
      <c r="E136" s="3207"/>
      <c r="F136" s="3377"/>
      <c r="G136" s="337"/>
      <c r="H136" s="1427"/>
      <c r="I136" s="588"/>
      <c r="J136" s="508"/>
      <c r="K136" s="1427"/>
      <c r="L136" s="152"/>
      <c r="M136" s="279"/>
      <c r="N136" s="272"/>
      <c r="O136" s="1551"/>
      <c r="P136" s="1551"/>
      <c r="AH136" s="1558">
        <v>0</v>
      </c>
    </row>
    <row r="137" spans="1:34" s="1562" customFormat="1" ht="18.75" hidden="1" customHeight="1">
      <c r="A137" s="1706" t="s">
        <v>248</v>
      </c>
      <c r="B137" s="1706" t="s">
        <v>249</v>
      </c>
      <c r="C137" s="306"/>
      <c r="D137" s="3439"/>
      <c r="E137" s="3207"/>
      <c r="F137" s="3377" t="str">
        <f>INDEX(PT_DIFFERENTIATION_VTAR,MATCH(A137,PT_DIFFERENTIATION_VTAR_ID,0))</f>
        <v>Тариф на подвоз воды</v>
      </c>
      <c r="G137" s="3414" t="str">
        <f>INDEX(PT_DIFFERENTIATION_NTAR,MATCH(B137,PT_DIFFERENTIATION_NTAR_ID,0))</f>
        <v/>
      </c>
      <c r="H137" s="1787"/>
      <c r="I137" s="1665"/>
      <c r="J137" s="1699"/>
      <c r="K137" s="1704"/>
      <c r="L137" s="1787" t="s">
        <v>314</v>
      </c>
      <c r="M137" s="279"/>
      <c r="N137" s="272"/>
      <c r="O137" s="1551"/>
      <c r="P137" s="1551"/>
      <c r="AH137" s="1558">
        <v>0</v>
      </c>
    </row>
    <row r="138" spans="1:34" s="1562" customFormat="1" ht="18.75" hidden="1" customHeight="1">
      <c r="A138" s="1706"/>
      <c r="B138" s="1706"/>
      <c r="C138" s="306" t="s">
        <v>1152</v>
      </c>
      <c r="D138" s="3439"/>
      <c r="E138" s="3207"/>
      <c r="F138" s="3377"/>
      <c r="G138" s="3414"/>
      <c r="H138" s="1427"/>
      <c r="I138" s="588" t="s">
        <v>1151</v>
      </c>
      <c r="J138" s="508"/>
      <c r="K138" s="1427"/>
      <c r="L138" s="152"/>
      <c r="M138" s="279"/>
      <c r="N138" s="272"/>
      <c r="O138" s="1551"/>
      <c r="P138" s="1551"/>
      <c r="AH138" s="1558">
        <v>0</v>
      </c>
    </row>
    <row r="139" spans="1:34" s="1562" customFormat="1" ht="0.75" hidden="1" customHeight="1">
      <c r="A139" s="1706"/>
      <c r="B139" s="1706"/>
      <c r="C139" s="306" t="s">
        <v>1161</v>
      </c>
      <c r="D139" s="3439"/>
      <c r="E139" s="3207"/>
      <c r="F139" s="3377"/>
      <c r="G139" s="337"/>
      <c r="H139" s="1427"/>
      <c r="I139" s="588"/>
      <c r="J139" s="508"/>
      <c r="K139" s="1427"/>
      <c r="L139" s="152"/>
      <c r="M139" s="279"/>
      <c r="N139" s="272"/>
      <c r="O139" s="1551"/>
      <c r="P139" s="1551"/>
      <c r="AH139" s="1558">
        <v>0</v>
      </c>
    </row>
    <row r="140" spans="1:34" s="1562" customFormat="1" ht="18.75" hidden="1" customHeight="1">
      <c r="A140" s="1706" t="s">
        <v>253</v>
      </c>
      <c r="B140" s="1706" t="s">
        <v>254</v>
      </c>
      <c r="C140" s="306"/>
      <c r="D140" s="3439"/>
      <c r="E140" s="3207"/>
      <c r="F140" s="3377" t="str">
        <f>INDEX(PT_DIFFERENTIATION_VTAR,MATCH(A140,PT_DIFFERENTIATION_VTAR_ID,0))</f>
        <v>Тариф на подключение (технологическое присоединение) к централизованной системе холодного водоснабжения</v>
      </c>
      <c r="G140" s="3414" t="str">
        <f>INDEX(PT_DIFFERENTIATION_NTAR,MATCH(B140,PT_DIFFERENTIATION_NTAR_ID,0))</f>
        <v/>
      </c>
      <c r="H140" s="1787"/>
      <c r="I140" s="1665"/>
      <c r="J140" s="1699"/>
      <c r="K140" s="1704"/>
      <c r="L140" s="1787" t="s">
        <v>314</v>
      </c>
      <c r="M140" s="279"/>
      <c r="N140" s="272"/>
      <c r="O140" s="1551"/>
      <c r="P140" s="1551"/>
      <c r="AH140" s="1558">
        <v>0</v>
      </c>
    </row>
    <row r="141" spans="1:34" s="1562" customFormat="1" ht="18.75" hidden="1" customHeight="1">
      <c r="A141" s="1706"/>
      <c r="B141" s="1706"/>
      <c r="C141" s="306" t="s">
        <v>1152</v>
      </c>
      <c r="D141" s="3439"/>
      <c r="E141" s="3207"/>
      <c r="F141" s="3377"/>
      <c r="G141" s="3414"/>
      <c r="H141" s="1427"/>
      <c r="I141" s="588" t="s">
        <v>1151</v>
      </c>
      <c r="J141" s="508"/>
      <c r="K141" s="1427"/>
      <c r="L141" s="152"/>
      <c r="M141" s="279"/>
      <c r="N141" s="272"/>
      <c r="O141" s="1551"/>
      <c r="P141" s="1551"/>
      <c r="AH141" s="1558">
        <v>0</v>
      </c>
    </row>
    <row r="142" spans="1:34" s="1562" customFormat="1" ht="0.75" hidden="1" customHeight="1">
      <c r="A142" s="1706"/>
      <c r="B142" s="1706"/>
      <c r="C142" s="306" t="s">
        <v>1161</v>
      </c>
      <c r="D142" s="3439"/>
      <c r="E142" s="3207"/>
      <c r="F142" s="3377"/>
      <c r="G142" s="337"/>
      <c r="H142" s="1427"/>
      <c r="I142" s="588"/>
      <c r="J142" s="508"/>
      <c r="K142" s="1427"/>
      <c r="L142" s="152"/>
      <c r="M142" s="279"/>
      <c r="N142" s="272"/>
      <c r="O142" s="1551"/>
      <c r="P142" s="1551"/>
      <c r="AH142" s="1558">
        <v>0</v>
      </c>
    </row>
    <row r="143" spans="1:34" s="1562" customFormat="1" ht="18.75" hidden="1" customHeight="1">
      <c r="A143" s="1706" t="s">
        <v>258</v>
      </c>
      <c r="B143" s="1706" t="s">
        <v>259</v>
      </c>
      <c r="C143" s="306"/>
      <c r="D143" s="3439"/>
      <c r="E143" s="3207"/>
      <c r="F143" s="3377" t="str">
        <f>INDEX(PT_DIFFERENTIATION_VTAR,MATCH(A143,PT_DIFFERENTIATION_VTAR_ID,0))</f>
        <v>Тариф на горячую воду (горячее водоснабжение)</v>
      </c>
      <c r="G143" s="3414" t="str">
        <f>INDEX(PT_DIFFERENTIATION_NTAR,MATCH(B143,PT_DIFFERENTIATION_NTAR_ID,0))</f>
        <v/>
      </c>
      <c r="H143" s="1787"/>
      <c r="I143" s="1665"/>
      <c r="J143" s="1699"/>
      <c r="K143" s="1704"/>
      <c r="L143" s="1787" t="s">
        <v>314</v>
      </c>
      <c r="M143" s="279"/>
      <c r="N143" s="272"/>
      <c r="O143" s="1551"/>
      <c r="P143" s="1551"/>
      <c r="AH143" s="1558">
        <v>0</v>
      </c>
    </row>
    <row r="144" spans="1:34" s="1562" customFormat="1" ht="18.75" hidden="1" customHeight="1">
      <c r="A144" s="1706"/>
      <c r="B144" s="1706"/>
      <c r="C144" s="306" t="s">
        <v>1152</v>
      </c>
      <c r="D144" s="3439"/>
      <c r="E144" s="3207"/>
      <c r="F144" s="3377"/>
      <c r="G144" s="3414"/>
      <c r="H144" s="1427"/>
      <c r="I144" s="588" t="s">
        <v>1151</v>
      </c>
      <c r="J144" s="508"/>
      <c r="K144" s="1427"/>
      <c r="L144" s="152"/>
      <c r="M144" s="279"/>
      <c r="N144" s="272"/>
      <c r="O144" s="1551"/>
      <c r="P144" s="1551"/>
      <c r="AH144" s="1558">
        <v>0</v>
      </c>
    </row>
    <row r="145" spans="1:34" s="1562" customFormat="1" ht="0.75" hidden="1" customHeight="1">
      <c r="A145" s="1706"/>
      <c r="B145" s="1706"/>
      <c r="C145" s="306" t="s">
        <v>1161</v>
      </c>
      <c r="D145" s="3439"/>
      <c r="E145" s="3207"/>
      <c r="F145" s="3377"/>
      <c r="G145" s="337"/>
      <c r="H145" s="1427"/>
      <c r="I145" s="588"/>
      <c r="J145" s="508"/>
      <c r="K145" s="1427"/>
      <c r="L145" s="152"/>
      <c r="M145" s="279"/>
      <c r="N145" s="272"/>
      <c r="O145" s="1551"/>
      <c r="P145" s="1551"/>
      <c r="AH145" s="1558">
        <v>0</v>
      </c>
    </row>
    <row r="146" spans="1:34" s="1562" customFormat="1" ht="18.75" hidden="1" customHeight="1">
      <c r="A146" s="1706" t="s">
        <v>263</v>
      </c>
      <c r="B146" s="1706" t="s">
        <v>264</v>
      </c>
      <c r="C146" s="306"/>
      <c r="D146" s="3439"/>
      <c r="E146" s="3207"/>
      <c r="F146" s="3377" t="str">
        <f>INDEX(PT_DIFFERENTIATION_VTAR,MATCH(A146,PT_DIFFERENTIATION_VTAR_ID,0))</f>
        <v>Тариф на транспортировку горячей воды</v>
      </c>
      <c r="G146" s="3414" t="str">
        <f>INDEX(PT_DIFFERENTIATION_NTAR,MATCH(B146,PT_DIFFERENTIATION_NTAR_ID,0))</f>
        <v/>
      </c>
      <c r="H146" s="1787"/>
      <c r="I146" s="1665"/>
      <c r="J146" s="1699"/>
      <c r="K146" s="1704"/>
      <c r="L146" s="1787" t="s">
        <v>314</v>
      </c>
      <c r="M146" s="279"/>
      <c r="N146" s="272"/>
      <c r="O146" s="1551"/>
      <c r="P146" s="1551"/>
      <c r="AH146" s="1558">
        <v>0</v>
      </c>
    </row>
    <row r="147" spans="1:34" s="1562" customFormat="1" ht="18.75" hidden="1" customHeight="1">
      <c r="A147" s="1706"/>
      <c r="B147" s="1706"/>
      <c r="C147" s="306" t="s">
        <v>1152</v>
      </c>
      <c r="D147" s="3439"/>
      <c r="E147" s="3207"/>
      <c r="F147" s="3377"/>
      <c r="G147" s="3414"/>
      <c r="H147" s="1427"/>
      <c r="I147" s="588" t="s">
        <v>1151</v>
      </c>
      <c r="J147" s="508"/>
      <c r="K147" s="1427"/>
      <c r="L147" s="152"/>
      <c r="M147" s="279"/>
      <c r="N147" s="272"/>
      <c r="O147" s="1551"/>
      <c r="P147" s="1551"/>
      <c r="AH147" s="1558">
        <v>0</v>
      </c>
    </row>
    <row r="148" spans="1:34" s="1562" customFormat="1" ht="0.75" hidden="1" customHeight="1">
      <c r="A148" s="1706"/>
      <c r="B148" s="1706"/>
      <c r="C148" s="306" t="s">
        <v>1161</v>
      </c>
      <c r="D148" s="3439"/>
      <c r="E148" s="3207"/>
      <c r="F148" s="3377"/>
      <c r="G148" s="337"/>
      <c r="H148" s="1427"/>
      <c r="I148" s="588"/>
      <c r="J148" s="508"/>
      <c r="K148" s="1427"/>
      <c r="L148" s="152"/>
      <c r="M148" s="279"/>
      <c r="N148" s="272"/>
      <c r="O148" s="1551"/>
      <c r="P148" s="1551"/>
      <c r="AH148" s="1558">
        <v>0</v>
      </c>
    </row>
    <row r="149" spans="1:34" s="1562" customFormat="1" ht="18.75" hidden="1" customHeight="1">
      <c r="A149" s="1706" t="s">
        <v>268</v>
      </c>
      <c r="B149" s="1706" t="s">
        <v>269</v>
      </c>
      <c r="C149" s="306"/>
      <c r="D149" s="3439"/>
      <c r="E149" s="3207"/>
      <c r="F149" s="3377" t="str">
        <f>INDEX(PT_DIFFERENTIATION_VTAR,MATCH(A149,PT_DIFFERENTIATION_VTAR_ID,0))</f>
        <v>Тариф на подключение (технологическое присоединение) к централизованной системе горячего водоснабжения</v>
      </c>
      <c r="G149" s="3414" t="str">
        <f>INDEX(PT_DIFFERENTIATION_NTAR,MATCH(B149,PT_DIFFERENTIATION_NTAR_ID,0))</f>
        <v/>
      </c>
      <c r="H149" s="1787"/>
      <c r="I149" s="1665"/>
      <c r="J149" s="1699"/>
      <c r="K149" s="1704"/>
      <c r="L149" s="1787" t="s">
        <v>314</v>
      </c>
      <c r="M149" s="279"/>
      <c r="N149" s="272"/>
      <c r="O149" s="1551"/>
      <c r="P149" s="1551"/>
      <c r="AH149" s="1558">
        <v>0</v>
      </c>
    </row>
    <row r="150" spans="1:34" s="1562" customFormat="1" ht="18.75" hidden="1" customHeight="1">
      <c r="A150" s="1706"/>
      <c r="B150" s="1706"/>
      <c r="C150" s="306" t="s">
        <v>1152</v>
      </c>
      <c r="D150" s="3439"/>
      <c r="E150" s="3207"/>
      <c r="F150" s="3377"/>
      <c r="G150" s="3414"/>
      <c r="H150" s="1427"/>
      <c r="I150" s="588" t="s">
        <v>1151</v>
      </c>
      <c r="J150" s="508"/>
      <c r="K150" s="1427"/>
      <c r="L150" s="152"/>
      <c r="M150" s="279"/>
      <c r="N150" s="272"/>
      <c r="O150" s="1551"/>
      <c r="P150" s="1551"/>
      <c r="AH150" s="1558">
        <v>0</v>
      </c>
    </row>
    <row r="151" spans="1:34" s="1562" customFormat="1" ht="0.75" hidden="1" customHeight="1">
      <c r="A151" s="1706"/>
      <c r="B151" s="1706"/>
      <c r="C151" s="306" t="s">
        <v>1161</v>
      </c>
      <c r="D151" s="3439"/>
      <c r="E151" s="3207"/>
      <c r="F151" s="3377"/>
      <c r="G151" s="337"/>
      <c r="H151" s="1427"/>
      <c r="I151" s="588"/>
      <c r="J151" s="508"/>
      <c r="K151" s="1427"/>
      <c r="L151" s="152"/>
      <c r="M151" s="279"/>
      <c r="N151" s="272"/>
      <c r="O151" s="1551"/>
      <c r="P151" s="1551"/>
      <c r="AH151" s="1558">
        <v>0</v>
      </c>
    </row>
    <row r="152" spans="1:34" s="1562" customFormat="1" ht="18.75" hidden="1" customHeight="1">
      <c r="A152" s="1706" t="s">
        <v>273</v>
      </c>
      <c r="B152" s="1706" t="s">
        <v>274</v>
      </c>
      <c r="C152" s="306"/>
      <c r="D152" s="3439"/>
      <c r="E152" s="3207"/>
      <c r="F152" s="3377" t="str">
        <f>INDEX(PT_DIFFERENTIATION_VTAR,MATCH(A152,PT_DIFFERENTIATION_VTAR_ID,0))</f>
        <v>Тариф на водоотведение</v>
      </c>
      <c r="G152" s="3414" t="str">
        <f>INDEX(PT_DIFFERENTIATION_NTAR,MATCH(B152,PT_DIFFERENTIATION_NTAR_ID,0))</f>
        <v/>
      </c>
      <c r="H152" s="1787"/>
      <c r="I152" s="1665"/>
      <c r="J152" s="1699"/>
      <c r="K152" s="1704"/>
      <c r="L152" s="1787" t="s">
        <v>314</v>
      </c>
      <c r="M152" s="279"/>
      <c r="N152" s="272"/>
      <c r="O152" s="1551"/>
      <c r="P152" s="1551"/>
      <c r="AH152" s="1558">
        <v>0</v>
      </c>
    </row>
    <row r="153" spans="1:34" s="1562" customFormat="1" ht="18.75" hidden="1" customHeight="1">
      <c r="A153" s="1706"/>
      <c r="B153" s="1706"/>
      <c r="C153" s="306" t="s">
        <v>1152</v>
      </c>
      <c r="D153" s="3439"/>
      <c r="E153" s="3207"/>
      <c r="F153" s="3377"/>
      <c r="G153" s="3414"/>
      <c r="H153" s="1427"/>
      <c r="I153" s="588" t="s">
        <v>1151</v>
      </c>
      <c r="J153" s="508"/>
      <c r="K153" s="1427"/>
      <c r="L153" s="152"/>
      <c r="M153" s="279"/>
      <c r="N153" s="272"/>
      <c r="O153" s="1551"/>
      <c r="P153" s="1551"/>
      <c r="AH153" s="1558">
        <v>0</v>
      </c>
    </row>
    <row r="154" spans="1:34" s="1562" customFormat="1" ht="0.75" hidden="1" customHeight="1">
      <c r="A154" s="1706"/>
      <c r="B154" s="1706"/>
      <c r="C154" s="306" t="s">
        <v>1161</v>
      </c>
      <c r="D154" s="3439"/>
      <c r="E154" s="3207"/>
      <c r="F154" s="3377"/>
      <c r="G154" s="337"/>
      <c r="H154" s="1427"/>
      <c r="I154" s="588"/>
      <c r="J154" s="508"/>
      <c r="K154" s="1427"/>
      <c r="L154" s="152"/>
      <c r="M154" s="279"/>
      <c r="N154" s="272"/>
      <c r="O154" s="1551"/>
      <c r="P154" s="1551"/>
      <c r="AH154" s="1558">
        <v>0</v>
      </c>
    </row>
    <row r="155" spans="1:34" s="1562" customFormat="1" ht="18.75" hidden="1" customHeight="1">
      <c r="A155" s="1706" t="s">
        <v>278</v>
      </c>
      <c r="B155" s="1706" t="s">
        <v>279</v>
      </c>
      <c r="C155" s="306"/>
      <c r="D155" s="3439"/>
      <c r="E155" s="3207"/>
      <c r="F155" s="3377" t="str">
        <f>INDEX(PT_DIFFERENTIATION_VTAR,MATCH(A155,PT_DIFFERENTIATION_VTAR_ID,0))</f>
        <v>Тариф на транспортировку сточных вод</v>
      </c>
      <c r="G155" s="3414" t="str">
        <f>INDEX(PT_DIFFERENTIATION_NTAR,MATCH(B155,PT_DIFFERENTIATION_NTAR_ID,0))</f>
        <v/>
      </c>
      <c r="H155" s="1787"/>
      <c r="I155" s="1665"/>
      <c r="J155" s="1699"/>
      <c r="K155" s="1704"/>
      <c r="L155" s="1787" t="s">
        <v>314</v>
      </c>
      <c r="M155" s="279"/>
      <c r="N155" s="272"/>
      <c r="O155" s="1551"/>
      <c r="P155" s="1551"/>
      <c r="AH155" s="1558">
        <v>0</v>
      </c>
    </row>
    <row r="156" spans="1:34" s="1562" customFormat="1" ht="18.75" hidden="1" customHeight="1">
      <c r="A156" s="1706"/>
      <c r="B156" s="1706"/>
      <c r="C156" s="306" t="s">
        <v>1152</v>
      </c>
      <c r="D156" s="3439"/>
      <c r="E156" s="3207"/>
      <c r="F156" s="3377"/>
      <c r="G156" s="3414"/>
      <c r="H156" s="1427"/>
      <c r="I156" s="588" t="s">
        <v>1151</v>
      </c>
      <c r="J156" s="508"/>
      <c r="K156" s="1427"/>
      <c r="L156" s="152"/>
      <c r="M156" s="279"/>
      <c r="N156" s="272"/>
      <c r="O156" s="1551"/>
      <c r="P156" s="1551"/>
      <c r="AH156" s="1558">
        <v>0</v>
      </c>
    </row>
    <row r="157" spans="1:34" s="1562" customFormat="1" ht="0.75" hidden="1" customHeight="1">
      <c r="A157" s="1706"/>
      <c r="B157" s="1706"/>
      <c r="C157" s="306" t="s">
        <v>1161</v>
      </c>
      <c r="D157" s="3439"/>
      <c r="E157" s="3207"/>
      <c r="F157" s="3377"/>
      <c r="G157" s="337"/>
      <c r="H157" s="1427"/>
      <c r="I157" s="588"/>
      <c r="J157" s="508"/>
      <c r="K157" s="1427"/>
      <c r="L157" s="152"/>
      <c r="M157" s="279"/>
      <c r="N157" s="272"/>
      <c r="O157" s="1551"/>
      <c r="P157" s="1551"/>
      <c r="AH157" s="1558">
        <v>0</v>
      </c>
    </row>
    <row r="158" spans="1:34" s="1562" customFormat="1" ht="18.75" hidden="1" customHeight="1">
      <c r="A158" s="1706" t="s">
        <v>283</v>
      </c>
      <c r="B158" s="1706" t="s">
        <v>284</v>
      </c>
      <c r="C158" s="306"/>
      <c r="D158" s="3439"/>
      <c r="E158" s="3207"/>
      <c r="F158" s="3377" t="str">
        <f>INDEX(PT_DIFFERENTIATION_VTAR,MATCH(A158,PT_DIFFERENTIATION_VTAR_ID,0))</f>
        <v>Тариф на подключение (технологическое присоединение) к централизованной системе водоотведения</v>
      </c>
      <c r="G158" s="3414" t="str">
        <f>INDEX(PT_DIFFERENTIATION_NTAR,MATCH(B158,PT_DIFFERENTIATION_NTAR_ID,0))</f>
        <v/>
      </c>
      <c r="H158" s="1787"/>
      <c r="I158" s="1665"/>
      <c r="J158" s="1699"/>
      <c r="K158" s="1704"/>
      <c r="L158" s="1787" t="s">
        <v>314</v>
      </c>
      <c r="M158" s="279"/>
      <c r="N158" s="272"/>
      <c r="O158" s="1551"/>
      <c r="P158" s="1551"/>
      <c r="AH158" s="1558">
        <v>0</v>
      </c>
    </row>
    <row r="159" spans="1:34" s="1562" customFormat="1" ht="18.75" hidden="1" customHeight="1">
      <c r="A159" s="1706"/>
      <c r="B159" s="1706"/>
      <c r="C159" s="306" t="s">
        <v>1152</v>
      </c>
      <c r="D159" s="3439"/>
      <c r="E159" s="3207"/>
      <c r="F159" s="3377"/>
      <c r="G159" s="3414"/>
      <c r="H159" s="1427"/>
      <c r="I159" s="588" t="s">
        <v>1151</v>
      </c>
      <c r="J159" s="508"/>
      <c r="K159" s="1427"/>
      <c r="L159" s="152"/>
      <c r="M159" s="279"/>
      <c r="N159" s="272"/>
      <c r="O159" s="1551"/>
      <c r="P159" s="1551"/>
      <c r="AH159" s="1558">
        <v>0</v>
      </c>
    </row>
    <row r="160" spans="1:34" s="1562" customFormat="1" ht="1.1499999999999999" customHeight="1">
      <c r="A160" s="1706"/>
      <c r="B160" s="1706"/>
      <c r="C160" s="306" t="s">
        <v>1161</v>
      </c>
      <c r="D160" s="3439"/>
      <c r="E160" s="3207"/>
      <c r="F160" s="3377"/>
      <c r="G160" s="337"/>
      <c r="H160" s="1427"/>
      <c r="I160" s="588"/>
      <c r="J160" s="508"/>
      <c r="K160" s="1427"/>
      <c r="L160" s="152"/>
      <c r="M160" s="279"/>
      <c r="N160" s="272"/>
      <c r="O160" s="1551"/>
      <c r="P160" s="1551"/>
      <c r="AH160" s="1558">
        <v>1</v>
      </c>
    </row>
    <row r="161" spans="1:34" ht="19.899999999999999" customHeight="1">
      <c r="A161" s="1706"/>
      <c r="B161" s="1706"/>
      <c r="D161" s="313"/>
      <c r="E161" s="85" t="s">
        <v>88</v>
      </c>
      <c r="F161" s="34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61" s="3438"/>
      <c r="H161" s="3438"/>
      <c r="I161" s="3438"/>
      <c r="J161" s="3438"/>
      <c r="K161" s="3438"/>
      <c r="L161" s="3438"/>
      <c r="M161" s="235"/>
      <c r="N161" s="272"/>
      <c r="AH161" s="311">
        <v>19</v>
      </c>
    </row>
    <row r="162" spans="1:34" s="1562" customFormat="1" ht="13.5" hidden="1" customHeight="1">
      <c r="A162" s="1706" t="s">
        <v>153</v>
      </c>
      <c r="B162" s="1706" t="s">
        <v>154</v>
      </c>
      <c r="C162" s="306"/>
      <c r="D162" s="3439"/>
      <c r="E162" s="3207"/>
      <c r="F162" s="3377" t="str">
        <f>INDEX(PT_DIFFERENTIATION_VTAR,MATCH(A162,PT_DIFFERENTIATION_VTAR_ID,0))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2" s="3414" t="str">
        <f>INDEX(PT_DIFFERENTIATION_NTAR,MATCH(B162,PT_DIFFERENTIATION_NTAR_ID,0))</f>
        <v/>
      </c>
      <c r="H162" s="1787"/>
      <c r="I162" s="1665"/>
      <c r="J162" s="1699"/>
      <c r="K162" s="1704"/>
      <c r="L162" s="1787" t="s">
        <v>314</v>
      </c>
      <c r="M162" s="3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2" s="272"/>
      <c r="O162" s="1551"/>
      <c r="P162" s="1551"/>
      <c r="AH162" s="1558">
        <v>0</v>
      </c>
    </row>
    <row r="163" spans="1:34" s="1562" customFormat="1" ht="13.5" hidden="1" customHeight="1">
      <c r="A163" s="1748"/>
      <c r="B163" s="1748"/>
      <c r="C163" s="1614"/>
      <c r="D163" s="3440"/>
      <c r="E163" s="3441"/>
      <c r="F163" s="3441"/>
      <c r="G163" s="3441"/>
      <c r="H163" s="2021" t="s">
        <v>169</v>
      </c>
      <c r="I163" s="1665"/>
      <c r="J163" s="1699"/>
      <c r="K163" s="1704"/>
      <c r="L163" s="2009" t="s">
        <v>314</v>
      </c>
      <c r="M163" s="3324"/>
      <c r="N163" s="555"/>
      <c r="O163" s="1551"/>
      <c r="P163" s="1551"/>
      <c r="AH163" s="1562">
        <v>0</v>
      </c>
    </row>
    <row r="164" spans="1:34" s="1562" customFormat="1" ht="13.5" hidden="1" customHeight="1">
      <c r="A164" s="1748"/>
      <c r="B164" s="1748"/>
      <c r="C164" s="1614"/>
      <c r="D164" s="3440"/>
      <c r="E164" s="3441"/>
      <c r="F164" s="3441"/>
      <c r="G164" s="3441"/>
      <c r="H164" s="2021" t="s">
        <v>169</v>
      </c>
      <c r="I164" s="1665"/>
      <c r="J164" s="1699"/>
      <c r="K164" s="1704"/>
      <c r="L164" s="2009" t="s">
        <v>314</v>
      </c>
      <c r="M164" s="3324"/>
      <c r="N164" s="555"/>
      <c r="O164" s="1551"/>
      <c r="P164" s="1551"/>
      <c r="AH164" s="1562">
        <v>0</v>
      </c>
    </row>
    <row r="165" spans="1:34" s="1562" customFormat="1" ht="13.5" hidden="1" customHeight="1">
      <c r="A165" s="1748"/>
      <c r="B165" s="1748"/>
      <c r="C165" s="1614"/>
      <c r="D165" s="3440"/>
      <c r="E165" s="3441"/>
      <c r="F165" s="3441"/>
      <c r="G165" s="3441"/>
      <c r="H165" s="2021" t="s">
        <v>169</v>
      </c>
      <c r="I165" s="1665"/>
      <c r="J165" s="1699"/>
      <c r="K165" s="1704"/>
      <c r="L165" s="2009" t="s">
        <v>314</v>
      </c>
      <c r="M165" s="3324"/>
      <c r="N165" s="555"/>
      <c r="O165" s="1551"/>
      <c r="P165" s="1551"/>
      <c r="AH165" s="1562">
        <v>0</v>
      </c>
    </row>
    <row r="166" spans="1:34" s="1562" customFormat="1" ht="13.5" hidden="1" customHeight="1">
      <c r="A166" s="1748"/>
      <c r="B166" s="1748"/>
      <c r="C166" s="1614"/>
      <c r="D166" s="3440"/>
      <c r="E166" s="3441"/>
      <c r="F166" s="3441"/>
      <c r="G166" s="3441"/>
      <c r="H166" s="2021" t="s">
        <v>169</v>
      </c>
      <c r="I166" s="1665"/>
      <c r="J166" s="1699"/>
      <c r="K166" s="1704"/>
      <c r="L166" s="2009" t="s">
        <v>314</v>
      </c>
      <c r="M166" s="3324"/>
      <c r="N166" s="555"/>
      <c r="O166" s="1551"/>
      <c r="P166" s="1551"/>
      <c r="AH166" s="1562">
        <v>0</v>
      </c>
    </row>
    <row r="167" spans="1:34" s="1562" customFormat="1" ht="18.75" hidden="1" customHeight="1">
      <c r="A167" s="1706"/>
      <c r="B167" s="1706"/>
      <c r="C167" s="306" t="s">
        <v>1152</v>
      </c>
      <c r="D167" s="3439"/>
      <c r="E167" s="3207"/>
      <c r="F167" s="3377"/>
      <c r="G167" s="3414"/>
      <c r="H167" s="1427"/>
      <c r="I167" s="588" t="s">
        <v>1151</v>
      </c>
      <c r="J167" s="508"/>
      <c r="K167" s="1427"/>
      <c r="L167" s="152"/>
      <c r="M167" s="3156"/>
      <c r="N167" s="272"/>
      <c r="O167" s="1551"/>
      <c r="P167" s="1551"/>
      <c r="AH167" s="1558">
        <v>0</v>
      </c>
    </row>
    <row r="168" spans="1:34" s="1562" customFormat="1" ht="0.75" hidden="1" customHeight="1">
      <c r="A168" s="1706"/>
      <c r="B168" s="1706"/>
      <c r="C168" s="306" t="s">
        <v>1161</v>
      </c>
      <c r="D168" s="3439"/>
      <c r="E168" s="3207"/>
      <c r="F168" s="3377"/>
      <c r="G168" s="337"/>
      <c r="H168" s="1427"/>
      <c r="I168" s="588"/>
      <c r="J168" s="508"/>
      <c r="K168" s="1427"/>
      <c r="L168" s="152"/>
      <c r="M168" s="3156"/>
      <c r="N168" s="272"/>
      <c r="O168" s="1551"/>
      <c r="P168" s="1551"/>
      <c r="AH168" s="1558">
        <v>0</v>
      </c>
    </row>
    <row r="169" spans="1:34" s="1562" customFormat="1" ht="13.5" customHeight="1">
      <c r="A169" s="1706" t="s">
        <v>161</v>
      </c>
      <c r="B169" s="1706" t="s">
        <v>162</v>
      </c>
      <c r="C169" s="306"/>
      <c r="D169" s="3439"/>
      <c r="E169" s="3207"/>
      <c r="F169" s="3377" t="str">
        <f>INDEX(PT_DIFFERENTIATION_VTAR,MATCH(A169,PT_DIFFERENTIATION_VTAR_ID,0))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9" s="3414" t="str">
        <f>INDEX(PT_DIFFERENTIATION_NTAR,MATCH(B169,PT_DIFFERENTIATION_NTAR_ID,0))</f>
        <v>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v>
      </c>
      <c r="H169" s="1787"/>
      <c r="I169" s="1665">
        <v>45658.556400462963</v>
      </c>
      <c r="J169" s="1699">
        <v>46022.556446759256</v>
      </c>
      <c r="K169" s="1704">
        <v>118.934</v>
      </c>
      <c r="L169" s="1787" t="s">
        <v>314</v>
      </c>
      <c r="M169" s="3157"/>
      <c r="N169" s="272"/>
      <c r="O169" s="1551"/>
      <c r="P169" s="1551"/>
      <c r="AH169" s="1558">
        <v>0</v>
      </c>
    </row>
    <row r="170" spans="1:34" s="1562" customFormat="1" ht="13.5" customHeight="1">
      <c r="A170" s="1748"/>
      <c r="B170" s="1748"/>
      <c r="C170" s="1614"/>
      <c r="D170" s="3440"/>
      <c r="E170" s="3441"/>
      <c r="F170" s="3441"/>
      <c r="G170" s="3441"/>
      <c r="H170" s="2021" t="s">
        <v>169</v>
      </c>
      <c r="I170" s="1665">
        <v>46023.556493055556</v>
      </c>
      <c r="J170" s="1699">
        <v>46387.556550925925</v>
      </c>
      <c r="K170" s="1704">
        <v>118.934</v>
      </c>
      <c r="L170" s="2009" t="s">
        <v>314</v>
      </c>
      <c r="M170" s="2013"/>
      <c r="N170" s="555"/>
      <c r="O170" s="1551"/>
      <c r="P170" s="1551"/>
      <c r="AH170" s="1562">
        <v>0</v>
      </c>
    </row>
    <row r="171" spans="1:34" s="1562" customFormat="1" ht="13.5" customHeight="1">
      <c r="A171" s="1748"/>
      <c r="B171" s="1748"/>
      <c r="C171" s="1614"/>
      <c r="D171" s="3440"/>
      <c r="E171" s="3441"/>
      <c r="F171" s="3441"/>
      <c r="G171" s="3441"/>
      <c r="H171" s="2021" t="s">
        <v>169</v>
      </c>
      <c r="I171" s="1665">
        <v>46388.556597222225</v>
      </c>
      <c r="J171" s="1699">
        <v>46752.556655092594</v>
      </c>
      <c r="K171" s="1704">
        <v>118.934</v>
      </c>
      <c r="L171" s="2009" t="s">
        <v>314</v>
      </c>
      <c r="M171" s="2013"/>
      <c r="N171" s="555"/>
      <c r="O171" s="1551"/>
      <c r="P171" s="1551"/>
      <c r="AH171" s="1562">
        <v>0</v>
      </c>
    </row>
    <row r="172" spans="1:34" s="1562" customFormat="1" ht="13.5" customHeight="1">
      <c r="A172" s="1748"/>
      <c r="B172" s="1748"/>
      <c r="C172" s="1614"/>
      <c r="D172" s="3440"/>
      <c r="E172" s="3441"/>
      <c r="F172" s="3441"/>
      <c r="G172" s="3441"/>
      <c r="H172" s="2021" t="s">
        <v>169</v>
      </c>
      <c r="I172" s="1665">
        <v>46753.55672453704</v>
      </c>
      <c r="J172" s="1699">
        <v>47118.556770833333</v>
      </c>
      <c r="K172" s="1704">
        <v>118.934</v>
      </c>
      <c r="L172" s="2009" t="s">
        <v>314</v>
      </c>
      <c r="M172" s="2013"/>
      <c r="N172" s="555"/>
      <c r="O172" s="1551"/>
      <c r="P172" s="1551"/>
      <c r="AH172" s="1562">
        <v>0</v>
      </c>
    </row>
    <row r="173" spans="1:34" s="1562" customFormat="1" ht="18.75" customHeight="1">
      <c r="A173" s="1706"/>
      <c r="B173" s="1706"/>
      <c r="C173" s="306" t="s">
        <v>1152</v>
      </c>
      <c r="D173" s="3439"/>
      <c r="E173" s="3207"/>
      <c r="F173" s="3377"/>
      <c r="G173" s="3414"/>
      <c r="H173" s="1427"/>
      <c r="I173" s="588" t="s">
        <v>1151</v>
      </c>
      <c r="J173" s="508"/>
      <c r="K173" s="1427"/>
      <c r="L173" s="152"/>
      <c r="M173" s="1786"/>
      <c r="N173" s="272"/>
      <c r="O173" s="1551"/>
      <c r="P173" s="1551"/>
      <c r="AH173" s="1558">
        <v>0</v>
      </c>
    </row>
    <row r="174" spans="1:34" s="1562" customFormat="1" ht="13.5" customHeight="1">
      <c r="A174" s="1748" t="s">
        <v>161</v>
      </c>
      <c r="B174" s="1748" t="s">
        <v>171</v>
      </c>
      <c r="C174" s="1614"/>
      <c r="D174" s="3440"/>
      <c r="E174" s="3441"/>
      <c r="F174" s="3441"/>
      <c r="G174" s="3414" t="str">
        <f>INDEX(PT_DIFFERENTIATION_NTAR,MATCH(B174,PT_DIFFERENTIATION_NTAR_ID,0))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v>
      </c>
      <c r="H174" s="2009"/>
      <c r="I174" s="1665">
        <v>45658.557071759256</v>
      </c>
      <c r="J174" s="1699">
        <v>46022.557118055556</v>
      </c>
      <c r="K174" s="1704">
        <v>22.541</v>
      </c>
      <c r="L174" s="2009" t="s">
        <v>314</v>
      </c>
      <c r="M174" s="2013"/>
      <c r="N174" s="555"/>
      <c r="O174" s="1551"/>
      <c r="P174" s="1551"/>
      <c r="AH174" s="1562">
        <v>0</v>
      </c>
    </row>
    <row r="175" spans="1:34" s="1562" customFormat="1" ht="13.5" customHeight="1">
      <c r="A175" s="1748"/>
      <c r="B175" s="1748"/>
      <c r="C175" s="1614"/>
      <c r="D175" s="3440"/>
      <c r="E175" s="3441"/>
      <c r="F175" s="3441"/>
      <c r="G175" s="3441"/>
      <c r="H175" s="2021" t="s">
        <v>169</v>
      </c>
      <c r="I175" s="1665">
        <v>46023.557557870372</v>
      </c>
      <c r="J175" s="1699">
        <v>46387.557615740741</v>
      </c>
      <c r="K175" s="1704">
        <v>22.541</v>
      </c>
      <c r="L175" s="2009" t="s">
        <v>314</v>
      </c>
      <c r="M175" s="2013"/>
      <c r="N175" s="555"/>
      <c r="O175" s="1551"/>
      <c r="P175" s="1551"/>
      <c r="AH175" s="1562">
        <v>0</v>
      </c>
    </row>
    <row r="176" spans="1:34" s="1562" customFormat="1" ht="13.5" customHeight="1">
      <c r="A176" s="1748"/>
      <c r="B176" s="1748"/>
      <c r="C176" s="1614"/>
      <c r="D176" s="3440"/>
      <c r="E176" s="3441"/>
      <c r="F176" s="3441"/>
      <c r="G176" s="3441"/>
      <c r="H176" s="2021" t="s">
        <v>169</v>
      </c>
      <c r="I176" s="1665">
        <v>46388.557685185187</v>
      </c>
      <c r="J176" s="1699">
        <v>46752.557789351849</v>
      </c>
      <c r="K176" s="1704">
        <v>22.541</v>
      </c>
      <c r="L176" s="2009" t="s">
        <v>314</v>
      </c>
      <c r="M176" s="2013"/>
      <c r="N176" s="555"/>
      <c r="O176" s="1551"/>
      <c r="P176" s="1551"/>
      <c r="AH176" s="1562">
        <v>0</v>
      </c>
    </row>
    <row r="177" spans="1:34" s="1562" customFormat="1" ht="13.5" customHeight="1">
      <c r="A177" s="1748"/>
      <c r="B177" s="1748"/>
      <c r="C177" s="1614"/>
      <c r="D177" s="3440"/>
      <c r="E177" s="3441"/>
      <c r="F177" s="3441"/>
      <c r="G177" s="3441"/>
      <c r="H177" s="2021" t="s">
        <v>169</v>
      </c>
      <c r="I177" s="1665">
        <v>46753.557835648149</v>
      </c>
      <c r="J177" s="1699">
        <v>47118.557974537034</v>
      </c>
      <c r="K177" s="1704">
        <v>22.541</v>
      </c>
      <c r="L177" s="2009" t="s">
        <v>314</v>
      </c>
      <c r="M177" s="2013"/>
      <c r="N177" s="555"/>
      <c r="O177" s="1551"/>
      <c r="P177" s="1551"/>
      <c r="AH177" s="1562">
        <v>0</v>
      </c>
    </row>
    <row r="178" spans="1:34" s="1562" customFormat="1" ht="18.75" customHeight="1">
      <c r="A178" s="1748"/>
      <c r="B178" s="1748"/>
      <c r="C178" s="1614" t="s">
        <v>1152</v>
      </c>
      <c r="D178" s="3440"/>
      <c r="E178" s="3441"/>
      <c r="F178" s="3441"/>
      <c r="G178" s="3414"/>
      <c r="H178" s="2906"/>
      <c r="I178" s="2907" t="s">
        <v>1151</v>
      </c>
      <c r="J178" s="2908"/>
      <c r="K178" s="2909"/>
      <c r="L178" s="2910"/>
      <c r="M178" s="2013"/>
      <c r="N178" s="555"/>
      <c r="O178" s="1551"/>
      <c r="P178" s="1551"/>
      <c r="AH178" s="1562">
        <v>0</v>
      </c>
    </row>
    <row r="179" spans="1:34" s="1562" customFormat="1" ht="0.75" customHeight="1">
      <c r="A179" s="1706"/>
      <c r="B179" s="1706"/>
      <c r="C179" s="306" t="s">
        <v>1161</v>
      </c>
      <c r="D179" s="3439"/>
      <c r="E179" s="3207"/>
      <c r="F179" s="3377"/>
      <c r="G179" s="337"/>
      <c r="H179" s="1427"/>
      <c r="I179" s="588"/>
      <c r="J179" s="508"/>
      <c r="K179" s="1427"/>
      <c r="L179" s="152"/>
      <c r="M179" s="279"/>
      <c r="N179" s="272"/>
      <c r="O179" s="1551"/>
      <c r="P179" s="1551"/>
      <c r="AH179" s="1558">
        <v>0</v>
      </c>
    </row>
    <row r="180" spans="1:34" s="1562" customFormat="1" ht="45" hidden="1" customHeight="1">
      <c r="A180" s="1706" t="s">
        <v>177</v>
      </c>
      <c r="B180" s="1706" t="s">
        <v>178</v>
      </c>
      <c r="C180" s="306"/>
      <c r="D180" s="3439"/>
      <c r="E180" s="3207"/>
      <c r="F180" s="3377" t="str">
        <f>INDEX(PT_DIFFERENTIATION_VTAR,MATCH(A180,PT_DIFFERENTIATION_VTAR_ID,0))</f>
        <v>Тарифы на теплоноситель, поставляемый теплоснабжающими организациями потребителям, другим теплоснабжающим организациям</v>
      </c>
      <c r="G180" s="3414" t="str">
        <f>INDEX(PT_DIFFERENTIATION_NTAR,MATCH(B180,PT_DIFFERENTIATION_NTAR_ID,0))</f>
        <v/>
      </c>
      <c r="H180" s="1787"/>
      <c r="I180" s="1665"/>
      <c r="J180" s="1699"/>
      <c r="K180" s="1704"/>
      <c r="L180" s="1787" t="s">
        <v>314</v>
      </c>
      <c r="M180" s="279"/>
      <c r="N180" s="272"/>
      <c r="O180" s="1551"/>
      <c r="P180" s="1551"/>
      <c r="AH180" s="1558">
        <v>0</v>
      </c>
    </row>
    <row r="181" spans="1:34" s="1562" customFormat="1" ht="18.75" hidden="1" customHeight="1">
      <c r="A181" s="1706"/>
      <c r="B181" s="1706"/>
      <c r="C181" s="306" t="s">
        <v>1152</v>
      </c>
      <c r="D181" s="3439"/>
      <c r="E181" s="3207"/>
      <c r="F181" s="3377"/>
      <c r="G181" s="3414"/>
      <c r="H181" s="1427"/>
      <c r="I181" s="588" t="s">
        <v>1151</v>
      </c>
      <c r="J181" s="508"/>
      <c r="K181" s="1427"/>
      <c r="L181" s="152"/>
      <c r="M181" s="279"/>
      <c r="N181" s="272"/>
      <c r="O181" s="1551"/>
      <c r="P181" s="1551"/>
      <c r="AH181" s="1558">
        <v>0</v>
      </c>
    </row>
    <row r="182" spans="1:34" s="1562" customFormat="1" ht="0.75" hidden="1" customHeight="1">
      <c r="A182" s="1706"/>
      <c r="B182" s="1706"/>
      <c r="C182" s="306" t="s">
        <v>1161</v>
      </c>
      <c r="D182" s="3439"/>
      <c r="E182" s="3207"/>
      <c r="F182" s="3377"/>
      <c r="G182" s="337"/>
      <c r="H182" s="1427"/>
      <c r="I182" s="588"/>
      <c r="J182" s="508"/>
      <c r="K182" s="1427"/>
      <c r="L182" s="152"/>
      <c r="M182" s="279"/>
      <c r="N182" s="272"/>
      <c r="O182" s="1551"/>
      <c r="P182" s="1551"/>
      <c r="AH182" s="1558">
        <v>0</v>
      </c>
    </row>
    <row r="183" spans="1:34" s="1562" customFormat="1" ht="45" hidden="1" customHeight="1">
      <c r="A183" s="1706" t="s">
        <v>183</v>
      </c>
      <c r="B183" s="1706" t="s">
        <v>184</v>
      </c>
      <c r="C183" s="306"/>
      <c r="D183" s="3439"/>
      <c r="E183" s="3207"/>
      <c r="F183" s="3377" t="str">
        <f>INDEX(PT_DIFFERENTIATION_VTAR,MATCH(A183,PT_DIFFERENTIATION_VTAR_ID,0))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83" s="3414" t="str">
        <f>INDEX(PT_DIFFERENTIATION_NTAR,MATCH(B183,PT_DIFFERENTIATION_NTAR_ID,0))</f>
        <v/>
      </c>
      <c r="H183" s="1787"/>
      <c r="I183" s="1665"/>
      <c r="J183" s="1699"/>
      <c r="K183" s="1704"/>
      <c r="L183" s="1787" t="s">
        <v>314</v>
      </c>
      <c r="M183" s="279"/>
      <c r="N183" s="272"/>
      <c r="O183" s="1551"/>
      <c r="P183" s="1551"/>
      <c r="AH183" s="1558">
        <v>0</v>
      </c>
    </row>
    <row r="184" spans="1:34" s="1562" customFormat="1" ht="18.75" hidden="1" customHeight="1">
      <c r="A184" s="1706"/>
      <c r="B184" s="1706"/>
      <c r="C184" s="306" t="s">
        <v>1152</v>
      </c>
      <c r="D184" s="3439"/>
      <c r="E184" s="3207"/>
      <c r="F184" s="3377"/>
      <c r="G184" s="3414"/>
      <c r="H184" s="1427"/>
      <c r="I184" s="588" t="s">
        <v>1151</v>
      </c>
      <c r="J184" s="508"/>
      <c r="K184" s="1427"/>
      <c r="L184" s="152"/>
      <c r="M184" s="279"/>
      <c r="N184" s="272"/>
      <c r="O184" s="1551"/>
      <c r="P184" s="1551"/>
      <c r="AH184" s="1558">
        <v>0</v>
      </c>
    </row>
    <row r="185" spans="1:34" s="1562" customFormat="1" ht="0.75" hidden="1" customHeight="1">
      <c r="A185" s="1706"/>
      <c r="B185" s="1706"/>
      <c r="C185" s="306" t="s">
        <v>1161</v>
      </c>
      <c r="D185" s="3439"/>
      <c r="E185" s="3207"/>
      <c r="F185" s="3377"/>
      <c r="G185" s="337"/>
      <c r="H185" s="1427"/>
      <c r="I185" s="588"/>
      <c r="J185" s="508"/>
      <c r="K185" s="1427"/>
      <c r="L185" s="152"/>
      <c r="M185" s="279"/>
      <c r="N185" s="272"/>
      <c r="O185" s="1551"/>
      <c r="P185" s="1551"/>
      <c r="AH185" s="1558">
        <v>0</v>
      </c>
    </row>
    <row r="186" spans="1:34" s="1562" customFormat="1" ht="18.75" hidden="1" customHeight="1">
      <c r="A186" s="1706" t="s">
        <v>189</v>
      </c>
      <c r="B186" s="1706" t="s">
        <v>190</v>
      </c>
      <c r="C186" s="306"/>
      <c r="D186" s="3439"/>
      <c r="E186" s="3207"/>
      <c r="F186" s="3377" t="str">
        <f>INDEX(PT_DIFFERENTIATION_VTAR,MATCH(A186,PT_DIFFERENTIATION_VTAR_ID,0))</f>
        <v>Тарифы на услуги по передаче тепловой энергии</v>
      </c>
      <c r="G186" s="3414" t="str">
        <f>INDEX(PT_DIFFERENTIATION_NTAR,MATCH(B186,PT_DIFFERENTIATION_NTAR_ID,0))</f>
        <v/>
      </c>
      <c r="H186" s="1787"/>
      <c r="I186" s="1665"/>
      <c r="J186" s="1699"/>
      <c r="K186" s="1704"/>
      <c r="L186" s="1787" t="s">
        <v>314</v>
      </c>
      <c r="M186" s="279"/>
      <c r="N186" s="272"/>
      <c r="O186" s="1551"/>
      <c r="P186" s="1551"/>
      <c r="AH186" s="1558">
        <v>0</v>
      </c>
    </row>
    <row r="187" spans="1:34" s="1562" customFormat="1" ht="18.75" hidden="1" customHeight="1">
      <c r="A187" s="1706"/>
      <c r="B187" s="1706"/>
      <c r="C187" s="306" t="s">
        <v>1152</v>
      </c>
      <c r="D187" s="3439"/>
      <c r="E187" s="3207"/>
      <c r="F187" s="3377"/>
      <c r="G187" s="3414"/>
      <c r="H187" s="1427"/>
      <c r="I187" s="588" t="s">
        <v>1151</v>
      </c>
      <c r="J187" s="508"/>
      <c r="K187" s="1427"/>
      <c r="L187" s="152"/>
      <c r="M187" s="279"/>
      <c r="N187" s="272"/>
      <c r="O187" s="1551"/>
      <c r="P187" s="1551"/>
      <c r="AH187" s="1558">
        <v>0</v>
      </c>
    </row>
    <row r="188" spans="1:34" s="1562" customFormat="1" ht="0.75" hidden="1" customHeight="1">
      <c r="A188" s="1706"/>
      <c r="B188" s="1706"/>
      <c r="C188" s="306" t="s">
        <v>1161</v>
      </c>
      <c r="D188" s="3439"/>
      <c r="E188" s="3207"/>
      <c r="F188" s="3377"/>
      <c r="G188" s="337"/>
      <c r="H188" s="1427"/>
      <c r="I188" s="588"/>
      <c r="J188" s="508"/>
      <c r="K188" s="1427"/>
      <c r="L188" s="152"/>
      <c r="M188" s="279"/>
      <c r="N188" s="272"/>
      <c r="O188" s="1551"/>
      <c r="P188" s="1551"/>
      <c r="AH188" s="1558">
        <v>0</v>
      </c>
    </row>
    <row r="189" spans="1:34" s="1562" customFormat="1" ht="18.75" hidden="1" customHeight="1">
      <c r="A189" s="1706" t="s">
        <v>195</v>
      </c>
      <c r="B189" s="1706" t="s">
        <v>196</v>
      </c>
      <c r="C189" s="306"/>
      <c r="D189" s="3439"/>
      <c r="E189" s="3207"/>
      <c r="F189" s="3377" t="str">
        <f>INDEX(PT_DIFFERENTIATION_VTAR,MATCH(A189,PT_DIFFERENTIATION_VTAR_ID,0))</f>
        <v>Тарифы на услуги по передаче теплоносителя</v>
      </c>
      <c r="G189" s="3414" t="str">
        <f>INDEX(PT_DIFFERENTIATION_NTAR,MATCH(B189,PT_DIFFERENTIATION_NTAR_ID,0))</f>
        <v/>
      </c>
      <c r="H189" s="1787"/>
      <c r="I189" s="1665"/>
      <c r="J189" s="1699"/>
      <c r="K189" s="1704"/>
      <c r="L189" s="1787" t="s">
        <v>314</v>
      </c>
      <c r="M189" s="279"/>
      <c r="N189" s="272"/>
      <c r="O189" s="1551"/>
      <c r="P189" s="1551"/>
      <c r="AH189" s="1558">
        <v>0</v>
      </c>
    </row>
    <row r="190" spans="1:34" s="1562" customFormat="1" ht="18.75" hidden="1" customHeight="1">
      <c r="A190" s="1706"/>
      <c r="B190" s="1706"/>
      <c r="C190" s="306" t="s">
        <v>1152</v>
      </c>
      <c r="D190" s="3439"/>
      <c r="E190" s="3207"/>
      <c r="F190" s="3377"/>
      <c r="G190" s="3414"/>
      <c r="H190" s="1427"/>
      <c r="I190" s="588" t="s">
        <v>1151</v>
      </c>
      <c r="J190" s="508"/>
      <c r="K190" s="1427"/>
      <c r="L190" s="152"/>
      <c r="M190" s="279"/>
      <c r="N190" s="272"/>
      <c r="O190" s="1551"/>
      <c r="P190" s="1551"/>
      <c r="AH190" s="1558">
        <v>0</v>
      </c>
    </row>
    <row r="191" spans="1:34" s="1562" customFormat="1" ht="0.75" hidden="1" customHeight="1">
      <c r="A191" s="1706"/>
      <c r="B191" s="1706"/>
      <c r="C191" s="306" t="s">
        <v>1161</v>
      </c>
      <c r="D191" s="3439"/>
      <c r="E191" s="3207"/>
      <c r="F191" s="3377"/>
      <c r="G191" s="337"/>
      <c r="H191" s="1427"/>
      <c r="I191" s="588"/>
      <c r="J191" s="508"/>
      <c r="K191" s="1427"/>
      <c r="L191" s="152"/>
      <c r="M191" s="279"/>
      <c r="N191" s="272"/>
      <c r="O191" s="1551"/>
      <c r="P191" s="1551"/>
      <c r="AH191" s="1558">
        <v>0</v>
      </c>
    </row>
    <row r="192" spans="1:34" s="1562" customFormat="1" ht="18.75" hidden="1" customHeight="1">
      <c r="A192" s="1706" t="s">
        <v>201</v>
      </c>
      <c r="B192" s="1706" t="s">
        <v>202</v>
      </c>
      <c r="C192" s="306"/>
      <c r="D192" s="3439"/>
      <c r="E192" s="3207"/>
      <c r="F192" s="3377" t="str">
        <f>INDEX(PT_DIFFERENTIATION_VTAR,MATCH(A192,PT_DIFFERENTIATION_VTAR_ID,0))</f>
        <v>Плата за услуги по поддержанию резервной тепловой мощности при отсутствии потребления тепловой энергии</v>
      </c>
      <c r="G192" s="3414" t="str">
        <f>INDEX(PT_DIFFERENTIATION_NTAR,MATCH(B192,PT_DIFFERENTIATION_NTAR_ID,0))</f>
        <v/>
      </c>
      <c r="H192" s="1787"/>
      <c r="I192" s="1665"/>
      <c r="J192" s="1699"/>
      <c r="K192" s="1704"/>
      <c r="L192" s="1787" t="s">
        <v>314</v>
      </c>
      <c r="M192" s="279"/>
      <c r="N192" s="272"/>
      <c r="O192" s="1551"/>
      <c r="P192" s="1551"/>
      <c r="AH192" s="1558">
        <v>0</v>
      </c>
    </row>
    <row r="193" spans="1:34" s="1562" customFormat="1" ht="18.75" hidden="1" customHeight="1">
      <c r="A193" s="1706"/>
      <c r="B193" s="1706"/>
      <c r="C193" s="306" t="s">
        <v>1152</v>
      </c>
      <c r="D193" s="3439"/>
      <c r="E193" s="3207"/>
      <c r="F193" s="3377"/>
      <c r="G193" s="3414"/>
      <c r="H193" s="1427"/>
      <c r="I193" s="588" t="s">
        <v>1151</v>
      </c>
      <c r="J193" s="508"/>
      <c r="K193" s="1427"/>
      <c r="L193" s="152"/>
      <c r="M193" s="279"/>
      <c r="N193" s="272"/>
      <c r="O193" s="1551"/>
      <c r="P193" s="1551"/>
      <c r="AH193" s="1558">
        <v>0</v>
      </c>
    </row>
    <row r="194" spans="1:34" s="1562" customFormat="1" ht="0.75" hidden="1" customHeight="1">
      <c r="A194" s="1706"/>
      <c r="B194" s="1706"/>
      <c r="C194" s="306" t="s">
        <v>1161</v>
      </c>
      <c r="D194" s="3439"/>
      <c r="E194" s="3207"/>
      <c r="F194" s="3377"/>
      <c r="G194" s="337"/>
      <c r="H194" s="1427"/>
      <c r="I194" s="588"/>
      <c r="J194" s="508"/>
      <c r="K194" s="1427"/>
      <c r="L194" s="152"/>
      <c r="M194" s="279"/>
      <c r="N194" s="272"/>
      <c r="O194" s="1551"/>
      <c r="P194" s="1551"/>
      <c r="AH194" s="1558">
        <v>0</v>
      </c>
    </row>
    <row r="195" spans="1:34" s="1562" customFormat="1" ht="18.75" hidden="1" customHeight="1">
      <c r="A195" s="1706" t="s">
        <v>207</v>
      </c>
      <c r="B195" s="1706" t="s">
        <v>208</v>
      </c>
      <c r="C195" s="306"/>
      <c r="D195" s="3439"/>
      <c r="E195" s="3207"/>
      <c r="F195" s="3377" t="str">
        <f>INDEX(PT_DIFFERENTIATION_VTAR,MATCH(A195,PT_DIFFERENTIATION_VTAR_ID,0))</f>
        <v>Плата за подключение (технологическое присоединение) к системе теплоснабжения</v>
      </c>
      <c r="G195" s="3414" t="str">
        <f>INDEX(PT_DIFFERENTIATION_NTAR,MATCH(B195,PT_DIFFERENTIATION_NTAR_ID,0))</f>
        <v/>
      </c>
      <c r="H195" s="1787"/>
      <c r="I195" s="1665"/>
      <c r="J195" s="1699"/>
      <c r="K195" s="1704"/>
      <c r="L195" s="1787" t="s">
        <v>314</v>
      </c>
      <c r="M195" s="279"/>
      <c r="N195" s="272"/>
      <c r="O195" s="1551"/>
      <c r="P195" s="1551"/>
      <c r="AH195" s="1558">
        <v>0</v>
      </c>
    </row>
    <row r="196" spans="1:34" s="1562" customFormat="1" ht="18.75" hidden="1" customHeight="1">
      <c r="A196" s="1706"/>
      <c r="B196" s="1706"/>
      <c r="C196" s="306" t="s">
        <v>1152</v>
      </c>
      <c r="D196" s="3439"/>
      <c r="E196" s="3207"/>
      <c r="F196" s="3377"/>
      <c r="G196" s="3414"/>
      <c r="H196" s="1427"/>
      <c r="I196" s="588" t="s">
        <v>1151</v>
      </c>
      <c r="J196" s="508"/>
      <c r="K196" s="1427"/>
      <c r="L196" s="152"/>
      <c r="M196" s="279"/>
      <c r="N196" s="272"/>
      <c r="O196" s="1551"/>
      <c r="P196" s="1551"/>
      <c r="AH196" s="1558">
        <v>0</v>
      </c>
    </row>
    <row r="197" spans="1:34" s="1562" customFormat="1" ht="0.75" hidden="1" customHeight="1">
      <c r="A197" s="1706"/>
      <c r="B197" s="1706"/>
      <c r="C197" s="306" t="s">
        <v>1161</v>
      </c>
      <c r="D197" s="3439"/>
      <c r="E197" s="3207"/>
      <c r="F197" s="3377"/>
      <c r="G197" s="337"/>
      <c r="H197" s="1427"/>
      <c r="I197" s="588"/>
      <c r="J197" s="508"/>
      <c r="K197" s="1427"/>
      <c r="L197" s="152"/>
      <c r="M197" s="279"/>
      <c r="N197" s="272"/>
      <c r="O197" s="1551"/>
      <c r="P197" s="1551"/>
      <c r="AH197" s="1558">
        <v>0</v>
      </c>
    </row>
    <row r="198" spans="1:34" s="1562" customFormat="1" ht="18.75" hidden="1" customHeight="1">
      <c r="A198" s="1706" t="s">
        <v>213</v>
      </c>
      <c r="B198" s="1706" t="s">
        <v>214</v>
      </c>
      <c r="C198" s="306"/>
      <c r="D198" s="3439"/>
      <c r="E198" s="3207"/>
      <c r="F198" s="3377" t="str">
        <f>INDEX(PT_DIFFERENTIATION_VTAR,MATCH(A198,PT_DIFFERENTIATION_VTAR_ID,0))</f>
        <v>Плата за подключение (технологическое присоединение) к системе теплоснабжения (индивидуальная)</v>
      </c>
      <c r="G198" s="3414" t="str">
        <f>INDEX(PT_DIFFERENTIATION_NTAR,MATCH(B198,PT_DIFFERENTIATION_NTAR_ID,0))</f>
        <v/>
      </c>
      <c r="H198" s="1911"/>
      <c r="I198" s="1665"/>
      <c r="J198" s="1699"/>
      <c r="K198" s="1704"/>
      <c r="L198" s="1911" t="s">
        <v>314</v>
      </c>
      <c r="M198" s="279"/>
      <c r="N198" s="272"/>
      <c r="O198" s="1551"/>
      <c r="P198" s="1551"/>
      <c r="AH198" s="1558">
        <v>0</v>
      </c>
    </row>
    <row r="199" spans="1:34" s="1562" customFormat="1" ht="18.75" hidden="1" customHeight="1">
      <c r="A199" s="1706"/>
      <c r="B199" s="1706"/>
      <c r="C199" s="306" t="s">
        <v>1152</v>
      </c>
      <c r="D199" s="3439"/>
      <c r="E199" s="3207"/>
      <c r="F199" s="3377"/>
      <c r="G199" s="3414"/>
      <c r="H199" s="1427"/>
      <c r="I199" s="588" t="s">
        <v>1151</v>
      </c>
      <c r="J199" s="508"/>
      <c r="K199" s="1427"/>
      <c r="L199" s="152"/>
      <c r="M199" s="279"/>
      <c r="N199" s="272"/>
      <c r="O199" s="1551"/>
      <c r="P199" s="1551"/>
      <c r="AH199" s="1558">
        <v>0</v>
      </c>
    </row>
    <row r="200" spans="1:34" s="1562" customFormat="1" ht="0.75" hidden="1" customHeight="1">
      <c r="A200" s="1706"/>
      <c r="B200" s="1706"/>
      <c r="C200" s="306" t="s">
        <v>1161</v>
      </c>
      <c r="D200" s="3439"/>
      <c r="E200" s="3207"/>
      <c r="F200" s="3377"/>
      <c r="G200" s="337"/>
      <c r="H200" s="1427"/>
      <c r="I200" s="588"/>
      <c r="J200" s="508"/>
      <c r="K200" s="1427"/>
      <c r="L200" s="152"/>
      <c r="M200" s="279"/>
      <c r="N200" s="272"/>
      <c r="O200" s="1551"/>
      <c r="P200" s="1551"/>
      <c r="AH200" s="1558">
        <v>0</v>
      </c>
    </row>
    <row r="201" spans="1:34" s="1562" customFormat="1" ht="18.75" hidden="1" customHeight="1">
      <c r="A201" s="1706" t="s">
        <v>233</v>
      </c>
      <c r="B201" s="1706" t="s">
        <v>234</v>
      </c>
      <c r="C201" s="306"/>
      <c r="D201" s="3439"/>
      <c r="E201" s="3207"/>
      <c r="F201" s="3377" t="str">
        <f>INDEX(PT_DIFFERENTIATION_VTAR,MATCH(A201,PT_DIFFERENTIATION_VTAR_ID,0))</f>
        <v>Тариф на питьевую воду (питьевое водоснабжение)</v>
      </c>
      <c r="G201" s="3414" t="str">
        <f>INDEX(PT_DIFFERENTIATION_NTAR,MATCH(B201,PT_DIFFERENTIATION_NTAR_ID,0))</f>
        <v/>
      </c>
      <c r="H201" s="1787"/>
      <c r="I201" s="1665"/>
      <c r="J201" s="1699"/>
      <c r="K201" s="1704"/>
      <c r="L201" s="1787" t="s">
        <v>314</v>
      </c>
      <c r="M201" s="279"/>
      <c r="N201" s="272"/>
      <c r="O201" s="1551"/>
      <c r="P201" s="1551"/>
      <c r="AH201" s="1558">
        <v>0</v>
      </c>
    </row>
    <row r="202" spans="1:34" s="1562" customFormat="1" ht="18.75" hidden="1" customHeight="1">
      <c r="A202" s="1706"/>
      <c r="B202" s="1706"/>
      <c r="C202" s="306" t="s">
        <v>1152</v>
      </c>
      <c r="D202" s="3439"/>
      <c r="E202" s="3207"/>
      <c r="F202" s="3377"/>
      <c r="G202" s="3414"/>
      <c r="H202" s="1427"/>
      <c r="I202" s="588" t="s">
        <v>1151</v>
      </c>
      <c r="J202" s="508"/>
      <c r="K202" s="1427"/>
      <c r="L202" s="152"/>
      <c r="M202" s="279"/>
      <c r="N202" s="272"/>
      <c r="O202" s="1551"/>
      <c r="P202" s="1551"/>
      <c r="AH202" s="1558">
        <v>0</v>
      </c>
    </row>
    <row r="203" spans="1:34" s="1562" customFormat="1" ht="0.75" hidden="1" customHeight="1">
      <c r="A203" s="1706"/>
      <c r="B203" s="1706"/>
      <c r="C203" s="306" t="s">
        <v>1161</v>
      </c>
      <c r="D203" s="3439"/>
      <c r="E203" s="3207"/>
      <c r="F203" s="3377"/>
      <c r="G203" s="337"/>
      <c r="H203" s="1427"/>
      <c r="I203" s="588"/>
      <c r="J203" s="508"/>
      <c r="K203" s="1427"/>
      <c r="L203" s="152"/>
      <c r="M203" s="279"/>
      <c r="N203" s="272"/>
      <c r="O203" s="1551"/>
      <c r="P203" s="1551"/>
      <c r="AH203" s="1558">
        <v>0</v>
      </c>
    </row>
    <row r="204" spans="1:34" s="1562" customFormat="1" ht="18.75" hidden="1" customHeight="1">
      <c r="A204" s="1706" t="s">
        <v>238</v>
      </c>
      <c r="B204" s="1706" t="s">
        <v>239</v>
      </c>
      <c r="C204" s="306"/>
      <c r="D204" s="3439"/>
      <c r="E204" s="3207"/>
      <c r="F204" s="3377" t="str">
        <f>INDEX(PT_DIFFERENTIATION_VTAR,MATCH(A204,PT_DIFFERENTIATION_VTAR_ID,0))</f>
        <v>Тариф на техническую воду</v>
      </c>
      <c r="G204" s="3414" t="str">
        <f>INDEX(PT_DIFFERENTIATION_NTAR,MATCH(B204,PT_DIFFERENTIATION_NTAR_ID,0))</f>
        <v/>
      </c>
      <c r="H204" s="1787"/>
      <c r="I204" s="1665"/>
      <c r="J204" s="1699"/>
      <c r="K204" s="1704"/>
      <c r="L204" s="1787" t="s">
        <v>314</v>
      </c>
      <c r="M204" s="279"/>
      <c r="N204" s="272"/>
      <c r="O204" s="1551"/>
      <c r="P204" s="1551"/>
      <c r="AH204" s="1558">
        <v>0</v>
      </c>
    </row>
    <row r="205" spans="1:34" s="1562" customFormat="1" ht="18.75" hidden="1" customHeight="1">
      <c r="A205" s="1706"/>
      <c r="B205" s="1706"/>
      <c r="C205" s="306" t="s">
        <v>1152</v>
      </c>
      <c r="D205" s="3439"/>
      <c r="E205" s="3207"/>
      <c r="F205" s="3377"/>
      <c r="G205" s="3414"/>
      <c r="H205" s="1427"/>
      <c r="I205" s="588" t="s">
        <v>1151</v>
      </c>
      <c r="J205" s="508"/>
      <c r="K205" s="1427"/>
      <c r="L205" s="152"/>
      <c r="M205" s="279"/>
      <c r="N205" s="272"/>
      <c r="O205" s="1551"/>
      <c r="P205" s="1551"/>
      <c r="AH205" s="1558">
        <v>0</v>
      </c>
    </row>
    <row r="206" spans="1:34" s="1562" customFormat="1" ht="0.75" hidden="1" customHeight="1">
      <c r="A206" s="1706"/>
      <c r="B206" s="1706"/>
      <c r="C206" s="306" t="s">
        <v>1161</v>
      </c>
      <c r="D206" s="3439"/>
      <c r="E206" s="3207"/>
      <c r="F206" s="3377"/>
      <c r="G206" s="337"/>
      <c r="H206" s="1427"/>
      <c r="I206" s="588"/>
      <c r="J206" s="508"/>
      <c r="K206" s="1427"/>
      <c r="L206" s="152"/>
      <c r="M206" s="279"/>
      <c r="N206" s="272"/>
      <c r="O206" s="1551"/>
      <c r="P206" s="1551"/>
      <c r="AH206" s="1558">
        <v>0</v>
      </c>
    </row>
    <row r="207" spans="1:34" s="1562" customFormat="1" ht="18.75" hidden="1" customHeight="1">
      <c r="A207" s="1706" t="s">
        <v>243</v>
      </c>
      <c r="B207" s="1706" t="s">
        <v>244</v>
      </c>
      <c r="C207" s="306"/>
      <c r="D207" s="3439"/>
      <c r="E207" s="3207"/>
      <c r="F207" s="3377" t="str">
        <f>INDEX(PT_DIFFERENTIATION_VTAR,MATCH(A207,PT_DIFFERENTIATION_VTAR_ID,0))</f>
        <v>Тариф на транспортировку воды</v>
      </c>
      <c r="G207" s="3414" t="str">
        <f>INDEX(PT_DIFFERENTIATION_NTAR,MATCH(B207,PT_DIFFERENTIATION_NTAR_ID,0))</f>
        <v/>
      </c>
      <c r="H207" s="1787"/>
      <c r="I207" s="1665"/>
      <c r="J207" s="1699"/>
      <c r="K207" s="1704"/>
      <c r="L207" s="1787" t="s">
        <v>314</v>
      </c>
      <c r="M207" s="279"/>
      <c r="N207" s="272"/>
      <c r="O207" s="1551"/>
      <c r="P207" s="1551"/>
      <c r="AH207" s="1558">
        <v>0</v>
      </c>
    </row>
    <row r="208" spans="1:34" s="1562" customFormat="1" ht="18.75" hidden="1" customHeight="1">
      <c r="A208" s="1706"/>
      <c r="B208" s="1706"/>
      <c r="C208" s="306" t="s">
        <v>1152</v>
      </c>
      <c r="D208" s="3439"/>
      <c r="E208" s="3207"/>
      <c r="F208" s="3377"/>
      <c r="G208" s="3414"/>
      <c r="H208" s="1427"/>
      <c r="I208" s="588" t="s">
        <v>1151</v>
      </c>
      <c r="J208" s="508"/>
      <c r="K208" s="1427"/>
      <c r="L208" s="152"/>
      <c r="M208" s="279"/>
      <c r="N208" s="272"/>
      <c r="O208" s="1551"/>
      <c r="P208" s="1551"/>
      <c r="AH208" s="1558">
        <v>0</v>
      </c>
    </row>
    <row r="209" spans="1:34" s="1562" customFormat="1" ht="0.75" hidden="1" customHeight="1">
      <c r="A209" s="1706"/>
      <c r="B209" s="1706"/>
      <c r="C209" s="306" t="s">
        <v>1161</v>
      </c>
      <c r="D209" s="3439"/>
      <c r="E209" s="3207"/>
      <c r="F209" s="3377"/>
      <c r="G209" s="337"/>
      <c r="H209" s="1427"/>
      <c r="I209" s="588"/>
      <c r="J209" s="508"/>
      <c r="K209" s="1427"/>
      <c r="L209" s="152"/>
      <c r="M209" s="279"/>
      <c r="N209" s="272"/>
      <c r="O209" s="1551"/>
      <c r="P209" s="1551"/>
      <c r="AH209" s="1558">
        <v>0</v>
      </c>
    </row>
    <row r="210" spans="1:34" s="1562" customFormat="1" ht="18.75" hidden="1" customHeight="1">
      <c r="A210" s="1706" t="s">
        <v>248</v>
      </c>
      <c r="B210" s="1706" t="s">
        <v>249</v>
      </c>
      <c r="C210" s="306"/>
      <c r="D210" s="3439"/>
      <c r="E210" s="3207"/>
      <c r="F210" s="3377" t="str">
        <f>INDEX(PT_DIFFERENTIATION_VTAR,MATCH(A210,PT_DIFFERENTIATION_VTAR_ID,0))</f>
        <v>Тариф на подвоз воды</v>
      </c>
      <c r="G210" s="3414" t="str">
        <f>INDEX(PT_DIFFERENTIATION_NTAR,MATCH(B210,PT_DIFFERENTIATION_NTAR_ID,0))</f>
        <v/>
      </c>
      <c r="H210" s="1787"/>
      <c r="I210" s="1665"/>
      <c r="J210" s="1699"/>
      <c r="K210" s="1704"/>
      <c r="L210" s="1787" t="s">
        <v>314</v>
      </c>
      <c r="M210" s="279"/>
      <c r="N210" s="272"/>
      <c r="O210" s="1551"/>
      <c r="P210" s="1551"/>
      <c r="AH210" s="1558">
        <v>0</v>
      </c>
    </row>
    <row r="211" spans="1:34" s="1562" customFormat="1" ht="18.75" hidden="1" customHeight="1">
      <c r="A211" s="1706"/>
      <c r="B211" s="1706"/>
      <c r="C211" s="306" t="s">
        <v>1152</v>
      </c>
      <c r="D211" s="3439"/>
      <c r="E211" s="3207"/>
      <c r="F211" s="3377"/>
      <c r="G211" s="3414"/>
      <c r="H211" s="1427"/>
      <c r="I211" s="588" t="s">
        <v>1151</v>
      </c>
      <c r="J211" s="508"/>
      <c r="K211" s="1427"/>
      <c r="L211" s="152"/>
      <c r="M211" s="279"/>
      <c r="N211" s="272"/>
      <c r="O211" s="1551"/>
      <c r="P211" s="1551"/>
      <c r="AH211" s="1558">
        <v>0</v>
      </c>
    </row>
    <row r="212" spans="1:34" s="1562" customFormat="1" ht="0.75" hidden="1" customHeight="1">
      <c r="A212" s="1706"/>
      <c r="B212" s="1706"/>
      <c r="C212" s="306" t="s">
        <v>1161</v>
      </c>
      <c r="D212" s="3439"/>
      <c r="E212" s="3207"/>
      <c r="F212" s="3377"/>
      <c r="G212" s="337"/>
      <c r="H212" s="1427"/>
      <c r="I212" s="588"/>
      <c r="J212" s="508"/>
      <c r="K212" s="1427"/>
      <c r="L212" s="152"/>
      <c r="M212" s="279"/>
      <c r="N212" s="272"/>
      <c r="O212" s="1551"/>
      <c r="P212" s="1551"/>
      <c r="AH212" s="1558">
        <v>0</v>
      </c>
    </row>
    <row r="213" spans="1:34" s="1562" customFormat="1" ht="18.75" hidden="1" customHeight="1">
      <c r="A213" s="1706" t="s">
        <v>253</v>
      </c>
      <c r="B213" s="1706" t="s">
        <v>254</v>
      </c>
      <c r="C213" s="306"/>
      <c r="D213" s="3439"/>
      <c r="E213" s="3207"/>
      <c r="F213" s="3377" t="str">
        <f>INDEX(PT_DIFFERENTIATION_VTAR,MATCH(A213,PT_DIFFERENTIATION_VTAR_ID,0))</f>
        <v>Тариф на подключение (технологическое присоединение) к централизованной системе холодного водоснабжения</v>
      </c>
      <c r="G213" s="3414" t="str">
        <f>INDEX(PT_DIFFERENTIATION_NTAR,MATCH(B213,PT_DIFFERENTIATION_NTAR_ID,0))</f>
        <v/>
      </c>
      <c r="H213" s="1787"/>
      <c r="I213" s="1665"/>
      <c r="J213" s="1699"/>
      <c r="K213" s="1704"/>
      <c r="L213" s="1787" t="s">
        <v>314</v>
      </c>
      <c r="M213" s="279"/>
      <c r="N213" s="272"/>
      <c r="O213" s="1551"/>
      <c r="P213" s="1551"/>
      <c r="AH213" s="1558">
        <v>0</v>
      </c>
    </row>
    <row r="214" spans="1:34" s="1562" customFormat="1" ht="18.75" hidden="1" customHeight="1">
      <c r="A214" s="1706"/>
      <c r="B214" s="1706"/>
      <c r="C214" s="306" t="s">
        <v>1152</v>
      </c>
      <c r="D214" s="3439"/>
      <c r="E214" s="3207"/>
      <c r="F214" s="3377"/>
      <c r="G214" s="3414"/>
      <c r="H214" s="1427"/>
      <c r="I214" s="588" t="s">
        <v>1151</v>
      </c>
      <c r="J214" s="508"/>
      <c r="K214" s="1427"/>
      <c r="L214" s="152"/>
      <c r="M214" s="279"/>
      <c r="N214" s="272"/>
      <c r="O214" s="1551"/>
      <c r="P214" s="1551"/>
      <c r="AH214" s="1558">
        <v>0</v>
      </c>
    </row>
    <row r="215" spans="1:34" s="1562" customFormat="1" ht="0.75" hidden="1" customHeight="1">
      <c r="A215" s="1706"/>
      <c r="B215" s="1706"/>
      <c r="C215" s="306" t="s">
        <v>1161</v>
      </c>
      <c r="D215" s="3439"/>
      <c r="E215" s="3207"/>
      <c r="F215" s="3377"/>
      <c r="G215" s="337"/>
      <c r="H215" s="1427"/>
      <c r="I215" s="588"/>
      <c r="J215" s="508"/>
      <c r="K215" s="1427"/>
      <c r="L215" s="152"/>
      <c r="M215" s="279"/>
      <c r="N215" s="272"/>
      <c r="O215" s="1551"/>
      <c r="P215" s="1551"/>
      <c r="AH215" s="1558">
        <v>0</v>
      </c>
    </row>
    <row r="216" spans="1:34" s="1562" customFormat="1" ht="18.75" hidden="1" customHeight="1">
      <c r="A216" s="1706" t="s">
        <v>258</v>
      </c>
      <c r="B216" s="1706" t="s">
        <v>259</v>
      </c>
      <c r="C216" s="306"/>
      <c r="D216" s="3439"/>
      <c r="E216" s="3207"/>
      <c r="F216" s="3377" t="str">
        <f>INDEX(PT_DIFFERENTIATION_VTAR,MATCH(A216,PT_DIFFERENTIATION_VTAR_ID,0))</f>
        <v>Тариф на горячую воду (горячее водоснабжение)</v>
      </c>
      <c r="G216" s="3414" t="str">
        <f>INDEX(PT_DIFFERENTIATION_NTAR,MATCH(B216,PT_DIFFERENTIATION_NTAR_ID,0))</f>
        <v/>
      </c>
      <c r="H216" s="1787"/>
      <c r="I216" s="1665"/>
      <c r="J216" s="1699"/>
      <c r="K216" s="1704"/>
      <c r="L216" s="1787" t="s">
        <v>314</v>
      </c>
      <c r="M216" s="279"/>
      <c r="N216" s="272"/>
      <c r="O216" s="1551"/>
      <c r="P216" s="1551"/>
      <c r="AH216" s="1558">
        <v>0</v>
      </c>
    </row>
    <row r="217" spans="1:34" s="1562" customFormat="1" ht="18.75" hidden="1" customHeight="1">
      <c r="A217" s="1706"/>
      <c r="B217" s="1706"/>
      <c r="C217" s="306" t="s">
        <v>1152</v>
      </c>
      <c r="D217" s="3439"/>
      <c r="E217" s="3207"/>
      <c r="F217" s="3377"/>
      <c r="G217" s="3414"/>
      <c r="H217" s="1427"/>
      <c r="I217" s="588" t="s">
        <v>1151</v>
      </c>
      <c r="J217" s="508"/>
      <c r="K217" s="1427"/>
      <c r="L217" s="152"/>
      <c r="M217" s="279"/>
      <c r="N217" s="272"/>
      <c r="O217" s="1551"/>
      <c r="P217" s="1551"/>
      <c r="AH217" s="1558">
        <v>0</v>
      </c>
    </row>
    <row r="218" spans="1:34" s="1562" customFormat="1" ht="0.75" hidden="1" customHeight="1">
      <c r="A218" s="1706"/>
      <c r="B218" s="1706"/>
      <c r="C218" s="306" t="s">
        <v>1161</v>
      </c>
      <c r="D218" s="3439"/>
      <c r="E218" s="3207"/>
      <c r="F218" s="3377"/>
      <c r="G218" s="337"/>
      <c r="H218" s="1427"/>
      <c r="I218" s="588"/>
      <c r="J218" s="508"/>
      <c r="K218" s="1427"/>
      <c r="L218" s="152"/>
      <c r="M218" s="279"/>
      <c r="N218" s="272"/>
      <c r="O218" s="1551"/>
      <c r="P218" s="1551"/>
      <c r="AH218" s="1558">
        <v>0</v>
      </c>
    </row>
    <row r="219" spans="1:34" s="1562" customFormat="1" ht="18.75" hidden="1" customHeight="1">
      <c r="A219" s="1706" t="s">
        <v>263</v>
      </c>
      <c r="B219" s="1706" t="s">
        <v>264</v>
      </c>
      <c r="C219" s="306"/>
      <c r="D219" s="3439"/>
      <c r="E219" s="3207"/>
      <c r="F219" s="3377" t="str">
        <f>INDEX(PT_DIFFERENTIATION_VTAR,MATCH(A219,PT_DIFFERENTIATION_VTAR_ID,0))</f>
        <v>Тариф на транспортировку горячей воды</v>
      </c>
      <c r="G219" s="3414" t="str">
        <f>INDEX(PT_DIFFERENTIATION_NTAR,MATCH(B219,PT_DIFFERENTIATION_NTAR_ID,0))</f>
        <v/>
      </c>
      <c r="H219" s="1787"/>
      <c r="I219" s="1665"/>
      <c r="J219" s="1699"/>
      <c r="K219" s="1704"/>
      <c r="L219" s="1787" t="s">
        <v>314</v>
      </c>
      <c r="M219" s="279"/>
      <c r="N219" s="272"/>
      <c r="O219" s="1551"/>
      <c r="P219" s="1551"/>
      <c r="AH219" s="1558">
        <v>0</v>
      </c>
    </row>
    <row r="220" spans="1:34" s="1562" customFormat="1" ht="18.75" hidden="1" customHeight="1">
      <c r="A220" s="1706"/>
      <c r="B220" s="1706"/>
      <c r="C220" s="306" t="s">
        <v>1152</v>
      </c>
      <c r="D220" s="3439"/>
      <c r="E220" s="3207"/>
      <c r="F220" s="3377"/>
      <c r="G220" s="3414"/>
      <c r="H220" s="1427"/>
      <c r="I220" s="588" t="s">
        <v>1151</v>
      </c>
      <c r="J220" s="508"/>
      <c r="K220" s="1427"/>
      <c r="L220" s="152"/>
      <c r="M220" s="279"/>
      <c r="N220" s="272"/>
      <c r="O220" s="1551"/>
      <c r="P220" s="1551"/>
      <c r="AH220" s="1558">
        <v>0</v>
      </c>
    </row>
    <row r="221" spans="1:34" s="1562" customFormat="1" ht="0.75" hidden="1" customHeight="1">
      <c r="A221" s="1706"/>
      <c r="B221" s="1706"/>
      <c r="C221" s="306" t="s">
        <v>1161</v>
      </c>
      <c r="D221" s="3439"/>
      <c r="E221" s="3207"/>
      <c r="F221" s="3377"/>
      <c r="G221" s="337"/>
      <c r="H221" s="1427"/>
      <c r="I221" s="588"/>
      <c r="J221" s="508"/>
      <c r="K221" s="1427"/>
      <c r="L221" s="152"/>
      <c r="M221" s="279"/>
      <c r="N221" s="272"/>
      <c r="O221" s="1551"/>
      <c r="P221" s="1551"/>
      <c r="AH221" s="1558">
        <v>0</v>
      </c>
    </row>
    <row r="222" spans="1:34" s="1562" customFormat="1" ht="18.75" hidden="1" customHeight="1">
      <c r="A222" s="1706" t="s">
        <v>268</v>
      </c>
      <c r="B222" s="1706" t="s">
        <v>269</v>
      </c>
      <c r="C222" s="306"/>
      <c r="D222" s="3439"/>
      <c r="E222" s="3207"/>
      <c r="F222" s="3377" t="str">
        <f>INDEX(PT_DIFFERENTIATION_VTAR,MATCH(A222,PT_DIFFERENTIATION_VTAR_ID,0))</f>
        <v>Тариф на подключение (технологическое присоединение) к централизованной системе горячего водоснабжения</v>
      </c>
      <c r="G222" s="3414" t="str">
        <f>INDEX(PT_DIFFERENTIATION_NTAR,MATCH(B222,PT_DIFFERENTIATION_NTAR_ID,0))</f>
        <v/>
      </c>
      <c r="H222" s="1787"/>
      <c r="I222" s="1665"/>
      <c r="J222" s="1699"/>
      <c r="K222" s="1704"/>
      <c r="L222" s="1787" t="s">
        <v>314</v>
      </c>
      <c r="M222" s="279"/>
      <c r="N222" s="272"/>
      <c r="O222" s="1551"/>
      <c r="P222" s="1551"/>
      <c r="AH222" s="1558">
        <v>0</v>
      </c>
    </row>
    <row r="223" spans="1:34" s="1562" customFormat="1" ht="18.75" hidden="1" customHeight="1">
      <c r="A223" s="1706"/>
      <c r="B223" s="1706"/>
      <c r="C223" s="306" t="s">
        <v>1152</v>
      </c>
      <c r="D223" s="3439"/>
      <c r="E223" s="3207"/>
      <c r="F223" s="3377"/>
      <c r="G223" s="3414"/>
      <c r="H223" s="1427"/>
      <c r="I223" s="588" t="s">
        <v>1151</v>
      </c>
      <c r="J223" s="508"/>
      <c r="K223" s="1427"/>
      <c r="L223" s="152"/>
      <c r="M223" s="279"/>
      <c r="N223" s="272"/>
      <c r="O223" s="1551"/>
      <c r="P223" s="1551"/>
      <c r="AH223" s="1558">
        <v>0</v>
      </c>
    </row>
    <row r="224" spans="1:34" s="1562" customFormat="1" ht="0.75" hidden="1" customHeight="1">
      <c r="A224" s="1706"/>
      <c r="B224" s="1706"/>
      <c r="C224" s="306" t="s">
        <v>1161</v>
      </c>
      <c r="D224" s="3439"/>
      <c r="E224" s="3207"/>
      <c r="F224" s="3377"/>
      <c r="G224" s="337"/>
      <c r="H224" s="1427"/>
      <c r="I224" s="588"/>
      <c r="J224" s="508"/>
      <c r="K224" s="1427"/>
      <c r="L224" s="152"/>
      <c r="M224" s="279"/>
      <c r="N224" s="272"/>
      <c r="O224" s="1551"/>
      <c r="P224" s="1551"/>
      <c r="AH224" s="1558">
        <v>0</v>
      </c>
    </row>
    <row r="225" spans="1:34" s="1562" customFormat="1" ht="18.75" hidden="1" customHeight="1">
      <c r="A225" s="1706" t="s">
        <v>273</v>
      </c>
      <c r="B225" s="1706" t="s">
        <v>274</v>
      </c>
      <c r="C225" s="306"/>
      <c r="D225" s="3439"/>
      <c r="E225" s="3207"/>
      <c r="F225" s="3377" t="str">
        <f>INDEX(PT_DIFFERENTIATION_VTAR,MATCH(A225,PT_DIFFERENTIATION_VTAR_ID,0))</f>
        <v>Тариф на водоотведение</v>
      </c>
      <c r="G225" s="3414" t="str">
        <f>INDEX(PT_DIFFERENTIATION_NTAR,MATCH(B225,PT_DIFFERENTIATION_NTAR_ID,0))</f>
        <v/>
      </c>
      <c r="H225" s="1787"/>
      <c r="I225" s="1665"/>
      <c r="J225" s="1699"/>
      <c r="K225" s="1704"/>
      <c r="L225" s="1787" t="s">
        <v>314</v>
      </c>
      <c r="M225" s="279"/>
      <c r="N225" s="272"/>
      <c r="O225" s="1551"/>
      <c r="P225" s="1551"/>
      <c r="AH225" s="1558">
        <v>0</v>
      </c>
    </row>
    <row r="226" spans="1:34" s="1562" customFormat="1" ht="18.75" hidden="1" customHeight="1">
      <c r="A226" s="1706"/>
      <c r="B226" s="1706"/>
      <c r="C226" s="306" t="s">
        <v>1152</v>
      </c>
      <c r="D226" s="3439"/>
      <c r="E226" s="3207"/>
      <c r="F226" s="3377"/>
      <c r="G226" s="3414"/>
      <c r="H226" s="1427"/>
      <c r="I226" s="588" t="s">
        <v>1151</v>
      </c>
      <c r="J226" s="508"/>
      <c r="K226" s="1427"/>
      <c r="L226" s="152"/>
      <c r="M226" s="279"/>
      <c r="N226" s="272"/>
      <c r="O226" s="1551"/>
      <c r="P226" s="1551"/>
      <c r="AH226" s="1558">
        <v>0</v>
      </c>
    </row>
    <row r="227" spans="1:34" s="1562" customFormat="1" ht="0.75" hidden="1" customHeight="1">
      <c r="A227" s="1706"/>
      <c r="B227" s="1706"/>
      <c r="C227" s="306" t="s">
        <v>1161</v>
      </c>
      <c r="D227" s="3439"/>
      <c r="E227" s="3207"/>
      <c r="F227" s="3377"/>
      <c r="G227" s="337"/>
      <c r="H227" s="1427"/>
      <c r="I227" s="588"/>
      <c r="J227" s="508"/>
      <c r="K227" s="1427"/>
      <c r="L227" s="152"/>
      <c r="M227" s="279"/>
      <c r="N227" s="272"/>
      <c r="O227" s="1551"/>
      <c r="P227" s="1551"/>
      <c r="AH227" s="1558">
        <v>0</v>
      </c>
    </row>
    <row r="228" spans="1:34" s="1562" customFormat="1" ht="18.75" hidden="1" customHeight="1">
      <c r="A228" s="1706" t="s">
        <v>278</v>
      </c>
      <c r="B228" s="1706" t="s">
        <v>279</v>
      </c>
      <c r="C228" s="306"/>
      <c r="D228" s="3439"/>
      <c r="E228" s="3207"/>
      <c r="F228" s="3377" t="str">
        <f>INDEX(PT_DIFFERENTIATION_VTAR,MATCH(A228,PT_DIFFERENTIATION_VTAR_ID,0))</f>
        <v>Тариф на транспортировку сточных вод</v>
      </c>
      <c r="G228" s="3414" t="str">
        <f>INDEX(PT_DIFFERENTIATION_NTAR,MATCH(B228,PT_DIFFERENTIATION_NTAR_ID,0))</f>
        <v/>
      </c>
      <c r="H228" s="1787"/>
      <c r="I228" s="1665"/>
      <c r="J228" s="1699"/>
      <c r="K228" s="1704"/>
      <c r="L228" s="1787" t="s">
        <v>314</v>
      </c>
      <c r="M228" s="279"/>
      <c r="N228" s="272"/>
      <c r="O228" s="1551"/>
      <c r="P228" s="1551"/>
      <c r="AH228" s="1558">
        <v>0</v>
      </c>
    </row>
    <row r="229" spans="1:34" s="1562" customFormat="1" ht="18.75" hidden="1" customHeight="1">
      <c r="A229" s="1706"/>
      <c r="B229" s="1706"/>
      <c r="C229" s="306" t="s">
        <v>1152</v>
      </c>
      <c r="D229" s="3439"/>
      <c r="E229" s="3207"/>
      <c r="F229" s="3377"/>
      <c r="G229" s="3414"/>
      <c r="H229" s="1427"/>
      <c r="I229" s="588" t="s">
        <v>1151</v>
      </c>
      <c r="J229" s="508"/>
      <c r="K229" s="1427"/>
      <c r="L229" s="152"/>
      <c r="M229" s="279"/>
      <c r="N229" s="272"/>
      <c r="O229" s="1551"/>
      <c r="P229" s="1551"/>
      <c r="AH229" s="1558">
        <v>0</v>
      </c>
    </row>
    <row r="230" spans="1:34" s="1562" customFormat="1" ht="0.75" hidden="1" customHeight="1">
      <c r="A230" s="1706"/>
      <c r="B230" s="1706"/>
      <c r="C230" s="306" t="s">
        <v>1161</v>
      </c>
      <c r="D230" s="3439"/>
      <c r="E230" s="3207"/>
      <c r="F230" s="3377"/>
      <c r="G230" s="337"/>
      <c r="H230" s="1427"/>
      <c r="I230" s="588"/>
      <c r="J230" s="508"/>
      <c r="K230" s="1427"/>
      <c r="L230" s="152"/>
      <c r="M230" s="279"/>
      <c r="N230" s="272"/>
      <c r="O230" s="1551"/>
      <c r="P230" s="1551"/>
      <c r="AH230" s="1558">
        <v>0</v>
      </c>
    </row>
    <row r="231" spans="1:34" s="1562" customFormat="1" ht="18.75" hidden="1" customHeight="1">
      <c r="A231" s="1706" t="s">
        <v>283</v>
      </c>
      <c r="B231" s="1706" t="s">
        <v>284</v>
      </c>
      <c r="C231" s="306"/>
      <c r="D231" s="3439"/>
      <c r="E231" s="3207"/>
      <c r="F231" s="3377" t="str">
        <f>INDEX(PT_DIFFERENTIATION_VTAR,MATCH(A231,PT_DIFFERENTIATION_VTAR_ID,0))</f>
        <v>Тариф на подключение (технологическое присоединение) к централизованной системе водоотведения</v>
      </c>
      <c r="G231" s="3414" t="str">
        <f>INDEX(PT_DIFFERENTIATION_NTAR,MATCH(B231,PT_DIFFERENTIATION_NTAR_ID,0))</f>
        <v/>
      </c>
      <c r="H231" s="1787"/>
      <c r="I231" s="1665"/>
      <c r="J231" s="1699"/>
      <c r="K231" s="1704"/>
      <c r="L231" s="1787" t="s">
        <v>314</v>
      </c>
      <c r="M231" s="279"/>
      <c r="N231" s="272"/>
      <c r="O231" s="1551"/>
      <c r="P231" s="1551"/>
      <c r="AH231" s="1558">
        <v>0</v>
      </c>
    </row>
    <row r="232" spans="1:34" s="1562" customFormat="1" ht="18.75" hidden="1" customHeight="1">
      <c r="A232" s="1706"/>
      <c r="B232" s="1706"/>
      <c r="C232" s="306" t="s">
        <v>1152</v>
      </c>
      <c r="D232" s="3439"/>
      <c r="E232" s="3207"/>
      <c r="F232" s="3377"/>
      <c r="G232" s="3414"/>
      <c r="H232" s="1427"/>
      <c r="I232" s="588" t="s">
        <v>1151</v>
      </c>
      <c r="J232" s="508"/>
      <c r="K232" s="1427"/>
      <c r="L232" s="152"/>
      <c r="M232" s="279"/>
      <c r="N232" s="272"/>
      <c r="O232" s="1551"/>
      <c r="P232" s="1551"/>
      <c r="AH232" s="1558">
        <v>0</v>
      </c>
    </row>
    <row r="233" spans="1:34" s="1562" customFormat="1" ht="1.1499999999999999" customHeight="1">
      <c r="A233" s="1706"/>
      <c r="B233" s="1706"/>
      <c r="C233" s="306" t="s">
        <v>1161</v>
      </c>
      <c r="D233" s="3439"/>
      <c r="E233" s="3207"/>
      <c r="F233" s="3377"/>
      <c r="G233" s="337"/>
      <c r="H233" s="1427"/>
      <c r="I233" s="588"/>
      <c r="J233" s="508"/>
      <c r="K233" s="1427"/>
      <c r="L233" s="152"/>
      <c r="M233" s="279"/>
      <c r="N233" s="272"/>
      <c r="O233" s="1551"/>
      <c r="P233" s="1551"/>
      <c r="AH233" s="1558">
        <v>1</v>
      </c>
    </row>
    <row r="234" spans="1:34" ht="27.4" customHeight="1">
      <c r="A234" s="1706"/>
      <c r="B234" s="1706"/>
      <c r="D234" s="313"/>
      <c r="E234" s="85" t="s">
        <v>109</v>
      </c>
      <c r="F234" s="34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34" s="3438"/>
      <c r="H234" s="3438"/>
      <c r="I234" s="3438"/>
      <c r="J234" s="3438"/>
      <c r="K234" s="3438"/>
      <c r="L234" s="3438"/>
      <c r="M234" s="235"/>
      <c r="N234" s="272"/>
      <c r="AH234" s="311">
        <v>26</v>
      </c>
    </row>
    <row r="235" spans="1:34" s="1562" customFormat="1" ht="13.5" hidden="1" customHeight="1">
      <c r="A235" s="1706" t="s">
        <v>153</v>
      </c>
      <c r="B235" s="1706" t="s">
        <v>154</v>
      </c>
      <c r="C235" s="306"/>
      <c r="D235" s="3439"/>
      <c r="E235" s="3207"/>
      <c r="F235" s="3377" t="str">
        <f>INDEX(PT_DIFFERENTIATION_VTAR,MATCH(A235,PT_DIFFERENTIATION_VTAR_ID,0))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5" s="3414" t="str">
        <f>INDEX(PT_DIFFERENTIATION_NTAR,MATCH(B235,PT_DIFFERENTIATION_NTAR_ID,0))</f>
        <v/>
      </c>
      <c r="H235" s="1787"/>
      <c r="I235" s="1665"/>
      <c r="J235" s="1699"/>
      <c r="K235" s="1704"/>
      <c r="L235" s="1787" t="s">
        <v>314</v>
      </c>
      <c r="M235" s="3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35" s="272"/>
      <c r="O235" s="1551"/>
      <c r="P235" s="1551"/>
      <c r="AH235" s="1558">
        <v>0</v>
      </c>
    </row>
    <row r="236" spans="1:34" s="1562" customFormat="1" ht="13.5" hidden="1" customHeight="1">
      <c r="A236" s="1748"/>
      <c r="B236" s="1748"/>
      <c r="C236" s="1614"/>
      <c r="D236" s="3440"/>
      <c r="E236" s="3441"/>
      <c r="F236" s="3441"/>
      <c r="G236" s="3441"/>
      <c r="H236" s="2021" t="s">
        <v>169</v>
      </c>
      <c r="I236" s="1665"/>
      <c r="J236" s="1699"/>
      <c r="K236" s="1704"/>
      <c r="L236" s="2009" t="s">
        <v>314</v>
      </c>
      <c r="M236" s="3324"/>
      <c r="N236" s="555"/>
      <c r="O236" s="1551"/>
      <c r="P236" s="1551"/>
      <c r="AH236" s="1562">
        <v>0</v>
      </c>
    </row>
    <row r="237" spans="1:34" s="1562" customFormat="1" ht="13.5" hidden="1" customHeight="1">
      <c r="A237" s="1748"/>
      <c r="B237" s="1748"/>
      <c r="C237" s="1614"/>
      <c r="D237" s="3440"/>
      <c r="E237" s="3441"/>
      <c r="F237" s="3441"/>
      <c r="G237" s="3441"/>
      <c r="H237" s="2021" t="s">
        <v>169</v>
      </c>
      <c r="I237" s="1665"/>
      <c r="J237" s="1699"/>
      <c r="K237" s="1704"/>
      <c r="L237" s="2009" t="s">
        <v>314</v>
      </c>
      <c r="M237" s="3324"/>
      <c r="N237" s="555"/>
      <c r="O237" s="1551"/>
      <c r="P237" s="1551"/>
      <c r="AH237" s="1562">
        <v>0</v>
      </c>
    </row>
    <row r="238" spans="1:34" s="1562" customFormat="1" ht="13.5" hidden="1" customHeight="1">
      <c r="A238" s="1748"/>
      <c r="B238" s="1748"/>
      <c r="C238" s="1614"/>
      <c r="D238" s="3440"/>
      <c r="E238" s="3441"/>
      <c r="F238" s="3441"/>
      <c r="G238" s="3441"/>
      <c r="H238" s="2021" t="s">
        <v>169</v>
      </c>
      <c r="I238" s="1665"/>
      <c r="J238" s="1699"/>
      <c r="K238" s="1704"/>
      <c r="L238" s="2009" t="s">
        <v>314</v>
      </c>
      <c r="M238" s="3324"/>
      <c r="N238" s="555"/>
      <c r="O238" s="1551"/>
      <c r="P238" s="1551"/>
      <c r="AH238" s="1562">
        <v>0</v>
      </c>
    </row>
    <row r="239" spans="1:34" s="1562" customFormat="1" ht="13.5" hidden="1" customHeight="1">
      <c r="A239" s="1748"/>
      <c r="B239" s="1748"/>
      <c r="C239" s="1614"/>
      <c r="D239" s="3440"/>
      <c r="E239" s="3441"/>
      <c r="F239" s="3441"/>
      <c r="G239" s="3441"/>
      <c r="H239" s="2021" t="s">
        <v>169</v>
      </c>
      <c r="I239" s="1665"/>
      <c r="J239" s="1699"/>
      <c r="K239" s="1704"/>
      <c r="L239" s="2009" t="s">
        <v>314</v>
      </c>
      <c r="M239" s="3324"/>
      <c r="N239" s="555"/>
      <c r="O239" s="1551"/>
      <c r="P239" s="1551"/>
      <c r="AH239" s="1562">
        <v>0</v>
      </c>
    </row>
    <row r="240" spans="1:34" s="1562" customFormat="1" ht="18.75" hidden="1" customHeight="1">
      <c r="A240" s="1706"/>
      <c r="B240" s="1706"/>
      <c r="C240" s="306" t="s">
        <v>1152</v>
      </c>
      <c r="D240" s="3439"/>
      <c r="E240" s="3207"/>
      <c r="F240" s="3377"/>
      <c r="G240" s="3414"/>
      <c r="H240" s="1427"/>
      <c r="I240" s="588" t="s">
        <v>1151</v>
      </c>
      <c r="J240" s="508"/>
      <c r="K240" s="1427"/>
      <c r="L240" s="152"/>
      <c r="M240" s="3156"/>
      <c r="N240" s="272"/>
      <c r="O240" s="1551"/>
      <c r="P240" s="1551"/>
      <c r="AH240" s="1558">
        <v>0</v>
      </c>
    </row>
    <row r="241" spans="1:34" s="1562" customFormat="1" ht="0.75" hidden="1" customHeight="1">
      <c r="A241" s="1706"/>
      <c r="B241" s="1706"/>
      <c r="C241" s="306" t="s">
        <v>1161</v>
      </c>
      <c r="D241" s="3439"/>
      <c r="E241" s="3207"/>
      <c r="F241" s="3377"/>
      <c r="G241" s="337"/>
      <c r="H241" s="1427"/>
      <c r="I241" s="588"/>
      <c r="J241" s="508"/>
      <c r="K241" s="1427"/>
      <c r="L241" s="152"/>
      <c r="M241" s="3156"/>
      <c r="N241" s="272"/>
      <c r="O241" s="1551"/>
      <c r="P241" s="1551"/>
      <c r="AH241" s="1558">
        <v>0</v>
      </c>
    </row>
    <row r="242" spans="1:34" s="1562" customFormat="1" ht="13.5" customHeight="1">
      <c r="A242" s="1706" t="s">
        <v>161</v>
      </c>
      <c r="B242" s="1706" t="s">
        <v>162</v>
      </c>
      <c r="C242" s="306"/>
      <c r="D242" s="3439"/>
      <c r="E242" s="3207"/>
      <c r="F242" s="3377" t="str">
        <f>INDEX(PT_DIFFERENTIATION_VTAR,MATCH(A242,PT_DIFFERENTIATION_VTAR_ID,0))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42" s="3414" t="str">
        <f>INDEX(PT_DIFFERENTIATION_NTAR,MATCH(B242,PT_DIFFERENTIATION_NTAR_ID,0))</f>
        <v>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v>
      </c>
      <c r="H242" s="1787"/>
      <c r="I242" s="1665">
        <v>45658.562708333331</v>
      </c>
      <c r="J242" s="1699">
        <v>47118.562777777777</v>
      </c>
      <c r="K242" s="1704">
        <v>0</v>
      </c>
      <c r="L242" s="1787" t="s">
        <v>314</v>
      </c>
      <c r="M242" s="3157"/>
      <c r="N242" s="272"/>
      <c r="O242" s="1551"/>
      <c r="P242" s="1551"/>
      <c r="AH242" s="1558">
        <v>0</v>
      </c>
    </row>
    <row r="243" spans="1:34" s="1562" customFormat="1" ht="29.25" customHeight="1">
      <c r="A243" s="1706"/>
      <c r="B243" s="1706"/>
      <c r="C243" s="306" t="s">
        <v>1152</v>
      </c>
      <c r="D243" s="3439"/>
      <c r="E243" s="3207"/>
      <c r="F243" s="3377"/>
      <c r="G243" s="3414"/>
      <c r="H243" s="1427"/>
      <c r="I243" s="588" t="s">
        <v>1151</v>
      </c>
      <c r="J243" s="508"/>
      <c r="K243" s="1427"/>
      <c r="L243" s="152"/>
      <c r="M243" s="1786"/>
      <c r="N243" s="272"/>
      <c r="O243" s="1551"/>
      <c r="P243" s="1551"/>
      <c r="AH243" s="1558">
        <v>0</v>
      </c>
    </row>
    <row r="244" spans="1:34" s="1562" customFormat="1" ht="13.5" customHeight="1">
      <c r="A244" s="1748" t="s">
        <v>161</v>
      </c>
      <c r="B244" s="1748" t="s">
        <v>171</v>
      </c>
      <c r="C244" s="1614"/>
      <c r="D244" s="3440"/>
      <c r="E244" s="3441"/>
      <c r="F244" s="3441"/>
      <c r="G244" s="3414" t="str">
        <f>INDEX(PT_DIFFERENTIATION_NTAR,MATCH(B244,PT_DIFFERENTIATION_NTAR_ID,0))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v>
      </c>
      <c r="H244" s="2009"/>
      <c r="I244" s="1665">
        <v>45658.562847222223</v>
      </c>
      <c r="J244" s="1699">
        <v>47118.562928240739</v>
      </c>
      <c r="K244" s="1704">
        <v>0</v>
      </c>
      <c r="L244" s="2009" t="s">
        <v>314</v>
      </c>
      <c r="M244" s="2013"/>
      <c r="N244" s="555"/>
      <c r="O244" s="1551"/>
      <c r="P244" s="1551"/>
      <c r="AH244" s="1562">
        <v>0</v>
      </c>
    </row>
    <row r="245" spans="1:34" s="1562" customFormat="1" ht="18.75" customHeight="1">
      <c r="A245" s="1748"/>
      <c r="B245" s="1748"/>
      <c r="C245" s="1614" t="s">
        <v>1152</v>
      </c>
      <c r="D245" s="3440"/>
      <c r="E245" s="3441"/>
      <c r="F245" s="3441"/>
      <c r="G245" s="3414"/>
      <c r="H245" s="2911"/>
      <c r="I245" s="2912" t="s">
        <v>1151</v>
      </c>
      <c r="J245" s="2913"/>
      <c r="K245" s="2914"/>
      <c r="L245" s="2915"/>
      <c r="M245" s="2013"/>
      <c r="N245" s="555"/>
      <c r="O245" s="1551"/>
      <c r="P245" s="1551"/>
      <c r="AH245" s="1562">
        <v>0</v>
      </c>
    </row>
    <row r="246" spans="1:34" s="1562" customFormat="1" ht="0.75" customHeight="1">
      <c r="A246" s="1706"/>
      <c r="B246" s="1706"/>
      <c r="C246" s="306" t="s">
        <v>1161</v>
      </c>
      <c r="D246" s="3439"/>
      <c r="E246" s="3207"/>
      <c r="F246" s="3377"/>
      <c r="G246" s="337"/>
      <c r="H246" s="1427"/>
      <c r="I246" s="588"/>
      <c r="J246" s="508"/>
      <c r="K246" s="1427"/>
      <c r="L246" s="152"/>
      <c r="M246" s="279"/>
      <c r="N246" s="272"/>
      <c r="O246" s="1551"/>
      <c r="P246" s="1551"/>
      <c r="AH246" s="1558">
        <v>0</v>
      </c>
    </row>
    <row r="247" spans="1:34" s="1562" customFormat="1" ht="45" hidden="1" customHeight="1">
      <c r="A247" s="1706" t="s">
        <v>177</v>
      </c>
      <c r="B247" s="1706" t="s">
        <v>178</v>
      </c>
      <c r="C247" s="306"/>
      <c r="D247" s="3439"/>
      <c r="E247" s="3207"/>
      <c r="F247" s="3377" t="str">
        <f>INDEX(PT_DIFFERENTIATION_VTAR,MATCH(A247,PT_DIFFERENTIATION_VTAR_ID,0))</f>
        <v>Тарифы на теплоноситель, поставляемый теплоснабжающими организациями потребителям, другим теплоснабжающим организациям</v>
      </c>
      <c r="G247" s="3414" t="str">
        <f>INDEX(PT_DIFFERENTIATION_NTAR,MATCH(B247,PT_DIFFERENTIATION_NTAR_ID,0))</f>
        <v/>
      </c>
      <c r="H247" s="1787"/>
      <c r="I247" s="1665"/>
      <c r="J247" s="1699"/>
      <c r="K247" s="1704"/>
      <c r="L247" s="1787" t="s">
        <v>314</v>
      </c>
      <c r="M247" s="279"/>
      <c r="N247" s="272"/>
      <c r="O247" s="1551"/>
      <c r="P247" s="1551"/>
      <c r="AH247" s="1558">
        <v>0</v>
      </c>
    </row>
    <row r="248" spans="1:34" s="1562" customFormat="1" ht="18.75" hidden="1" customHeight="1">
      <c r="A248" s="1706"/>
      <c r="B248" s="1706"/>
      <c r="C248" s="306" t="s">
        <v>1152</v>
      </c>
      <c r="D248" s="3439"/>
      <c r="E248" s="3207"/>
      <c r="F248" s="3377"/>
      <c r="G248" s="3414"/>
      <c r="H248" s="1427"/>
      <c r="I248" s="588" t="s">
        <v>1151</v>
      </c>
      <c r="J248" s="508"/>
      <c r="K248" s="1427"/>
      <c r="L248" s="152"/>
      <c r="M248" s="279"/>
      <c r="N248" s="272"/>
      <c r="O248" s="1551"/>
      <c r="P248" s="1551"/>
      <c r="AH248" s="1558">
        <v>0</v>
      </c>
    </row>
    <row r="249" spans="1:34" s="1562" customFormat="1" ht="0.75" hidden="1" customHeight="1">
      <c r="A249" s="1706"/>
      <c r="B249" s="1706"/>
      <c r="C249" s="306" t="s">
        <v>1161</v>
      </c>
      <c r="D249" s="3439"/>
      <c r="E249" s="3207"/>
      <c r="F249" s="3377"/>
      <c r="G249" s="337"/>
      <c r="H249" s="1427"/>
      <c r="I249" s="588"/>
      <c r="J249" s="508"/>
      <c r="K249" s="1427"/>
      <c r="L249" s="152"/>
      <c r="M249" s="279"/>
      <c r="N249" s="272"/>
      <c r="O249" s="1551"/>
      <c r="P249" s="1551"/>
      <c r="AH249" s="1558">
        <v>0</v>
      </c>
    </row>
    <row r="250" spans="1:34" s="1562" customFormat="1" ht="45" hidden="1" customHeight="1">
      <c r="A250" s="1706" t="s">
        <v>183</v>
      </c>
      <c r="B250" s="1706" t="s">
        <v>184</v>
      </c>
      <c r="C250" s="306"/>
      <c r="D250" s="3439"/>
      <c r="E250" s="3207"/>
      <c r="F250" s="3377" t="str">
        <f>INDEX(PT_DIFFERENTIATION_VTAR,MATCH(A250,PT_DIFFERENTIATION_VTAR_ID,0))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50" s="3414" t="str">
        <f>INDEX(PT_DIFFERENTIATION_NTAR,MATCH(B250,PT_DIFFERENTIATION_NTAR_ID,0))</f>
        <v/>
      </c>
      <c r="H250" s="1787"/>
      <c r="I250" s="1665"/>
      <c r="J250" s="1699"/>
      <c r="K250" s="1704"/>
      <c r="L250" s="1787" t="s">
        <v>314</v>
      </c>
      <c r="M250" s="279"/>
      <c r="N250" s="272"/>
      <c r="O250" s="1551"/>
      <c r="P250" s="1551"/>
      <c r="AH250" s="1558">
        <v>0</v>
      </c>
    </row>
    <row r="251" spans="1:34" s="1562" customFormat="1" ht="18.75" hidden="1" customHeight="1">
      <c r="A251" s="1706"/>
      <c r="B251" s="1706"/>
      <c r="C251" s="306" t="s">
        <v>1152</v>
      </c>
      <c r="D251" s="3439"/>
      <c r="E251" s="3207"/>
      <c r="F251" s="3377"/>
      <c r="G251" s="3414"/>
      <c r="H251" s="1427"/>
      <c r="I251" s="588" t="s">
        <v>1151</v>
      </c>
      <c r="J251" s="508"/>
      <c r="K251" s="1427"/>
      <c r="L251" s="152"/>
      <c r="M251" s="279"/>
      <c r="N251" s="272"/>
      <c r="O251" s="1551"/>
      <c r="P251" s="1551"/>
      <c r="AH251" s="1558">
        <v>0</v>
      </c>
    </row>
    <row r="252" spans="1:34" s="1562" customFormat="1" ht="0.75" hidden="1" customHeight="1">
      <c r="A252" s="1706"/>
      <c r="B252" s="1706"/>
      <c r="C252" s="306" t="s">
        <v>1161</v>
      </c>
      <c r="D252" s="3439"/>
      <c r="E252" s="3207"/>
      <c r="F252" s="3377"/>
      <c r="G252" s="337"/>
      <c r="H252" s="1427"/>
      <c r="I252" s="588"/>
      <c r="J252" s="508"/>
      <c r="K252" s="1427"/>
      <c r="L252" s="152"/>
      <c r="M252" s="279"/>
      <c r="N252" s="272"/>
      <c r="O252" s="1551"/>
      <c r="P252" s="1551"/>
      <c r="AH252" s="1558">
        <v>0</v>
      </c>
    </row>
    <row r="253" spans="1:34" s="1562" customFormat="1" ht="18.75" hidden="1" customHeight="1">
      <c r="A253" s="1706" t="s">
        <v>189</v>
      </c>
      <c r="B253" s="1706" t="s">
        <v>190</v>
      </c>
      <c r="C253" s="306"/>
      <c r="D253" s="3439"/>
      <c r="E253" s="3207"/>
      <c r="F253" s="3377" t="str">
        <f>INDEX(PT_DIFFERENTIATION_VTAR,MATCH(A253,PT_DIFFERENTIATION_VTAR_ID,0))</f>
        <v>Тарифы на услуги по передаче тепловой энергии</v>
      </c>
      <c r="G253" s="3414" t="str">
        <f>INDEX(PT_DIFFERENTIATION_NTAR,MATCH(B253,PT_DIFFERENTIATION_NTAR_ID,0))</f>
        <v/>
      </c>
      <c r="H253" s="1787"/>
      <c r="I253" s="1665"/>
      <c r="J253" s="1699"/>
      <c r="K253" s="1704"/>
      <c r="L253" s="1787" t="s">
        <v>314</v>
      </c>
      <c r="M253" s="279"/>
      <c r="N253" s="272"/>
      <c r="O253" s="1551"/>
      <c r="P253" s="1551"/>
      <c r="AH253" s="1558">
        <v>0</v>
      </c>
    </row>
    <row r="254" spans="1:34" s="1562" customFormat="1" ht="18.75" hidden="1" customHeight="1">
      <c r="A254" s="1706"/>
      <c r="B254" s="1706"/>
      <c r="C254" s="306" t="s">
        <v>1152</v>
      </c>
      <c r="D254" s="3439"/>
      <c r="E254" s="3207"/>
      <c r="F254" s="3377"/>
      <c r="G254" s="3414"/>
      <c r="H254" s="1427"/>
      <c r="I254" s="588" t="s">
        <v>1151</v>
      </c>
      <c r="J254" s="508"/>
      <c r="K254" s="1427"/>
      <c r="L254" s="152"/>
      <c r="M254" s="279"/>
      <c r="N254" s="272"/>
      <c r="O254" s="1551"/>
      <c r="P254" s="1551"/>
      <c r="AH254" s="1558">
        <v>0</v>
      </c>
    </row>
    <row r="255" spans="1:34" s="1562" customFormat="1" ht="0.75" hidden="1" customHeight="1">
      <c r="A255" s="1706"/>
      <c r="B255" s="1706"/>
      <c r="C255" s="306" t="s">
        <v>1161</v>
      </c>
      <c r="D255" s="3439"/>
      <c r="E255" s="3207"/>
      <c r="F255" s="3377"/>
      <c r="G255" s="337"/>
      <c r="H255" s="1427"/>
      <c r="I255" s="588"/>
      <c r="J255" s="508"/>
      <c r="K255" s="1427"/>
      <c r="L255" s="152"/>
      <c r="M255" s="279"/>
      <c r="N255" s="272"/>
      <c r="O255" s="1551"/>
      <c r="P255" s="1551"/>
      <c r="AH255" s="1558">
        <v>0</v>
      </c>
    </row>
    <row r="256" spans="1:34" s="1562" customFormat="1" ht="18.75" hidden="1" customHeight="1">
      <c r="A256" s="1706" t="s">
        <v>195</v>
      </c>
      <c r="B256" s="1706" t="s">
        <v>196</v>
      </c>
      <c r="C256" s="306"/>
      <c r="D256" s="3439"/>
      <c r="E256" s="3207"/>
      <c r="F256" s="3377" t="str">
        <f>INDEX(PT_DIFFERENTIATION_VTAR,MATCH(A256,PT_DIFFERENTIATION_VTAR_ID,0))</f>
        <v>Тарифы на услуги по передаче теплоносителя</v>
      </c>
      <c r="G256" s="3414" t="str">
        <f>INDEX(PT_DIFFERENTIATION_NTAR,MATCH(B256,PT_DIFFERENTIATION_NTAR_ID,0))</f>
        <v/>
      </c>
      <c r="H256" s="1787"/>
      <c r="I256" s="1665"/>
      <c r="J256" s="1699"/>
      <c r="K256" s="1704"/>
      <c r="L256" s="1787" t="s">
        <v>314</v>
      </c>
      <c r="M256" s="279"/>
      <c r="N256" s="272"/>
      <c r="O256" s="1551"/>
      <c r="P256" s="1551"/>
      <c r="AH256" s="1558">
        <v>0</v>
      </c>
    </row>
    <row r="257" spans="1:34" s="1562" customFormat="1" ht="18.75" hidden="1" customHeight="1">
      <c r="A257" s="1706"/>
      <c r="B257" s="1706"/>
      <c r="C257" s="306" t="s">
        <v>1152</v>
      </c>
      <c r="D257" s="3439"/>
      <c r="E257" s="3207"/>
      <c r="F257" s="3377"/>
      <c r="G257" s="3414"/>
      <c r="H257" s="1427"/>
      <c r="I257" s="588" t="s">
        <v>1151</v>
      </c>
      <c r="J257" s="508"/>
      <c r="K257" s="1427"/>
      <c r="L257" s="152"/>
      <c r="M257" s="279"/>
      <c r="N257" s="272"/>
      <c r="O257" s="1551"/>
      <c r="P257" s="1551"/>
      <c r="AH257" s="1558">
        <v>0</v>
      </c>
    </row>
    <row r="258" spans="1:34" s="1562" customFormat="1" ht="0.75" hidden="1" customHeight="1">
      <c r="A258" s="1706"/>
      <c r="B258" s="1706"/>
      <c r="C258" s="306" t="s">
        <v>1161</v>
      </c>
      <c r="D258" s="3439"/>
      <c r="E258" s="3207"/>
      <c r="F258" s="3377"/>
      <c r="G258" s="337"/>
      <c r="H258" s="1427"/>
      <c r="I258" s="588"/>
      <c r="J258" s="508"/>
      <c r="K258" s="1427"/>
      <c r="L258" s="152"/>
      <c r="M258" s="279"/>
      <c r="N258" s="272"/>
      <c r="O258" s="1551"/>
      <c r="P258" s="1551"/>
      <c r="AH258" s="1558">
        <v>0</v>
      </c>
    </row>
    <row r="259" spans="1:34" s="1562" customFormat="1" ht="18.75" hidden="1" customHeight="1">
      <c r="A259" s="1706" t="s">
        <v>201</v>
      </c>
      <c r="B259" s="1706" t="s">
        <v>202</v>
      </c>
      <c r="C259" s="306"/>
      <c r="D259" s="3439"/>
      <c r="E259" s="3207"/>
      <c r="F259" s="3377" t="str">
        <f>INDEX(PT_DIFFERENTIATION_VTAR,MATCH(A259,PT_DIFFERENTIATION_VTAR_ID,0))</f>
        <v>Плата за услуги по поддержанию резервной тепловой мощности при отсутствии потребления тепловой энергии</v>
      </c>
      <c r="G259" s="3414" t="str">
        <f>INDEX(PT_DIFFERENTIATION_NTAR,MATCH(B259,PT_DIFFERENTIATION_NTAR_ID,0))</f>
        <v/>
      </c>
      <c r="H259" s="1787"/>
      <c r="I259" s="1665"/>
      <c r="J259" s="1699"/>
      <c r="K259" s="1704"/>
      <c r="L259" s="1787" t="s">
        <v>314</v>
      </c>
      <c r="M259" s="279"/>
      <c r="N259" s="272"/>
      <c r="O259" s="1551"/>
      <c r="P259" s="1551"/>
      <c r="AH259" s="1558">
        <v>0</v>
      </c>
    </row>
    <row r="260" spans="1:34" s="1562" customFormat="1" ht="18.75" hidden="1" customHeight="1">
      <c r="A260" s="1706"/>
      <c r="B260" s="1706"/>
      <c r="C260" s="306" t="s">
        <v>1152</v>
      </c>
      <c r="D260" s="3439"/>
      <c r="E260" s="3207"/>
      <c r="F260" s="3377"/>
      <c r="G260" s="3414"/>
      <c r="H260" s="1427"/>
      <c r="I260" s="588" t="s">
        <v>1151</v>
      </c>
      <c r="J260" s="508"/>
      <c r="K260" s="1427"/>
      <c r="L260" s="152"/>
      <c r="M260" s="279"/>
      <c r="N260" s="272"/>
      <c r="O260" s="1551"/>
      <c r="P260" s="1551"/>
      <c r="AH260" s="1558">
        <v>0</v>
      </c>
    </row>
    <row r="261" spans="1:34" s="1562" customFormat="1" ht="0.75" hidden="1" customHeight="1">
      <c r="A261" s="1706"/>
      <c r="B261" s="1706"/>
      <c r="C261" s="306" t="s">
        <v>1161</v>
      </c>
      <c r="D261" s="3439"/>
      <c r="E261" s="3207"/>
      <c r="F261" s="3377"/>
      <c r="G261" s="337"/>
      <c r="H261" s="1427"/>
      <c r="I261" s="588"/>
      <c r="J261" s="508"/>
      <c r="K261" s="1427"/>
      <c r="L261" s="152"/>
      <c r="M261" s="279"/>
      <c r="N261" s="272"/>
      <c r="O261" s="1551"/>
      <c r="P261" s="1551"/>
      <c r="AH261" s="1558">
        <v>0</v>
      </c>
    </row>
    <row r="262" spans="1:34" s="1562" customFormat="1" ht="18.75" hidden="1" customHeight="1">
      <c r="A262" s="1706" t="s">
        <v>207</v>
      </c>
      <c r="B262" s="1706" t="s">
        <v>208</v>
      </c>
      <c r="C262" s="306"/>
      <c r="D262" s="3439"/>
      <c r="E262" s="3207"/>
      <c r="F262" s="3377" t="str">
        <f>INDEX(PT_DIFFERENTIATION_VTAR,MATCH(A262,PT_DIFFERENTIATION_VTAR_ID,0))</f>
        <v>Плата за подключение (технологическое присоединение) к системе теплоснабжения</v>
      </c>
      <c r="G262" s="3414" t="str">
        <f>INDEX(PT_DIFFERENTIATION_NTAR,MATCH(B262,PT_DIFFERENTIATION_NTAR_ID,0))</f>
        <v/>
      </c>
      <c r="H262" s="1787"/>
      <c r="I262" s="1665"/>
      <c r="J262" s="1699"/>
      <c r="K262" s="1704"/>
      <c r="L262" s="1787" t="s">
        <v>314</v>
      </c>
      <c r="M262" s="279"/>
      <c r="N262" s="272"/>
      <c r="O262" s="1551"/>
      <c r="P262" s="1551"/>
      <c r="AH262" s="1558">
        <v>0</v>
      </c>
    </row>
    <row r="263" spans="1:34" s="1562" customFormat="1" ht="18.75" hidden="1" customHeight="1">
      <c r="A263" s="1706"/>
      <c r="B263" s="1706"/>
      <c r="C263" s="306" t="s">
        <v>1152</v>
      </c>
      <c r="D263" s="3439"/>
      <c r="E263" s="3207"/>
      <c r="F263" s="3377"/>
      <c r="G263" s="3414"/>
      <c r="H263" s="1427"/>
      <c r="I263" s="588" t="s">
        <v>1151</v>
      </c>
      <c r="J263" s="508"/>
      <c r="K263" s="1427"/>
      <c r="L263" s="152"/>
      <c r="M263" s="279"/>
      <c r="N263" s="272"/>
      <c r="O263" s="1551"/>
      <c r="P263" s="1551"/>
      <c r="AH263" s="1558">
        <v>0</v>
      </c>
    </row>
    <row r="264" spans="1:34" s="1562" customFormat="1" ht="0.75" hidden="1" customHeight="1">
      <c r="A264" s="1706"/>
      <c r="B264" s="1706"/>
      <c r="C264" s="306" t="s">
        <v>1161</v>
      </c>
      <c r="D264" s="3439"/>
      <c r="E264" s="3207"/>
      <c r="F264" s="3377"/>
      <c r="G264" s="337"/>
      <c r="H264" s="1427"/>
      <c r="I264" s="588"/>
      <c r="J264" s="508"/>
      <c r="K264" s="1427"/>
      <c r="L264" s="152"/>
      <c r="M264" s="279"/>
      <c r="N264" s="272"/>
      <c r="O264" s="1551"/>
      <c r="P264" s="1551"/>
      <c r="AH264" s="1558">
        <v>0</v>
      </c>
    </row>
    <row r="265" spans="1:34" s="1562" customFormat="1" ht="18.75" hidden="1" customHeight="1">
      <c r="A265" s="1706" t="s">
        <v>213</v>
      </c>
      <c r="B265" s="1706" t="s">
        <v>214</v>
      </c>
      <c r="C265" s="306"/>
      <c r="D265" s="3439"/>
      <c r="E265" s="3207"/>
      <c r="F265" s="3377" t="str">
        <f>INDEX(PT_DIFFERENTIATION_VTAR,MATCH(A265,PT_DIFFERENTIATION_VTAR_ID,0))</f>
        <v>Плата за подключение (технологическое присоединение) к системе теплоснабжения (индивидуальная)</v>
      </c>
      <c r="G265" s="3414" t="str">
        <f>INDEX(PT_DIFFERENTIATION_NTAR,MATCH(B265,PT_DIFFERENTIATION_NTAR_ID,0))</f>
        <v/>
      </c>
      <c r="H265" s="1911"/>
      <c r="I265" s="1665"/>
      <c r="J265" s="1699"/>
      <c r="K265" s="1704"/>
      <c r="L265" s="1911" t="s">
        <v>314</v>
      </c>
      <c r="M265" s="279"/>
      <c r="N265" s="272"/>
      <c r="O265" s="1551"/>
      <c r="P265" s="1551"/>
      <c r="AH265" s="1558">
        <v>0</v>
      </c>
    </row>
    <row r="266" spans="1:34" s="1562" customFormat="1" ht="18.75" hidden="1" customHeight="1">
      <c r="A266" s="1706"/>
      <c r="B266" s="1706"/>
      <c r="C266" s="306" t="s">
        <v>1152</v>
      </c>
      <c r="D266" s="3439"/>
      <c r="E266" s="3207"/>
      <c r="F266" s="3377"/>
      <c r="G266" s="3414"/>
      <c r="H266" s="1427"/>
      <c r="I266" s="588" t="s">
        <v>1151</v>
      </c>
      <c r="J266" s="508"/>
      <c r="K266" s="1427"/>
      <c r="L266" s="152"/>
      <c r="M266" s="279"/>
      <c r="N266" s="272"/>
      <c r="O266" s="1551"/>
      <c r="P266" s="1551"/>
      <c r="AH266" s="1558">
        <v>0</v>
      </c>
    </row>
    <row r="267" spans="1:34" s="1562" customFormat="1" ht="0.75" hidden="1" customHeight="1">
      <c r="A267" s="1706"/>
      <c r="B267" s="1706"/>
      <c r="C267" s="306" t="s">
        <v>1161</v>
      </c>
      <c r="D267" s="3439"/>
      <c r="E267" s="3207"/>
      <c r="F267" s="3377"/>
      <c r="G267" s="337"/>
      <c r="H267" s="1427"/>
      <c r="I267" s="588"/>
      <c r="J267" s="508"/>
      <c r="K267" s="1427"/>
      <c r="L267" s="152"/>
      <c r="M267" s="279"/>
      <c r="N267" s="272"/>
      <c r="O267" s="1551"/>
      <c r="P267" s="1551"/>
      <c r="AH267" s="1558">
        <v>0</v>
      </c>
    </row>
    <row r="268" spans="1:34" s="1562" customFormat="1" ht="18.75" hidden="1" customHeight="1">
      <c r="A268" s="1706" t="s">
        <v>233</v>
      </c>
      <c r="B268" s="1706" t="s">
        <v>234</v>
      </c>
      <c r="C268" s="306"/>
      <c r="D268" s="3439"/>
      <c r="E268" s="3207"/>
      <c r="F268" s="3377" t="str">
        <f>INDEX(PT_DIFFERENTIATION_VTAR,MATCH(A268,PT_DIFFERENTIATION_VTAR_ID,0))</f>
        <v>Тариф на питьевую воду (питьевое водоснабжение)</v>
      </c>
      <c r="G268" s="3414" t="str">
        <f>INDEX(PT_DIFFERENTIATION_NTAR,MATCH(B268,PT_DIFFERENTIATION_NTAR_ID,0))</f>
        <v/>
      </c>
      <c r="H268" s="1787"/>
      <c r="I268" s="1665"/>
      <c r="J268" s="1699"/>
      <c r="K268" s="1704"/>
      <c r="L268" s="1787" t="s">
        <v>314</v>
      </c>
      <c r="M268" s="279"/>
      <c r="N268" s="272"/>
      <c r="O268" s="1551"/>
      <c r="P268" s="1551"/>
      <c r="AH268" s="1558">
        <v>0</v>
      </c>
    </row>
    <row r="269" spans="1:34" s="1562" customFormat="1" ht="18.75" hidden="1" customHeight="1">
      <c r="A269" s="1706"/>
      <c r="B269" s="1706"/>
      <c r="C269" s="306" t="s">
        <v>1152</v>
      </c>
      <c r="D269" s="3439"/>
      <c r="E269" s="3207"/>
      <c r="F269" s="3377"/>
      <c r="G269" s="3414"/>
      <c r="H269" s="1427"/>
      <c r="I269" s="588" t="s">
        <v>1151</v>
      </c>
      <c r="J269" s="508"/>
      <c r="K269" s="1427"/>
      <c r="L269" s="152"/>
      <c r="M269" s="279"/>
      <c r="N269" s="272"/>
      <c r="O269" s="1551"/>
      <c r="P269" s="1551"/>
      <c r="AH269" s="1558">
        <v>0</v>
      </c>
    </row>
    <row r="270" spans="1:34" s="1562" customFormat="1" ht="0.75" hidden="1" customHeight="1">
      <c r="A270" s="1706"/>
      <c r="B270" s="1706"/>
      <c r="C270" s="306" t="s">
        <v>1161</v>
      </c>
      <c r="D270" s="3439"/>
      <c r="E270" s="3207"/>
      <c r="F270" s="3377"/>
      <c r="G270" s="337"/>
      <c r="H270" s="1427"/>
      <c r="I270" s="588"/>
      <c r="J270" s="508"/>
      <c r="K270" s="1427"/>
      <c r="L270" s="152"/>
      <c r="M270" s="279"/>
      <c r="N270" s="272"/>
      <c r="O270" s="1551"/>
      <c r="P270" s="1551"/>
      <c r="AH270" s="1558">
        <v>0</v>
      </c>
    </row>
    <row r="271" spans="1:34" s="1562" customFormat="1" ht="18.75" hidden="1" customHeight="1">
      <c r="A271" s="1706" t="s">
        <v>238</v>
      </c>
      <c r="B271" s="1706" t="s">
        <v>239</v>
      </c>
      <c r="C271" s="306"/>
      <c r="D271" s="3439"/>
      <c r="E271" s="3207"/>
      <c r="F271" s="3377" t="str">
        <f>INDEX(PT_DIFFERENTIATION_VTAR,MATCH(A271,PT_DIFFERENTIATION_VTAR_ID,0))</f>
        <v>Тариф на техническую воду</v>
      </c>
      <c r="G271" s="3414" t="str">
        <f>INDEX(PT_DIFFERENTIATION_NTAR,MATCH(B271,PT_DIFFERENTIATION_NTAR_ID,0))</f>
        <v/>
      </c>
      <c r="H271" s="1787"/>
      <c r="I271" s="1665"/>
      <c r="J271" s="1699"/>
      <c r="K271" s="1704"/>
      <c r="L271" s="1787" t="s">
        <v>314</v>
      </c>
      <c r="M271" s="279"/>
      <c r="N271" s="272"/>
      <c r="O271" s="1551"/>
      <c r="P271" s="1551"/>
      <c r="AH271" s="1558">
        <v>0</v>
      </c>
    </row>
    <row r="272" spans="1:34" s="1562" customFormat="1" ht="18.75" hidden="1" customHeight="1">
      <c r="A272" s="1706"/>
      <c r="B272" s="1706"/>
      <c r="C272" s="306" t="s">
        <v>1152</v>
      </c>
      <c r="D272" s="3439"/>
      <c r="E272" s="3207"/>
      <c r="F272" s="3377"/>
      <c r="G272" s="3414"/>
      <c r="H272" s="1427"/>
      <c r="I272" s="588" t="s">
        <v>1151</v>
      </c>
      <c r="J272" s="508"/>
      <c r="K272" s="1427"/>
      <c r="L272" s="152"/>
      <c r="M272" s="279"/>
      <c r="N272" s="272"/>
      <c r="O272" s="1551"/>
      <c r="P272" s="1551"/>
      <c r="AH272" s="1558">
        <v>0</v>
      </c>
    </row>
    <row r="273" spans="1:34" s="1562" customFormat="1" ht="0.75" hidden="1" customHeight="1">
      <c r="A273" s="1706"/>
      <c r="B273" s="1706"/>
      <c r="C273" s="306" t="s">
        <v>1161</v>
      </c>
      <c r="D273" s="3439"/>
      <c r="E273" s="3207"/>
      <c r="F273" s="3377"/>
      <c r="G273" s="337"/>
      <c r="H273" s="1427"/>
      <c r="I273" s="588"/>
      <c r="J273" s="508"/>
      <c r="K273" s="1427"/>
      <c r="L273" s="152"/>
      <c r="M273" s="279"/>
      <c r="N273" s="272"/>
      <c r="O273" s="1551"/>
      <c r="P273" s="1551"/>
      <c r="AH273" s="1558">
        <v>0</v>
      </c>
    </row>
    <row r="274" spans="1:34" s="1562" customFormat="1" ht="18.75" hidden="1" customHeight="1">
      <c r="A274" s="1706" t="s">
        <v>243</v>
      </c>
      <c r="B274" s="1706" t="s">
        <v>244</v>
      </c>
      <c r="C274" s="306"/>
      <c r="D274" s="3439"/>
      <c r="E274" s="3207"/>
      <c r="F274" s="3377" t="str">
        <f>INDEX(PT_DIFFERENTIATION_VTAR,MATCH(A274,PT_DIFFERENTIATION_VTAR_ID,0))</f>
        <v>Тариф на транспортировку воды</v>
      </c>
      <c r="G274" s="3414" t="str">
        <f>INDEX(PT_DIFFERENTIATION_NTAR,MATCH(B274,PT_DIFFERENTIATION_NTAR_ID,0))</f>
        <v/>
      </c>
      <c r="H274" s="1787"/>
      <c r="I274" s="1665"/>
      <c r="J274" s="1699"/>
      <c r="K274" s="1704"/>
      <c r="L274" s="1787" t="s">
        <v>314</v>
      </c>
      <c r="M274" s="279"/>
      <c r="N274" s="272"/>
      <c r="O274" s="1551"/>
      <c r="P274" s="1551"/>
      <c r="AH274" s="1558">
        <v>0</v>
      </c>
    </row>
    <row r="275" spans="1:34" s="1562" customFormat="1" ht="18.75" hidden="1" customHeight="1">
      <c r="A275" s="1706"/>
      <c r="B275" s="1706"/>
      <c r="C275" s="306" t="s">
        <v>1152</v>
      </c>
      <c r="D275" s="3439"/>
      <c r="E275" s="3207"/>
      <c r="F275" s="3377"/>
      <c r="G275" s="3414"/>
      <c r="H275" s="1427"/>
      <c r="I275" s="588" t="s">
        <v>1151</v>
      </c>
      <c r="J275" s="508"/>
      <c r="K275" s="1427"/>
      <c r="L275" s="152"/>
      <c r="M275" s="279"/>
      <c r="N275" s="272"/>
      <c r="O275" s="1551"/>
      <c r="P275" s="1551"/>
      <c r="AH275" s="1558">
        <v>0</v>
      </c>
    </row>
    <row r="276" spans="1:34" s="1562" customFormat="1" ht="0.75" hidden="1" customHeight="1">
      <c r="A276" s="1706"/>
      <c r="B276" s="1706"/>
      <c r="C276" s="306" t="s">
        <v>1161</v>
      </c>
      <c r="D276" s="3439"/>
      <c r="E276" s="3207"/>
      <c r="F276" s="3377"/>
      <c r="G276" s="337"/>
      <c r="H276" s="1427"/>
      <c r="I276" s="588"/>
      <c r="J276" s="508"/>
      <c r="K276" s="1427"/>
      <c r="L276" s="152"/>
      <c r="M276" s="279"/>
      <c r="N276" s="272"/>
      <c r="O276" s="1551"/>
      <c r="P276" s="1551"/>
      <c r="AH276" s="1558">
        <v>0</v>
      </c>
    </row>
    <row r="277" spans="1:34" s="1562" customFormat="1" ht="18.75" hidden="1" customHeight="1">
      <c r="A277" s="1706" t="s">
        <v>248</v>
      </c>
      <c r="B277" s="1706" t="s">
        <v>249</v>
      </c>
      <c r="C277" s="306"/>
      <c r="D277" s="3439"/>
      <c r="E277" s="3207"/>
      <c r="F277" s="3377" t="str">
        <f>INDEX(PT_DIFFERENTIATION_VTAR,MATCH(A277,PT_DIFFERENTIATION_VTAR_ID,0))</f>
        <v>Тариф на подвоз воды</v>
      </c>
      <c r="G277" s="3414" t="str">
        <f>INDEX(PT_DIFFERENTIATION_NTAR,MATCH(B277,PT_DIFFERENTIATION_NTAR_ID,0))</f>
        <v/>
      </c>
      <c r="H277" s="1787"/>
      <c r="I277" s="1665"/>
      <c r="J277" s="1699"/>
      <c r="K277" s="1704"/>
      <c r="L277" s="1787" t="s">
        <v>314</v>
      </c>
      <c r="M277" s="279"/>
      <c r="N277" s="272"/>
      <c r="O277" s="1551"/>
      <c r="P277" s="1551"/>
      <c r="AH277" s="1558">
        <v>0</v>
      </c>
    </row>
    <row r="278" spans="1:34" s="1562" customFormat="1" ht="18.75" hidden="1" customHeight="1">
      <c r="A278" s="1706"/>
      <c r="B278" s="1706"/>
      <c r="C278" s="306" t="s">
        <v>1152</v>
      </c>
      <c r="D278" s="3439"/>
      <c r="E278" s="3207"/>
      <c r="F278" s="3377"/>
      <c r="G278" s="3414"/>
      <c r="H278" s="1427"/>
      <c r="I278" s="588" t="s">
        <v>1151</v>
      </c>
      <c r="J278" s="508"/>
      <c r="K278" s="1427"/>
      <c r="L278" s="152"/>
      <c r="M278" s="279"/>
      <c r="N278" s="272"/>
      <c r="O278" s="1551"/>
      <c r="P278" s="1551"/>
      <c r="AH278" s="1558">
        <v>0</v>
      </c>
    </row>
    <row r="279" spans="1:34" s="1562" customFormat="1" ht="0.75" hidden="1" customHeight="1">
      <c r="A279" s="1706"/>
      <c r="B279" s="1706"/>
      <c r="C279" s="306" t="s">
        <v>1161</v>
      </c>
      <c r="D279" s="3439"/>
      <c r="E279" s="3207"/>
      <c r="F279" s="3377"/>
      <c r="G279" s="337"/>
      <c r="H279" s="1427"/>
      <c r="I279" s="588"/>
      <c r="J279" s="508"/>
      <c r="K279" s="1427"/>
      <c r="L279" s="152"/>
      <c r="M279" s="279"/>
      <c r="N279" s="272"/>
      <c r="O279" s="1551"/>
      <c r="P279" s="1551"/>
      <c r="AH279" s="1558">
        <v>0</v>
      </c>
    </row>
    <row r="280" spans="1:34" s="1562" customFormat="1" ht="18.75" hidden="1" customHeight="1">
      <c r="A280" s="1706" t="s">
        <v>253</v>
      </c>
      <c r="B280" s="1706" t="s">
        <v>254</v>
      </c>
      <c r="C280" s="306"/>
      <c r="D280" s="3439"/>
      <c r="E280" s="3207"/>
      <c r="F280" s="3377" t="str">
        <f>INDEX(PT_DIFFERENTIATION_VTAR,MATCH(A280,PT_DIFFERENTIATION_VTAR_ID,0))</f>
        <v>Тариф на подключение (технологическое присоединение) к централизованной системе холодного водоснабжения</v>
      </c>
      <c r="G280" s="3414" t="str">
        <f>INDEX(PT_DIFFERENTIATION_NTAR,MATCH(B280,PT_DIFFERENTIATION_NTAR_ID,0))</f>
        <v/>
      </c>
      <c r="H280" s="1787"/>
      <c r="I280" s="1665"/>
      <c r="J280" s="1699"/>
      <c r="K280" s="1704"/>
      <c r="L280" s="1787" t="s">
        <v>314</v>
      </c>
      <c r="M280" s="279"/>
      <c r="N280" s="272"/>
      <c r="O280" s="1551"/>
      <c r="P280" s="1551"/>
      <c r="AH280" s="1558">
        <v>0</v>
      </c>
    </row>
    <row r="281" spans="1:34" s="1562" customFormat="1" ht="18.75" hidden="1" customHeight="1">
      <c r="A281" s="1706"/>
      <c r="B281" s="1706"/>
      <c r="C281" s="306" t="s">
        <v>1152</v>
      </c>
      <c r="D281" s="3439"/>
      <c r="E281" s="3207"/>
      <c r="F281" s="3377"/>
      <c r="G281" s="3414"/>
      <c r="H281" s="1427"/>
      <c r="I281" s="588" t="s">
        <v>1151</v>
      </c>
      <c r="J281" s="508"/>
      <c r="K281" s="1427"/>
      <c r="L281" s="152"/>
      <c r="M281" s="279"/>
      <c r="N281" s="272"/>
      <c r="O281" s="1551"/>
      <c r="P281" s="1551"/>
      <c r="AH281" s="1558">
        <v>0</v>
      </c>
    </row>
    <row r="282" spans="1:34" s="1562" customFormat="1" ht="0.75" hidden="1" customHeight="1">
      <c r="A282" s="1706"/>
      <c r="B282" s="1706"/>
      <c r="C282" s="306" t="s">
        <v>1161</v>
      </c>
      <c r="D282" s="3439"/>
      <c r="E282" s="3207"/>
      <c r="F282" s="3377"/>
      <c r="G282" s="337"/>
      <c r="H282" s="1427"/>
      <c r="I282" s="588"/>
      <c r="J282" s="508"/>
      <c r="K282" s="1427"/>
      <c r="L282" s="152"/>
      <c r="M282" s="279"/>
      <c r="N282" s="272"/>
      <c r="O282" s="1551"/>
      <c r="P282" s="1551"/>
      <c r="AH282" s="1558">
        <v>0</v>
      </c>
    </row>
    <row r="283" spans="1:34" s="1562" customFormat="1" ht="18.75" hidden="1" customHeight="1">
      <c r="A283" s="1706" t="s">
        <v>258</v>
      </c>
      <c r="B283" s="1706" t="s">
        <v>259</v>
      </c>
      <c r="C283" s="306"/>
      <c r="D283" s="3439"/>
      <c r="E283" s="3207"/>
      <c r="F283" s="3377" t="str">
        <f>INDEX(PT_DIFFERENTIATION_VTAR,MATCH(A283,PT_DIFFERENTIATION_VTAR_ID,0))</f>
        <v>Тариф на горячую воду (горячее водоснабжение)</v>
      </c>
      <c r="G283" s="3414" t="str">
        <f>INDEX(PT_DIFFERENTIATION_NTAR,MATCH(B283,PT_DIFFERENTIATION_NTAR_ID,0))</f>
        <v/>
      </c>
      <c r="H283" s="1787"/>
      <c r="I283" s="1665"/>
      <c r="J283" s="1699"/>
      <c r="K283" s="1704"/>
      <c r="L283" s="1787" t="s">
        <v>314</v>
      </c>
      <c r="M283" s="279"/>
      <c r="N283" s="272"/>
      <c r="O283" s="1551"/>
      <c r="P283" s="1551"/>
      <c r="AH283" s="1558">
        <v>0</v>
      </c>
    </row>
    <row r="284" spans="1:34" s="1562" customFormat="1" ht="18.75" hidden="1" customHeight="1">
      <c r="A284" s="1706"/>
      <c r="B284" s="1706"/>
      <c r="C284" s="306" t="s">
        <v>1152</v>
      </c>
      <c r="D284" s="3439"/>
      <c r="E284" s="3207"/>
      <c r="F284" s="3377"/>
      <c r="G284" s="3414"/>
      <c r="H284" s="1427"/>
      <c r="I284" s="588" t="s">
        <v>1151</v>
      </c>
      <c r="J284" s="508"/>
      <c r="K284" s="1427"/>
      <c r="L284" s="152"/>
      <c r="M284" s="279"/>
      <c r="N284" s="272"/>
      <c r="O284" s="1551"/>
      <c r="P284" s="1551"/>
      <c r="AH284" s="1558">
        <v>0</v>
      </c>
    </row>
    <row r="285" spans="1:34" s="1562" customFormat="1" ht="0.75" hidden="1" customHeight="1">
      <c r="A285" s="1706"/>
      <c r="B285" s="1706"/>
      <c r="C285" s="306" t="s">
        <v>1161</v>
      </c>
      <c r="D285" s="3439"/>
      <c r="E285" s="3207"/>
      <c r="F285" s="3377"/>
      <c r="G285" s="337"/>
      <c r="H285" s="1427"/>
      <c r="I285" s="588"/>
      <c r="J285" s="508"/>
      <c r="K285" s="1427"/>
      <c r="L285" s="152"/>
      <c r="M285" s="279"/>
      <c r="N285" s="272"/>
      <c r="O285" s="1551"/>
      <c r="P285" s="1551"/>
      <c r="AH285" s="1558">
        <v>0</v>
      </c>
    </row>
    <row r="286" spans="1:34" s="1562" customFormat="1" ht="18.75" hidden="1" customHeight="1">
      <c r="A286" s="1706" t="s">
        <v>263</v>
      </c>
      <c r="B286" s="1706" t="s">
        <v>264</v>
      </c>
      <c r="C286" s="306"/>
      <c r="D286" s="3439"/>
      <c r="E286" s="3207"/>
      <c r="F286" s="3377" t="str">
        <f>INDEX(PT_DIFFERENTIATION_VTAR,MATCH(A286,PT_DIFFERENTIATION_VTAR_ID,0))</f>
        <v>Тариф на транспортировку горячей воды</v>
      </c>
      <c r="G286" s="3414" t="str">
        <f>INDEX(PT_DIFFERENTIATION_NTAR,MATCH(B286,PT_DIFFERENTIATION_NTAR_ID,0))</f>
        <v/>
      </c>
      <c r="H286" s="1787"/>
      <c r="I286" s="1665"/>
      <c r="J286" s="1699"/>
      <c r="K286" s="1704"/>
      <c r="L286" s="1787" t="s">
        <v>314</v>
      </c>
      <c r="M286" s="279"/>
      <c r="N286" s="272"/>
      <c r="O286" s="1551"/>
      <c r="P286" s="1551"/>
      <c r="AH286" s="1558">
        <v>0</v>
      </c>
    </row>
    <row r="287" spans="1:34" s="1562" customFormat="1" ht="18.75" hidden="1" customHeight="1">
      <c r="A287" s="1706"/>
      <c r="B287" s="1706"/>
      <c r="C287" s="306" t="s">
        <v>1152</v>
      </c>
      <c r="D287" s="3439"/>
      <c r="E287" s="3207"/>
      <c r="F287" s="3377"/>
      <c r="G287" s="3414"/>
      <c r="H287" s="1427"/>
      <c r="I287" s="588" t="s">
        <v>1151</v>
      </c>
      <c r="J287" s="508"/>
      <c r="K287" s="1427"/>
      <c r="L287" s="152"/>
      <c r="M287" s="279"/>
      <c r="N287" s="272"/>
      <c r="O287" s="1551"/>
      <c r="P287" s="1551"/>
      <c r="AH287" s="1558">
        <v>0</v>
      </c>
    </row>
    <row r="288" spans="1:34" s="1562" customFormat="1" ht="0.75" hidden="1" customHeight="1">
      <c r="A288" s="1706"/>
      <c r="B288" s="1706"/>
      <c r="C288" s="306" t="s">
        <v>1161</v>
      </c>
      <c r="D288" s="3439"/>
      <c r="E288" s="3207"/>
      <c r="F288" s="3377"/>
      <c r="G288" s="337"/>
      <c r="H288" s="1427"/>
      <c r="I288" s="588"/>
      <c r="J288" s="508"/>
      <c r="K288" s="1427"/>
      <c r="L288" s="152"/>
      <c r="M288" s="279"/>
      <c r="N288" s="272"/>
      <c r="O288" s="1551"/>
      <c r="P288" s="1551"/>
      <c r="AH288" s="1558">
        <v>0</v>
      </c>
    </row>
    <row r="289" spans="1:34" s="1562" customFormat="1" ht="18.75" hidden="1" customHeight="1">
      <c r="A289" s="1706" t="s">
        <v>268</v>
      </c>
      <c r="B289" s="1706" t="s">
        <v>269</v>
      </c>
      <c r="C289" s="306"/>
      <c r="D289" s="3439"/>
      <c r="E289" s="3207"/>
      <c r="F289" s="3377" t="str">
        <f>INDEX(PT_DIFFERENTIATION_VTAR,MATCH(A289,PT_DIFFERENTIATION_VTAR_ID,0))</f>
        <v>Тариф на подключение (технологическое присоединение) к централизованной системе горячего водоснабжения</v>
      </c>
      <c r="G289" s="3414" t="str">
        <f>INDEX(PT_DIFFERENTIATION_NTAR,MATCH(B289,PT_DIFFERENTIATION_NTAR_ID,0))</f>
        <v/>
      </c>
      <c r="H289" s="1787"/>
      <c r="I289" s="1665"/>
      <c r="J289" s="1699"/>
      <c r="K289" s="1704"/>
      <c r="L289" s="1787" t="s">
        <v>314</v>
      </c>
      <c r="M289" s="279"/>
      <c r="N289" s="272"/>
      <c r="O289" s="1551"/>
      <c r="P289" s="1551"/>
      <c r="AH289" s="1558">
        <v>0</v>
      </c>
    </row>
    <row r="290" spans="1:34" s="1562" customFormat="1" ht="18.75" hidden="1" customHeight="1">
      <c r="A290" s="1706"/>
      <c r="B290" s="1706"/>
      <c r="C290" s="306" t="s">
        <v>1152</v>
      </c>
      <c r="D290" s="3439"/>
      <c r="E290" s="3207"/>
      <c r="F290" s="3377"/>
      <c r="G290" s="3414"/>
      <c r="H290" s="1427"/>
      <c r="I290" s="588" t="s">
        <v>1151</v>
      </c>
      <c r="J290" s="508"/>
      <c r="K290" s="1427"/>
      <c r="L290" s="152"/>
      <c r="M290" s="279"/>
      <c r="N290" s="272"/>
      <c r="O290" s="1551"/>
      <c r="P290" s="1551"/>
      <c r="AH290" s="1558">
        <v>0</v>
      </c>
    </row>
    <row r="291" spans="1:34" s="1562" customFormat="1" ht="0.75" hidden="1" customHeight="1">
      <c r="A291" s="1706"/>
      <c r="B291" s="1706"/>
      <c r="C291" s="306" t="s">
        <v>1161</v>
      </c>
      <c r="D291" s="3439"/>
      <c r="E291" s="3207"/>
      <c r="F291" s="3377"/>
      <c r="G291" s="337"/>
      <c r="H291" s="1427"/>
      <c r="I291" s="588"/>
      <c r="J291" s="508"/>
      <c r="K291" s="1427"/>
      <c r="L291" s="152"/>
      <c r="M291" s="279"/>
      <c r="N291" s="272"/>
      <c r="O291" s="1551"/>
      <c r="P291" s="1551"/>
      <c r="AH291" s="1558">
        <v>0</v>
      </c>
    </row>
    <row r="292" spans="1:34" s="1562" customFormat="1" ht="18.75" hidden="1" customHeight="1">
      <c r="A292" s="1706" t="s">
        <v>273</v>
      </c>
      <c r="B292" s="1706" t="s">
        <v>274</v>
      </c>
      <c r="C292" s="306"/>
      <c r="D292" s="3439"/>
      <c r="E292" s="3207"/>
      <c r="F292" s="3377" t="str">
        <f>INDEX(PT_DIFFERENTIATION_VTAR,MATCH(A292,PT_DIFFERENTIATION_VTAR_ID,0))</f>
        <v>Тариф на водоотведение</v>
      </c>
      <c r="G292" s="3414" t="str">
        <f>INDEX(PT_DIFFERENTIATION_NTAR,MATCH(B292,PT_DIFFERENTIATION_NTAR_ID,0))</f>
        <v/>
      </c>
      <c r="H292" s="1787"/>
      <c r="I292" s="1665"/>
      <c r="J292" s="1699"/>
      <c r="K292" s="1704"/>
      <c r="L292" s="1787" t="s">
        <v>314</v>
      </c>
      <c r="M292" s="279"/>
      <c r="N292" s="272"/>
      <c r="O292" s="1551"/>
      <c r="P292" s="1551"/>
      <c r="AH292" s="1558">
        <v>0</v>
      </c>
    </row>
    <row r="293" spans="1:34" s="1562" customFormat="1" ht="18.75" hidden="1" customHeight="1">
      <c r="A293" s="1706"/>
      <c r="B293" s="1706"/>
      <c r="C293" s="306" t="s">
        <v>1152</v>
      </c>
      <c r="D293" s="3439"/>
      <c r="E293" s="3207"/>
      <c r="F293" s="3377"/>
      <c r="G293" s="3414"/>
      <c r="H293" s="1427"/>
      <c r="I293" s="588" t="s">
        <v>1151</v>
      </c>
      <c r="J293" s="508"/>
      <c r="K293" s="1427"/>
      <c r="L293" s="152"/>
      <c r="M293" s="279"/>
      <c r="N293" s="272"/>
      <c r="O293" s="1551"/>
      <c r="P293" s="1551"/>
      <c r="AH293" s="1558">
        <v>0</v>
      </c>
    </row>
    <row r="294" spans="1:34" s="1562" customFormat="1" ht="0.75" hidden="1" customHeight="1">
      <c r="A294" s="1706"/>
      <c r="B294" s="1706"/>
      <c r="C294" s="306" t="s">
        <v>1161</v>
      </c>
      <c r="D294" s="3439"/>
      <c r="E294" s="3207"/>
      <c r="F294" s="3377"/>
      <c r="G294" s="337"/>
      <c r="H294" s="1427"/>
      <c r="I294" s="588"/>
      <c r="J294" s="508"/>
      <c r="K294" s="1427"/>
      <c r="L294" s="152"/>
      <c r="M294" s="279"/>
      <c r="N294" s="272"/>
      <c r="O294" s="1551"/>
      <c r="P294" s="1551"/>
      <c r="AH294" s="1558">
        <v>0</v>
      </c>
    </row>
    <row r="295" spans="1:34" s="1562" customFormat="1" ht="18.75" hidden="1" customHeight="1">
      <c r="A295" s="1706" t="s">
        <v>278</v>
      </c>
      <c r="B295" s="1706" t="s">
        <v>279</v>
      </c>
      <c r="C295" s="306"/>
      <c r="D295" s="3439"/>
      <c r="E295" s="3207"/>
      <c r="F295" s="3377" t="str">
        <f>INDEX(PT_DIFFERENTIATION_VTAR,MATCH(A295,PT_DIFFERENTIATION_VTAR_ID,0))</f>
        <v>Тариф на транспортировку сточных вод</v>
      </c>
      <c r="G295" s="3414" t="str">
        <f>INDEX(PT_DIFFERENTIATION_NTAR,MATCH(B295,PT_DIFFERENTIATION_NTAR_ID,0))</f>
        <v/>
      </c>
      <c r="H295" s="1787"/>
      <c r="I295" s="1665"/>
      <c r="J295" s="1699"/>
      <c r="K295" s="1704"/>
      <c r="L295" s="1787" t="s">
        <v>314</v>
      </c>
      <c r="M295" s="279"/>
      <c r="N295" s="272"/>
      <c r="O295" s="1551"/>
      <c r="P295" s="1551"/>
      <c r="AH295" s="1558">
        <v>0</v>
      </c>
    </row>
    <row r="296" spans="1:34" s="1562" customFormat="1" ht="18.75" hidden="1" customHeight="1">
      <c r="A296" s="1706"/>
      <c r="B296" s="1706"/>
      <c r="C296" s="306" t="s">
        <v>1152</v>
      </c>
      <c r="D296" s="3439"/>
      <c r="E296" s="3207"/>
      <c r="F296" s="3377"/>
      <c r="G296" s="3414"/>
      <c r="H296" s="1427"/>
      <c r="I296" s="588" t="s">
        <v>1151</v>
      </c>
      <c r="J296" s="508"/>
      <c r="K296" s="1427"/>
      <c r="L296" s="152"/>
      <c r="M296" s="279"/>
      <c r="N296" s="272"/>
      <c r="O296" s="1551"/>
      <c r="P296" s="1551"/>
      <c r="AH296" s="1558">
        <v>0</v>
      </c>
    </row>
    <row r="297" spans="1:34" s="1562" customFormat="1" ht="0.75" hidden="1" customHeight="1">
      <c r="A297" s="1706"/>
      <c r="B297" s="1706"/>
      <c r="C297" s="306" t="s">
        <v>1161</v>
      </c>
      <c r="D297" s="3439"/>
      <c r="E297" s="3207"/>
      <c r="F297" s="3377"/>
      <c r="G297" s="337"/>
      <c r="H297" s="1427"/>
      <c r="I297" s="588"/>
      <c r="J297" s="508"/>
      <c r="K297" s="1427"/>
      <c r="L297" s="152"/>
      <c r="M297" s="279"/>
      <c r="N297" s="272"/>
      <c r="O297" s="1551"/>
      <c r="P297" s="1551"/>
      <c r="AH297" s="1558">
        <v>0</v>
      </c>
    </row>
    <row r="298" spans="1:34" s="1562" customFormat="1" ht="18.75" hidden="1" customHeight="1">
      <c r="A298" s="1706" t="s">
        <v>283</v>
      </c>
      <c r="B298" s="1706" t="s">
        <v>284</v>
      </c>
      <c r="C298" s="306"/>
      <c r="D298" s="3439"/>
      <c r="E298" s="3207"/>
      <c r="F298" s="3377" t="str">
        <f>INDEX(PT_DIFFERENTIATION_VTAR,MATCH(A298,PT_DIFFERENTIATION_VTAR_ID,0))</f>
        <v>Тариф на подключение (технологическое присоединение) к централизованной системе водоотведения</v>
      </c>
      <c r="G298" s="3414" t="str">
        <f>INDEX(PT_DIFFERENTIATION_NTAR,MATCH(B298,PT_DIFFERENTIATION_NTAR_ID,0))</f>
        <v/>
      </c>
      <c r="H298" s="1787"/>
      <c r="I298" s="1665"/>
      <c r="J298" s="1699"/>
      <c r="K298" s="1704"/>
      <c r="L298" s="1787" t="s">
        <v>314</v>
      </c>
      <c r="M298" s="279"/>
      <c r="N298" s="272"/>
      <c r="O298" s="1551"/>
      <c r="P298" s="1551"/>
      <c r="AH298" s="1558">
        <v>0</v>
      </c>
    </row>
    <row r="299" spans="1:34" s="1562" customFormat="1" ht="18.75" hidden="1" customHeight="1">
      <c r="A299" s="1706"/>
      <c r="B299" s="1706"/>
      <c r="C299" s="306" t="s">
        <v>1152</v>
      </c>
      <c r="D299" s="3439"/>
      <c r="E299" s="3207"/>
      <c r="F299" s="3377"/>
      <c r="G299" s="3414"/>
      <c r="H299" s="1427"/>
      <c r="I299" s="588" t="s">
        <v>1151</v>
      </c>
      <c r="J299" s="508"/>
      <c r="K299" s="1427"/>
      <c r="L299" s="152"/>
      <c r="M299" s="279"/>
      <c r="N299" s="272"/>
      <c r="O299" s="1551"/>
      <c r="P299" s="1551"/>
      <c r="AH299" s="1558">
        <v>0</v>
      </c>
    </row>
    <row r="300" spans="1:34" s="1562" customFormat="1" ht="1.1499999999999999" customHeight="1">
      <c r="A300" s="1706"/>
      <c r="B300" s="1706"/>
      <c r="C300" s="306" t="s">
        <v>1161</v>
      </c>
      <c r="D300" s="3439"/>
      <c r="E300" s="3207"/>
      <c r="F300" s="3377"/>
      <c r="G300" s="337"/>
      <c r="H300" s="1427"/>
      <c r="I300" s="588"/>
      <c r="J300" s="508"/>
      <c r="K300" s="1427"/>
      <c r="L300" s="152"/>
      <c r="M300" s="279"/>
      <c r="N300" s="272"/>
      <c r="O300" s="1551"/>
      <c r="P300" s="1551"/>
      <c r="AH300" s="1558">
        <v>1</v>
      </c>
    </row>
    <row r="301" spans="1:34" ht="27.4" customHeight="1">
      <c r="A301" s="1706"/>
      <c r="B301" s="1706"/>
      <c r="D301" s="313"/>
      <c r="E301" s="85" t="s">
        <v>89</v>
      </c>
      <c r="F301" s="34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01" s="3438"/>
      <c r="H301" s="3438"/>
      <c r="I301" s="3438"/>
      <c r="J301" s="3438"/>
      <c r="K301" s="3438"/>
      <c r="L301" s="3438"/>
      <c r="M301" s="235"/>
      <c r="N301" s="272"/>
      <c r="AH301" s="311">
        <v>26</v>
      </c>
    </row>
    <row r="302" spans="1:34" s="1562" customFormat="1" ht="13.5" hidden="1" customHeight="1">
      <c r="A302" s="1706" t="s">
        <v>153</v>
      </c>
      <c r="B302" s="1706" t="s">
        <v>154</v>
      </c>
      <c r="C302" s="306"/>
      <c r="D302" s="3439"/>
      <c r="E302" s="3207"/>
      <c r="F302" s="3377" t="str">
        <f>INDEX(PT_DIFFERENTIATION_VTAR,MATCH(A302,PT_DIFFERENTIATION_VTAR_ID,0))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02" s="3414" t="str">
        <f>INDEX(PT_DIFFERENTIATION_NTAR,MATCH(B302,PT_DIFFERENTIATION_NTAR_ID,0))</f>
        <v/>
      </c>
      <c r="H302" s="1787"/>
      <c r="I302" s="1665"/>
      <c r="J302" s="1699"/>
      <c r="K302" s="1704"/>
      <c r="L302" s="1787" t="s">
        <v>314</v>
      </c>
      <c r="M302" s="3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02" s="272"/>
      <c r="O302" s="1551"/>
      <c r="P302" s="1551"/>
      <c r="AH302" s="1558">
        <v>0</v>
      </c>
    </row>
    <row r="303" spans="1:34" s="1562" customFormat="1" ht="13.5" hidden="1" customHeight="1">
      <c r="A303" s="1748"/>
      <c r="B303" s="1748"/>
      <c r="C303" s="1614"/>
      <c r="D303" s="3440"/>
      <c r="E303" s="3441"/>
      <c r="F303" s="3441"/>
      <c r="G303" s="3441"/>
      <c r="H303" s="2021" t="s">
        <v>169</v>
      </c>
      <c r="I303" s="1665"/>
      <c r="J303" s="1699"/>
      <c r="K303" s="1704"/>
      <c r="L303" s="2009" t="s">
        <v>314</v>
      </c>
      <c r="M303" s="3324"/>
      <c r="N303" s="555"/>
      <c r="O303" s="1551"/>
      <c r="P303" s="1551"/>
      <c r="AH303" s="1562">
        <v>0</v>
      </c>
    </row>
    <row r="304" spans="1:34" s="1562" customFormat="1" ht="13.5" hidden="1" customHeight="1">
      <c r="A304" s="1748"/>
      <c r="B304" s="1748"/>
      <c r="C304" s="1614"/>
      <c r="D304" s="3440"/>
      <c r="E304" s="3441"/>
      <c r="F304" s="3441"/>
      <c r="G304" s="3441"/>
      <c r="H304" s="2021" t="s">
        <v>169</v>
      </c>
      <c r="I304" s="1665"/>
      <c r="J304" s="1699"/>
      <c r="K304" s="1704"/>
      <c r="L304" s="2009" t="s">
        <v>314</v>
      </c>
      <c r="M304" s="3324"/>
      <c r="N304" s="555"/>
      <c r="O304" s="1551"/>
      <c r="P304" s="1551"/>
      <c r="AH304" s="1562">
        <v>0</v>
      </c>
    </row>
    <row r="305" spans="1:34" s="1562" customFormat="1" ht="13.5" hidden="1" customHeight="1">
      <c r="A305" s="1748"/>
      <c r="B305" s="1748"/>
      <c r="C305" s="1614"/>
      <c r="D305" s="3440"/>
      <c r="E305" s="3441"/>
      <c r="F305" s="3441"/>
      <c r="G305" s="3441"/>
      <c r="H305" s="2021" t="s">
        <v>169</v>
      </c>
      <c r="I305" s="1665"/>
      <c r="J305" s="1699"/>
      <c r="K305" s="1704"/>
      <c r="L305" s="2009" t="s">
        <v>314</v>
      </c>
      <c r="M305" s="3324"/>
      <c r="N305" s="555"/>
      <c r="O305" s="1551"/>
      <c r="P305" s="1551"/>
      <c r="AH305" s="1562">
        <v>0</v>
      </c>
    </row>
    <row r="306" spans="1:34" s="1562" customFormat="1" ht="13.5" hidden="1" customHeight="1">
      <c r="A306" s="1748"/>
      <c r="B306" s="1748"/>
      <c r="C306" s="1614"/>
      <c r="D306" s="3440"/>
      <c r="E306" s="3441"/>
      <c r="F306" s="3441"/>
      <c r="G306" s="3441"/>
      <c r="H306" s="2021" t="s">
        <v>169</v>
      </c>
      <c r="I306" s="1665"/>
      <c r="J306" s="1699"/>
      <c r="K306" s="1704"/>
      <c r="L306" s="2009" t="s">
        <v>314</v>
      </c>
      <c r="M306" s="3324"/>
      <c r="N306" s="555"/>
      <c r="O306" s="1551"/>
      <c r="P306" s="1551"/>
      <c r="AH306" s="1562">
        <v>0</v>
      </c>
    </row>
    <row r="307" spans="1:34" s="1562" customFormat="1" ht="18.75" hidden="1" customHeight="1">
      <c r="A307" s="1706"/>
      <c r="B307" s="1706"/>
      <c r="C307" s="306" t="s">
        <v>1152</v>
      </c>
      <c r="D307" s="3439"/>
      <c r="E307" s="3207"/>
      <c r="F307" s="3377"/>
      <c r="G307" s="3414"/>
      <c r="H307" s="1427"/>
      <c r="I307" s="588" t="s">
        <v>1151</v>
      </c>
      <c r="J307" s="508"/>
      <c r="K307" s="1427"/>
      <c r="L307" s="152"/>
      <c r="M307" s="3156"/>
      <c r="N307" s="272"/>
      <c r="O307" s="1551"/>
      <c r="P307" s="1551"/>
      <c r="AH307" s="1558">
        <v>0</v>
      </c>
    </row>
    <row r="308" spans="1:34" s="1562" customFormat="1" ht="0.75" hidden="1" customHeight="1">
      <c r="A308" s="1706"/>
      <c r="B308" s="1706"/>
      <c r="C308" s="306" t="s">
        <v>1161</v>
      </c>
      <c r="D308" s="3439"/>
      <c r="E308" s="3207"/>
      <c r="F308" s="3377"/>
      <c r="G308" s="337"/>
      <c r="H308" s="1427"/>
      <c r="I308" s="588"/>
      <c r="J308" s="508"/>
      <c r="K308" s="1427"/>
      <c r="L308" s="152"/>
      <c r="M308" s="3156"/>
      <c r="N308" s="272"/>
      <c r="O308" s="1551"/>
      <c r="P308" s="1551"/>
      <c r="AH308" s="1558">
        <v>0</v>
      </c>
    </row>
    <row r="309" spans="1:34" s="1562" customFormat="1" ht="13.5" customHeight="1">
      <c r="A309" s="1706" t="s">
        <v>161</v>
      </c>
      <c r="B309" s="1706" t="s">
        <v>162</v>
      </c>
      <c r="C309" s="306"/>
      <c r="D309" s="3439"/>
      <c r="E309" s="3207"/>
      <c r="F309" s="3377" t="str">
        <f>INDEX(PT_DIFFERENTIATION_VTAR,MATCH(A309,PT_DIFFERENTIATION_VTAR_ID,0))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9" s="3414" t="str">
        <f>INDEX(PT_DIFFERENTIATION_NTAR,MATCH(B309,PT_DIFFERENTIATION_NTAR_ID,0))</f>
        <v>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v>
      </c>
      <c r="H309" s="1787"/>
      <c r="I309" s="1665">
        <v>45658.567314814813</v>
      </c>
      <c r="J309" s="1699">
        <v>47118.567430555559</v>
      </c>
      <c r="K309" s="1704">
        <v>0</v>
      </c>
      <c r="L309" s="1787" t="s">
        <v>314</v>
      </c>
      <c r="M309" s="3157"/>
      <c r="N309" s="272"/>
      <c r="O309" s="1551"/>
      <c r="P309" s="1551"/>
      <c r="AH309" s="1558">
        <v>0</v>
      </c>
    </row>
    <row r="310" spans="1:34" s="1562" customFormat="1" ht="18.75" customHeight="1">
      <c r="A310" s="1706"/>
      <c r="B310" s="1706"/>
      <c r="C310" s="306" t="s">
        <v>1152</v>
      </c>
      <c r="D310" s="3439"/>
      <c r="E310" s="3207"/>
      <c r="F310" s="3377"/>
      <c r="G310" s="3414"/>
      <c r="H310" s="1427"/>
      <c r="I310" s="588" t="s">
        <v>1151</v>
      </c>
      <c r="J310" s="508"/>
      <c r="K310" s="1427"/>
      <c r="L310" s="152"/>
      <c r="M310" s="1786"/>
      <c r="N310" s="272"/>
      <c r="O310" s="1551"/>
      <c r="P310" s="1551"/>
      <c r="AH310" s="1558">
        <v>0</v>
      </c>
    </row>
    <row r="311" spans="1:34" s="1562" customFormat="1" ht="18.75" customHeight="1">
      <c r="A311" s="1748" t="s">
        <v>161</v>
      </c>
      <c r="B311" s="1748" t="s">
        <v>171</v>
      </c>
      <c r="C311" s="1614"/>
      <c r="D311" s="3440"/>
      <c r="E311" s="3441"/>
      <c r="F311" s="3441"/>
      <c r="G311" s="3414" t="str">
        <f>INDEX(PT_DIFFERENTIATION_NTAR,MATCH(B311,PT_DIFFERENTIATION_NTAR_ID,0))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v>
      </c>
      <c r="H311" s="2009"/>
      <c r="I311" s="1665">
        <v>45658.567164351851</v>
      </c>
      <c r="J311" s="1699">
        <v>47118.567210648151</v>
      </c>
      <c r="K311" s="1704">
        <v>0</v>
      </c>
      <c r="L311" s="2009" t="s">
        <v>314</v>
      </c>
      <c r="M311" s="2013"/>
      <c r="N311" s="555"/>
      <c r="O311" s="1551"/>
      <c r="P311" s="1551"/>
      <c r="AH311" s="1562">
        <v>0</v>
      </c>
    </row>
    <row r="312" spans="1:34" s="1562" customFormat="1" ht="18.75" customHeight="1">
      <c r="A312" s="1748"/>
      <c r="B312" s="1748"/>
      <c r="C312" s="1614" t="s">
        <v>1152</v>
      </c>
      <c r="D312" s="3440"/>
      <c r="E312" s="3441"/>
      <c r="F312" s="3441"/>
      <c r="G312" s="3414"/>
      <c r="H312" s="2916"/>
      <c r="I312" s="2917" t="s">
        <v>1151</v>
      </c>
      <c r="J312" s="2918"/>
      <c r="K312" s="2919"/>
      <c r="L312" s="2920"/>
      <c r="M312" s="2013"/>
      <c r="N312" s="555"/>
      <c r="O312" s="1551"/>
      <c r="P312" s="1551"/>
      <c r="AH312" s="1562">
        <v>0</v>
      </c>
    </row>
    <row r="313" spans="1:34" s="1562" customFormat="1" ht="0.75" customHeight="1">
      <c r="A313" s="1706"/>
      <c r="B313" s="1706"/>
      <c r="C313" s="306" t="s">
        <v>1161</v>
      </c>
      <c r="D313" s="3439"/>
      <c r="E313" s="3207"/>
      <c r="F313" s="3377"/>
      <c r="G313" s="337"/>
      <c r="H313" s="1427"/>
      <c r="I313" s="588"/>
      <c r="J313" s="508"/>
      <c r="K313" s="1427"/>
      <c r="L313" s="152"/>
      <c r="M313" s="279"/>
      <c r="N313" s="272"/>
      <c r="O313" s="1551"/>
      <c r="P313" s="1551"/>
      <c r="AH313" s="1558">
        <v>0</v>
      </c>
    </row>
    <row r="314" spans="1:34" s="1562" customFormat="1" ht="45" hidden="1" customHeight="1">
      <c r="A314" s="1706" t="s">
        <v>177</v>
      </c>
      <c r="B314" s="1706" t="s">
        <v>178</v>
      </c>
      <c r="C314" s="306"/>
      <c r="D314" s="3439"/>
      <c r="E314" s="3207"/>
      <c r="F314" s="3377" t="str">
        <f>INDEX(PT_DIFFERENTIATION_VTAR,MATCH(A314,PT_DIFFERENTIATION_VTAR_ID,0))</f>
        <v>Тарифы на теплоноситель, поставляемый теплоснабжающими организациями потребителям, другим теплоснабжающим организациям</v>
      </c>
      <c r="G314" s="3414" t="str">
        <f>INDEX(PT_DIFFERENTIATION_NTAR,MATCH(B314,PT_DIFFERENTIATION_NTAR_ID,0))</f>
        <v/>
      </c>
      <c r="H314" s="1787"/>
      <c r="I314" s="1665"/>
      <c r="J314" s="1699"/>
      <c r="K314" s="1704"/>
      <c r="L314" s="1787" t="s">
        <v>314</v>
      </c>
      <c r="M314" s="279"/>
      <c r="N314" s="272"/>
      <c r="O314" s="1551"/>
      <c r="P314" s="1551"/>
      <c r="AH314" s="1558">
        <v>0</v>
      </c>
    </row>
    <row r="315" spans="1:34" s="1562" customFormat="1" ht="18.75" hidden="1" customHeight="1">
      <c r="A315" s="1706"/>
      <c r="B315" s="1706"/>
      <c r="C315" s="306" t="s">
        <v>1152</v>
      </c>
      <c r="D315" s="3439"/>
      <c r="E315" s="3207"/>
      <c r="F315" s="3377"/>
      <c r="G315" s="3414"/>
      <c r="H315" s="1427"/>
      <c r="I315" s="588" t="s">
        <v>1151</v>
      </c>
      <c r="J315" s="508"/>
      <c r="K315" s="1427"/>
      <c r="L315" s="152"/>
      <c r="M315" s="279"/>
      <c r="N315" s="272"/>
      <c r="O315" s="1551"/>
      <c r="P315" s="1551"/>
      <c r="AH315" s="1558">
        <v>0</v>
      </c>
    </row>
    <row r="316" spans="1:34" s="1562" customFormat="1" ht="0.75" hidden="1" customHeight="1">
      <c r="A316" s="1706"/>
      <c r="B316" s="1706"/>
      <c r="C316" s="306" t="s">
        <v>1161</v>
      </c>
      <c r="D316" s="3439"/>
      <c r="E316" s="3207"/>
      <c r="F316" s="3377"/>
      <c r="G316" s="337"/>
      <c r="H316" s="1427"/>
      <c r="I316" s="588"/>
      <c r="J316" s="508"/>
      <c r="K316" s="1427"/>
      <c r="L316" s="152"/>
      <c r="M316" s="279"/>
      <c r="N316" s="272"/>
      <c r="O316" s="1551"/>
      <c r="P316" s="1551"/>
      <c r="AH316" s="1558">
        <v>0</v>
      </c>
    </row>
    <row r="317" spans="1:34" s="1562" customFormat="1" ht="45" hidden="1" customHeight="1">
      <c r="A317" s="1706" t="s">
        <v>183</v>
      </c>
      <c r="B317" s="1706" t="s">
        <v>184</v>
      </c>
      <c r="C317" s="306"/>
      <c r="D317" s="3439"/>
      <c r="E317" s="3207"/>
      <c r="F317" s="3377" t="str">
        <f>INDEX(PT_DIFFERENTIATION_VTAR,MATCH(A317,PT_DIFFERENTIATION_VTAR_ID,0))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7" s="3414" t="str">
        <f>INDEX(PT_DIFFERENTIATION_NTAR,MATCH(B317,PT_DIFFERENTIATION_NTAR_ID,0))</f>
        <v/>
      </c>
      <c r="H317" s="1787"/>
      <c r="I317" s="1665"/>
      <c r="J317" s="1699"/>
      <c r="K317" s="1704"/>
      <c r="L317" s="1787" t="s">
        <v>314</v>
      </c>
      <c r="M317" s="279"/>
      <c r="N317" s="272"/>
      <c r="O317" s="1551"/>
      <c r="P317" s="1551"/>
      <c r="AH317" s="1558">
        <v>0</v>
      </c>
    </row>
    <row r="318" spans="1:34" s="1562" customFormat="1" ht="18.75" hidden="1" customHeight="1">
      <c r="A318" s="1706"/>
      <c r="B318" s="1706"/>
      <c r="C318" s="306" t="s">
        <v>1152</v>
      </c>
      <c r="D318" s="3439"/>
      <c r="E318" s="3207"/>
      <c r="F318" s="3377"/>
      <c r="G318" s="3414"/>
      <c r="H318" s="1427"/>
      <c r="I318" s="588" t="s">
        <v>1151</v>
      </c>
      <c r="J318" s="508"/>
      <c r="K318" s="1427"/>
      <c r="L318" s="152"/>
      <c r="M318" s="279"/>
      <c r="N318" s="272"/>
      <c r="O318" s="1551"/>
      <c r="P318" s="1551"/>
      <c r="AH318" s="1558">
        <v>0</v>
      </c>
    </row>
    <row r="319" spans="1:34" s="1562" customFormat="1" ht="0.75" hidden="1" customHeight="1">
      <c r="A319" s="1706"/>
      <c r="B319" s="1706"/>
      <c r="C319" s="306" t="s">
        <v>1161</v>
      </c>
      <c r="D319" s="3439"/>
      <c r="E319" s="3207"/>
      <c r="F319" s="3377"/>
      <c r="G319" s="337"/>
      <c r="H319" s="1427"/>
      <c r="I319" s="588"/>
      <c r="J319" s="508"/>
      <c r="K319" s="1427"/>
      <c r="L319" s="152"/>
      <c r="M319" s="279"/>
      <c r="N319" s="272"/>
      <c r="O319" s="1551"/>
      <c r="P319" s="1551"/>
      <c r="AH319" s="1558">
        <v>0</v>
      </c>
    </row>
    <row r="320" spans="1:34" s="1562" customFormat="1" ht="18.75" hidden="1" customHeight="1">
      <c r="A320" s="1706" t="s">
        <v>189</v>
      </c>
      <c r="B320" s="1706" t="s">
        <v>190</v>
      </c>
      <c r="C320" s="306"/>
      <c r="D320" s="3439"/>
      <c r="E320" s="3207"/>
      <c r="F320" s="3377" t="str">
        <f>INDEX(PT_DIFFERENTIATION_VTAR,MATCH(A320,PT_DIFFERENTIATION_VTAR_ID,0))</f>
        <v>Тарифы на услуги по передаче тепловой энергии</v>
      </c>
      <c r="G320" s="3414" t="str">
        <f>INDEX(PT_DIFFERENTIATION_NTAR,MATCH(B320,PT_DIFFERENTIATION_NTAR_ID,0))</f>
        <v/>
      </c>
      <c r="H320" s="1787"/>
      <c r="I320" s="1665"/>
      <c r="J320" s="1699"/>
      <c r="K320" s="1704"/>
      <c r="L320" s="1787" t="s">
        <v>314</v>
      </c>
      <c r="M320" s="279"/>
      <c r="N320" s="272"/>
      <c r="O320" s="1551"/>
      <c r="P320" s="1551"/>
      <c r="AH320" s="1558">
        <v>0</v>
      </c>
    </row>
    <row r="321" spans="1:34" s="1562" customFormat="1" ht="18.75" hidden="1" customHeight="1">
      <c r="A321" s="1706"/>
      <c r="B321" s="1706"/>
      <c r="C321" s="306" t="s">
        <v>1152</v>
      </c>
      <c r="D321" s="3439"/>
      <c r="E321" s="3207"/>
      <c r="F321" s="3377"/>
      <c r="G321" s="3414"/>
      <c r="H321" s="1427"/>
      <c r="I321" s="588" t="s">
        <v>1151</v>
      </c>
      <c r="J321" s="508"/>
      <c r="K321" s="1427"/>
      <c r="L321" s="152"/>
      <c r="M321" s="279"/>
      <c r="N321" s="272"/>
      <c r="O321" s="1551"/>
      <c r="P321" s="1551"/>
      <c r="AH321" s="1558">
        <v>0</v>
      </c>
    </row>
    <row r="322" spans="1:34" s="1562" customFormat="1" ht="0.75" hidden="1" customHeight="1">
      <c r="A322" s="1706"/>
      <c r="B322" s="1706"/>
      <c r="C322" s="306" t="s">
        <v>1161</v>
      </c>
      <c r="D322" s="3439"/>
      <c r="E322" s="3207"/>
      <c r="F322" s="3377"/>
      <c r="G322" s="337"/>
      <c r="H322" s="1427"/>
      <c r="I322" s="588"/>
      <c r="J322" s="508"/>
      <c r="K322" s="1427"/>
      <c r="L322" s="152"/>
      <c r="M322" s="279"/>
      <c r="N322" s="272"/>
      <c r="O322" s="1551"/>
      <c r="P322" s="1551"/>
      <c r="AH322" s="1558">
        <v>0</v>
      </c>
    </row>
    <row r="323" spans="1:34" s="1562" customFormat="1" ht="18.75" hidden="1" customHeight="1">
      <c r="A323" s="1706" t="s">
        <v>195</v>
      </c>
      <c r="B323" s="1706" t="s">
        <v>196</v>
      </c>
      <c r="C323" s="306"/>
      <c r="D323" s="3439"/>
      <c r="E323" s="3207"/>
      <c r="F323" s="3377" t="str">
        <f>INDEX(PT_DIFFERENTIATION_VTAR,MATCH(A323,PT_DIFFERENTIATION_VTAR_ID,0))</f>
        <v>Тарифы на услуги по передаче теплоносителя</v>
      </c>
      <c r="G323" s="3414" t="str">
        <f>INDEX(PT_DIFFERENTIATION_NTAR,MATCH(B323,PT_DIFFERENTIATION_NTAR_ID,0))</f>
        <v/>
      </c>
      <c r="H323" s="1787"/>
      <c r="I323" s="1665"/>
      <c r="J323" s="1699"/>
      <c r="K323" s="1704"/>
      <c r="L323" s="1787" t="s">
        <v>314</v>
      </c>
      <c r="M323" s="279"/>
      <c r="N323" s="272"/>
      <c r="O323" s="1551"/>
      <c r="P323" s="1551"/>
      <c r="AH323" s="1558">
        <v>0</v>
      </c>
    </row>
    <row r="324" spans="1:34" s="1562" customFormat="1" ht="18.75" hidden="1" customHeight="1">
      <c r="A324" s="1706"/>
      <c r="B324" s="1706"/>
      <c r="C324" s="306" t="s">
        <v>1152</v>
      </c>
      <c r="D324" s="3439"/>
      <c r="E324" s="3207"/>
      <c r="F324" s="3377"/>
      <c r="G324" s="3414"/>
      <c r="H324" s="1427"/>
      <c r="I324" s="588" t="s">
        <v>1151</v>
      </c>
      <c r="J324" s="508"/>
      <c r="K324" s="1427"/>
      <c r="L324" s="152"/>
      <c r="M324" s="279"/>
      <c r="N324" s="272"/>
      <c r="O324" s="1551"/>
      <c r="P324" s="1551"/>
      <c r="AH324" s="1558">
        <v>0</v>
      </c>
    </row>
    <row r="325" spans="1:34" s="1562" customFormat="1" ht="0.75" hidden="1" customHeight="1">
      <c r="A325" s="1706"/>
      <c r="B325" s="1706"/>
      <c r="C325" s="306" t="s">
        <v>1161</v>
      </c>
      <c r="D325" s="3439"/>
      <c r="E325" s="3207"/>
      <c r="F325" s="3377"/>
      <c r="G325" s="337"/>
      <c r="H325" s="1427"/>
      <c r="I325" s="588"/>
      <c r="J325" s="508"/>
      <c r="K325" s="1427"/>
      <c r="L325" s="152"/>
      <c r="M325" s="279"/>
      <c r="N325" s="272"/>
      <c r="O325" s="1551"/>
      <c r="P325" s="1551"/>
      <c r="AH325" s="1558">
        <v>0</v>
      </c>
    </row>
    <row r="326" spans="1:34" s="1562" customFormat="1" ht="18.75" hidden="1" customHeight="1">
      <c r="A326" s="1706" t="s">
        <v>201</v>
      </c>
      <c r="B326" s="1706" t="s">
        <v>202</v>
      </c>
      <c r="C326" s="306"/>
      <c r="D326" s="3439"/>
      <c r="E326" s="3207"/>
      <c r="F326" s="3377" t="str">
        <f>INDEX(PT_DIFFERENTIATION_VTAR,MATCH(A326,PT_DIFFERENTIATION_VTAR_ID,0))</f>
        <v>Плата за услуги по поддержанию резервной тепловой мощности при отсутствии потребления тепловой энергии</v>
      </c>
      <c r="G326" s="3414" t="str">
        <f>INDEX(PT_DIFFERENTIATION_NTAR,MATCH(B326,PT_DIFFERENTIATION_NTAR_ID,0))</f>
        <v/>
      </c>
      <c r="H326" s="1787"/>
      <c r="I326" s="1665"/>
      <c r="J326" s="1699"/>
      <c r="K326" s="1704"/>
      <c r="L326" s="1787" t="s">
        <v>314</v>
      </c>
      <c r="M326" s="279"/>
      <c r="N326" s="272"/>
      <c r="O326" s="1551"/>
      <c r="P326" s="1551"/>
      <c r="AH326" s="1558">
        <v>0</v>
      </c>
    </row>
    <row r="327" spans="1:34" s="1562" customFormat="1" ht="18.75" hidden="1" customHeight="1">
      <c r="A327" s="1706"/>
      <c r="B327" s="1706"/>
      <c r="C327" s="306" t="s">
        <v>1152</v>
      </c>
      <c r="D327" s="3439"/>
      <c r="E327" s="3207"/>
      <c r="F327" s="3377"/>
      <c r="G327" s="3414"/>
      <c r="H327" s="1427"/>
      <c r="I327" s="588" t="s">
        <v>1151</v>
      </c>
      <c r="J327" s="508"/>
      <c r="K327" s="1427"/>
      <c r="L327" s="152"/>
      <c r="M327" s="279"/>
      <c r="N327" s="272"/>
      <c r="O327" s="1551"/>
      <c r="P327" s="1551"/>
      <c r="AH327" s="1558">
        <v>0</v>
      </c>
    </row>
    <row r="328" spans="1:34" s="1562" customFormat="1" ht="0.75" hidden="1" customHeight="1">
      <c r="A328" s="1706"/>
      <c r="B328" s="1706"/>
      <c r="C328" s="306" t="s">
        <v>1161</v>
      </c>
      <c r="D328" s="3439"/>
      <c r="E328" s="3207"/>
      <c r="F328" s="3377"/>
      <c r="G328" s="337"/>
      <c r="H328" s="1427"/>
      <c r="I328" s="588"/>
      <c r="J328" s="508"/>
      <c r="K328" s="1427"/>
      <c r="L328" s="152"/>
      <c r="M328" s="279"/>
      <c r="N328" s="272"/>
      <c r="O328" s="1551"/>
      <c r="P328" s="1551"/>
      <c r="AH328" s="1558">
        <v>0</v>
      </c>
    </row>
    <row r="329" spans="1:34" s="1562" customFormat="1" ht="18.75" hidden="1" customHeight="1">
      <c r="A329" s="1706" t="s">
        <v>207</v>
      </c>
      <c r="B329" s="1706" t="s">
        <v>208</v>
      </c>
      <c r="C329" s="306"/>
      <c r="D329" s="3439"/>
      <c r="E329" s="3207"/>
      <c r="F329" s="3377" t="str">
        <f>INDEX(PT_DIFFERENTIATION_VTAR,MATCH(A329,PT_DIFFERENTIATION_VTAR_ID,0))</f>
        <v>Плата за подключение (технологическое присоединение) к системе теплоснабжения</v>
      </c>
      <c r="G329" s="3414" t="str">
        <f>INDEX(PT_DIFFERENTIATION_NTAR,MATCH(B329,PT_DIFFERENTIATION_NTAR_ID,0))</f>
        <v/>
      </c>
      <c r="H329" s="1787"/>
      <c r="I329" s="1665"/>
      <c r="J329" s="1699"/>
      <c r="K329" s="1704"/>
      <c r="L329" s="1787" t="s">
        <v>314</v>
      </c>
      <c r="M329" s="279"/>
      <c r="N329" s="272"/>
      <c r="O329" s="1551"/>
      <c r="P329" s="1551"/>
      <c r="AH329" s="1558">
        <v>0</v>
      </c>
    </row>
    <row r="330" spans="1:34" s="1562" customFormat="1" ht="18.75" hidden="1" customHeight="1">
      <c r="A330" s="1706"/>
      <c r="B330" s="1706"/>
      <c r="C330" s="306" t="s">
        <v>1152</v>
      </c>
      <c r="D330" s="3439"/>
      <c r="E330" s="3207"/>
      <c r="F330" s="3377"/>
      <c r="G330" s="3414"/>
      <c r="H330" s="1427"/>
      <c r="I330" s="588" t="s">
        <v>1151</v>
      </c>
      <c r="J330" s="508"/>
      <c r="K330" s="1427"/>
      <c r="L330" s="152"/>
      <c r="M330" s="279"/>
      <c r="N330" s="272"/>
      <c r="O330" s="1551"/>
      <c r="P330" s="1551"/>
      <c r="AH330" s="1558">
        <v>0</v>
      </c>
    </row>
    <row r="331" spans="1:34" s="1562" customFormat="1" ht="0.75" hidden="1" customHeight="1">
      <c r="A331" s="1706"/>
      <c r="B331" s="1706"/>
      <c r="C331" s="306" t="s">
        <v>1161</v>
      </c>
      <c r="D331" s="3439"/>
      <c r="E331" s="3207"/>
      <c r="F331" s="3377"/>
      <c r="G331" s="337"/>
      <c r="H331" s="1427"/>
      <c r="I331" s="588"/>
      <c r="J331" s="508"/>
      <c r="K331" s="1427"/>
      <c r="L331" s="152"/>
      <c r="M331" s="279"/>
      <c r="N331" s="272"/>
      <c r="O331" s="1551"/>
      <c r="P331" s="1551"/>
      <c r="AH331" s="1558">
        <v>0</v>
      </c>
    </row>
    <row r="332" spans="1:34" s="1562" customFormat="1" ht="18.75" hidden="1" customHeight="1">
      <c r="A332" s="1706" t="s">
        <v>213</v>
      </c>
      <c r="B332" s="1706" t="s">
        <v>214</v>
      </c>
      <c r="C332" s="306"/>
      <c r="D332" s="3439"/>
      <c r="E332" s="3207"/>
      <c r="F332" s="3377" t="str">
        <f>INDEX(PT_DIFFERENTIATION_VTAR,MATCH(A332,PT_DIFFERENTIATION_VTAR_ID,0))</f>
        <v>Плата за подключение (технологическое присоединение) к системе теплоснабжения (индивидуальная)</v>
      </c>
      <c r="G332" s="3414" t="str">
        <f>INDEX(PT_DIFFERENTIATION_NTAR,MATCH(B332,PT_DIFFERENTIATION_NTAR_ID,0))</f>
        <v/>
      </c>
      <c r="H332" s="1911"/>
      <c r="I332" s="1665"/>
      <c r="J332" s="1699"/>
      <c r="K332" s="1704"/>
      <c r="L332" s="1911" t="s">
        <v>314</v>
      </c>
      <c r="M332" s="279"/>
      <c r="N332" s="272"/>
      <c r="O332" s="1551"/>
      <c r="P332" s="1551"/>
      <c r="AH332" s="1558">
        <v>0</v>
      </c>
    </row>
    <row r="333" spans="1:34" s="1562" customFormat="1" ht="18.75" hidden="1" customHeight="1">
      <c r="A333" s="1706"/>
      <c r="B333" s="1706"/>
      <c r="C333" s="306" t="s">
        <v>1152</v>
      </c>
      <c r="D333" s="3439"/>
      <c r="E333" s="3207"/>
      <c r="F333" s="3377"/>
      <c r="G333" s="3414"/>
      <c r="H333" s="1427"/>
      <c r="I333" s="588" t="s">
        <v>1151</v>
      </c>
      <c r="J333" s="508"/>
      <c r="K333" s="1427"/>
      <c r="L333" s="152"/>
      <c r="M333" s="279"/>
      <c r="N333" s="272"/>
      <c r="O333" s="1551"/>
      <c r="P333" s="1551"/>
      <c r="AH333" s="1558">
        <v>0</v>
      </c>
    </row>
    <row r="334" spans="1:34" s="1562" customFormat="1" ht="0.75" hidden="1" customHeight="1">
      <c r="A334" s="1706"/>
      <c r="B334" s="1706"/>
      <c r="C334" s="306" t="s">
        <v>1161</v>
      </c>
      <c r="D334" s="3439"/>
      <c r="E334" s="3207"/>
      <c r="F334" s="3377"/>
      <c r="G334" s="337"/>
      <c r="H334" s="1427"/>
      <c r="I334" s="588"/>
      <c r="J334" s="508"/>
      <c r="K334" s="1427"/>
      <c r="L334" s="152"/>
      <c r="M334" s="279"/>
      <c r="N334" s="272"/>
      <c r="O334" s="1551"/>
      <c r="P334" s="1551"/>
      <c r="AH334" s="1558">
        <v>0</v>
      </c>
    </row>
    <row r="335" spans="1:34" s="1562" customFormat="1" ht="18.75" hidden="1" customHeight="1">
      <c r="A335" s="1706" t="s">
        <v>233</v>
      </c>
      <c r="B335" s="1706" t="s">
        <v>234</v>
      </c>
      <c r="C335" s="306"/>
      <c r="D335" s="3439"/>
      <c r="E335" s="3207"/>
      <c r="F335" s="3377" t="str">
        <f>INDEX(PT_DIFFERENTIATION_VTAR,MATCH(A335,PT_DIFFERENTIATION_VTAR_ID,0))</f>
        <v>Тариф на питьевую воду (питьевое водоснабжение)</v>
      </c>
      <c r="G335" s="3414" t="str">
        <f>INDEX(PT_DIFFERENTIATION_NTAR,MATCH(B335,PT_DIFFERENTIATION_NTAR_ID,0))</f>
        <v/>
      </c>
      <c r="H335" s="1787"/>
      <c r="I335" s="1665"/>
      <c r="J335" s="1699"/>
      <c r="K335" s="1704"/>
      <c r="L335" s="1787" t="s">
        <v>314</v>
      </c>
      <c r="M335" s="279"/>
      <c r="N335" s="272"/>
      <c r="O335" s="1551"/>
      <c r="P335" s="1551"/>
      <c r="AH335" s="1558">
        <v>0</v>
      </c>
    </row>
    <row r="336" spans="1:34" s="1562" customFormat="1" ht="18.75" hidden="1" customHeight="1">
      <c r="A336" s="1706"/>
      <c r="B336" s="1706"/>
      <c r="C336" s="306" t="s">
        <v>1152</v>
      </c>
      <c r="D336" s="3439"/>
      <c r="E336" s="3207"/>
      <c r="F336" s="3377"/>
      <c r="G336" s="3414"/>
      <c r="H336" s="1427"/>
      <c r="I336" s="588" t="s">
        <v>1151</v>
      </c>
      <c r="J336" s="508"/>
      <c r="K336" s="1427"/>
      <c r="L336" s="152"/>
      <c r="M336" s="279"/>
      <c r="N336" s="272"/>
      <c r="O336" s="1551"/>
      <c r="P336" s="1551"/>
      <c r="AH336" s="1558">
        <v>0</v>
      </c>
    </row>
    <row r="337" spans="1:34" s="1562" customFormat="1" ht="0.75" hidden="1" customHeight="1">
      <c r="A337" s="1706"/>
      <c r="B337" s="1706"/>
      <c r="C337" s="306" t="s">
        <v>1161</v>
      </c>
      <c r="D337" s="3439"/>
      <c r="E337" s="3207"/>
      <c r="F337" s="3377"/>
      <c r="G337" s="337"/>
      <c r="H337" s="1427"/>
      <c r="I337" s="588"/>
      <c r="J337" s="508"/>
      <c r="K337" s="1427"/>
      <c r="L337" s="152"/>
      <c r="M337" s="279"/>
      <c r="N337" s="272"/>
      <c r="O337" s="1551"/>
      <c r="P337" s="1551"/>
      <c r="AH337" s="1558">
        <v>0</v>
      </c>
    </row>
    <row r="338" spans="1:34" s="1562" customFormat="1" ht="18.75" hidden="1" customHeight="1">
      <c r="A338" s="1706" t="s">
        <v>238</v>
      </c>
      <c r="B338" s="1706" t="s">
        <v>239</v>
      </c>
      <c r="C338" s="306"/>
      <c r="D338" s="3439"/>
      <c r="E338" s="3207"/>
      <c r="F338" s="3377" t="str">
        <f>INDEX(PT_DIFFERENTIATION_VTAR,MATCH(A338,PT_DIFFERENTIATION_VTAR_ID,0))</f>
        <v>Тариф на техническую воду</v>
      </c>
      <c r="G338" s="3414" t="str">
        <f>INDEX(PT_DIFFERENTIATION_NTAR,MATCH(B338,PT_DIFFERENTIATION_NTAR_ID,0))</f>
        <v/>
      </c>
      <c r="H338" s="1787"/>
      <c r="I338" s="1665"/>
      <c r="J338" s="1699"/>
      <c r="K338" s="1704"/>
      <c r="L338" s="1787" t="s">
        <v>314</v>
      </c>
      <c r="M338" s="279"/>
      <c r="N338" s="272"/>
      <c r="O338" s="1551"/>
      <c r="P338" s="1551"/>
      <c r="AH338" s="1558">
        <v>0</v>
      </c>
    </row>
    <row r="339" spans="1:34" s="1562" customFormat="1" ht="18.75" hidden="1" customHeight="1">
      <c r="A339" s="1706"/>
      <c r="B339" s="1706"/>
      <c r="C339" s="306" t="s">
        <v>1152</v>
      </c>
      <c r="D339" s="3439"/>
      <c r="E339" s="3207"/>
      <c r="F339" s="3377"/>
      <c r="G339" s="3414"/>
      <c r="H339" s="1427"/>
      <c r="I339" s="588" t="s">
        <v>1151</v>
      </c>
      <c r="J339" s="508"/>
      <c r="K339" s="1427"/>
      <c r="L339" s="152"/>
      <c r="M339" s="279"/>
      <c r="N339" s="272"/>
      <c r="O339" s="1551"/>
      <c r="P339" s="1551"/>
      <c r="AH339" s="1558">
        <v>0</v>
      </c>
    </row>
    <row r="340" spans="1:34" s="1562" customFormat="1" ht="0.75" hidden="1" customHeight="1">
      <c r="A340" s="1706"/>
      <c r="B340" s="1706"/>
      <c r="C340" s="306" t="s">
        <v>1161</v>
      </c>
      <c r="D340" s="3439"/>
      <c r="E340" s="3207"/>
      <c r="F340" s="3377"/>
      <c r="G340" s="337"/>
      <c r="H340" s="1427"/>
      <c r="I340" s="588"/>
      <c r="J340" s="508"/>
      <c r="K340" s="1427"/>
      <c r="L340" s="152"/>
      <c r="M340" s="279"/>
      <c r="N340" s="272"/>
      <c r="O340" s="1551"/>
      <c r="P340" s="1551"/>
      <c r="AH340" s="1558">
        <v>0</v>
      </c>
    </row>
    <row r="341" spans="1:34" s="1562" customFormat="1" ht="18.75" hidden="1" customHeight="1">
      <c r="A341" s="1706" t="s">
        <v>243</v>
      </c>
      <c r="B341" s="1706" t="s">
        <v>244</v>
      </c>
      <c r="C341" s="306"/>
      <c r="D341" s="3439"/>
      <c r="E341" s="3207"/>
      <c r="F341" s="3377" t="str">
        <f>INDEX(PT_DIFFERENTIATION_VTAR,MATCH(A341,PT_DIFFERENTIATION_VTAR_ID,0))</f>
        <v>Тариф на транспортировку воды</v>
      </c>
      <c r="G341" s="3414" t="str">
        <f>INDEX(PT_DIFFERENTIATION_NTAR,MATCH(B341,PT_DIFFERENTIATION_NTAR_ID,0))</f>
        <v/>
      </c>
      <c r="H341" s="1787"/>
      <c r="I341" s="1665"/>
      <c r="J341" s="1699"/>
      <c r="K341" s="1704"/>
      <c r="L341" s="1787" t="s">
        <v>314</v>
      </c>
      <c r="M341" s="279"/>
      <c r="N341" s="272"/>
      <c r="O341" s="1551"/>
      <c r="P341" s="1551"/>
      <c r="AH341" s="1558">
        <v>0</v>
      </c>
    </row>
    <row r="342" spans="1:34" s="1562" customFormat="1" ht="18.75" hidden="1" customHeight="1">
      <c r="A342" s="1706"/>
      <c r="B342" s="1706"/>
      <c r="C342" s="306" t="s">
        <v>1152</v>
      </c>
      <c r="D342" s="3439"/>
      <c r="E342" s="3207"/>
      <c r="F342" s="3377"/>
      <c r="G342" s="3414"/>
      <c r="H342" s="1427"/>
      <c r="I342" s="588" t="s">
        <v>1151</v>
      </c>
      <c r="J342" s="508"/>
      <c r="K342" s="1427"/>
      <c r="L342" s="152"/>
      <c r="M342" s="279"/>
      <c r="N342" s="272"/>
      <c r="O342" s="1551"/>
      <c r="P342" s="1551"/>
      <c r="AH342" s="1558">
        <v>0</v>
      </c>
    </row>
    <row r="343" spans="1:34" s="1562" customFormat="1" ht="0.75" hidden="1" customHeight="1">
      <c r="A343" s="1706"/>
      <c r="B343" s="1706"/>
      <c r="C343" s="306" t="s">
        <v>1161</v>
      </c>
      <c r="D343" s="3439"/>
      <c r="E343" s="3207"/>
      <c r="F343" s="3377"/>
      <c r="G343" s="337"/>
      <c r="H343" s="1427"/>
      <c r="I343" s="588"/>
      <c r="J343" s="508"/>
      <c r="K343" s="1427"/>
      <c r="L343" s="152"/>
      <c r="M343" s="279"/>
      <c r="N343" s="272"/>
      <c r="O343" s="1551"/>
      <c r="P343" s="1551"/>
      <c r="AH343" s="1558">
        <v>0</v>
      </c>
    </row>
    <row r="344" spans="1:34" s="1562" customFormat="1" ht="18.75" hidden="1" customHeight="1">
      <c r="A344" s="1706" t="s">
        <v>248</v>
      </c>
      <c r="B344" s="1706" t="s">
        <v>249</v>
      </c>
      <c r="C344" s="306"/>
      <c r="D344" s="3439"/>
      <c r="E344" s="3207"/>
      <c r="F344" s="3377" t="str">
        <f>INDEX(PT_DIFFERENTIATION_VTAR,MATCH(A344,PT_DIFFERENTIATION_VTAR_ID,0))</f>
        <v>Тариф на подвоз воды</v>
      </c>
      <c r="G344" s="3414" t="str">
        <f>INDEX(PT_DIFFERENTIATION_NTAR,MATCH(B344,PT_DIFFERENTIATION_NTAR_ID,0))</f>
        <v/>
      </c>
      <c r="H344" s="1787"/>
      <c r="I344" s="1665"/>
      <c r="J344" s="1699"/>
      <c r="K344" s="1704"/>
      <c r="L344" s="1787" t="s">
        <v>314</v>
      </c>
      <c r="M344" s="279"/>
      <c r="N344" s="272"/>
      <c r="O344" s="1551"/>
      <c r="P344" s="1551"/>
      <c r="AH344" s="1558">
        <v>0</v>
      </c>
    </row>
    <row r="345" spans="1:34" s="1562" customFormat="1" ht="18.75" hidden="1" customHeight="1">
      <c r="A345" s="1706"/>
      <c r="B345" s="1706"/>
      <c r="C345" s="306" t="s">
        <v>1152</v>
      </c>
      <c r="D345" s="3439"/>
      <c r="E345" s="3207"/>
      <c r="F345" s="3377"/>
      <c r="G345" s="3414"/>
      <c r="H345" s="1427"/>
      <c r="I345" s="588" t="s">
        <v>1151</v>
      </c>
      <c r="J345" s="508"/>
      <c r="K345" s="1427"/>
      <c r="L345" s="152"/>
      <c r="M345" s="279"/>
      <c r="N345" s="272"/>
      <c r="O345" s="1551"/>
      <c r="P345" s="1551"/>
      <c r="AH345" s="1558">
        <v>0</v>
      </c>
    </row>
    <row r="346" spans="1:34" s="1562" customFormat="1" ht="0.75" hidden="1" customHeight="1">
      <c r="A346" s="1706"/>
      <c r="B346" s="1706"/>
      <c r="C346" s="306" t="s">
        <v>1161</v>
      </c>
      <c r="D346" s="3439"/>
      <c r="E346" s="3207"/>
      <c r="F346" s="3377"/>
      <c r="G346" s="337"/>
      <c r="H346" s="1427"/>
      <c r="I346" s="588"/>
      <c r="J346" s="508"/>
      <c r="K346" s="1427"/>
      <c r="L346" s="152"/>
      <c r="M346" s="279"/>
      <c r="N346" s="272"/>
      <c r="O346" s="1551"/>
      <c r="P346" s="1551"/>
      <c r="AH346" s="1558">
        <v>0</v>
      </c>
    </row>
    <row r="347" spans="1:34" s="1562" customFormat="1" ht="18.75" hidden="1" customHeight="1">
      <c r="A347" s="1706" t="s">
        <v>253</v>
      </c>
      <c r="B347" s="1706" t="s">
        <v>254</v>
      </c>
      <c r="C347" s="306"/>
      <c r="D347" s="3439"/>
      <c r="E347" s="3207"/>
      <c r="F347" s="3377" t="str">
        <f>INDEX(PT_DIFFERENTIATION_VTAR,MATCH(A347,PT_DIFFERENTIATION_VTAR_ID,0))</f>
        <v>Тариф на подключение (технологическое присоединение) к централизованной системе холодного водоснабжения</v>
      </c>
      <c r="G347" s="3414" t="str">
        <f>INDEX(PT_DIFFERENTIATION_NTAR,MATCH(B347,PT_DIFFERENTIATION_NTAR_ID,0))</f>
        <v/>
      </c>
      <c r="H347" s="1787"/>
      <c r="I347" s="1665"/>
      <c r="J347" s="1699"/>
      <c r="K347" s="1704"/>
      <c r="L347" s="1787" t="s">
        <v>314</v>
      </c>
      <c r="M347" s="279"/>
      <c r="N347" s="272"/>
      <c r="O347" s="1551"/>
      <c r="P347" s="1551"/>
      <c r="AH347" s="1558">
        <v>0</v>
      </c>
    </row>
    <row r="348" spans="1:34" s="1562" customFormat="1" ht="18.75" hidden="1" customHeight="1">
      <c r="A348" s="1706"/>
      <c r="B348" s="1706"/>
      <c r="C348" s="306" t="s">
        <v>1152</v>
      </c>
      <c r="D348" s="3439"/>
      <c r="E348" s="3207"/>
      <c r="F348" s="3377"/>
      <c r="G348" s="3414"/>
      <c r="H348" s="1427"/>
      <c r="I348" s="588" t="s">
        <v>1151</v>
      </c>
      <c r="J348" s="508"/>
      <c r="K348" s="1427"/>
      <c r="L348" s="152"/>
      <c r="M348" s="279"/>
      <c r="N348" s="272"/>
      <c r="O348" s="1551"/>
      <c r="P348" s="1551"/>
      <c r="AH348" s="1558">
        <v>0</v>
      </c>
    </row>
    <row r="349" spans="1:34" s="1562" customFormat="1" ht="0.75" hidden="1" customHeight="1">
      <c r="A349" s="1706"/>
      <c r="B349" s="1706"/>
      <c r="C349" s="306" t="s">
        <v>1161</v>
      </c>
      <c r="D349" s="3439"/>
      <c r="E349" s="3207"/>
      <c r="F349" s="3377"/>
      <c r="G349" s="337"/>
      <c r="H349" s="1427"/>
      <c r="I349" s="588"/>
      <c r="J349" s="508"/>
      <c r="K349" s="1427"/>
      <c r="L349" s="152"/>
      <c r="M349" s="279"/>
      <c r="N349" s="272"/>
      <c r="O349" s="1551"/>
      <c r="P349" s="1551"/>
      <c r="AH349" s="1558">
        <v>0</v>
      </c>
    </row>
    <row r="350" spans="1:34" s="1562" customFormat="1" ht="18.75" hidden="1" customHeight="1">
      <c r="A350" s="1706" t="s">
        <v>258</v>
      </c>
      <c r="B350" s="1706" t="s">
        <v>259</v>
      </c>
      <c r="C350" s="306"/>
      <c r="D350" s="3439"/>
      <c r="E350" s="3207"/>
      <c r="F350" s="3377" t="str">
        <f>INDEX(PT_DIFFERENTIATION_VTAR,MATCH(A350,PT_DIFFERENTIATION_VTAR_ID,0))</f>
        <v>Тариф на горячую воду (горячее водоснабжение)</v>
      </c>
      <c r="G350" s="3414" t="str">
        <f>INDEX(PT_DIFFERENTIATION_NTAR,MATCH(B350,PT_DIFFERENTIATION_NTAR_ID,0))</f>
        <v/>
      </c>
      <c r="H350" s="1787"/>
      <c r="I350" s="1665"/>
      <c r="J350" s="1699"/>
      <c r="K350" s="1704"/>
      <c r="L350" s="1787" t="s">
        <v>314</v>
      </c>
      <c r="M350" s="279"/>
      <c r="N350" s="272"/>
      <c r="O350" s="1551"/>
      <c r="P350" s="1551"/>
      <c r="AH350" s="1558">
        <v>0</v>
      </c>
    </row>
    <row r="351" spans="1:34" s="1562" customFormat="1" ht="18.75" hidden="1" customHeight="1">
      <c r="A351" s="1706"/>
      <c r="B351" s="1706"/>
      <c r="C351" s="306" t="s">
        <v>1152</v>
      </c>
      <c r="D351" s="3439"/>
      <c r="E351" s="3207"/>
      <c r="F351" s="3377"/>
      <c r="G351" s="3414"/>
      <c r="H351" s="1427"/>
      <c r="I351" s="588" t="s">
        <v>1151</v>
      </c>
      <c r="J351" s="508"/>
      <c r="K351" s="1427"/>
      <c r="L351" s="152"/>
      <c r="M351" s="279"/>
      <c r="N351" s="272"/>
      <c r="O351" s="1551"/>
      <c r="P351" s="1551"/>
      <c r="AH351" s="1558">
        <v>0</v>
      </c>
    </row>
    <row r="352" spans="1:34" s="1562" customFormat="1" ht="0.75" hidden="1" customHeight="1">
      <c r="A352" s="1706"/>
      <c r="B352" s="1706"/>
      <c r="C352" s="306" t="s">
        <v>1161</v>
      </c>
      <c r="D352" s="3439"/>
      <c r="E352" s="3207"/>
      <c r="F352" s="3377"/>
      <c r="G352" s="337"/>
      <c r="H352" s="1427"/>
      <c r="I352" s="588"/>
      <c r="J352" s="508"/>
      <c r="K352" s="1427"/>
      <c r="L352" s="152"/>
      <c r="M352" s="279"/>
      <c r="N352" s="272"/>
      <c r="O352" s="1551"/>
      <c r="P352" s="1551"/>
      <c r="AH352" s="1558">
        <v>0</v>
      </c>
    </row>
    <row r="353" spans="1:34" s="1562" customFormat="1" ht="18.75" hidden="1" customHeight="1">
      <c r="A353" s="1706" t="s">
        <v>263</v>
      </c>
      <c r="B353" s="1706" t="s">
        <v>264</v>
      </c>
      <c r="C353" s="306"/>
      <c r="D353" s="3439"/>
      <c r="E353" s="3207"/>
      <c r="F353" s="3377" t="str">
        <f>INDEX(PT_DIFFERENTIATION_VTAR,MATCH(A353,PT_DIFFERENTIATION_VTAR_ID,0))</f>
        <v>Тариф на транспортировку горячей воды</v>
      </c>
      <c r="G353" s="3414" t="str">
        <f>INDEX(PT_DIFFERENTIATION_NTAR,MATCH(B353,PT_DIFFERENTIATION_NTAR_ID,0))</f>
        <v/>
      </c>
      <c r="H353" s="1787"/>
      <c r="I353" s="1665"/>
      <c r="J353" s="1699"/>
      <c r="K353" s="1704"/>
      <c r="L353" s="1787" t="s">
        <v>314</v>
      </c>
      <c r="M353" s="279"/>
      <c r="N353" s="272"/>
      <c r="O353" s="1551"/>
      <c r="P353" s="1551"/>
      <c r="AH353" s="1558">
        <v>0</v>
      </c>
    </row>
    <row r="354" spans="1:34" s="1562" customFormat="1" ht="18.75" hidden="1" customHeight="1">
      <c r="A354" s="1706"/>
      <c r="B354" s="1706"/>
      <c r="C354" s="306" t="s">
        <v>1152</v>
      </c>
      <c r="D354" s="3439"/>
      <c r="E354" s="3207"/>
      <c r="F354" s="3377"/>
      <c r="G354" s="3414"/>
      <c r="H354" s="1427"/>
      <c r="I354" s="588" t="s">
        <v>1151</v>
      </c>
      <c r="J354" s="508"/>
      <c r="K354" s="1427"/>
      <c r="L354" s="152"/>
      <c r="M354" s="279"/>
      <c r="N354" s="272"/>
      <c r="O354" s="1551"/>
      <c r="P354" s="1551"/>
      <c r="AH354" s="1558">
        <v>0</v>
      </c>
    </row>
    <row r="355" spans="1:34" s="1562" customFormat="1" ht="0.75" hidden="1" customHeight="1">
      <c r="A355" s="1706"/>
      <c r="B355" s="1706"/>
      <c r="C355" s="306" t="s">
        <v>1161</v>
      </c>
      <c r="D355" s="3439"/>
      <c r="E355" s="3207"/>
      <c r="F355" s="3377"/>
      <c r="G355" s="337"/>
      <c r="H355" s="1427"/>
      <c r="I355" s="588"/>
      <c r="J355" s="508"/>
      <c r="K355" s="1427"/>
      <c r="L355" s="152"/>
      <c r="M355" s="279"/>
      <c r="N355" s="272"/>
      <c r="O355" s="1551"/>
      <c r="P355" s="1551"/>
      <c r="AH355" s="1558">
        <v>0</v>
      </c>
    </row>
    <row r="356" spans="1:34" s="1562" customFormat="1" ht="18.75" hidden="1" customHeight="1">
      <c r="A356" s="1706" t="s">
        <v>268</v>
      </c>
      <c r="B356" s="1706" t="s">
        <v>269</v>
      </c>
      <c r="C356" s="306"/>
      <c r="D356" s="3439"/>
      <c r="E356" s="3207"/>
      <c r="F356" s="3377" t="str">
        <f>INDEX(PT_DIFFERENTIATION_VTAR,MATCH(A356,PT_DIFFERENTIATION_VTAR_ID,0))</f>
        <v>Тариф на подключение (технологическое присоединение) к централизованной системе горячего водоснабжения</v>
      </c>
      <c r="G356" s="3414" t="str">
        <f>INDEX(PT_DIFFERENTIATION_NTAR,MATCH(B356,PT_DIFFERENTIATION_NTAR_ID,0))</f>
        <v/>
      </c>
      <c r="H356" s="1787"/>
      <c r="I356" s="1665"/>
      <c r="J356" s="1699"/>
      <c r="K356" s="1704"/>
      <c r="L356" s="1787" t="s">
        <v>314</v>
      </c>
      <c r="M356" s="279"/>
      <c r="N356" s="272"/>
      <c r="O356" s="1551"/>
      <c r="P356" s="1551"/>
      <c r="AH356" s="1558">
        <v>0</v>
      </c>
    </row>
    <row r="357" spans="1:34" s="1562" customFormat="1" ht="18.75" hidden="1" customHeight="1">
      <c r="A357" s="1706"/>
      <c r="B357" s="1706"/>
      <c r="C357" s="306" t="s">
        <v>1152</v>
      </c>
      <c r="D357" s="3439"/>
      <c r="E357" s="3207"/>
      <c r="F357" s="3377"/>
      <c r="G357" s="3414"/>
      <c r="H357" s="1427"/>
      <c r="I357" s="588" t="s">
        <v>1151</v>
      </c>
      <c r="J357" s="508"/>
      <c r="K357" s="1427"/>
      <c r="L357" s="152"/>
      <c r="M357" s="279"/>
      <c r="N357" s="272"/>
      <c r="O357" s="1551"/>
      <c r="P357" s="1551"/>
      <c r="AH357" s="1558">
        <v>0</v>
      </c>
    </row>
    <row r="358" spans="1:34" s="1562" customFormat="1" ht="0.75" hidden="1" customHeight="1">
      <c r="A358" s="1706"/>
      <c r="B358" s="1706"/>
      <c r="C358" s="306" t="s">
        <v>1161</v>
      </c>
      <c r="D358" s="3439"/>
      <c r="E358" s="3207"/>
      <c r="F358" s="3377"/>
      <c r="G358" s="337"/>
      <c r="H358" s="1427"/>
      <c r="I358" s="588"/>
      <c r="J358" s="508"/>
      <c r="K358" s="1427"/>
      <c r="L358" s="152"/>
      <c r="M358" s="279"/>
      <c r="N358" s="272"/>
      <c r="O358" s="1551"/>
      <c r="P358" s="1551"/>
      <c r="AH358" s="1558">
        <v>0</v>
      </c>
    </row>
    <row r="359" spans="1:34" s="1562" customFormat="1" ht="18.75" hidden="1" customHeight="1">
      <c r="A359" s="1706" t="s">
        <v>273</v>
      </c>
      <c r="B359" s="1706" t="s">
        <v>274</v>
      </c>
      <c r="C359" s="306"/>
      <c r="D359" s="3439"/>
      <c r="E359" s="3207"/>
      <c r="F359" s="3377" t="str">
        <f>INDEX(PT_DIFFERENTIATION_VTAR,MATCH(A359,PT_DIFFERENTIATION_VTAR_ID,0))</f>
        <v>Тариф на водоотведение</v>
      </c>
      <c r="G359" s="3414" t="str">
        <f>INDEX(PT_DIFFERENTIATION_NTAR,MATCH(B359,PT_DIFFERENTIATION_NTAR_ID,0))</f>
        <v/>
      </c>
      <c r="H359" s="1787"/>
      <c r="I359" s="1665"/>
      <c r="J359" s="1699"/>
      <c r="K359" s="1704"/>
      <c r="L359" s="1787" t="s">
        <v>314</v>
      </c>
      <c r="M359" s="279"/>
      <c r="N359" s="272"/>
      <c r="O359" s="1551"/>
      <c r="P359" s="1551"/>
      <c r="AH359" s="1558">
        <v>0</v>
      </c>
    </row>
    <row r="360" spans="1:34" s="1562" customFormat="1" ht="18.75" hidden="1" customHeight="1">
      <c r="A360" s="1706"/>
      <c r="B360" s="1706"/>
      <c r="C360" s="306" t="s">
        <v>1152</v>
      </c>
      <c r="D360" s="3439"/>
      <c r="E360" s="3207"/>
      <c r="F360" s="3377"/>
      <c r="G360" s="3414"/>
      <c r="H360" s="1427"/>
      <c r="I360" s="588" t="s">
        <v>1151</v>
      </c>
      <c r="J360" s="508"/>
      <c r="K360" s="1427"/>
      <c r="L360" s="152"/>
      <c r="M360" s="279"/>
      <c r="N360" s="272"/>
      <c r="O360" s="1551"/>
      <c r="P360" s="1551"/>
      <c r="AH360" s="1558">
        <v>0</v>
      </c>
    </row>
    <row r="361" spans="1:34" s="1562" customFormat="1" ht="0.75" hidden="1" customHeight="1">
      <c r="A361" s="1706"/>
      <c r="B361" s="1706"/>
      <c r="C361" s="306" t="s">
        <v>1161</v>
      </c>
      <c r="D361" s="3439"/>
      <c r="E361" s="3207"/>
      <c r="F361" s="3377"/>
      <c r="G361" s="337"/>
      <c r="H361" s="1427"/>
      <c r="I361" s="588"/>
      <c r="J361" s="508"/>
      <c r="K361" s="1427"/>
      <c r="L361" s="152"/>
      <c r="M361" s="279"/>
      <c r="N361" s="272"/>
      <c r="O361" s="1551"/>
      <c r="P361" s="1551"/>
      <c r="AH361" s="1558">
        <v>0</v>
      </c>
    </row>
    <row r="362" spans="1:34" s="1562" customFormat="1" ht="18.75" hidden="1" customHeight="1">
      <c r="A362" s="1706" t="s">
        <v>278</v>
      </c>
      <c r="B362" s="1706" t="s">
        <v>279</v>
      </c>
      <c r="C362" s="306"/>
      <c r="D362" s="3439"/>
      <c r="E362" s="3207"/>
      <c r="F362" s="3377" t="str">
        <f>INDEX(PT_DIFFERENTIATION_VTAR,MATCH(A362,PT_DIFFERENTIATION_VTAR_ID,0))</f>
        <v>Тариф на транспортировку сточных вод</v>
      </c>
      <c r="G362" s="3414" t="str">
        <f>INDEX(PT_DIFFERENTIATION_NTAR,MATCH(B362,PT_DIFFERENTIATION_NTAR_ID,0))</f>
        <v/>
      </c>
      <c r="H362" s="1787"/>
      <c r="I362" s="1665"/>
      <c r="J362" s="1699"/>
      <c r="K362" s="1704"/>
      <c r="L362" s="1787" t="s">
        <v>314</v>
      </c>
      <c r="M362" s="279"/>
      <c r="N362" s="272"/>
      <c r="O362" s="1551"/>
      <c r="P362" s="1551"/>
      <c r="AH362" s="1558">
        <v>0</v>
      </c>
    </row>
    <row r="363" spans="1:34" s="1562" customFormat="1" ht="18.75" hidden="1" customHeight="1">
      <c r="A363" s="1706"/>
      <c r="B363" s="1706"/>
      <c r="C363" s="306" t="s">
        <v>1152</v>
      </c>
      <c r="D363" s="3439"/>
      <c r="E363" s="3207"/>
      <c r="F363" s="3377"/>
      <c r="G363" s="3414"/>
      <c r="H363" s="1427"/>
      <c r="I363" s="588" t="s">
        <v>1151</v>
      </c>
      <c r="J363" s="508"/>
      <c r="K363" s="1427"/>
      <c r="L363" s="152"/>
      <c r="M363" s="279"/>
      <c r="N363" s="272"/>
      <c r="O363" s="1551"/>
      <c r="P363" s="1551"/>
      <c r="AH363" s="1558">
        <v>0</v>
      </c>
    </row>
    <row r="364" spans="1:34" s="1562" customFormat="1" ht="0.75" hidden="1" customHeight="1">
      <c r="A364" s="1706"/>
      <c r="B364" s="1706"/>
      <c r="C364" s="306" t="s">
        <v>1161</v>
      </c>
      <c r="D364" s="3439"/>
      <c r="E364" s="3207"/>
      <c r="F364" s="3377"/>
      <c r="G364" s="337"/>
      <c r="H364" s="1427"/>
      <c r="I364" s="588"/>
      <c r="J364" s="508"/>
      <c r="K364" s="1427"/>
      <c r="L364" s="152"/>
      <c r="M364" s="279"/>
      <c r="N364" s="272"/>
      <c r="O364" s="1551"/>
      <c r="P364" s="1551"/>
      <c r="AH364" s="1558">
        <v>0</v>
      </c>
    </row>
    <row r="365" spans="1:34" s="1562" customFormat="1" ht="18.75" hidden="1" customHeight="1">
      <c r="A365" s="1706" t="s">
        <v>283</v>
      </c>
      <c r="B365" s="1706" t="s">
        <v>284</v>
      </c>
      <c r="C365" s="306"/>
      <c r="D365" s="3439"/>
      <c r="E365" s="3207"/>
      <c r="F365" s="3377" t="str">
        <f>INDEX(PT_DIFFERENTIATION_VTAR,MATCH(A365,PT_DIFFERENTIATION_VTAR_ID,0))</f>
        <v>Тариф на подключение (технологическое присоединение) к централизованной системе водоотведения</v>
      </c>
      <c r="G365" s="3414" t="str">
        <f>INDEX(PT_DIFFERENTIATION_NTAR,MATCH(B365,PT_DIFFERENTIATION_NTAR_ID,0))</f>
        <v/>
      </c>
      <c r="H365" s="1787"/>
      <c r="I365" s="1665"/>
      <c r="J365" s="1699"/>
      <c r="K365" s="1704"/>
      <c r="L365" s="1787" t="s">
        <v>314</v>
      </c>
      <c r="M365" s="279"/>
      <c r="N365" s="272"/>
      <c r="O365" s="1551"/>
      <c r="P365" s="1551"/>
      <c r="AH365" s="1558">
        <v>0</v>
      </c>
    </row>
    <row r="366" spans="1:34" s="1562" customFormat="1" ht="18.75" hidden="1" customHeight="1">
      <c r="A366" s="1706"/>
      <c r="B366" s="1706"/>
      <c r="C366" s="306" t="s">
        <v>1152</v>
      </c>
      <c r="D366" s="3439"/>
      <c r="E366" s="3207"/>
      <c r="F366" s="3377"/>
      <c r="G366" s="3414"/>
      <c r="H366" s="1427"/>
      <c r="I366" s="588" t="s">
        <v>1151</v>
      </c>
      <c r="J366" s="508"/>
      <c r="K366" s="1427"/>
      <c r="L366" s="152"/>
      <c r="M366" s="279"/>
      <c r="N366" s="272"/>
      <c r="O366" s="1551"/>
      <c r="P366" s="1551"/>
      <c r="AH366" s="1558">
        <v>0</v>
      </c>
    </row>
    <row r="367" spans="1:34" s="1562" customFormat="1" ht="1.1499999999999999" customHeight="1">
      <c r="A367" s="1706"/>
      <c r="B367" s="1706"/>
      <c r="C367" s="306" t="s">
        <v>1161</v>
      </c>
      <c r="D367" s="3439"/>
      <c r="E367" s="3207"/>
      <c r="F367" s="3377"/>
      <c r="G367" s="337"/>
      <c r="H367" s="1427"/>
      <c r="I367" s="588"/>
      <c r="J367" s="508"/>
      <c r="K367" s="1427"/>
      <c r="L367" s="152"/>
      <c r="M367" s="279"/>
      <c r="N367" s="272"/>
      <c r="O367" s="1551"/>
      <c r="P367" s="1551"/>
      <c r="AH367" s="1558">
        <v>1</v>
      </c>
    </row>
    <row r="368" spans="1:34" s="1748" customFormat="1" ht="3" customHeight="1">
      <c r="A368" s="1706"/>
      <c r="B368" s="1706"/>
      <c r="C368" s="1707"/>
      <c r="E368" s="339"/>
      <c r="F368" s="339"/>
      <c r="G368" s="339"/>
      <c r="H368" s="339"/>
      <c r="I368" s="339"/>
      <c r="J368" s="339"/>
      <c r="K368" s="339"/>
      <c r="L368" s="339"/>
      <c r="M368" s="339"/>
      <c r="O368" s="134"/>
      <c r="P368" s="134"/>
      <c r="AH368" s="79">
        <v>3</v>
      </c>
    </row>
    <row r="369" spans="1:34" ht="26.25" customHeight="1">
      <c r="E369" s="140"/>
      <c r="F369" s="3252"/>
      <c r="G369" s="3252"/>
      <c r="H369" s="3252"/>
      <c r="I369" s="3252"/>
      <c r="J369" s="3252"/>
      <c r="K369" s="3252"/>
      <c r="L369" s="3252"/>
      <c r="M369" s="3252"/>
      <c r="AH369" s="311">
        <v>25</v>
      </c>
    </row>
    <row r="370" spans="1:34" ht="14.25" hidden="1" customHeight="1">
      <c r="A370" s="1705" t="s">
        <v>79</v>
      </c>
      <c r="B370" s="1705">
        <v>0</v>
      </c>
      <c r="C370" s="306">
        <v>0</v>
      </c>
      <c r="D370" s="282">
        <v>3</v>
      </c>
      <c r="E370" s="311">
        <v>6</v>
      </c>
      <c r="F370" s="311">
        <v>46</v>
      </c>
      <c r="G370" s="311">
        <v>35</v>
      </c>
      <c r="H370" s="311">
        <v>3</v>
      </c>
      <c r="I370" s="311">
        <v>11</v>
      </c>
      <c r="J370" s="311">
        <v>11</v>
      </c>
      <c r="K370" s="311">
        <v>35</v>
      </c>
      <c r="L370" s="311">
        <v>35</v>
      </c>
      <c r="M370" s="311">
        <v>84</v>
      </c>
      <c r="N370" s="311">
        <v>10</v>
      </c>
      <c r="O370" s="287">
        <v>10</v>
      </c>
      <c r="P370" s="287">
        <v>10</v>
      </c>
      <c r="Q370" s="311">
        <v>10</v>
      </c>
      <c r="R370" s="311">
        <v>10</v>
      </c>
      <c r="S370" s="311">
        <v>10</v>
      </c>
      <c r="T370" s="311">
        <v>10</v>
      </c>
      <c r="U370" s="311">
        <v>10</v>
      </c>
      <c r="V370" s="311">
        <v>10</v>
      </c>
      <c r="W370" s="311">
        <v>10</v>
      </c>
      <c r="X370" s="311">
        <v>10</v>
      </c>
      <c r="Y370" s="311">
        <v>10</v>
      </c>
      <c r="Z370" s="311">
        <v>10</v>
      </c>
      <c r="AA370" s="311">
        <v>10</v>
      </c>
      <c r="AB370" s="311">
        <v>10</v>
      </c>
      <c r="AC370" s="311">
        <v>10</v>
      </c>
      <c r="AD370" s="311">
        <v>10</v>
      </c>
      <c r="AE370" s="311">
        <v>10</v>
      </c>
      <c r="AF370" s="311">
        <v>10</v>
      </c>
      <c r="AG370" s="311">
        <v>10</v>
      </c>
      <c r="AH370" s="311">
        <v>14</v>
      </c>
    </row>
  </sheetData>
  <sheetProtection formatColumns="0" formatRows="0" insertRows="0" deleteColumns="0" deleteRows="0" sort="0" autoFilter="0"/>
  <mergeCells count="433">
    <mergeCell ref="G101:G105"/>
    <mergeCell ref="G174:G178"/>
    <mergeCell ref="G244:G245"/>
    <mergeCell ref="G311:G312"/>
    <mergeCell ref="G119:G120"/>
    <mergeCell ref="G122:G123"/>
    <mergeCell ref="G128:G129"/>
    <mergeCell ref="G131:G132"/>
    <mergeCell ref="G262:G263"/>
    <mergeCell ref="G268:G269"/>
    <mergeCell ref="G271:G272"/>
    <mergeCell ref="G274:G275"/>
    <mergeCell ref="G225:G226"/>
    <mergeCell ref="G231:G232"/>
    <mergeCell ref="G235:G240"/>
    <mergeCell ref="G242:G243"/>
    <mergeCell ref="G247:G248"/>
    <mergeCell ref="G192:G193"/>
    <mergeCell ref="G195:G196"/>
    <mergeCell ref="G201:G202"/>
    <mergeCell ref="G250:G251"/>
    <mergeCell ref="G253:G254"/>
    <mergeCell ref="G256:G257"/>
    <mergeCell ref="G207:G208"/>
    <mergeCell ref="G210:G211"/>
    <mergeCell ref="G213:G214"/>
    <mergeCell ref="G216:G217"/>
    <mergeCell ref="G189:G190"/>
    <mergeCell ref="G353:G354"/>
    <mergeCell ref="G356:G357"/>
    <mergeCell ref="G359:G360"/>
    <mergeCell ref="G362:G363"/>
    <mergeCell ref="G344:G345"/>
    <mergeCell ref="G347:G348"/>
    <mergeCell ref="G350:G351"/>
    <mergeCell ref="G338:G339"/>
    <mergeCell ref="G289:G290"/>
    <mergeCell ref="G292:G293"/>
    <mergeCell ref="G295:G296"/>
    <mergeCell ref="G298:G299"/>
    <mergeCell ref="G302:G307"/>
    <mergeCell ref="G314:G315"/>
    <mergeCell ref="G317:G318"/>
    <mergeCell ref="G320:G321"/>
    <mergeCell ref="G323:G324"/>
    <mergeCell ref="G326:G327"/>
    <mergeCell ref="G329:G330"/>
    <mergeCell ref="G335:G336"/>
    <mergeCell ref="G332:G333"/>
    <mergeCell ref="G62:G63"/>
    <mergeCell ref="G65:G66"/>
    <mergeCell ref="G68:G69"/>
    <mergeCell ref="G71:G72"/>
    <mergeCell ref="G74:G75"/>
    <mergeCell ref="G77:G78"/>
    <mergeCell ref="G80:G81"/>
    <mergeCell ref="G83:G84"/>
    <mergeCell ref="G89:G94"/>
    <mergeCell ref="F365:F367"/>
    <mergeCell ref="M302:M309"/>
    <mergeCell ref="D359:D361"/>
    <mergeCell ref="E359:E361"/>
    <mergeCell ref="F359:F361"/>
    <mergeCell ref="D362:D364"/>
    <mergeCell ref="E362:E364"/>
    <mergeCell ref="F362:F364"/>
    <mergeCell ref="D353:D355"/>
    <mergeCell ref="E353:E355"/>
    <mergeCell ref="F353:F355"/>
    <mergeCell ref="D356:D358"/>
    <mergeCell ref="E356:E358"/>
    <mergeCell ref="F356:F358"/>
    <mergeCell ref="D347:D349"/>
    <mergeCell ref="E347:E349"/>
    <mergeCell ref="F347:F349"/>
    <mergeCell ref="D350:D352"/>
    <mergeCell ref="E350:E352"/>
    <mergeCell ref="F350:F352"/>
    <mergeCell ref="D341:D343"/>
    <mergeCell ref="E341:E343"/>
    <mergeCell ref="G365:G366"/>
    <mergeCell ref="G309:G310"/>
    <mergeCell ref="F295:F297"/>
    <mergeCell ref="F317:F319"/>
    <mergeCell ref="D335:D337"/>
    <mergeCell ref="E335:E337"/>
    <mergeCell ref="F335:F337"/>
    <mergeCell ref="D338:D340"/>
    <mergeCell ref="E338:E340"/>
    <mergeCell ref="F338:F340"/>
    <mergeCell ref="D326:D328"/>
    <mergeCell ref="E326:E328"/>
    <mergeCell ref="F326:F328"/>
    <mergeCell ref="D329:D331"/>
    <mergeCell ref="E329:E331"/>
    <mergeCell ref="F329:F331"/>
    <mergeCell ref="D332:D334"/>
    <mergeCell ref="E332:E334"/>
    <mergeCell ref="F332:F334"/>
    <mergeCell ref="D280:D282"/>
    <mergeCell ref="E280:E282"/>
    <mergeCell ref="F280:F282"/>
    <mergeCell ref="G277:G278"/>
    <mergeCell ref="G280:G281"/>
    <mergeCell ref="G283:G284"/>
    <mergeCell ref="D298:D300"/>
    <mergeCell ref="E298:E300"/>
    <mergeCell ref="F298:F300"/>
    <mergeCell ref="D289:D291"/>
    <mergeCell ref="E289:E291"/>
    <mergeCell ref="F289:F291"/>
    <mergeCell ref="D292:D294"/>
    <mergeCell ref="E292:E294"/>
    <mergeCell ref="F292:F294"/>
    <mergeCell ref="D283:D285"/>
    <mergeCell ref="E283:E285"/>
    <mergeCell ref="F283:F285"/>
    <mergeCell ref="D286:D288"/>
    <mergeCell ref="E286:E288"/>
    <mergeCell ref="F286:F288"/>
    <mergeCell ref="G286:G287"/>
    <mergeCell ref="D295:D297"/>
    <mergeCell ref="E295:E297"/>
    <mergeCell ref="D262:D264"/>
    <mergeCell ref="E262:E264"/>
    <mergeCell ref="F262:F264"/>
    <mergeCell ref="D268:D270"/>
    <mergeCell ref="E268:E270"/>
    <mergeCell ref="F268:F270"/>
    <mergeCell ref="D265:D267"/>
    <mergeCell ref="E265:E267"/>
    <mergeCell ref="F265:F267"/>
    <mergeCell ref="D271:D273"/>
    <mergeCell ref="E271:E273"/>
    <mergeCell ref="F271:F273"/>
    <mergeCell ref="G265:G266"/>
    <mergeCell ref="D277:D279"/>
    <mergeCell ref="E277:E279"/>
    <mergeCell ref="F277:F279"/>
    <mergeCell ref="D274:D276"/>
    <mergeCell ref="E274:E276"/>
    <mergeCell ref="F274:F276"/>
    <mergeCell ref="D256:D258"/>
    <mergeCell ref="E256:E258"/>
    <mergeCell ref="F256:F258"/>
    <mergeCell ref="D259:D261"/>
    <mergeCell ref="E259:E261"/>
    <mergeCell ref="F259:F261"/>
    <mergeCell ref="G259:G260"/>
    <mergeCell ref="D242:D246"/>
    <mergeCell ref="E242:E246"/>
    <mergeCell ref="F242:F246"/>
    <mergeCell ref="D250:D252"/>
    <mergeCell ref="E250:E252"/>
    <mergeCell ref="F250:F252"/>
    <mergeCell ref="D253:D255"/>
    <mergeCell ref="E253:E255"/>
    <mergeCell ref="F253:F255"/>
    <mergeCell ref="D219:D221"/>
    <mergeCell ref="E219:E221"/>
    <mergeCell ref="F219:F221"/>
    <mergeCell ref="D222:D224"/>
    <mergeCell ref="E222:E224"/>
    <mergeCell ref="F222:F224"/>
    <mergeCell ref="G219:G220"/>
    <mergeCell ref="G222:G223"/>
    <mergeCell ref="D247:D249"/>
    <mergeCell ref="E247:E249"/>
    <mergeCell ref="F247:F249"/>
    <mergeCell ref="D231:D233"/>
    <mergeCell ref="E231:E233"/>
    <mergeCell ref="F231:F233"/>
    <mergeCell ref="D235:D241"/>
    <mergeCell ref="E235:E241"/>
    <mergeCell ref="F235:F241"/>
    <mergeCell ref="D225:D227"/>
    <mergeCell ref="E225:E227"/>
    <mergeCell ref="F225:F227"/>
    <mergeCell ref="D228:D230"/>
    <mergeCell ref="E228:E230"/>
    <mergeCell ref="F228:F230"/>
    <mergeCell ref="G228:G229"/>
    <mergeCell ref="D201:D203"/>
    <mergeCell ref="E201:E203"/>
    <mergeCell ref="F201:F203"/>
    <mergeCell ref="D204:D206"/>
    <mergeCell ref="E204:E206"/>
    <mergeCell ref="F204:F206"/>
    <mergeCell ref="G204:G205"/>
    <mergeCell ref="D213:D215"/>
    <mergeCell ref="E213:E215"/>
    <mergeCell ref="F213:F215"/>
    <mergeCell ref="D216:D218"/>
    <mergeCell ref="E216:E218"/>
    <mergeCell ref="F216:F218"/>
    <mergeCell ref="D207:D209"/>
    <mergeCell ref="E207:E209"/>
    <mergeCell ref="F207:F209"/>
    <mergeCell ref="D210:D212"/>
    <mergeCell ref="E210:E212"/>
    <mergeCell ref="F210:F212"/>
    <mergeCell ref="F180:F182"/>
    <mergeCell ref="D183:D185"/>
    <mergeCell ref="E183:E185"/>
    <mergeCell ref="F183:F185"/>
    <mergeCell ref="D192:D194"/>
    <mergeCell ref="E192:E194"/>
    <mergeCell ref="F192:F194"/>
    <mergeCell ref="D195:D197"/>
    <mergeCell ref="E195:E197"/>
    <mergeCell ref="F195:F197"/>
    <mergeCell ref="G155:G156"/>
    <mergeCell ref="G158:G159"/>
    <mergeCell ref="G162:G167"/>
    <mergeCell ref="G169:G173"/>
    <mergeCell ref="D186:D188"/>
    <mergeCell ref="E186:E188"/>
    <mergeCell ref="F186:F188"/>
    <mergeCell ref="D189:D191"/>
    <mergeCell ref="E189:E191"/>
    <mergeCell ref="F189:F191"/>
    <mergeCell ref="D180:D182"/>
    <mergeCell ref="D169:D179"/>
    <mergeCell ref="E169:E179"/>
    <mergeCell ref="F169:F179"/>
    <mergeCell ref="D155:D157"/>
    <mergeCell ref="E155:E157"/>
    <mergeCell ref="F155:F157"/>
    <mergeCell ref="D158:D160"/>
    <mergeCell ref="E158:E160"/>
    <mergeCell ref="F158:F160"/>
    <mergeCell ref="D162:D168"/>
    <mergeCell ref="E162:E168"/>
    <mergeCell ref="F162:F168"/>
    <mergeCell ref="E180:E182"/>
    <mergeCell ref="D149:D151"/>
    <mergeCell ref="E149:E151"/>
    <mergeCell ref="F149:F151"/>
    <mergeCell ref="D152:D154"/>
    <mergeCell ref="E152:E154"/>
    <mergeCell ref="F152:F154"/>
    <mergeCell ref="D143:D145"/>
    <mergeCell ref="E143:E145"/>
    <mergeCell ref="F143:F145"/>
    <mergeCell ref="D146:D148"/>
    <mergeCell ref="E146:E148"/>
    <mergeCell ref="F146:F148"/>
    <mergeCell ref="D131:D133"/>
    <mergeCell ref="E131:E133"/>
    <mergeCell ref="F131:F133"/>
    <mergeCell ref="D134:D136"/>
    <mergeCell ref="E134:E136"/>
    <mergeCell ref="F134:F136"/>
    <mergeCell ref="G134:G135"/>
    <mergeCell ref="G137:G138"/>
    <mergeCell ref="G140:G141"/>
    <mergeCell ref="D137:D139"/>
    <mergeCell ref="E137:E139"/>
    <mergeCell ref="F137:F139"/>
    <mergeCell ref="D140:D142"/>
    <mergeCell ref="E140:E142"/>
    <mergeCell ref="F140:F142"/>
    <mergeCell ref="D128:D130"/>
    <mergeCell ref="E128:E130"/>
    <mergeCell ref="F128:F130"/>
    <mergeCell ref="D116:D118"/>
    <mergeCell ref="E116:E118"/>
    <mergeCell ref="F116:F118"/>
    <mergeCell ref="D119:D121"/>
    <mergeCell ref="E119:E121"/>
    <mergeCell ref="F119:F121"/>
    <mergeCell ref="E77:E79"/>
    <mergeCell ref="D80:D82"/>
    <mergeCell ref="E80:E82"/>
    <mergeCell ref="D107:D109"/>
    <mergeCell ref="E107:E109"/>
    <mergeCell ref="D122:D124"/>
    <mergeCell ref="E122:E124"/>
    <mergeCell ref="F122:F124"/>
    <mergeCell ref="F110:F112"/>
    <mergeCell ref="D113:D115"/>
    <mergeCell ref="E113:E115"/>
    <mergeCell ref="F113:F115"/>
    <mergeCell ref="D83:D85"/>
    <mergeCell ref="E83:E85"/>
    <mergeCell ref="F83:F85"/>
    <mergeCell ref="D89:D95"/>
    <mergeCell ref="E89:E95"/>
    <mergeCell ref="F89:F95"/>
    <mergeCell ref="D110:D112"/>
    <mergeCell ref="E110:E112"/>
    <mergeCell ref="F86:L86"/>
    <mergeCell ref="H87:I87"/>
    <mergeCell ref="F88:L88"/>
    <mergeCell ref="G116:G117"/>
    <mergeCell ref="D47:D49"/>
    <mergeCell ref="E47:E49"/>
    <mergeCell ref="F47:F49"/>
    <mergeCell ref="D65:D67"/>
    <mergeCell ref="E65:E67"/>
    <mergeCell ref="F65:F67"/>
    <mergeCell ref="D68:D70"/>
    <mergeCell ref="E68:E70"/>
    <mergeCell ref="F68:F70"/>
    <mergeCell ref="D59:D61"/>
    <mergeCell ref="E59:E61"/>
    <mergeCell ref="F59:F61"/>
    <mergeCell ref="D62:D64"/>
    <mergeCell ref="E62:E64"/>
    <mergeCell ref="F62:F64"/>
    <mergeCell ref="D53:D55"/>
    <mergeCell ref="E53:E55"/>
    <mergeCell ref="D56:D58"/>
    <mergeCell ref="E56:E58"/>
    <mergeCell ref="D50:D52"/>
    <mergeCell ref="G47:G48"/>
    <mergeCell ref="G53:G54"/>
    <mergeCell ref="G56:G57"/>
    <mergeCell ref="G59:G60"/>
    <mergeCell ref="M235:M242"/>
    <mergeCell ref="M89:M96"/>
    <mergeCell ref="F161:L161"/>
    <mergeCell ref="M162:M169"/>
    <mergeCell ref="F234:L234"/>
    <mergeCell ref="F53:F55"/>
    <mergeCell ref="F56:F58"/>
    <mergeCell ref="F77:F79"/>
    <mergeCell ref="F80:F82"/>
    <mergeCell ref="F96:F106"/>
    <mergeCell ref="F107:F109"/>
    <mergeCell ref="M24:M85"/>
    <mergeCell ref="G44:G45"/>
    <mergeCell ref="G143:G144"/>
    <mergeCell ref="G146:G147"/>
    <mergeCell ref="G149:G150"/>
    <mergeCell ref="G152:G153"/>
    <mergeCell ref="G180:G181"/>
    <mergeCell ref="G96:G100"/>
    <mergeCell ref="G107:G108"/>
    <mergeCell ref="F369:M369"/>
    <mergeCell ref="F301:L301"/>
    <mergeCell ref="D302:D308"/>
    <mergeCell ref="E302:E308"/>
    <mergeCell ref="F302:F308"/>
    <mergeCell ref="D309:D313"/>
    <mergeCell ref="E309:E313"/>
    <mergeCell ref="F309:F313"/>
    <mergeCell ref="D314:D316"/>
    <mergeCell ref="D320:D322"/>
    <mergeCell ref="E320:E322"/>
    <mergeCell ref="F320:F322"/>
    <mergeCell ref="D323:D325"/>
    <mergeCell ref="E323:E325"/>
    <mergeCell ref="F323:F325"/>
    <mergeCell ref="E314:E316"/>
    <mergeCell ref="F314:F316"/>
    <mergeCell ref="D317:D319"/>
    <mergeCell ref="E317:E319"/>
    <mergeCell ref="F341:F343"/>
    <mergeCell ref="D344:D346"/>
    <mergeCell ref="E344:E346"/>
    <mergeCell ref="D365:D367"/>
    <mergeCell ref="E365:E367"/>
    <mergeCell ref="F344:F346"/>
    <mergeCell ref="G341:G342"/>
    <mergeCell ref="D44:D46"/>
    <mergeCell ref="E44:E46"/>
    <mergeCell ref="F44:F46"/>
    <mergeCell ref="D27:D31"/>
    <mergeCell ref="E27:E31"/>
    <mergeCell ref="F27:F31"/>
    <mergeCell ref="D32:D34"/>
    <mergeCell ref="E32:E34"/>
    <mergeCell ref="F32:F34"/>
    <mergeCell ref="D35:D37"/>
    <mergeCell ref="E35:E37"/>
    <mergeCell ref="F35:F37"/>
    <mergeCell ref="G27:G28"/>
    <mergeCell ref="G32:G33"/>
    <mergeCell ref="G35:G36"/>
    <mergeCell ref="G38:G39"/>
    <mergeCell ref="G41:G42"/>
    <mergeCell ref="D38:D40"/>
    <mergeCell ref="E38:E40"/>
    <mergeCell ref="F38:F40"/>
    <mergeCell ref="D41:D43"/>
    <mergeCell ref="E41:E43"/>
    <mergeCell ref="F41:F43"/>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50:G51"/>
    <mergeCell ref="D125:D127"/>
    <mergeCell ref="E125:E127"/>
    <mergeCell ref="F125:F127"/>
    <mergeCell ref="G125:G126"/>
    <mergeCell ref="D198:D200"/>
    <mergeCell ref="E198:E200"/>
    <mergeCell ref="F198:F200"/>
    <mergeCell ref="G198:G199"/>
    <mergeCell ref="D71:D73"/>
    <mergeCell ref="E71:E73"/>
    <mergeCell ref="F71:F73"/>
    <mergeCell ref="D96:D106"/>
    <mergeCell ref="E96:E106"/>
    <mergeCell ref="D74:D76"/>
    <mergeCell ref="E74:E76"/>
    <mergeCell ref="F74:F76"/>
    <mergeCell ref="G183:G184"/>
    <mergeCell ref="G186:G187"/>
    <mergeCell ref="E50:E52"/>
    <mergeCell ref="F50:F52"/>
    <mergeCell ref="G110:G111"/>
    <mergeCell ref="G113:G114"/>
    <mergeCell ref="D77:D7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7:J27 I32:J32 I35:J35 I38:J38 I44:J44 I47:J47 I53:J53 I56:J56 I59:J59 I62:J62 I65:J65 I68:J68 I71:J71 I74:J74 I77:J77 I80:J80 I235:J239 I242:J242 I247:J247 I250:J250 I253:J253 I256:J256 I259:J259 I262:J262 I268:J268 I271:J271 I274:J274 I277:J277 I280:J280 I283:J283 I286:J286 I289:J289 I292:J292 I8:J8 I83:J83 I158:J158 I96:J99 I107:J107 I110:J110 I113:J113 I116:J116 I119:J119 I122:J122 I128:J128 I131:J131 I134:J134 I137:J137 I140:J140 I143:J143 I146:J146 I149:J149 I152:J152 I155:J155 I162:J166 I89:J93 I169:J172 I180:J180 I183:J183 I186:J186 I189:J189 I192:J192 I195:J195 I201:J201 I204:J204 I207:J207 I210:J210 I213:J213 I219:J219 I222:J222 I225:J225 I228:J228 I231:J231 I216:J216 I295:J295 I298:J298 I302:J306 I309:J309 I314:J314 I317:J317 I320:J320 I323:J323 I326:J326 I329:J329 I335:J335 I338:J338 I341:J341 I344:J344 I347:J347 I350:J350 I353:J353 I356:J356 I359:J359 I362:J362 I365:J365 I2:J2 I5:J5 I50:J50 I125:J125 I198:J198 I265:J265 I332:J332 I29 J29 I101:I104 J101:J104 I174:I177 J174:J177 I244 J244 I311 J311"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62 M167 M235 M240 M23 M89 M94 M302 M307" xr:uid="{00000000-0002-0000-2F00-000002000000}">
      <formula1>900</formula1>
    </dataValidation>
    <dataValidation type="decimal" allowBlank="1" showErrorMessage="1" errorTitle="Ошибка" error="Допускается ввод только действительных чисел!" sqref="K235:K239 K242 K247 K250 K253 K256 K259 K262 K268 K271 K274 K277 K280 K283 K286 K289 K292 K295 K10 K89:K93 K155 K152 K149 K146 K143 K140 K137 K134 K131 K128 K122 K119 K116 K113 K110 K107 K96:K99 K162:K166 K158 K169:K172 K180 K183 K186 K189 K192 K195 K201 K204 K207 K210 K213 K219 K222 K225 K228 K231 K216 K298 K302:K306 K309 K314 K317 K320 K323 K326 K329 K335 K338 K341 K344 K347 K350 K353 K356 K359 K362 K365 K5 K125 K198 K265 K332 K101:K104 K174:K177 K244 K311" xr:uid="{00000000-0002-0000-2F00-000003000000}">
      <formula1>-9.99999999999999E+23</formula1>
      <formula2>9.99999999999999E+23</formula2>
    </dataValidation>
  </dataValidations>
  <hyperlinks>
    <hyperlink ref="L87" r:id="rId1" xr:uid="{35D60EF3-DA74-D388-E74A-5B5B84605BBF}"/>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8D505-768C-EB5E-541A-3D790F108931}">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3" sqref="F13"/>
    </sheetView>
  </sheetViews>
  <sheetFormatPr defaultColWidth="10.5703125" defaultRowHeight="14.25" customHeight="1"/>
  <cols>
    <col min="1" max="1" width="9.140625" style="2015"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169</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316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64"/>
      <c r="F5" s="3164"/>
      <c r="G5" s="3165"/>
      <c r="H5" s="204"/>
      <c r="R5" s="311">
        <v>33</v>
      </c>
    </row>
    <row r="6" spans="1:18" s="1562" customFormat="1" ht="18" customHeight="1">
      <c r="A6" s="1596"/>
      <c r="B6" s="1087"/>
      <c r="C6" s="313"/>
      <c r="D6" s="3226" t="str">
        <f>IF(org=0,"Не определено",org)</f>
        <v>АО Нижневартовская ГРЭС</v>
      </c>
      <c r="E6" s="3227"/>
      <c r="F6" s="3227"/>
      <c r="G6" s="3228"/>
      <c r="H6" s="204"/>
      <c r="J6" s="1551"/>
      <c r="K6" s="1551"/>
      <c r="R6" s="1558">
        <v>17</v>
      </c>
    </row>
    <row r="7" spans="1:18" ht="14.65" customHeight="1">
      <c r="C7" s="313"/>
      <c r="D7" s="300"/>
      <c r="E7" s="326"/>
      <c r="F7" s="326"/>
      <c r="G7" s="689"/>
      <c r="H7" s="131"/>
      <c r="R7" s="311">
        <v>14</v>
      </c>
    </row>
    <row r="8" spans="1:18" ht="14.65" customHeight="1">
      <c r="C8" s="313"/>
      <c r="D8" s="3212" t="s">
        <v>308</v>
      </c>
      <c r="E8" s="3212"/>
      <c r="F8" s="3212"/>
      <c r="G8" s="3212"/>
      <c r="H8" s="3387" t="s">
        <v>309</v>
      </c>
      <c r="R8" s="311">
        <v>14</v>
      </c>
    </row>
    <row r="9" spans="1:18" ht="24" customHeight="1">
      <c r="C9" s="313"/>
      <c r="D9" s="323" t="s">
        <v>85</v>
      </c>
      <c r="E9" s="48" t="s">
        <v>310</v>
      </c>
      <c r="F9" s="48" t="s">
        <v>311</v>
      </c>
      <c r="G9" s="48" t="s">
        <v>398</v>
      </c>
      <c r="H9" s="3387"/>
      <c r="R9" s="311">
        <v>23</v>
      </c>
    </row>
    <row r="10" spans="1:18" ht="67.5" customHeight="1">
      <c r="A10" s="281"/>
      <c r="C10" s="313"/>
      <c r="D10" s="85" t="s">
        <v>107</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1162</v>
      </c>
      <c r="G10" s="2921" t="s">
        <v>1163</v>
      </c>
      <c r="H10" s="3155" t="s">
        <v>1164</v>
      </c>
      <c r="R10" s="311">
        <v>14</v>
      </c>
    </row>
    <row r="11" spans="1:18" ht="67.5" customHeight="1">
      <c r="A11" s="281"/>
      <c r="C11" s="313"/>
      <c r="D11" s="85" t="s">
        <v>108</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1165</v>
      </c>
      <c r="G11" s="2921" t="s">
        <v>1166</v>
      </c>
      <c r="H11" s="3156"/>
      <c r="R11" s="311">
        <v>14</v>
      </c>
    </row>
    <row r="12" spans="1:18" ht="154.5" customHeight="1">
      <c r="A12" s="42"/>
      <c r="C12" s="324"/>
      <c r="D12" s="85" t="s">
        <v>87</v>
      </c>
      <c r="E12" s="325" t="str">
        <f>"Сведения о планировании закупочных процедур"&amp;IF(TEMPLATE_SPHERE="TKO"," &lt;1&gt;","")</f>
        <v>Сведения о планировании закупочных процедур</v>
      </c>
      <c r="F12" s="195" t="s">
        <v>1167</v>
      </c>
      <c r="G12" s="2921" t="s">
        <v>1168</v>
      </c>
      <c r="H12" s="315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21.5" customHeight="1">
      <c r="A13" s="42"/>
      <c r="C13" s="324"/>
      <c r="D13" s="85" t="s">
        <v>88</v>
      </c>
      <c r="E13" s="325" t="str">
        <f>"Сведения о результатах проведения закупочных процедур"&amp;IF(TEMPLATE_SPHERE="TKO"," &lt;1&gt;","")</f>
        <v>Сведения о результатах проведения закупочных процедур</v>
      </c>
      <c r="F13" s="195" t="s">
        <v>1169</v>
      </c>
      <c r="G13" s="2921" t="s">
        <v>1170</v>
      </c>
      <c r="H13" s="3156"/>
      <c r="I13" s="287"/>
      <c r="K13" s="311"/>
      <c r="R13" s="311">
        <v>14</v>
      </c>
    </row>
    <row r="14" spans="1:18" ht="14.65" customHeight="1">
      <c r="A14" s="281"/>
      <c r="C14" s="313"/>
      <c r="D14" s="285"/>
      <c r="E14" s="332" t="s">
        <v>330</v>
      </c>
      <c r="F14" s="286"/>
      <c r="G14" s="139"/>
      <c r="H14" s="315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3252"/>
      <c r="F16" s="3252"/>
      <c r="G16" s="3252"/>
      <c r="H16" s="3252"/>
      <c r="R16" s="311">
        <v>14</v>
      </c>
    </row>
    <row r="17" spans="1:18" ht="22.5" hidden="1" customHeight="1">
      <c r="A17" s="301" t="s">
        <v>79</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hyperlinks>
    <hyperlink ref="G10" r:id="rId1" xr:uid="{F4CA9EFA-C1DA-D6C8-FE5C-EBFBC4EB8C14}"/>
    <hyperlink ref="G11" r:id="rId2" xr:uid="{A8752126-53CD-653D-95EF-4A7E61C6C07D}"/>
    <hyperlink ref="G12" r:id="rId3" xr:uid="{A075E1CF-CABE-D31C-8298-5967EFD7FA8C}"/>
    <hyperlink ref="G13" r:id="rId4" xr:uid="{4239C9F4-EE5F-ACEF-30C7-6B5577F20D0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F607E-0997-97D6-5821-B6723344E4AB}">
  <sheetPr>
    <tabColor rgb="FFCCCCFF"/>
  </sheetPr>
  <dimension ref="A1:AR150"/>
  <sheetViews>
    <sheetView showGridLines="0" zoomScale="90" workbookViewId="0">
      <pane xSplit="6" ySplit="12" topLeftCell="I13" activePane="bottomRight" state="frozen"/>
      <selection pane="topRight" activeCell="G1" sqref="G1"/>
      <selection pane="bottomLeft" activeCell="A13" sqref="A13"/>
      <selection pane="bottomRight" activeCell="J32" sqref="J32:J35"/>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1" width="4.140625" style="1778" customWidth="1"/>
    <col min="12" max="12" width="3" style="1778" customWidth="1"/>
    <col min="13" max="13" width="5" style="1778" customWidth="1"/>
    <col min="14" max="14" width="28" style="1778" customWidth="1"/>
    <col min="15" max="15" width="4" style="1778" customWidth="1"/>
    <col min="16"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3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164"/>
      <c r="F5" s="3164"/>
      <c r="G5" s="3164"/>
      <c r="H5" s="3164"/>
      <c r="I5" s="3164"/>
      <c r="J5" s="3165"/>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3169" t="str">
        <f>IF(org=0,"Не определено",org)</f>
        <v>АО Нижневартовская ГРЭС</v>
      </c>
      <c r="E6" s="3169"/>
      <c r="F6" s="3169"/>
      <c r="G6" s="3169"/>
      <c r="H6" s="3169"/>
      <c r="I6" s="3169"/>
      <c r="J6" s="316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3166"/>
      <c r="E7" s="3167"/>
      <c r="F7" s="3167"/>
      <c r="G7" s="3167"/>
      <c r="H7" s="3167"/>
      <c r="I7" s="3167"/>
      <c r="J7" s="3168"/>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3111" t="s">
        <v>85</v>
      </c>
      <c r="E9" s="3093" t="s">
        <v>120</v>
      </c>
      <c r="F9" s="3092"/>
      <c r="G9" s="3111" t="s">
        <v>103</v>
      </c>
      <c r="H9" s="3111" t="s">
        <v>85</v>
      </c>
      <c r="I9" s="3111"/>
      <c r="J9" s="3111" t="s">
        <v>121</v>
      </c>
      <c r="K9" s="3172" t="s">
        <v>122</v>
      </c>
      <c r="L9" s="3172"/>
      <c r="M9" s="3172"/>
      <c r="N9" s="3172"/>
      <c r="O9" s="3172" t="s">
        <v>123</v>
      </c>
      <c r="P9" s="3172"/>
      <c r="Q9" s="3172"/>
      <c r="R9" s="3172"/>
      <c r="S9" s="3172" t="s">
        <v>124</v>
      </c>
      <c r="T9" s="3172"/>
      <c r="U9" s="3172"/>
      <c r="V9" s="3172"/>
      <c r="W9" s="3111" t="s">
        <v>125</v>
      </c>
      <c r="AR9" s="44">
        <v>27</v>
      </c>
    </row>
    <row r="10" spans="1:44" ht="31.5" customHeight="1">
      <c r="D10" s="3111"/>
      <c r="E10" s="1211" t="s">
        <v>86</v>
      </c>
      <c r="F10" s="1211" t="s">
        <v>126</v>
      </c>
      <c r="G10" s="3111"/>
      <c r="H10" s="3111"/>
      <c r="I10" s="3111"/>
      <c r="J10" s="3111"/>
      <c r="K10" s="50" t="s">
        <v>106</v>
      </c>
      <c r="L10" s="3111" t="s">
        <v>85</v>
      </c>
      <c r="M10" s="3111"/>
      <c r="N10" s="50" t="s">
        <v>127</v>
      </c>
      <c r="O10" s="50" t="s">
        <v>106</v>
      </c>
      <c r="P10" s="3111" t="s">
        <v>85</v>
      </c>
      <c r="Q10" s="3111"/>
      <c r="R10" s="50" t="s">
        <v>127</v>
      </c>
      <c r="S10" s="221" t="s">
        <v>106</v>
      </c>
      <c r="T10" s="3111" t="s">
        <v>85</v>
      </c>
      <c r="U10" s="3111"/>
      <c r="V10" s="221" t="s">
        <v>86</v>
      </c>
      <c r="W10" s="3111"/>
      <c r="Z10" s="1186" t="s">
        <v>128</v>
      </c>
      <c r="AA10" s="1186" t="s">
        <v>129</v>
      </c>
      <c r="AB10" s="1186" t="s">
        <v>130</v>
      </c>
      <c r="AC10" s="1186" t="s">
        <v>131</v>
      </c>
      <c r="AD10" s="1186" t="s">
        <v>132</v>
      </c>
      <c r="AE10" s="1186" t="s">
        <v>133</v>
      </c>
      <c r="AF10" s="1186" t="s">
        <v>134</v>
      </c>
      <c r="AG10" s="1186" t="s">
        <v>135</v>
      </c>
      <c r="AH10" s="1186" t="s">
        <v>136</v>
      </c>
      <c r="AI10" s="1186" t="s">
        <v>137</v>
      </c>
      <c r="AJ10" s="1186" t="s">
        <v>138</v>
      </c>
      <c r="AK10" s="1186" t="s">
        <v>139</v>
      </c>
      <c r="AL10" s="1186" t="s">
        <v>140</v>
      </c>
      <c r="AM10" s="1186" t="s">
        <v>141</v>
      </c>
      <c r="AN10" s="1186" t="s">
        <v>142</v>
      </c>
      <c r="AO10" s="1186" t="s">
        <v>143</v>
      </c>
      <c r="AP10" s="1186" t="s">
        <v>144</v>
      </c>
      <c r="AQ10" s="1186" t="s">
        <v>145</v>
      </c>
      <c r="AR10" s="44">
        <v>30</v>
      </c>
    </row>
    <row r="11" spans="1:44" s="1551" customFormat="1" ht="12" hidden="1" customHeight="1">
      <c r="D11" s="1176" t="s">
        <v>107</v>
      </c>
      <c r="E11" s="1176" t="s">
        <v>108</v>
      </c>
      <c r="F11" s="1176"/>
      <c r="G11" s="1176" t="s">
        <v>87</v>
      </c>
      <c r="H11" s="3162" t="s">
        <v>109</v>
      </c>
      <c r="I11" s="3162"/>
      <c r="J11" s="1176" t="s">
        <v>89</v>
      </c>
      <c r="K11" s="1176" t="s">
        <v>90</v>
      </c>
      <c r="L11" s="3162" t="s">
        <v>110</v>
      </c>
      <c r="M11" s="3162"/>
      <c r="N11" s="1176" t="s">
        <v>146</v>
      </c>
      <c r="O11" s="1176" t="s">
        <v>147</v>
      </c>
      <c r="P11" s="3162" t="s">
        <v>148</v>
      </c>
      <c r="Q11" s="3162"/>
      <c r="R11" s="1176" t="s">
        <v>149</v>
      </c>
      <c r="S11" s="1176" t="s">
        <v>148</v>
      </c>
      <c r="T11" s="3162" t="s">
        <v>149</v>
      </c>
      <c r="U11" s="3162"/>
      <c r="V11" s="1176" t="s">
        <v>150</v>
      </c>
      <c r="W11" s="1176" t="s">
        <v>151</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3144">
        <v>1</v>
      </c>
      <c r="E13" s="3133" t="s">
        <v>152</v>
      </c>
      <c r="F13" s="3146" t="s">
        <v>19</v>
      </c>
      <c r="G13" s="3170" t="s">
        <v>28</v>
      </c>
      <c r="H13" s="3135"/>
      <c r="I13" s="3137"/>
      <c r="J13" s="3139"/>
      <c r="K13" s="3131"/>
      <c r="L13" s="3131"/>
      <c r="M13" s="3131"/>
      <c r="N13" s="3142"/>
      <c r="O13" s="3131"/>
      <c r="P13" s="3131"/>
      <c r="Q13" s="3131"/>
      <c r="R13" s="3129"/>
      <c r="S13" s="3131"/>
      <c r="T13" s="2001"/>
      <c r="U13" s="2001"/>
      <c r="V13" s="2019"/>
      <c r="W13" s="1223"/>
      <c r="Y13" s="1194"/>
      <c r="Z13" s="1194"/>
      <c r="AA13" s="1194"/>
      <c r="AB13" s="1194"/>
      <c r="AC13" s="1194" t="s">
        <v>153</v>
      </c>
      <c r="AD13" s="1194" t="s">
        <v>154</v>
      </c>
      <c r="AE13" s="1194" t="s">
        <v>155</v>
      </c>
      <c r="AF13" s="1194" t="s">
        <v>156</v>
      </c>
      <c r="AG13" s="1194" t="s">
        <v>157</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3144"/>
      <c r="E14" s="3133"/>
      <c r="F14" s="3147"/>
      <c r="G14" s="3170" t="s">
        <v>28</v>
      </c>
      <c r="H14" s="3136"/>
      <c r="I14" s="3138"/>
      <c r="J14" s="3140"/>
      <c r="K14" s="3132"/>
      <c r="L14" s="3132"/>
      <c r="M14" s="3132"/>
      <c r="N14" s="3143"/>
      <c r="O14" s="3132"/>
      <c r="P14" s="3132"/>
      <c r="Q14" s="3132"/>
      <c r="R14" s="3130"/>
      <c r="S14" s="3132"/>
      <c r="T14" s="2003"/>
      <c r="U14" s="2003"/>
      <c r="V14" s="2003"/>
      <c r="W14" s="2004"/>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3144"/>
      <c r="E15" s="3133"/>
      <c r="F15" s="3147"/>
      <c r="G15" s="3170" t="s">
        <v>28</v>
      </c>
      <c r="H15" s="3136"/>
      <c r="I15" s="3138"/>
      <c r="J15" s="3141"/>
      <c r="K15" s="3132"/>
      <c r="L15" s="3132"/>
      <c r="M15" s="3132"/>
      <c r="N15" s="3130"/>
      <c r="O15" s="3132"/>
      <c r="P15" s="2002"/>
      <c r="Q15" s="2003"/>
      <c r="R15" s="2003"/>
      <c r="W15" s="2004"/>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3144"/>
      <c r="E16" s="3133"/>
      <c r="F16" s="3147"/>
      <c r="G16" s="3170" t="s">
        <v>28</v>
      </c>
      <c r="H16" s="3136"/>
      <c r="I16" s="3138"/>
      <c r="J16" s="3141"/>
      <c r="K16" s="3132"/>
      <c r="L16" s="2003"/>
      <c r="M16" s="2003"/>
      <c r="N16" s="2003"/>
      <c r="O16" s="2003"/>
      <c r="P16" s="2003"/>
      <c r="Q16" s="2003"/>
      <c r="R16" s="2003"/>
      <c r="W16" s="2004"/>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3145"/>
      <c r="E17" s="3134"/>
      <c r="F17" s="3148"/>
      <c r="G17" s="3171" t="s">
        <v>28</v>
      </c>
      <c r="H17" s="1226"/>
      <c r="I17" s="2005"/>
      <c r="J17" s="2005"/>
      <c r="K17" s="2005"/>
      <c r="L17" s="2005"/>
      <c r="M17" s="2005"/>
      <c r="N17" s="2005"/>
      <c r="O17" s="2005"/>
      <c r="P17" s="2005"/>
      <c r="Q17" s="2005"/>
      <c r="R17" s="2005"/>
      <c r="S17" s="1779"/>
      <c r="T17" s="1779"/>
      <c r="U17" s="1779"/>
      <c r="V17" s="1779"/>
      <c r="W17" s="2006"/>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3144">
        <v>2</v>
      </c>
      <c r="E18" s="3159" t="s">
        <v>158</v>
      </c>
      <c r="F18" s="3146" t="s">
        <v>67</v>
      </c>
      <c r="G18" s="3173" t="str">
        <f>INDEX(VD_NAME_LIST,MATCH("4190064",VD_ID_LIST,0))&amp;"; "&amp;INDEX(VD_NAME_LIST,MATCH("4190066",VD_ID_LIST,0))&amp;"; "&amp;INDEX(VD_NAME_LIST,MATCH("4190068",VD_ID_LIST,0))&amp;"; "&amp;INDEX(VD_NAME_LIST,MATCH("4190070",VD_ID_LIST,0))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18" s="3182"/>
      <c r="I18" s="3182">
        <v>1</v>
      </c>
      <c r="J18" s="3180" t="s">
        <v>159</v>
      </c>
      <c r="K18" s="3176" t="s">
        <v>19</v>
      </c>
      <c r="L18" s="3122"/>
      <c r="M18" s="3122" t="s">
        <v>107</v>
      </c>
      <c r="N18" s="3179" t="s">
        <v>28</v>
      </c>
      <c r="O18" s="3176" t="s">
        <v>19</v>
      </c>
      <c r="P18" s="3122"/>
      <c r="Q18" s="3122" t="s">
        <v>107</v>
      </c>
      <c r="R18" s="3178" t="s">
        <v>28</v>
      </c>
      <c r="S18" s="3121" t="s">
        <v>19</v>
      </c>
      <c r="T18" s="1999"/>
      <c r="U18" s="1999" t="s">
        <v>107</v>
      </c>
      <c r="V18" s="2037" t="s">
        <v>28</v>
      </c>
      <c r="W18" s="2017"/>
      <c r="X18" s="1194"/>
      <c r="Y18" s="1194"/>
      <c r="Z18" s="1194"/>
      <c r="AA18" s="1194"/>
      <c r="AB18" s="1194" t="s">
        <v>160</v>
      </c>
      <c r="AC18" s="1194" t="s">
        <v>161</v>
      </c>
      <c r="AD18" s="1194" t="s">
        <v>162</v>
      </c>
      <c r="AE18" s="1194" t="s">
        <v>163</v>
      </c>
      <c r="AF18" s="1194" t="s">
        <v>164</v>
      </c>
      <c r="AG18" s="1194" t="s">
        <v>165</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18" s="1194" t="str">
        <f>IF($J$18=0,"",$J$18)</f>
        <v>Тарифы на тепловую  энергию (мощность) для потребителей, в случае отсутствия дифференциации тарифов по схеме подключения на территории городского поселения Излучинск Нижневартовского района поселок городского типа Излучинск</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3144"/>
      <c r="E19" s="3159"/>
      <c r="F19" s="3147"/>
      <c r="G19" s="3173" t="s">
        <v>28</v>
      </c>
      <c r="H19" s="3182"/>
      <c r="I19" s="3182"/>
      <c r="J19" s="3180"/>
      <c r="K19" s="3177"/>
      <c r="L19" s="3122"/>
      <c r="M19" s="3122"/>
      <c r="N19" s="3179" t="s">
        <v>28</v>
      </c>
      <c r="O19" s="3177"/>
      <c r="P19" s="3122"/>
      <c r="Q19" s="3122"/>
      <c r="R19" s="3178" t="s">
        <v>28</v>
      </c>
      <c r="S19" s="3121"/>
      <c r="T19" s="2038"/>
      <c r="U19" s="2039"/>
      <c r="V19" s="2040" t="s">
        <v>166</v>
      </c>
      <c r="W19" s="2041"/>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3145"/>
      <c r="E20" s="3160"/>
      <c r="F20" s="3147"/>
      <c r="G20" s="3174" t="s">
        <v>28</v>
      </c>
      <c r="H20" s="3145"/>
      <c r="I20" s="3145"/>
      <c r="J20" s="3181"/>
      <c r="K20" s="3177"/>
      <c r="L20" s="3145"/>
      <c r="M20" s="3145"/>
      <c r="N20" s="3178" t="s">
        <v>28</v>
      </c>
      <c r="O20" s="3126"/>
      <c r="P20" s="2042"/>
      <c r="Q20" s="2043"/>
      <c r="R20" s="2044" t="s">
        <v>167</v>
      </c>
      <c r="S20" s="2045"/>
      <c r="T20" s="2046"/>
      <c r="U20" s="2047"/>
      <c r="V20" s="2048"/>
      <c r="W20" s="2049"/>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3145"/>
      <c r="E21" s="3160"/>
      <c r="F21" s="3147"/>
      <c r="G21" s="3174" t="s">
        <v>28</v>
      </c>
      <c r="H21" s="3145"/>
      <c r="I21" s="3145"/>
      <c r="J21" s="3181"/>
      <c r="K21" s="3126"/>
      <c r="L21" s="2050"/>
      <c r="M21" s="2051"/>
      <c r="N21" s="2052" t="s">
        <v>168</v>
      </c>
      <c r="O21" s="2053"/>
      <c r="P21" s="2054"/>
      <c r="Q21" s="2055"/>
      <c r="R21" s="2056"/>
      <c r="S21" s="2057"/>
      <c r="T21" s="2058"/>
      <c r="U21" s="2059"/>
      <c r="V21" s="2060"/>
      <c r="W21" s="2061"/>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ht="17.25" customHeight="1">
      <c r="A22" s="1765"/>
      <c r="B22" s="1778"/>
      <c r="C22" s="1767"/>
      <c r="D22" s="3158"/>
      <c r="E22" s="3161"/>
      <c r="F22" s="3147"/>
      <c r="G22" s="3175"/>
      <c r="H22" s="3182" t="s">
        <v>169</v>
      </c>
      <c r="I22" s="3182" t="s">
        <v>108</v>
      </c>
      <c r="J22" s="3180" t="s">
        <v>170</v>
      </c>
      <c r="K22" s="3176" t="s">
        <v>19</v>
      </c>
      <c r="L22" s="3122"/>
      <c r="M22" s="3122" t="s">
        <v>107</v>
      </c>
      <c r="N22" s="3179" t="s">
        <v>28</v>
      </c>
      <c r="O22" s="3176" t="s">
        <v>19</v>
      </c>
      <c r="P22" s="3122"/>
      <c r="Q22" s="3122" t="s">
        <v>107</v>
      </c>
      <c r="R22" s="3178" t="s">
        <v>28</v>
      </c>
      <c r="S22" s="3121" t="s">
        <v>19</v>
      </c>
      <c r="T22" s="1737"/>
      <c r="U22" s="1737" t="s">
        <v>107</v>
      </c>
      <c r="V22" s="2354" t="s">
        <v>28</v>
      </c>
      <c r="W22" s="1727"/>
      <c r="Y22" s="1194"/>
      <c r="Z22" s="1194"/>
      <c r="AA22" s="1194"/>
      <c r="AB22" s="1194"/>
      <c r="AC22" s="1896" t="s">
        <v>161</v>
      </c>
      <c r="AD22" s="1194" t="s">
        <v>171</v>
      </c>
      <c r="AE22" s="1194" t="s">
        <v>172</v>
      </c>
      <c r="AF22" s="1194" t="s">
        <v>173</v>
      </c>
      <c r="AG22" s="1194" t="s">
        <v>174</v>
      </c>
      <c r="AH22"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4" t="str">
        <f>IF($G$18=0,"",$G$18)</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2" s="1194" t="str">
        <f>IF($J$22=0,"",$J$22)</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городского поселения Излучинск Нижневартовского района поселок городского типа Излучинск</v>
      </c>
      <c r="AK22" s="1194" t="str">
        <f>IF($K$22="нет","без дифференциации",IF($N$22=0,"",$N$22))</f>
        <v>без дифференциации</v>
      </c>
      <c r="AL22" s="1769" t="str">
        <f>IF($O$22="нет","без дифференциации",IF($R$22=0,"",$R$22))</f>
        <v>без дифференциации</v>
      </c>
      <c r="AM22" s="1769" t="str">
        <f>IF($S$22="нет","без дифференциации",IF($V$22=0,"",$V$22))</f>
        <v>без дифференциации</v>
      </c>
      <c r="AN22" s="1194" t="str">
        <f>$I$22</f>
        <v>2</v>
      </c>
      <c r="AO22" s="1194" t="str">
        <f>$I$22&amp;"."&amp;$M$22</f>
        <v>2.1</v>
      </c>
      <c r="AP22" s="1194" t="str">
        <f>$I$22&amp;"."&amp;$M$22&amp;"."&amp;$Q$22</f>
        <v>2.1.1</v>
      </c>
      <c r="AQ22" s="1194" t="str">
        <f>$I$22&amp;"."&amp;$M$22&amp;"."&amp;$Q$22&amp;"."&amp;$U$22</f>
        <v>2.1.1.1</v>
      </c>
    </row>
    <row r="23" spans="1:44" ht="17.25" customHeight="1">
      <c r="A23" s="1765"/>
      <c r="B23" s="1778"/>
      <c r="C23" s="1770"/>
      <c r="D23" s="3158"/>
      <c r="E23" s="3161"/>
      <c r="F23" s="3147"/>
      <c r="G23" s="3175"/>
      <c r="H23" s="3182"/>
      <c r="I23" s="3182"/>
      <c r="J23" s="3180"/>
      <c r="K23" s="3177"/>
      <c r="L23" s="3122"/>
      <c r="M23" s="3122"/>
      <c r="N23" s="3179" t="s">
        <v>28</v>
      </c>
      <c r="O23" s="3177"/>
      <c r="P23" s="3122"/>
      <c r="Q23" s="3122"/>
      <c r="R23" s="3178" t="s">
        <v>28</v>
      </c>
      <c r="S23" s="3121"/>
      <c r="T23" s="255"/>
      <c r="U23" s="256"/>
      <c r="V23" s="256" t="s">
        <v>166</v>
      </c>
      <c r="W23" s="257"/>
      <c r="Y23" s="1186"/>
      <c r="Z23" s="1186"/>
      <c r="AA23" s="1186"/>
      <c r="AB23" s="1186"/>
      <c r="AC23" s="1186"/>
      <c r="AD23" s="1186"/>
      <c r="AE23" s="1186"/>
      <c r="AF23" s="1186"/>
      <c r="AG23" s="1186"/>
      <c r="AH23" s="1186"/>
      <c r="AI23" s="1186"/>
      <c r="AJ23" s="1186"/>
      <c r="AK23" s="1186"/>
      <c r="AL23" s="1778"/>
      <c r="AM23" s="1778"/>
      <c r="AN23" s="1778"/>
      <c r="AO23" s="1778"/>
      <c r="AP23" s="1778"/>
      <c r="AQ23" s="1778"/>
    </row>
    <row r="24" spans="1:44" ht="17.25" customHeight="1">
      <c r="A24" s="1765"/>
      <c r="B24" s="1778"/>
      <c r="C24" s="1770"/>
      <c r="D24" s="3158"/>
      <c r="E24" s="3161"/>
      <c r="F24" s="3147"/>
      <c r="G24" s="3175"/>
      <c r="H24" s="3145"/>
      <c r="I24" s="3145"/>
      <c r="J24" s="3181"/>
      <c r="K24" s="3177"/>
      <c r="L24" s="3145"/>
      <c r="M24" s="3145"/>
      <c r="N24" s="3178" t="s">
        <v>28</v>
      </c>
      <c r="O24" s="3126"/>
      <c r="P24" s="255"/>
      <c r="Q24" s="256"/>
      <c r="R24" s="256" t="s">
        <v>167</v>
      </c>
      <c r="S24" s="1771"/>
      <c r="T24" s="1771"/>
      <c r="U24" s="1771"/>
      <c r="V24" s="1771"/>
      <c r="W24" s="257"/>
      <c r="Y24" s="1186"/>
      <c r="Z24" s="1186"/>
      <c r="AA24" s="1186"/>
      <c r="AB24" s="1186"/>
      <c r="AC24" s="1186"/>
      <c r="AD24" s="1186"/>
      <c r="AE24" s="1186"/>
      <c r="AF24" s="1186"/>
      <c r="AG24" s="1186"/>
      <c r="AH24" s="1186"/>
      <c r="AI24" s="1186"/>
      <c r="AJ24" s="1186"/>
      <c r="AK24" s="1186"/>
      <c r="AL24" s="1778"/>
      <c r="AM24" s="1778"/>
      <c r="AN24" s="1778"/>
      <c r="AO24" s="1778"/>
      <c r="AP24" s="1778"/>
      <c r="AQ24" s="1778"/>
    </row>
    <row r="25" spans="1:44" ht="17.25" customHeight="1">
      <c r="A25" s="1765"/>
      <c r="B25" s="1778"/>
      <c r="C25" s="1770"/>
      <c r="D25" s="3158"/>
      <c r="E25" s="3161"/>
      <c r="F25" s="3147"/>
      <c r="G25" s="3175"/>
      <c r="H25" s="3145"/>
      <c r="I25" s="3145"/>
      <c r="J25" s="3181"/>
      <c r="K25" s="3126"/>
      <c r="L25" s="255"/>
      <c r="M25" s="256"/>
      <c r="N25" s="256" t="s">
        <v>168</v>
      </c>
      <c r="O25" s="256"/>
      <c r="P25" s="256"/>
      <c r="Q25" s="256"/>
      <c r="R25" s="256"/>
      <c r="S25" s="1771"/>
      <c r="T25" s="1771"/>
      <c r="U25" s="1771"/>
      <c r="V25" s="1771"/>
      <c r="W25" s="257"/>
      <c r="Y25" s="1186"/>
      <c r="Z25" s="1186"/>
      <c r="AA25" s="1186"/>
      <c r="AB25" s="1186"/>
      <c r="AC25" s="1186"/>
      <c r="AD25" s="1186"/>
      <c r="AE25" s="1186"/>
      <c r="AF25" s="1186"/>
      <c r="AG25" s="1186"/>
      <c r="AH25" s="1186"/>
      <c r="AI25" s="1186"/>
      <c r="AJ25" s="1186"/>
      <c r="AK25" s="1186"/>
      <c r="AL25" s="1778"/>
      <c r="AM25" s="1778"/>
      <c r="AN25" s="1778"/>
      <c r="AO25" s="1778"/>
      <c r="AP25" s="1778"/>
      <c r="AQ25" s="1778"/>
    </row>
    <row r="26" spans="1:44" s="1778" customFormat="1" ht="17.25" customHeight="1">
      <c r="A26" s="259"/>
      <c r="C26" s="258"/>
      <c r="D26" s="3145"/>
      <c r="E26" s="3160"/>
      <c r="F26" s="3148"/>
      <c r="G26" s="3174" t="s">
        <v>28</v>
      </c>
      <c r="H26" s="2062"/>
      <c r="I26" s="2063"/>
      <c r="J26" s="2064" t="s">
        <v>175</v>
      </c>
      <c r="K26" s="2065"/>
      <c r="L26" s="2066"/>
      <c r="M26" s="2067"/>
      <c r="N26" s="2068"/>
      <c r="O26" s="2069"/>
      <c r="P26" s="2070"/>
      <c r="Q26" s="2071"/>
      <c r="R26" s="2072"/>
      <c r="S26" s="2073"/>
      <c r="T26" s="2074"/>
      <c r="U26" s="2075"/>
      <c r="V26" s="2076"/>
      <c r="W26" s="2077"/>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210">
        <v>0</v>
      </c>
    </row>
    <row r="27" spans="1:44" s="1778" customFormat="1" ht="17.25" hidden="1" customHeight="1">
      <c r="A27" s="259"/>
      <c r="C27" s="147"/>
      <c r="D27" s="3144">
        <v>2</v>
      </c>
      <c r="E27" s="3133" t="s">
        <v>158</v>
      </c>
      <c r="F27" s="3146" t="s">
        <v>19</v>
      </c>
      <c r="G27" s="3133"/>
      <c r="H27" s="3135"/>
      <c r="I27" s="3137"/>
      <c r="J27" s="3139"/>
      <c r="K27" s="3131"/>
      <c r="L27" s="3131"/>
      <c r="M27" s="3131"/>
      <c r="N27" s="3142"/>
      <c r="O27" s="3131"/>
      <c r="P27" s="3131"/>
      <c r="Q27" s="3131"/>
      <c r="R27" s="3129"/>
      <c r="S27" s="3131"/>
      <c r="T27" s="1920"/>
      <c r="U27" s="1920"/>
      <c r="V27" s="1922"/>
      <c r="W27" s="1223"/>
      <c r="X27" s="1194"/>
      <c r="Y27" s="1194"/>
      <c r="Z27" s="1194" t="s">
        <v>28</v>
      </c>
      <c r="AA27" s="1194" t="s">
        <v>28</v>
      </c>
      <c r="AB27" s="1194" t="s">
        <v>28</v>
      </c>
      <c r="AC27" s="1194" t="s">
        <v>28</v>
      </c>
      <c r="AD27" s="1194" t="s">
        <v>28</v>
      </c>
      <c r="AE27" s="1194" t="s">
        <v>28</v>
      </c>
      <c r="AF27" s="1194" t="s">
        <v>28</v>
      </c>
      <c r="AG27" s="1194" t="s">
        <v>28</v>
      </c>
      <c r="AH27" s="1194" t="s">
        <v>28</v>
      </c>
      <c r="AI27" s="1194" t="s">
        <v>28</v>
      </c>
      <c r="AJ27" s="1194" t="s">
        <v>28</v>
      </c>
      <c r="AK27" s="1194" t="s">
        <v>28</v>
      </c>
      <c r="AL27" s="1194" t="s">
        <v>28</v>
      </c>
      <c r="AM27" s="1194" t="s">
        <v>28</v>
      </c>
      <c r="AN27" s="1698" t="s">
        <v>28</v>
      </c>
      <c r="AO27" s="1194" t="s">
        <v>28</v>
      </c>
      <c r="AP27" s="1193" t="s">
        <v>28</v>
      </c>
      <c r="AQ27" s="1193" t="s">
        <v>28</v>
      </c>
      <c r="AR27" s="1394">
        <v>0</v>
      </c>
    </row>
    <row r="28" spans="1:44" s="1778" customFormat="1" ht="17.25" hidden="1" customHeight="1">
      <c r="A28" s="259"/>
      <c r="C28" s="258"/>
      <c r="D28" s="3144"/>
      <c r="E28" s="3133"/>
      <c r="F28" s="3147"/>
      <c r="G28" s="3133"/>
      <c r="H28" s="3136"/>
      <c r="I28" s="3138"/>
      <c r="J28" s="3140"/>
      <c r="K28" s="3132"/>
      <c r="L28" s="3132"/>
      <c r="M28" s="3132"/>
      <c r="N28" s="3143"/>
      <c r="O28" s="3132"/>
      <c r="P28" s="3132"/>
      <c r="Q28" s="3132"/>
      <c r="R28" s="3130"/>
      <c r="S28" s="3132"/>
      <c r="T28" s="1925"/>
      <c r="U28" s="1925"/>
      <c r="V28" s="1925"/>
      <c r="W28" s="1926"/>
      <c r="X28" s="1193"/>
      <c r="Y28" s="1193"/>
      <c r="Z28" s="1193"/>
      <c r="AA28" s="1193"/>
      <c r="AB28" s="1193"/>
      <c r="AC28" s="1193"/>
      <c r="AD28" s="1193"/>
      <c r="AE28" s="1193"/>
      <c r="AF28" s="1193"/>
      <c r="AG28" s="1193"/>
      <c r="AH28" s="1193"/>
      <c r="AI28" s="1193"/>
      <c r="AJ28" s="1193"/>
      <c r="AK28" s="1193"/>
      <c r="AL28" s="1193"/>
      <c r="AM28" s="1193"/>
      <c r="AN28" s="1193"/>
      <c r="AO28" s="1193"/>
      <c r="AP28" s="1193"/>
      <c r="AQ28" s="1193"/>
      <c r="AR28" s="1394">
        <v>0</v>
      </c>
    </row>
    <row r="29" spans="1:44" s="1778" customFormat="1" ht="17.25" hidden="1" customHeight="1">
      <c r="A29" s="259"/>
      <c r="C29" s="258"/>
      <c r="D29" s="3145"/>
      <c r="E29" s="3134"/>
      <c r="F29" s="3147"/>
      <c r="G29" s="3134"/>
      <c r="H29" s="3136"/>
      <c r="I29" s="3138"/>
      <c r="J29" s="3141"/>
      <c r="K29" s="3132"/>
      <c r="L29" s="3132"/>
      <c r="M29" s="3132"/>
      <c r="N29" s="3130"/>
      <c r="O29" s="3132"/>
      <c r="P29" s="1921"/>
      <c r="Q29" s="1925"/>
      <c r="R29" s="1925"/>
      <c r="S29" s="267"/>
      <c r="T29" s="267"/>
      <c r="U29" s="267"/>
      <c r="V29" s="267"/>
      <c r="W29" s="1926"/>
      <c r="X29" s="1193"/>
      <c r="Y29" s="1193"/>
      <c r="Z29" s="1193"/>
      <c r="AA29" s="1193"/>
      <c r="AB29" s="1193"/>
      <c r="AC29" s="1193"/>
      <c r="AD29" s="1193"/>
      <c r="AE29" s="1193"/>
      <c r="AF29" s="1193"/>
      <c r="AG29" s="1193"/>
      <c r="AH29" s="1193"/>
      <c r="AI29" s="1193"/>
      <c r="AJ29" s="1193"/>
      <c r="AK29" s="1193"/>
      <c r="AL29" s="1193"/>
      <c r="AM29" s="1193"/>
      <c r="AN29" s="1193"/>
      <c r="AO29" s="1193"/>
      <c r="AP29" s="1193"/>
      <c r="AQ29" s="1193"/>
      <c r="AR29" s="1394">
        <v>0</v>
      </c>
    </row>
    <row r="30" spans="1:44" s="1778" customFormat="1" ht="17.25" hidden="1" customHeight="1">
      <c r="A30" s="259"/>
      <c r="C30" s="258"/>
      <c r="D30" s="3145"/>
      <c r="E30" s="3134"/>
      <c r="F30" s="3147"/>
      <c r="G30" s="3134"/>
      <c r="H30" s="3136"/>
      <c r="I30" s="3138"/>
      <c r="J30" s="3141"/>
      <c r="K30" s="3132"/>
      <c r="L30" s="1925"/>
      <c r="M30" s="1925"/>
      <c r="N30" s="1925"/>
      <c r="O30" s="1925"/>
      <c r="P30" s="1925"/>
      <c r="Q30" s="1925"/>
      <c r="R30" s="1925"/>
      <c r="S30" s="267"/>
      <c r="T30" s="267"/>
      <c r="U30" s="267"/>
      <c r="V30" s="267"/>
      <c r="W30" s="1926"/>
      <c r="X30" s="1193"/>
      <c r="Y30" s="1193"/>
      <c r="Z30" s="1193"/>
      <c r="AA30" s="1193"/>
      <c r="AB30" s="1193"/>
      <c r="AC30" s="1193"/>
      <c r="AD30" s="1193"/>
      <c r="AE30" s="1193"/>
      <c r="AF30" s="1193"/>
      <c r="AG30" s="1193"/>
      <c r="AH30" s="1193"/>
      <c r="AI30" s="1193"/>
      <c r="AJ30" s="1193"/>
      <c r="AK30" s="1193"/>
      <c r="AL30" s="1193"/>
      <c r="AM30" s="1193"/>
      <c r="AN30" s="1193"/>
      <c r="AO30" s="1193"/>
      <c r="AP30" s="1193"/>
      <c r="AQ30" s="1193"/>
      <c r="AR30" s="1394">
        <v>0</v>
      </c>
    </row>
    <row r="31" spans="1:44" s="1778" customFormat="1" ht="17.25" hidden="1" customHeight="1">
      <c r="A31" s="259"/>
      <c r="C31" s="258"/>
      <c r="D31" s="3145"/>
      <c r="E31" s="3134"/>
      <c r="F31" s="3148"/>
      <c r="G31" s="3134"/>
      <c r="H31" s="1226"/>
      <c r="I31" s="1923"/>
      <c r="J31" s="1923"/>
      <c r="K31" s="1923"/>
      <c r="L31" s="1923"/>
      <c r="M31" s="1923"/>
      <c r="N31" s="1923"/>
      <c r="O31" s="1923"/>
      <c r="P31" s="1923"/>
      <c r="Q31" s="1923"/>
      <c r="R31" s="1923"/>
      <c r="S31" s="1228"/>
      <c r="T31" s="1228"/>
      <c r="U31" s="1228"/>
      <c r="V31" s="1228"/>
      <c r="W31" s="1924"/>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394">
        <v>0</v>
      </c>
    </row>
    <row r="32" spans="1:44" s="1778" customFormat="1" ht="17.25" customHeight="1">
      <c r="A32" s="259"/>
      <c r="C32" s="147"/>
      <c r="D32" s="3144">
        <v>3</v>
      </c>
      <c r="E32" s="3133" t="s">
        <v>176</v>
      </c>
      <c r="F32" s="3146" t="s">
        <v>19</v>
      </c>
      <c r="G32" s="3133"/>
      <c r="H32" s="3135"/>
      <c r="I32" s="3137"/>
      <c r="J32" s="3139"/>
      <c r="K32" s="3131"/>
      <c r="L32" s="3131"/>
      <c r="M32" s="3131"/>
      <c r="N32" s="3142"/>
      <c r="O32" s="3131"/>
      <c r="P32" s="3131"/>
      <c r="Q32" s="3131"/>
      <c r="R32" s="3129"/>
      <c r="S32" s="3131"/>
      <c r="T32" s="1347"/>
      <c r="U32" s="1347"/>
      <c r="V32" s="1346"/>
      <c r="W32" s="1223"/>
      <c r="X32" s="1194"/>
      <c r="Y32" s="1194"/>
      <c r="Z32" s="1194"/>
      <c r="AA32" s="1194"/>
      <c r="AB32" s="1194"/>
      <c r="AC32" s="1194" t="s">
        <v>177</v>
      </c>
      <c r="AD32" s="1194" t="s">
        <v>178</v>
      </c>
      <c r="AE32" s="1194" t="s">
        <v>179</v>
      </c>
      <c r="AF32" s="1194" t="s">
        <v>180</v>
      </c>
      <c r="AG32" s="1194" t="s">
        <v>181</v>
      </c>
      <c r="AH32" s="1194" t="str">
        <f>IF($E$32=0,"",$E$32)</f>
        <v>Тарифы на теплоноситель, поставляемый теплоснабжающими организациями потребителям, другим теплоснабжающим организациям</v>
      </c>
      <c r="AI32" s="1194" t="str">
        <f>IF($G$32=0,"",$G$32)</f>
        <v/>
      </c>
      <c r="AJ32" s="1194" t="str">
        <f>IF($J$32=0,"",$J$32)</f>
        <v/>
      </c>
      <c r="AK32" s="1194" t="str">
        <f>IF($K$32="нет","без дифференциации",IF($N$32=0,"",$N$32))</f>
        <v/>
      </c>
      <c r="AL32" s="1194" t="str">
        <f>IF($O$32="нет","без дифференциации",IF($R$32=0,"",$R$32))</f>
        <v/>
      </c>
      <c r="AM32" s="1194" t="str">
        <f>IF($S$32="нет","без дифференциации",IF($V$32=0,"",$V$32))</f>
        <v/>
      </c>
      <c r="AN32" s="1698">
        <f>$I$32</f>
        <v>0</v>
      </c>
      <c r="AO32" s="1194" t="str">
        <f>$I$32&amp;"."&amp;$M$32</f>
        <v>.</v>
      </c>
      <c r="AP32" s="1186" t="str">
        <f>$I$32&amp;"."&amp;$M$32&amp;"."&amp;$Q$32</f>
        <v>..</v>
      </c>
      <c r="AQ32" s="1186" t="str">
        <f>$I$32&amp;"."&amp;$M$32&amp;"."&amp;$Q$32&amp;"."&amp;$U$32</f>
        <v>...</v>
      </c>
      <c r="AR32" s="1210">
        <v>0</v>
      </c>
    </row>
    <row r="33" spans="1:44" s="1778" customFormat="1" ht="17.25" customHeight="1">
      <c r="A33" s="259"/>
      <c r="C33" s="258"/>
      <c r="D33" s="3144"/>
      <c r="E33" s="3133"/>
      <c r="F33" s="3147"/>
      <c r="G33" s="3133"/>
      <c r="H33" s="3136"/>
      <c r="I33" s="3138"/>
      <c r="J33" s="3140"/>
      <c r="K33" s="3132"/>
      <c r="L33" s="3132"/>
      <c r="M33" s="3132"/>
      <c r="N33" s="3143"/>
      <c r="O33" s="3132"/>
      <c r="P33" s="3132"/>
      <c r="Q33" s="3132"/>
      <c r="R33" s="3130"/>
      <c r="S33" s="3132"/>
      <c r="T33" s="1224"/>
      <c r="U33" s="1224"/>
      <c r="V33" s="1224"/>
      <c r="W33" s="1225"/>
      <c r="X33" s="1186"/>
      <c r="Y33" s="1186"/>
      <c r="Z33" s="1186"/>
      <c r="AA33" s="1186"/>
      <c r="AB33" s="1186"/>
      <c r="AC33" s="1186"/>
      <c r="AD33" s="1186"/>
      <c r="AE33" s="1186"/>
      <c r="AF33" s="1186"/>
      <c r="AG33" s="1186"/>
      <c r="AH33" s="1186"/>
      <c r="AI33" s="1186"/>
      <c r="AJ33" s="1186"/>
      <c r="AK33" s="1186"/>
      <c r="AL33" s="1186"/>
      <c r="AM33" s="1186"/>
      <c r="AN33" s="1186"/>
      <c r="AO33" s="1186"/>
      <c r="AP33" s="1186"/>
      <c r="AQ33" s="1186"/>
      <c r="AR33" s="1210">
        <v>0</v>
      </c>
    </row>
    <row r="34" spans="1:44" s="1778" customFormat="1" ht="17.25" customHeight="1">
      <c r="A34" s="259"/>
      <c r="C34" s="258"/>
      <c r="D34" s="3145"/>
      <c r="E34" s="3134"/>
      <c r="F34" s="3147"/>
      <c r="G34" s="3134"/>
      <c r="H34" s="3136"/>
      <c r="I34" s="3138"/>
      <c r="J34" s="3141"/>
      <c r="K34" s="3132"/>
      <c r="L34" s="3132"/>
      <c r="M34" s="3132"/>
      <c r="N34" s="3130"/>
      <c r="O34" s="3132"/>
      <c r="P34" s="1345"/>
      <c r="Q34" s="1224"/>
      <c r="R34" s="1224"/>
      <c r="S34" s="267"/>
      <c r="T34" s="267"/>
      <c r="U34" s="267"/>
      <c r="V34" s="267"/>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3145"/>
      <c r="E35" s="3134"/>
      <c r="F35" s="3147"/>
      <c r="G35" s="3134"/>
      <c r="H35" s="3136"/>
      <c r="I35" s="3138"/>
      <c r="J35" s="3141"/>
      <c r="K35" s="3132"/>
      <c r="L35" s="1224"/>
      <c r="M35" s="1224"/>
      <c r="N35" s="1224"/>
      <c r="O35" s="1224"/>
      <c r="P35" s="1224"/>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3145"/>
      <c r="E36" s="3134"/>
      <c r="F36" s="3148"/>
      <c r="G36" s="3134"/>
      <c r="H36" s="1226"/>
      <c r="I36" s="1227"/>
      <c r="J36" s="1227"/>
      <c r="K36" s="1227"/>
      <c r="L36" s="1227"/>
      <c r="M36" s="1227"/>
      <c r="N36" s="1227"/>
      <c r="O36" s="1227"/>
      <c r="P36" s="1227"/>
      <c r="Q36" s="1227"/>
      <c r="R36" s="1227"/>
      <c r="S36" s="1228"/>
      <c r="T36" s="1228"/>
      <c r="U36" s="1228"/>
      <c r="V36" s="1228"/>
      <c r="W36" s="1229"/>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147"/>
      <c r="D37" s="3144">
        <v>4</v>
      </c>
      <c r="E37" s="3133" t="s">
        <v>182</v>
      </c>
      <c r="F37" s="3146" t="s">
        <v>19</v>
      </c>
      <c r="G37" s="3133"/>
      <c r="H37" s="3135"/>
      <c r="I37" s="3137"/>
      <c r="J37" s="3139"/>
      <c r="K37" s="3131"/>
      <c r="L37" s="3131"/>
      <c r="M37" s="3131"/>
      <c r="N37" s="3142"/>
      <c r="O37" s="3131"/>
      <c r="P37" s="3131"/>
      <c r="Q37" s="3131"/>
      <c r="R37" s="3129"/>
      <c r="S37" s="3131"/>
      <c r="T37" s="1347"/>
      <c r="U37" s="1347"/>
      <c r="V37" s="1346"/>
      <c r="W37" s="1223"/>
      <c r="X37" s="1194"/>
      <c r="Y37" s="1194"/>
      <c r="Z37" s="1194"/>
      <c r="AA37" s="1194"/>
      <c r="AB37" s="1194"/>
      <c r="AC37" s="1194" t="s">
        <v>183</v>
      </c>
      <c r="AD37" s="1194" t="s">
        <v>184</v>
      </c>
      <c r="AE37" s="1194" t="s">
        <v>185</v>
      </c>
      <c r="AF37" s="1194" t="s">
        <v>186</v>
      </c>
      <c r="AG37" s="1194" t="s">
        <v>187</v>
      </c>
      <c r="AH37" s="1194" t="str">
        <f>IF($E$37=0,"",$E$37)</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7" s="1194" t="str">
        <f>IF($G$37=0,"",$G$37)</f>
        <v/>
      </c>
      <c r="AJ37" s="1194" t="str">
        <f>IF($J$37=0,"",$J$37)</f>
        <v/>
      </c>
      <c r="AK37" s="1194" t="str">
        <f>IF($K$37="нет","без дифференциации",IF($N$37=0,"",$N$37))</f>
        <v/>
      </c>
      <c r="AL37" s="1194" t="str">
        <f>IF($O$37="нет","без дифференциации",IF($R$37=0,"",$R$37))</f>
        <v/>
      </c>
      <c r="AM37" s="1194" t="str">
        <f>IF($S$37="нет","без дифференциации",IF($V$37=0,"",$V$37))</f>
        <v/>
      </c>
      <c r="AN37" s="1698">
        <f>$I$37</f>
        <v>0</v>
      </c>
      <c r="AO37" s="1194" t="str">
        <f>$I$37&amp;"."&amp;$M$37</f>
        <v>.</v>
      </c>
      <c r="AP37" s="1186" t="str">
        <f>$I$37&amp;"."&amp;$M$37&amp;"."&amp;$Q$37</f>
        <v>..</v>
      </c>
      <c r="AQ37" s="1186" t="str">
        <f>$I$37&amp;"."&amp;$M$37&amp;"."&amp;$Q$37&amp;"."&amp;$U$37</f>
        <v>...</v>
      </c>
      <c r="AR37" s="1210">
        <v>0</v>
      </c>
    </row>
    <row r="38" spans="1:44" s="1778" customFormat="1" ht="17.25" customHeight="1">
      <c r="A38" s="259"/>
      <c r="C38" s="258"/>
      <c r="D38" s="3144"/>
      <c r="E38" s="3133"/>
      <c r="F38" s="3147"/>
      <c r="G38" s="3133"/>
      <c r="H38" s="3136"/>
      <c r="I38" s="3138"/>
      <c r="J38" s="3140"/>
      <c r="K38" s="3132"/>
      <c r="L38" s="3132"/>
      <c r="M38" s="3132"/>
      <c r="N38" s="3143"/>
      <c r="O38" s="3132"/>
      <c r="P38" s="3132"/>
      <c r="Q38" s="3132"/>
      <c r="R38" s="3130"/>
      <c r="S38" s="3132"/>
      <c r="T38" s="1224"/>
      <c r="U38" s="1224"/>
      <c r="V38" s="1224"/>
      <c r="W38" s="1225"/>
      <c r="X38" s="1186"/>
      <c r="Y38" s="1186"/>
      <c r="Z38" s="1186"/>
      <c r="AA38" s="1186"/>
      <c r="AB38" s="1186"/>
      <c r="AC38" s="1186"/>
      <c r="AD38" s="1186"/>
      <c r="AE38" s="1186"/>
      <c r="AF38" s="1186"/>
      <c r="AG38" s="1186"/>
      <c r="AH38" s="1186"/>
      <c r="AI38" s="1186"/>
      <c r="AJ38" s="1186"/>
      <c r="AK38" s="1186"/>
      <c r="AL38" s="1186"/>
      <c r="AM38" s="1186"/>
      <c r="AN38" s="1186"/>
      <c r="AO38" s="1186"/>
      <c r="AP38" s="1186"/>
      <c r="AQ38" s="1186"/>
      <c r="AR38" s="1210">
        <v>0</v>
      </c>
    </row>
    <row r="39" spans="1:44" s="1778" customFormat="1" ht="17.25" customHeight="1">
      <c r="A39" s="259"/>
      <c r="C39" s="258"/>
      <c r="D39" s="3145"/>
      <c r="E39" s="3134"/>
      <c r="F39" s="3147"/>
      <c r="G39" s="3134"/>
      <c r="H39" s="3136"/>
      <c r="I39" s="3138"/>
      <c r="J39" s="3141"/>
      <c r="K39" s="3132"/>
      <c r="L39" s="3132"/>
      <c r="M39" s="3132"/>
      <c r="N39" s="3130"/>
      <c r="O39" s="3132"/>
      <c r="P39" s="1345"/>
      <c r="Q39" s="1224"/>
      <c r="R39" s="1224"/>
      <c r="S39" s="267"/>
      <c r="T39" s="267"/>
      <c r="U39" s="267"/>
      <c r="V39" s="267"/>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3145"/>
      <c r="E40" s="3134"/>
      <c r="F40" s="3147"/>
      <c r="G40" s="3134"/>
      <c r="H40" s="3136"/>
      <c r="I40" s="3138"/>
      <c r="J40" s="3141"/>
      <c r="K40" s="3132"/>
      <c r="L40" s="1224"/>
      <c r="M40" s="1224"/>
      <c r="N40" s="1224"/>
      <c r="O40" s="1224"/>
      <c r="P40" s="1224"/>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3145"/>
      <c r="E41" s="3134"/>
      <c r="F41" s="3148"/>
      <c r="G41" s="3134"/>
      <c r="H41" s="1226"/>
      <c r="I41" s="1227"/>
      <c r="J41" s="1227"/>
      <c r="K41" s="1227"/>
      <c r="L41" s="1227"/>
      <c r="M41" s="1227"/>
      <c r="N41" s="1227"/>
      <c r="O41" s="1227"/>
      <c r="P41" s="1227"/>
      <c r="Q41" s="1227"/>
      <c r="R41" s="1227"/>
      <c r="S41" s="1228"/>
      <c r="T41" s="1228"/>
      <c r="U41" s="1228"/>
      <c r="V41" s="1228"/>
      <c r="W41" s="1229"/>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147"/>
      <c r="D42" s="3144">
        <v>5</v>
      </c>
      <c r="E42" s="3133" t="s">
        <v>188</v>
      </c>
      <c r="F42" s="3146" t="s">
        <v>19</v>
      </c>
      <c r="G42" s="3133"/>
      <c r="H42" s="3135"/>
      <c r="I42" s="3137"/>
      <c r="J42" s="3139"/>
      <c r="K42" s="3131"/>
      <c r="L42" s="3131"/>
      <c r="M42" s="3131"/>
      <c r="N42" s="3142"/>
      <c r="O42" s="3131"/>
      <c r="P42" s="3131"/>
      <c r="Q42" s="3131"/>
      <c r="R42" s="3129"/>
      <c r="S42" s="3131"/>
      <c r="T42" s="1347"/>
      <c r="U42" s="1347"/>
      <c r="V42" s="1346"/>
      <c r="W42" s="1223"/>
      <c r="X42" s="1194"/>
      <c r="Y42" s="1194"/>
      <c r="Z42" s="1194"/>
      <c r="AA42" s="1194"/>
      <c r="AB42" s="1194"/>
      <c r="AC42" s="1194" t="s">
        <v>189</v>
      </c>
      <c r="AD42" s="1194" t="s">
        <v>190</v>
      </c>
      <c r="AE42" s="1194" t="s">
        <v>191</v>
      </c>
      <c r="AF42" s="1194" t="s">
        <v>192</v>
      </c>
      <c r="AG42" s="1194" t="s">
        <v>193</v>
      </c>
      <c r="AH42" s="1194" t="str">
        <f>IF($E$42=0,"",$E$42)</f>
        <v>Тарифы на услуги по передаче тепловой энергии</v>
      </c>
      <c r="AI42" s="1194" t="str">
        <f>IF($G$42=0,"",$G$42)</f>
        <v/>
      </c>
      <c r="AJ42" s="1194" t="str">
        <f>IF($J$42=0,"",$J$42)</f>
        <v/>
      </c>
      <c r="AK42" s="1194" t="str">
        <f>IF($K$42="нет","без дифференциации",IF($N$42=0,"",$N$42))</f>
        <v/>
      </c>
      <c r="AL42" s="1194" t="str">
        <f>IF($O$42="нет","без дифференциации",IF($R$42=0,"",$R$42))</f>
        <v/>
      </c>
      <c r="AM42" s="1194" t="str">
        <f>IF($S$42="нет","без дифференциации",IF($V$42=0,"",$V$42))</f>
        <v/>
      </c>
      <c r="AN42" s="1698">
        <f>$I$42</f>
        <v>0</v>
      </c>
      <c r="AO42" s="1194" t="str">
        <f>$I$42&amp;"."&amp;$M$42</f>
        <v>.</v>
      </c>
      <c r="AP42" s="1186" t="str">
        <f>$I$42&amp;"."&amp;$M$42&amp;"."&amp;$Q$42</f>
        <v>..</v>
      </c>
      <c r="AQ42" s="1186" t="str">
        <f>$I$42&amp;"."&amp;$M$42&amp;"."&amp;$Q$42&amp;"."&amp;$U$42</f>
        <v>...</v>
      </c>
      <c r="AR42" s="1210">
        <v>0</v>
      </c>
    </row>
    <row r="43" spans="1:44" s="1778" customFormat="1" ht="17.25" customHeight="1">
      <c r="A43" s="259"/>
      <c r="C43" s="258"/>
      <c r="D43" s="3144"/>
      <c r="E43" s="3133"/>
      <c r="F43" s="3147"/>
      <c r="G43" s="3133"/>
      <c r="H43" s="3136"/>
      <c r="I43" s="3138"/>
      <c r="J43" s="3140"/>
      <c r="K43" s="3132"/>
      <c r="L43" s="3132"/>
      <c r="M43" s="3132"/>
      <c r="N43" s="3143"/>
      <c r="O43" s="3132"/>
      <c r="P43" s="3132"/>
      <c r="Q43" s="3132"/>
      <c r="R43" s="3130"/>
      <c r="S43" s="3132"/>
      <c r="T43" s="1224"/>
      <c r="U43" s="1224"/>
      <c r="V43" s="1224"/>
      <c r="W43" s="1225"/>
      <c r="X43" s="1186"/>
      <c r="Y43" s="1186"/>
      <c r="Z43" s="1186"/>
      <c r="AA43" s="1186"/>
      <c r="AB43" s="1186"/>
      <c r="AC43" s="1186"/>
      <c r="AD43" s="1186"/>
      <c r="AE43" s="1186"/>
      <c r="AF43" s="1186"/>
      <c r="AG43" s="1186"/>
      <c r="AH43" s="1186"/>
      <c r="AI43" s="1186"/>
      <c r="AJ43" s="1186"/>
      <c r="AK43" s="1186"/>
      <c r="AL43" s="1186"/>
      <c r="AM43" s="1186"/>
      <c r="AN43" s="1186"/>
      <c r="AO43" s="1186"/>
      <c r="AP43" s="1186"/>
      <c r="AQ43" s="1186"/>
      <c r="AR43" s="1210">
        <v>0</v>
      </c>
    </row>
    <row r="44" spans="1:44" s="1778" customFormat="1" ht="17.25" customHeight="1">
      <c r="A44" s="259"/>
      <c r="C44" s="258"/>
      <c r="D44" s="3145"/>
      <c r="E44" s="3134"/>
      <c r="F44" s="3147"/>
      <c r="G44" s="3134"/>
      <c r="H44" s="3136"/>
      <c r="I44" s="3138"/>
      <c r="J44" s="3141"/>
      <c r="K44" s="3132"/>
      <c r="L44" s="3132"/>
      <c r="M44" s="3132"/>
      <c r="N44" s="3130"/>
      <c r="O44" s="3132"/>
      <c r="P44" s="1345"/>
      <c r="Q44" s="1224"/>
      <c r="R44" s="1224"/>
      <c r="S44" s="267"/>
      <c r="T44" s="267"/>
      <c r="U44" s="267"/>
      <c r="V44" s="267"/>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3145"/>
      <c r="E45" s="3134"/>
      <c r="F45" s="3147"/>
      <c r="G45" s="3134"/>
      <c r="H45" s="3136"/>
      <c r="I45" s="3138"/>
      <c r="J45" s="3141"/>
      <c r="K45" s="3132"/>
      <c r="L45" s="1224"/>
      <c r="M45" s="1224"/>
      <c r="N45" s="1224"/>
      <c r="O45" s="1224"/>
      <c r="P45" s="1224"/>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258"/>
      <c r="D46" s="3145"/>
      <c r="E46" s="3134"/>
      <c r="F46" s="3148"/>
      <c r="G46" s="3134"/>
      <c r="H46" s="1226"/>
      <c r="I46" s="1227"/>
      <c r="J46" s="1227"/>
      <c r="K46" s="1227"/>
      <c r="L46" s="1227"/>
      <c r="M46" s="1227"/>
      <c r="N46" s="1227"/>
      <c r="O46" s="1227"/>
      <c r="P46" s="1227"/>
      <c r="Q46" s="1227"/>
      <c r="R46" s="1227"/>
      <c r="S46" s="1228"/>
      <c r="T46" s="1228"/>
      <c r="U46" s="1228"/>
      <c r="V46" s="1228"/>
      <c r="W46" s="1229"/>
      <c r="X46" s="1186"/>
      <c r="Y46" s="1186"/>
      <c r="Z46" s="1186"/>
      <c r="AA46" s="1186"/>
      <c r="AB46" s="1186"/>
      <c r="AC46" s="1186"/>
      <c r="AD46" s="1186"/>
      <c r="AE46" s="1186"/>
      <c r="AF46" s="1186"/>
      <c r="AG46" s="1186"/>
      <c r="AH46" s="1186"/>
      <c r="AI46" s="1186"/>
      <c r="AJ46" s="1186"/>
      <c r="AK46" s="1186"/>
      <c r="AL46" s="1186"/>
      <c r="AM46" s="1186"/>
      <c r="AN46" s="1186"/>
      <c r="AO46" s="1186"/>
      <c r="AP46" s="1186"/>
      <c r="AQ46" s="1186"/>
      <c r="AR46" s="1210">
        <v>0</v>
      </c>
    </row>
    <row r="47" spans="1:44" s="1778" customFormat="1" ht="17.25" customHeight="1">
      <c r="A47" s="259"/>
      <c r="C47" s="147"/>
      <c r="D47" s="3144">
        <v>6</v>
      </c>
      <c r="E47" s="3133" t="s">
        <v>194</v>
      </c>
      <c r="F47" s="3146" t="s">
        <v>19</v>
      </c>
      <c r="G47" s="3133"/>
      <c r="H47" s="3135"/>
      <c r="I47" s="3137"/>
      <c r="J47" s="3139"/>
      <c r="K47" s="3131"/>
      <c r="L47" s="3131"/>
      <c r="M47" s="3131"/>
      <c r="N47" s="3142"/>
      <c r="O47" s="3131"/>
      <c r="P47" s="3131"/>
      <c r="Q47" s="3131"/>
      <c r="R47" s="3129"/>
      <c r="S47" s="3131"/>
      <c r="T47" s="1347"/>
      <c r="U47" s="1347"/>
      <c r="V47" s="1346"/>
      <c r="W47" s="1223"/>
      <c r="X47" s="1194"/>
      <c r="Y47" s="1194"/>
      <c r="Z47" s="1194"/>
      <c r="AA47" s="1194"/>
      <c r="AB47" s="1194"/>
      <c r="AC47" s="1194" t="s">
        <v>195</v>
      </c>
      <c r="AD47" s="1194" t="s">
        <v>196</v>
      </c>
      <c r="AE47" s="1194" t="s">
        <v>197</v>
      </c>
      <c r="AF47" s="1194" t="s">
        <v>198</v>
      </c>
      <c r="AG47" s="1194" t="s">
        <v>199</v>
      </c>
      <c r="AH47" s="1194" t="str">
        <f>IF($E$47=0,"",$E$47)</f>
        <v>Тарифы на услуги по передаче теплоносителя</v>
      </c>
      <c r="AI47" s="1194" t="str">
        <f>IF($G$47=0,"",$G$47)</f>
        <v/>
      </c>
      <c r="AJ47" s="1194" t="str">
        <f>IF($J$47=0,"",$J$47)</f>
        <v/>
      </c>
      <c r="AK47" s="1194" t="str">
        <f>IF($K$47="нет","без дифференциации",IF($N$47=0,"",$N$47))</f>
        <v/>
      </c>
      <c r="AL47" s="1194" t="str">
        <f>IF($O$47="нет","без дифференциации",IF($R$47=0,"",$R$47))</f>
        <v/>
      </c>
      <c r="AM47" s="1194" t="str">
        <f>IF($S$47="нет","без дифференциации",IF($V$47=0,"",$V$47))</f>
        <v/>
      </c>
      <c r="AN47" s="1698">
        <f>$I$47</f>
        <v>0</v>
      </c>
      <c r="AO47" s="1194" t="str">
        <f>$I$47&amp;"."&amp;$M$47</f>
        <v>.</v>
      </c>
      <c r="AP47" s="1186" t="str">
        <f>$I$47&amp;"."&amp;$M$47&amp;"."&amp;$Q$47</f>
        <v>..</v>
      </c>
      <c r="AQ47" s="1186" t="str">
        <f>$I$47&amp;"."&amp;$M$47&amp;"."&amp;$Q$47&amp;"."&amp;$U$47</f>
        <v>...</v>
      </c>
      <c r="AR47" s="1210">
        <v>0</v>
      </c>
    </row>
    <row r="48" spans="1:44" s="1778" customFormat="1" ht="17.25" customHeight="1">
      <c r="A48" s="259"/>
      <c r="C48" s="258"/>
      <c r="D48" s="3144"/>
      <c r="E48" s="3133"/>
      <c r="F48" s="3147"/>
      <c r="G48" s="3133"/>
      <c r="H48" s="3136"/>
      <c r="I48" s="3138"/>
      <c r="J48" s="3140"/>
      <c r="K48" s="3132"/>
      <c r="L48" s="3132"/>
      <c r="M48" s="3132"/>
      <c r="N48" s="3143"/>
      <c r="O48" s="3132"/>
      <c r="P48" s="3132"/>
      <c r="Q48" s="3132"/>
      <c r="R48" s="3130"/>
      <c r="S48" s="3132"/>
      <c r="T48" s="1224"/>
      <c r="U48" s="1224"/>
      <c r="V48" s="1224"/>
      <c r="W48" s="1225"/>
      <c r="X48" s="1186"/>
      <c r="Y48" s="1186"/>
      <c r="Z48" s="1186"/>
      <c r="AA48" s="1186"/>
      <c r="AB48" s="1186"/>
      <c r="AC48" s="1186"/>
      <c r="AD48" s="1186"/>
      <c r="AE48" s="1186"/>
      <c r="AF48" s="1186"/>
      <c r="AG48" s="1186"/>
      <c r="AH48" s="1186"/>
      <c r="AI48" s="1186"/>
      <c r="AJ48" s="1186"/>
      <c r="AK48" s="1186"/>
      <c r="AL48" s="1186"/>
      <c r="AM48" s="1186"/>
      <c r="AN48" s="1186"/>
      <c r="AO48" s="1186"/>
      <c r="AP48" s="1186"/>
      <c r="AQ48" s="1186"/>
      <c r="AR48" s="1210">
        <v>0</v>
      </c>
    </row>
    <row r="49" spans="1:44" s="1778" customFormat="1" ht="17.25" customHeight="1">
      <c r="A49" s="259"/>
      <c r="C49" s="258"/>
      <c r="D49" s="3145"/>
      <c r="E49" s="3134"/>
      <c r="F49" s="3147"/>
      <c r="G49" s="3134"/>
      <c r="H49" s="3136"/>
      <c r="I49" s="3138"/>
      <c r="J49" s="3141"/>
      <c r="K49" s="3132"/>
      <c r="L49" s="3132"/>
      <c r="M49" s="3132"/>
      <c r="N49" s="3130"/>
      <c r="O49" s="3132"/>
      <c r="P49" s="1345"/>
      <c r="Q49" s="1224"/>
      <c r="R49" s="1224"/>
      <c r="S49" s="267"/>
      <c r="T49" s="267"/>
      <c r="U49" s="267"/>
      <c r="V49" s="267"/>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10">
        <v>0</v>
      </c>
    </row>
    <row r="50" spans="1:44" s="1778" customFormat="1" ht="17.25" customHeight="1">
      <c r="A50" s="259"/>
      <c r="C50" s="147"/>
      <c r="D50" s="3145"/>
      <c r="E50" s="3134"/>
      <c r="F50" s="3147"/>
      <c r="G50" s="3134"/>
      <c r="H50" s="3136"/>
      <c r="I50" s="3138"/>
      <c r="J50" s="3141"/>
      <c r="K50" s="3132"/>
      <c r="L50" s="1224"/>
      <c r="M50" s="1224"/>
      <c r="N50" s="1224"/>
      <c r="O50" s="1224"/>
      <c r="P50" s="1224"/>
      <c r="Q50" s="1224"/>
      <c r="R50" s="1224"/>
      <c r="S50" s="267"/>
      <c r="T50" s="267"/>
      <c r="U50" s="267"/>
      <c r="V50" s="267"/>
      <c r="W50" s="1225"/>
      <c r="Y50" s="1194"/>
      <c r="Z50" s="1194"/>
      <c r="AA50" s="1194"/>
      <c r="AB50" s="1194"/>
      <c r="AC50" s="1194"/>
      <c r="AD50" s="1194"/>
      <c r="AE50" s="1194"/>
      <c r="AF50" s="1194"/>
      <c r="AG50" s="1194"/>
      <c r="AH50" s="1194"/>
      <c r="AI50" s="1194"/>
      <c r="AJ50" s="1194"/>
      <c r="AK50" s="1194"/>
      <c r="AL50" s="1194"/>
      <c r="AM50" s="1194"/>
      <c r="AN50" s="1194"/>
      <c r="AO50" s="1194"/>
      <c r="AP50" s="1194"/>
      <c r="AQ50" s="1194"/>
      <c r="AR50" s="1253">
        <v>0</v>
      </c>
    </row>
    <row r="51" spans="1:44" s="1778" customFormat="1" ht="17.25" customHeight="1">
      <c r="A51" s="259"/>
      <c r="C51" s="258"/>
      <c r="D51" s="3145"/>
      <c r="E51" s="3134"/>
      <c r="F51" s="3148"/>
      <c r="G51" s="3134"/>
      <c r="H51" s="1226"/>
      <c r="I51" s="1227"/>
      <c r="J51" s="1227"/>
      <c r="K51" s="1227"/>
      <c r="L51" s="1227"/>
      <c r="M51" s="1227"/>
      <c r="N51" s="1227"/>
      <c r="O51" s="1227"/>
      <c r="P51" s="1227"/>
      <c r="Q51" s="1227"/>
      <c r="R51" s="1227"/>
      <c r="S51" s="1228"/>
      <c r="T51" s="1228"/>
      <c r="U51" s="1228"/>
      <c r="V51" s="1228"/>
      <c r="W51" s="1229"/>
      <c r="X51" s="1186"/>
      <c r="Y51" s="1186"/>
      <c r="Z51" s="1186"/>
      <c r="AA51" s="1186"/>
      <c r="AB51" s="1186"/>
      <c r="AC51" s="1186"/>
      <c r="AD51" s="1186"/>
      <c r="AE51" s="1186"/>
      <c r="AF51" s="1186"/>
      <c r="AG51" s="1186"/>
      <c r="AH51" s="1186"/>
      <c r="AI51" s="1186"/>
      <c r="AJ51" s="1186"/>
      <c r="AK51" s="1186"/>
      <c r="AL51" s="1186"/>
      <c r="AM51" s="1186"/>
      <c r="AN51" s="1186"/>
      <c r="AO51" s="1186"/>
      <c r="AP51" s="1186"/>
      <c r="AQ51" s="1186"/>
      <c r="AR51" s="1210">
        <v>0</v>
      </c>
    </row>
    <row r="52" spans="1:44" s="1778" customFormat="1" ht="17.25" customHeight="1">
      <c r="A52" s="259"/>
      <c r="C52" s="147"/>
      <c r="D52" s="3152">
        <v>7</v>
      </c>
      <c r="E52" s="3155" t="s">
        <v>200</v>
      </c>
      <c r="F52" s="3146" t="s">
        <v>19</v>
      </c>
      <c r="G52" s="3155"/>
      <c r="H52" s="3135"/>
      <c r="I52" s="3137"/>
      <c r="J52" s="3139"/>
      <c r="K52" s="3131"/>
      <c r="L52" s="3131"/>
      <c r="M52" s="3131"/>
      <c r="N52" s="3142"/>
      <c r="O52" s="3131"/>
      <c r="P52" s="3131"/>
      <c r="Q52" s="3131"/>
      <c r="R52" s="3129"/>
      <c r="S52" s="3131"/>
      <c r="T52" s="1347"/>
      <c r="U52" s="1347"/>
      <c r="V52" s="1346"/>
      <c r="W52" s="1223"/>
      <c r="X52" s="1194"/>
      <c r="Y52" s="1194"/>
      <c r="Z52" s="1194"/>
      <c r="AA52" s="1194"/>
      <c r="AB52" s="1194"/>
      <c r="AC52" s="1194" t="s">
        <v>201</v>
      </c>
      <c r="AD52" s="1194" t="s">
        <v>202</v>
      </c>
      <c r="AE52" s="1194" t="s">
        <v>203</v>
      </c>
      <c r="AF52" s="1194" t="s">
        <v>204</v>
      </c>
      <c r="AG52" s="1194" t="s">
        <v>205</v>
      </c>
      <c r="AH52" s="1194" t="str">
        <f>IF($E$52=0,"",$E$52)</f>
        <v>Плата за услуги по поддержанию резервной тепловой мощности при отсутствии потребления тепловой энергии</v>
      </c>
      <c r="AI52" s="1194" t="str">
        <f>IF($G$52=0,"",$G$52)</f>
        <v/>
      </c>
      <c r="AJ52" s="1194" t="str">
        <f>IF($J$52=0,"",$J$52)</f>
        <v/>
      </c>
      <c r="AK52" s="1194" t="str">
        <f>IF($K$52="нет","без дифференциации",IF($N$52=0,"",$N$52))</f>
        <v/>
      </c>
      <c r="AL52" s="1194" t="str">
        <f>IF($O$52="нет","без дифференциации",IF($R$52=0,"",$R$52))</f>
        <v/>
      </c>
      <c r="AM52" s="1194" t="str">
        <f>IF($S$52="нет","без дифференциации",IF($V$52=0,"",$V$52))</f>
        <v/>
      </c>
      <c r="AN52" s="1698">
        <f>$I$52</f>
        <v>0</v>
      </c>
      <c r="AO52" s="1194" t="str">
        <f>$I$52&amp;"."&amp;$M$52</f>
        <v>.</v>
      </c>
      <c r="AP52" s="1186" t="str">
        <f>$I$52&amp;"."&amp;$M$52&amp;"."&amp;$Q$52</f>
        <v>..</v>
      </c>
      <c r="AQ52" s="1186" t="str">
        <f>$I$52&amp;"."&amp;$M$52&amp;"."&amp;$Q$52&amp;"."&amp;$U$52</f>
        <v>...</v>
      </c>
      <c r="AR52" s="1235">
        <v>0</v>
      </c>
    </row>
    <row r="53" spans="1:44" s="1778" customFormat="1" ht="17.25" customHeight="1">
      <c r="A53" s="259"/>
      <c r="C53" s="258"/>
      <c r="D53" s="3153"/>
      <c r="E53" s="3156"/>
      <c r="F53" s="3147"/>
      <c r="G53" s="3156"/>
      <c r="H53" s="3136"/>
      <c r="I53" s="3138"/>
      <c r="J53" s="3140"/>
      <c r="K53" s="3132"/>
      <c r="L53" s="3132"/>
      <c r="M53" s="3132"/>
      <c r="N53" s="3143"/>
      <c r="O53" s="3132"/>
      <c r="P53" s="3132"/>
      <c r="Q53" s="3132"/>
      <c r="R53" s="3130"/>
      <c r="S53" s="3132"/>
      <c r="T53" s="1224"/>
      <c r="U53" s="1224"/>
      <c r="V53" s="1224"/>
      <c r="W53" s="1225"/>
      <c r="X53" s="1186"/>
      <c r="Y53" s="1186"/>
      <c r="Z53" s="1186"/>
      <c r="AA53" s="1186"/>
      <c r="AB53" s="1186"/>
      <c r="AC53" s="1186"/>
      <c r="AD53" s="1186"/>
      <c r="AE53" s="1186"/>
      <c r="AF53" s="1186"/>
      <c r="AG53" s="1186"/>
      <c r="AH53" s="1186"/>
      <c r="AI53" s="1186"/>
      <c r="AJ53" s="1186"/>
      <c r="AK53" s="1186"/>
      <c r="AL53" s="1186"/>
      <c r="AM53" s="1186"/>
      <c r="AN53" s="1186"/>
      <c r="AO53" s="1186"/>
      <c r="AP53" s="1186"/>
      <c r="AQ53" s="1186"/>
      <c r="AR53" s="1235">
        <v>0</v>
      </c>
    </row>
    <row r="54" spans="1:44" s="1778" customFormat="1" ht="17.25" customHeight="1">
      <c r="A54" s="259"/>
      <c r="C54" s="258"/>
      <c r="D54" s="3153"/>
      <c r="E54" s="3156"/>
      <c r="F54" s="3147"/>
      <c r="G54" s="3156"/>
      <c r="H54" s="3136"/>
      <c r="I54" s="3138"/>
      <c r="J54" s="3141"/>
      <c r="K54" s="3132"/>
      <c r="L54" s="3132"/>
      <c r="M54" s="3132"/>
      <c r="N54" s="3130"/>
      <c r="O54" s="3132"/>
      <c r="P54" s="1345"/>
      <c r="Q54" s="1224"/>
      <c r="R54" s="1224"/>
      <c r="S54" s="267"/>
      <c r="T54" s="267"/>
      <c r="U54" s="267"/>
      <c r="V54" s="267"/>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147"/>
      <c r="D55" s="3153"/>
      <c r="E55" s="3156"/>
      <c r="F55" s="3147"/>
      <c r="G55" s="3156"/>
      <c r="H55" s="3136"/>
      <c r="I55" s="3138"/>
      <c r="J55" s="3141"/>
      <c r="K55" s="3132"/>
      <c r="L55" s="1224"/>
      <c r="M55" s="1224"/>
      <c r="N55" s="1224"/>
      <c r="O55" s="1224"/>
      <c r="P55" s="1224"/>
      <c r="Q55" s="1224"/>
      <c r="R55" s="1224"/>
      <c r="S55" s="267"/>
      <c r="T55" s="267"/>
      <c r="U55" s="267"/>
      <c r="V55" s="267"/>
      <c r="W55" s="1225"/>
      <c r="Y55" s="1194"/>
      <c r="Z55" s="1194"/>
      <c r="AA55" s="1194"/>
      <c r="AB55" s="1194"/>
      <c r="AC55" s="1194"/>
      <c r="AD55" s="1194"/>
      <c r="AE55" s="1194"/>
      <c r="AF55" s="1194"/>
      <c r="AG55" s="1194"/>
      <c r="AH55" s="1194"/>
      <c r="AI55" s="1194"/>
      <c r="AJ55" s="1194"/>
      <c r="AK55" s="1194"/>
      <c r="AL55" s="1194"/>
      <c r="AM55" s="1194"/>
      <c r="AN55" s="1194"/>
      <c r="AO55" s="1194"/>
      <c r="AP55" s="1194"/>
      <c r="AQ55" s="1194"/>
      <c r="AR55" s="1253">
        <v>0</v>
      </c>
    </row>
    <row r="56" spans="1:44" s="1778" customFormat="1" ht="17.25" customHeight="1">
      <c r="A56" s="259"/>
      <c r="C56" s="258"/>
      <c r="D56" s="3154"/>
      <c r="E56" s="3157"/>
      <c r="F56" s="3148"/>
      <c r="G56" s="3157"/>
      <c r="H56" s="1226"/>
      <c r="I56" s="1227"/>
      <c r="J56" s="1227"/>
      <c r="K56" s="1227"/>
      <c r="L56" s="1227"/>
      <c r="M56" s="1227"/>
      <c r="N56" s="1227"/>
      <c r="O56" s="1227"/>
      <c r="P56" s="1227"/>
      <c r="Q56" s="1227"/>
      <c r="R56" s="1227"/>
      <c r="S56" s="1228"/>
      <c r="T56" s="1228"/>
      <c r="U56" s="1228"/>
      <c r="V56" s="1228"/>
      <c r="W56" s="1229"/>
      <c r="X56" s="1186"/>
      <c r="Y56" s="1186"/>
      <c r="Z56" s="1186"/>
      <c r="AA56" s="1186"/>
      <c r="AB56" s="1186"/>
      <c r="AC56" s="1186"/>
      <c r="AD56" s="1186"/>
      <c r="AE56" s="1186"/>
      <c r="AF56" s="1186"/>
      <c r="AG56" s="1186"/>
      <c r="AH56" s="1186"/>
      <c r="AI56" s="1186"/>
      <c r="AJ56" s="1186"/>
      <c r="AK56" s="1186"/>
      <c r="AL56" s="1186"/>
      <c r="AM56" s="1186"/>
      <c r="AN56" s="1186"/>
      <c r="AO56" s="1186"/>
      <c r="AP56" s="1186"/>
      <c r="AQ56" s="1186"/>
      <c r="AR56" s="1235">
        <v>0</v>
      </c>
    </row>
    <row r="57" spans="1:44" s="1778" customFormat="1" ht="17.25" customHeight="1">
      <c r="A57" s="259"/>
      <c r="C57" s="147"/>
      <c r="D57" s="3144">
        <v>8</v>
      </c>
      <c r="E57" s="3133" t="s">
        <v>206</v>
      </c>
      <c r="F57" s="3146" t="s">
        <v>19</v>
      </c>
      <c r="G57" s="3133"/>
      <c r="H57" s="3135"/>
      <c r="I57" s="3137"/>
      <c r="J57" s="3139"/>
      <c r="K57" s="3131"/>
      <c r="L57" s="3131"/>
      <c r="M57" s="3131"/>
      <c r="N57" s="3142"/>
      <c r="O57" s="3131"/>
      <c r="P57" s="3131"/>
      <c r="Q57" s="3131"/>
      <c r="R57" s="3129"/>
      <c r="S57" s="3131"/>
      <c r="T57" s="1397"/>
      <c r="U57" s="1397"/>
      <c r="V57" s="1399"/>
      <c r="W57" s="1223"/>
      <c r="X57" s="1194"/>
      <c r="Y57" s="1194"/>
      <c r="Z57" s="1194"/>
      <c r="AA57" s="1194"/>
      <c r="AB57" s="1194"/>
      <c r="AC57" s="1194" t="s">
        <v>207</v>
      </c>
      <c r="AD57" s="1194" t="s">
        <v>208</v>
      </c>
      <c r="AE57" s="1194" t="s">
        <v>209</v>
      </c>
      <c r="AF57" s="1194" t="s">
        <v>210</v>
      </c>
      <c r="AG57" s="1194" t="s">
        <v>211</v>
      </c>
      <c r="AH57" s="1194" t="str">
        <f>IF($E$57=0,"",$E$57)</f>
        <v>Плата за подключение (технологическое присоединение) к системе теплоснабжения</v>
      </c>
      <c r="AI57" s="1194" t="str">
        <f>IF($G$57=0,"",$G$57)</f>
        <v/>
      </c>
      <c r="AJ57" s="1194" t="str">
        <f>IF($J$57=0,"",$J$57)</f>
        <v/>
      </c>
      <c r="AK57" s="1194" t="str">
        <f>IF($K$57="нет","без дифференциации",IF($N$57=0,"",$N$57))</f>
        <v/>
      </c>
      <c r="AL57" s="1194" t="str">
        <f>IF($O$57="нет","без дифференциации",IF($R$57=0,"",$R$57))</f>
        <v/>
      </c>
      <c r="AM57" s="1194" t="str">
        <f>IF($S$57="нет","без дифференциации",IF($V$57=0,"",$V$57))</f>
        <v/>
      </c>
      <c r="AN57" s="1698">
        <f>$I$57</f>
        <v>0</v>
      </c>
      <c r="AO57" s="1194" t="str">
        <f>$I$57&amp;"."&amp;$M$57</f>
        <v>.</v>
      </c>
      <c r="AP57" s="1186" t="str">
        <f>$I$57&amp;"."&amp;$M$57&amp;"."&amp;$Q$57</f>
        <v>..</v>
      </c>
      <c r="AQ57" s="1186" t="str">
        <f>$I$57&amp;"."&amp;$M$57&amp;"."&amp;$Q$57&amp;"."&amp;$U$57</f>
        <v>...</v>
      </c>
      <c r="AR57" s="1235">
        <v>0</v>
      </c>
    </row>
    <row r="58" spans="1:44" s="1778" customFormat="1" ht="17.25" customHeight="1">
      <c r="A58" s="259"/>
      <c r="C58" s="258"/>
      <c r="D58" s="3144"/>
      <c r="E58" s="3133"/>
      <c r="F58" s="3147"/>
      <c r="G58" s="3133"/>
      <c r="H58" s="3136"/>
      <c r="I58" s="3138"/>
      <c r="J58" s="3140"/>
      <c r="K58" s="3132"/>
      <c r="L58" s="3132"/>
      <c r="M58" s="3132"/>
      <c r="N58" s="3143"/>
      <c r="O58" s="3132"/>
      <c r="P58" s="3132"/>
      <c r="Q58" s="3132"/>
      <c r="R58" s="3130"/>
      <c r="S58" s="3132"/>
      <c r="T58" s="1224"/>
      <c r="U58" s="1224"/>
      <c r="V58" s="1224"/>
      <c r="W58" s="1225"/>
      <c r="X58" s="1186"/>
      <c r="Y58" s="1186"/>
      <c r="Z58" s="1186"/>
      <c r="AA58" s="1186"/>
      <c r="AB58" s="1186"/>
      <c r="AC58" s="1186"/>
      <c r="AD58" s="1186"/>
      <c r="AE58" s="1186"/>
      <c r="AF58" s="1186"/>
      <c r="AG58" s="1186"/>
      <c r="AH58" s="1186"/>
      <c r="AI58" s="1186"/>
      <c r="AJ58" s="1186"/>
      <c r="AK58" s="1186"/>
      <c r="AL58" s="1186"/>
      <c r="AM58" s="1186"/>
      <c r="AN58" s="1186"/>
      <c r="AO58" s="1186"/>
      <c r="AP58" s="1186"/>
      <c r="AQ58" s="1186"/>
      <c r="AR58" s="1235">
        <v>0</v>
      </c>
    </row>
    <row r="59" spans="1:44" s="1778" customFormat="1" ht="17.25" customHeight="1">
      <c r="A59" s="259"/>
      <c r="C59" s="258"/>
      <c r="D59" s="3145"/>
      <c r="E59" s="3134"/>
      <c r="F59" s="3147"/>
      <c r="G59" s="3134"/>
      <c r="H59" s="3136"/>
      <c r="I59" s="3138"/>
      <c r="J59" s="3141"/>
      <c r="K59" s="3132"/>
      <c r="L59" s="3132"/>
      <c r="M59" s="3132"/>
      <c r="N59" s="3130"/>
      <c r="O59" s="3132"/>
      <c r="P59" s="1398"/>
      <c r="Q59" s="1224"/>
      <c r="R59" s="1224"/>
      <c r="S59" s="267"/>
      <c r="T59" s="267"/>
      <c r="U59" s="267"/>
      <c r="V59" s="267"/>
      <c r="W59" s="1225"/>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235">
        <v>0</v>
      </c>
    </row>
    <row r="60" spans="1:44" s="1778" customFormat="1" ht="17.25" customHeight="1">
      <c r="A60" s="259"/>
      <c r="C60" s="147"/>
      <c r="D60" s="3145"/>
      <c r="E60" s="3134"/>
      <c r="F60" s="3147"/>
      <c r="G60" s="3134"/>
      <c r="H60" s="3136"/>
      <c r="I60" s="3138"/>
      <c r="J60" s="3141"/>
      <c r="K60" s="3132"/>
      <c r="L60" s="1224"/>
      <c r="M60" s="1224"/>
      <c r="N60" s="1224"/>
      <c r="O60" s="1224"/>
      <c r="P60" s="1224"/>
      <c r="Q60" s="1224"/>
      <c r="R60" s="1224"/>
      <c r="S60" s="267"/>
      <c r="T60" s="267"/>
      <c r="U60" s="267"/>
      <c r="V60" s="267"/>
      <c r="W60" s="1225"/>
      <c r="Y60" s="1194"/>
      <c r="Z60" s="1194"/>
      <c r="AA60" s="1194"/>
      <c r="AB60" s="1194"/>
      <c r="AC60" s="1194"/>
      <c r="AD60" s="1194"/>
      <c r="AE60" s="1194"/>
      <c r="AF60" s="1194"/>
      <c r="AG60" s="1194"/>
      <c r="AH60" s="1194"/>
      <c r="AI60" s="1194"/>
      <c r="AJ60" s="1194"/>
      <c r="AK60" s="1194"/>
      <c r="AL60" s="1194"/>
      <c r="AM60" s="1194"/>
      <c r="AN60" s="1194"/>
      <c r="AO60" s="1194"/>
      <c r="AP60" s="1194"/>
      <c r="AQ60" s="1194"/>
      <c r="AR60" s="1253">
        <v>0</v>
      </c>
    </row>
    <row r="61" spans="1:44" s="1778" customFormat="1" ht="17.25" customHeight="1">
      <c r="A61" s="259"/>
      <c r="C61" s="258"/>
      <c r="D61" s="3145"/>
      <c r="E61" s="3134"/>
      <c r="F61" s="3148"/>
      <c r="G61" s="3134"/>
      <c r="H61" s="1226"/>
      <c r="I61" s="1227"/>
      <c r="J61" s="1227"/>
      <c r="K61" s="1227"/>
      <c r="L61" s="1227"/>
      <c r="M61" s="1227"/>
      <c r="N61" s="1227"/>
      <c r="O61" s="1227"/>
      <c r="P61" s="1227"/>
      <c r="Q61" s="1227"/>
      <c r="R61" s="1227"/>
      <c r="S61" s="1228"/>
      <c r="T61" s="1228"/>
      <c r="U61" s="1228"/>
      <c r="V61" s="1228"/>
      <c r="W61" s="1229"/>
      <c r="X61" s="1186"/>
      <c r="Y61" s="1186"/>
      <c r="Z61" s="1186"/>
      <c r="AA61" s="1186"/>
      <c r="AB61" s="1186"/>
      <c r="AC61" s="1186"/>
      <c r="AD61" s="1186"/>
      <c r="AE61" s="1186"/>
      <c r="AF61" s="1186"/>
      <c r="AG61" s="1186"/>
      <c r="AH61" s="1186"/>
      <c r="AI61" s="1186"/>
      <c r="AJ61" s="1186"/>
      <c r="AK61" s="1186"/>
      <c r="AL61" s="1186"/>
      <c r="AM61" s="1186"/>
      <c r="AN61" s="1186"/>
      <c r="AO61" s="1186"/>
      <c r="AP61" s="1186"/>
      <c r="AQ61" s="1186"/>
      <c r="AR61" s="1235">
        <v>0</v>
      </c>
    </row>
    <row r="62" spans="1:44" s="1778" customFormat="1" ht="17.25" customHeight="1">
      <c r="A62" s="259"/>
      <c r="C62" s="147"/>
      <c r="D62" s="3144">
        <v>9</v>
      </c>
      <c r="E62" s="3133" t="s">
        <v>212</v>
      </c>
      <c r="F62" s="3146" t="s">
        <v>19</v>
      </c>
      <c r="G62" s="3133"/>
      <c r="H62" s="3135"/>
      <c r="I62" s="3137"/>
      <c r="J62" s="3139"/>
      <c r="K62" s="3131"/>
      <c r="L62" s="3131"/>
      <c r="M62" s="3131"/>
      <c r="N62" s="3142"/>
      <c r="O62" s="3131"/>
      <c r="P62" s="3131"/>
      <c r="Q62" s="3131"/>
      <c r="R62" s="3129"/>
      <c r="S62" s="3131"/>
      <c r="T62" s="1853"/>
      <c r="U62" s="1853"/>
      <c r="V62" s="1855"/>
      <c r="W62" s="1223"/>
      <c r="X62" s="1194"/>
      <c r="Y62" s="1194"/>
      <c r="Z62" s="1194"/>
      <c r="AA62" s="1194"/>
      <c r="AB62" s="1194"/>
      <c r="AC62" s="1194" t="s">
        <v>213</v>
      </c>
      <c r="AD62" s="1194" t="s">
        <v>214</v>
      </c>
      <c r="AE62" s="1194" t="s">
        <v>215</v>
      </c>
      <c r="AF62" s="1194" t="s">
        <v>216</v>
      </c>
      <c r="AG62" s="1194" t="s">
        <v>217</v>
      </c>
      <c r="AH62" s="1194" t="str">
        <f>IF($E$62=0,"",$E$62)</f>
        <v>Плата за подключение (технологическое присоединение) к системе теплоснабжения (индивидуальная)</v>
      </c>
      <c r="AI62" s="1194" t="str">
        <f>IF($G$62=0,"",$G$62)</f>
        <v/>
      </c>
      <c r="AJ62" s="1194" t="str">
        <f>IF($J$62=0,"",$J$62)</f>
        <v/>
      </c>
      <c r="AK62" s="1194" t="str">
        <f>IF($K$62="нет","без дифференциации",IF($N$62=0,"",$N$62))</f>
        <v/>
      </c>
      <c r="AL62" s="1194" t="str">
        <f>IF($O$62="нет","без дифференциации",IF($R$62=0,"",$R$62))</f>
        <v/>
      </c>
      <c r="AM62" s="1194" t="str">
        <f>IF($S$62="нет","без дифференциации",IF($V$62=0,"",$V$62))</f>
        <v/>
      </c>
      <c r="AN62" s="1698">
        <f>$I$62</f>
        <v>0</v>
      </c>
      <c r="AO62" s="1194" t="str">
        <f>$I$62&amp;"."&amp;$M$62</f>
        <v>.</v>
      </c>
      <c r="AP62" s="1193" t="str">
        <f>$I$62&amp;"."&amp;$M$62&amp;"."&amp;$Q$62</f>
        <v>..</v>
      </c>
      <c r="AQ62" s="1193" t="str">
        <f>$I$62&amp;"."&amp;$M$62&amp;"."&amp;$Q$62&amp;"."&amp;$U$62</f>
        <v>...</v>
      </c>
      <c r="AR62" s="1394">
        <v>0</v>
      </c>
    </row>
    <row r="63" spans="1:44" s="1778" customFormat="1" ht="17.25" customHeight="1">
      <c r="A63" s="259"/>
      <c r="C63" s="258"/>
      <c r="D63" s="3144"/>
      <c r="E63" s="3133"/>
      <c r="F63" s="3147"/>
      <c r="G63" s="3133"/>
      <c r="H63" s="3136"/>
      <c r="I63" s="3138"/>
      <c r="J63" s="3140"/>
      <c r="K63" s="3132"/>
      <c r="L63" s="3132"/>
      <c r="M63" s="3132"/>
      <c r="N63" s="3143"/>
      <c r="O63" s="3132"/>
      <c r="P63" s="3132"/>
      <c r="Q63" s="3132"/>
      <c r="R63" s="3130"/>
      <c r="S63" s="3132"/>
      <c r="T63" s="1856"/>
      <c r="U63" s="1856"/>
      <c r="V63" s="1856"/>
      <c r="W63" s="1857"/>
      <c r="X63" s="1193"/>
      <c r="Y63" s="1193"/>
      <c r="Z63" s="1193"/>
      <c r="AA63" s="1193"/>
      <c r="AB63" s="1193"/>
      <c r="AC63" s="1193"/>
      <c r="AD63" s="1193"/>
      <c r="AE63" s="1193"/>
      <c r="AF63" s="1193"/>
      <c r="AG63" s="1193"/>
      <c r="AH63" s="1193"/>
      <c r="AI63" s="1193"/>
      <c r="AJ63" s="1193"/>
      <c r="AK63" s="1193"/>
      <c r="AL63" s="1193"/>
      <c r="AM63" s="1193"/>
      <c r="AN63" s="1193"/>
      <c r="AO63" s="1193"/>
      <c r="AP63" s="1193"/>
      <c r="AQ63" s="1193"/>
      <c r="AR63" s="1394">
        <v>0</v>
      </c>
    </row>
    <row r="64" spans="1:44" s="1778" customFormat="1" ht="17.25" customHeight="1">
      <c r="A64" s="259"/>
      <c r="C64" s="258"/>
      <c r="D64" s="3145"/>
      <c r="E64" s="3134"/>
      <c r="F64" s="3147"/>
      <c r="G64" s="3134"/>
      <c r="H64" s="3136"/>
      <c r="I64" s="3138"/>
      <c r="J64" s="3141"/>
      <c r="K64" s="3132"/>
      <c r="L64" s="3132"/>
      <c r="M64" s="3132"/>
      <c r="N64" s="3130"/>
      <c r="O64" s="3132"/>
      <c r="P64" s="1854"/>
      <c r="Q64" s="1856"/>
      <c r="R64" s="1856"/>
      <c r="S64" s="267"/>
      <c r="T64" s="267"/>
      <c r="U64" s="267"/>
      <c r="V64" s="267"/>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customHeight="1">
      <c r="A65" s="259"/>
      <c r="C65" s="147"/>
      <c r="D65" s="3145"/>
      <c r="E65" s="3134"/>
      <c r="F65" s="3147"/>
      <c r="G65" s="3134"/>
      <c r="H65" s="3136"/>
      <c r="I65" s="3138"/>
      <c r="J65" s="3141"/>
      <c r="K65" s="3132"/>
      <c r="L65" s="1856"/>
      <c r="M65" s="1856"/>
      <c r="N65" s="1856"/>
      <c r="O65" s="1856"/>
      <c r="P65" s="1856"/>
      <c r="Q65" s="1856"/>
      <c r="R65" s="1856"/>
      <c r="S65" s="267"/>
      <c r="T65" s="267"/>
      <c r="U65" s="267"/>
      <c r="V65" s="267"/>
      <c r="W65" s="1857"/>
      <c r="Y65" s="1194"/>
      <c r="Z65" s="1194"/>
      <c r="AA65" s="1194"/>
      <c r="AB65" s="1194"/>
      <c r="AC65" s="1194"/>
      <c r="AD65" s="1194"/>
      <c r="AE65" s="1194"/>
      <c r="AF65" s="1194"/>
      <c r="AG65" s="1194"/>
      <c r="AH65" s="1194"/>
      <c r="AI65" s="1194"/>
      <c r="AJ65" s="1194"/>
      <c r="AK65" s="1194"/>
      <c r="AL65" s="1194"/>
      <c r="AM65" s="1194"/>
      <c r="AN65" s="1194"/>
      <c r="AO65" s="1194"/>
      <c r="AP65" s="1194"/>
      <c r="AQ65" s="1194"/>
      <c r="AR65" s="1394">
        <v>0</v>
      </c>
    </row>
    <row r="66" spans="1:44" s="1778" customFormat="1" ht="17.25" customHeight="1">
      <c r="A66" s="259"/>
      <c r="C66" s="258"/>
      <c r="D66" s="3145"/>
      <c r="E66" s="3134"/>
      <c r="F66" s="3148"/>
      <c r="G66" s="3134"/>
      <c r="H66" s="1226"/>
      <c r="I66" s="1858"/>
      <c r="J66" s="1858"/>
      <c r="K66" s="1858"/>
      <c r="L66" s="1858"/>
      <c r="M66" s="1858"/>
      <c r="N66" s="1858"/>
      <c r="O66" s="1858"/>
      <c r="P66" s="1858"/>
      <c r="Q66" s="1858"/>
      <c r="R66" s="1858"/>
      <c r="S66" s="1228"/>
      <c r="T66" s="1228"/>
      <c r="U66" s="1228"/>
      <c r="V66" s="1228"/>
      <c r="W66" s="1859"/>
      <c r="X66" s="1193"/>
      <c r="Y66" s="1193"/>
      <c r="Z66" s="1193"/>
      <c r="AA66" s="1193"/>
      <c r="AB66" s="1193"/>
      <c r="AC66" s="1193"/>
      <c r="AD66" s="1193"/>
      <c r="AE66" s="1193"/>
      <c r="AF66" s="1193"/>
      <c r="AG66" s="1193"/>
      <c r="AH66" s="1193"/>
      <c r="AI66" s="1193"/>
      <c r="AJ66" s="1193"/>
      <c r="AK66" s="1193"/>
      <c r="AL66" s="1193"/>
      <c r="AM66" s="1193"/>
      <c r="AN66" s="1193"/>
      <c r="AO66" s="1193"/>
      <c r="AP66" s="1193"/>
      <c r="AQ66" s="1193"/>
      <c r="AR66" s="1394">
        <v>0</v>
      </c>
    </row>
    <row r="67" spans="1:44" s="1778" customFormat="1" ht="17.25" hidden="1" customHeight="1">
      <c r="A67" s="259"/>
      <c r="C67" s="147"/>
      <c r="D67" s="3144">
        <v>10</v>
      </c>
      <c r="E67" s="3133" t="s">
        <v>218</v>
      </c>
      <c r="F67" s="3146" t="s">
        <v>19</v>
      </c>
      <c r="G67" s="3133"/>
      <c r="H67" s="3135"/>
      <c r="I67" s="3137"/>
      <c r="J67" s="3139"/>
      <c r="K67" s="3131"/>
      <c r="L67" s="3131"/>
      <c r="M67" s="3131"/>
      <c r="N67" s="3142"/>
      <c r="O67" s="3131"/>
      <c r="P67" s="3131"/>
      <c r="Q67" s="3131"/>
      <c r="R67" s="3129"/>
      <c r="S67" s="3131"/>
      <c r="T67" s="1853"/>
      <c r="U67" s="1853"/>
      <c r="V67" s="1855"/>
      <c r="W67" s="1223"/>
      <c r="X67" s="1194"/>
      <c r="Y67" s="1194"/>
      <c r="Z67" s="1194"/>
      <c r="AA67" s="1194"/>
      <c r="AB67" s="1194"/>
      <c r="AC67" s="1194" t="s">
        <v>219</v>
      </c>
      <c r="AD67" s="1194" t="s">
        <v>220</v>
      </c>
      <c r="AE67" s="1194" t="s">
        <v>221</v>
      </c>
      <c r="AF67" s="1194" t="s">
        <v>222</v>
      </c>
      <c r="AG67" s="1194" t="s">
        <v>223</v>
      </c>
      <c r="AH67" s="1194" t="str">
        <f>IF($E$67=0,"",$E$67)</f>
        <v>Предельный уровень цены на тепловую энергию (мощность), поставляемую теплоснабжающими организациями потребителям</v>
      </c>
      <c r="AI67" s="1194" t="str">
        <f>IF($G$67=0,"",$G$67)</f>
        <v/>
      </c>
      <c r="AJ67" s="1194" t="str">
        <f>IF($J$67=0,"",$J$67)</f>
        <v/>
      </c>
      <c r="AK67" s="1194" t="str">
        <f>IF($K$67="нет","без дифференциации",IF($N$67=0,"",$N$67))</f>
        <v/>
      </c>
      <c r="AL67" s="1194" t="str">
        <f>IF($O$67="нет","без дифференциации",IF($R$67=0,"",$R$67))</f>
        <v/>
      </c>
      <c r="AM67" s="1194" t="str">
        <f>IF($S$67="нет","без дифференциации",IF($V$67=0,"",$V$67))</f>
        <v/>
      </c>
      <c r="AN67" s="1698">
        <f>$I$67</f>
        <v>0</v>
      </c>
      <c r="AO67" s="1194" t="str">
        <f>$I$67&amp;"."&amp;$M$67</f>
        <v>.</v>
      </c>
      <c r="AP67" s="1193" t="str">
        <f>$I$67&amp;"."&amp;$M$67&amp;"."&amp;$Q$67</f>
        <v>..</v>
      </c>
      <c r="AQ67" s="1193" t="str">
        <f>$I$67&amp;"."&amp;$M$67&amp;"."&amp;$Q$67&amp;"."&amp;$U$67</f>
        <v>...</v>
      </c>
      <c r="AR67" s="1394">
        <v>0</v>
      </c>
    </row>
    <row r="68" spans="1:44" s="1778" customFormat="1" ht="17.25" hidden="1" customHeight="1">
      <c r="A68" s="259"/>
      <c r="C68" s="258"/>
      <c r="D68" s="3144"/>
      <c r="E68" s="3133"/>
      <c r="F68" s="3147"/>
      <c r="G68" s="3133"/>
      <c r="H68" s="3136"/>
      <c r="I68" s="3138"/>
      <c r="J68" s="3140"/>
      <c r="K68" s="3132"/>
      <c r="L68" s="3132"/>
      <c r="M68" s="3132"/>
      <c r="N68" s="3143"/>
      <c r="O68" s="3132"/>
      <c r="P68" s="3132"/>
      <c r="Q68" s="3132"/>
      <c r="R68" s="3130"/>
      <c r="S68" s="3132"/>
      <c r="T68" s="1856"/>
      <c r="U68" s="1856"/>
      <c r="V68" s="1856"/>
      <c r="W68" s="1857"/>
      <c r="X68" s="1193"/>
      <c r="Y68" s="1193"/>
      <c r="Z68" s="1193"/>
      <c r="AA68" s="1193"/>
      <c r="AB68" s="1193"/>
      <c r="AC68" s="1193"/>
      <c r="AD68" s="1193"/>
      <c r="AE68" s="1193"/>
      <c r="AF68" s="1193"/>
      <c r="AG68" s="1193"/>
      <c r="AH68" s="1193"/>
      <c r="AI68" s="1193"/>
      <c r="AJ68" s="1193"/>
      <c r="AK68" s="1193"/>
      <c r="AL68" s="1193"/>
      <c r="AM68" s="1193"/>
      <c r="AN68" s="1193"/>
      <c r="AO68" s="1193"/>
      <c r="AP68" s="1193"/>
      <c r="AQ68" s="1193"/>
      <c r="AR68" s="1394">
        <v>0</v>
      </c>
    </row>
    <row r="69" spans="1:44" s="1778" customFormat="1" ht="17.25" hidden="1" customHeight="1">
      <c r="A69" s="259"/>
      <c r="C69" s="258"/>
      <c r="D69" s="3145"/>
      <c r="E69" s="3134"/>
      <c r="F69" s="3147"/>
      <c r="G69" s="3134"/>
      <c r="H69" s="3136"/>
      <c r="I69" s="3138"/>
      <c r="J69" s="3141"/>
      <c r="K69" s="3132"/>
      <c r="L69" s="3132"/>
      <c r="M69" s="3132"/>
      <c r="N69" s="3130"/>
      <c r="O69" s="3132"/>
      <c r="P69" s="1854"/>
      <c r="Q69" s="1856"/>
      <c r="R69" s="1856"/>
      <c r="S69" s="267"/>
      <c r="T69" s="267"/>
      <c r="U69" s="267"/>
      <c r="V69" s="267"/>
      <c r="W69" s="1857"/>
      <c r="X69" s="1193"/>
      <c r="Y69" s="1193"/>
      <c r="Z69" s="1193"/>
      <c r="AA69" s="1193"/>
      <c r="AB69" s="1193"/>
      <c r="AC69" s="1193"/>
      <c r="AD69" s="1193"/>
      <c r="AE69" s="1193"/>
      <c r="AF69" s="1193"/>
      <c r="AG69" s="1193"/>
      <c r="AH69" s="1193"/>
      <c r="AI69" s="1193"/>
      <c r="AJ69" s="1193"/>
      <c r="AK69" s="1193"/>
      <c r="AL69" s="1193"/>
      <c r="AM69" s="1193"/>
      <c r="AN69" s="1193"/>
      <c r="AO69" s="1193"/>
      <c r="AP69" s="1193"/>
      <c r="AQ69" s="1193"/>
      <c r="AR69" s="1394">
        <v>0</v>
      </c>
    </row>
    <row r="70" spans="1:44" s="1778" customFormat="1" ht="17.25" hidden="1" customHeight="1">
      <c r="A70" s="259"/>
      <c r="C70" s="147"/>
      <c r="D70" s="3145"/>
      <c r="E70" s="3134"/>
      <c r="F70" s="3147"/>
      <c r="G70" s="3134"/>
      <c r="H70" s="3136"/>
      <c r="I70" s="3138"/>
      <c r="J70" s="3141"/>
      <c r="K70" s="3132"/>
      <c r="L70" s="1856"/>
      <c r="M70" s="1856"/>
      <c r="N70" s="1856"/>
      <c r="O70" s="1856"/>
      <c r="P70" s="1856"/>
      <c r="Q70" s="1856"/>
      <c r="R70" s="1856"/>
      <c r="S70" s="267"/>
      <c r="T70" s="267"/>
      <c r="U70" s="267"/>
      <c r="V70" s="267"/>
      <c r="W70" s="1857"/>
      <c r="Y70" s="1194"/>
      <c r="Z70" s="1194"/>
      <c r="AA70" s="1194"/>
      <c r="AB70" s="1194"/>
      <c r="AC70" s="1194"/>
      <c r="AD70" s="1194"/>
      <c r="AE70" s="1194"/>
      <c r="AF70" s="1194"/>
      <c r="AG70" s="1194"/>
      <c r="AH70" s="1194"/>
      <c r="AI70" s="1194"/>
      <c r="AJ70" s="1194"/>
      <c r="AK70" s="1194"/>
      <c r="AL70" s="1194"/>
      <c r="AM70" s="1194"/>
      <c r="AN70" s="1194"/>
      <c r="AO70" s="1194"/>
      <c r="AP70" s="1194"/>
      <c r="AQ70" s="1194"/>
      <c r="AR70" s="1394">
        <v>0</v>
      </c>
    </row>
    <row r="71" spans="1:44" s="1778" customFormat="1" ht="17.25" hidden="1" customHeight="1">
      <c r="A71" s="259"/>
      <c r="C71" s="258"/>
      <c r="D71" s="3145"/>
      <c r="E71" s="3134"/>
      <c r="F71" s="3148"/>
      <c r="G71" s="3134"/>
      <c r="H71" s="1226"/>
      <c r="I71" s="1858"/>
      <c r="J71" s="1858"/>
      <c r="K71" s="1858"/>
      <c r="L71" s="1858"/>
      <c r="M71" s="1858"/>
      <c r="N71" s="1858"/>
      <c r="O71" s="1858"/>
      <c r="P71" s="1858"/>
      <c r="Q71" s="1858"/>
      <c r="R71" s="1858"/>
      <c r="S71" s="1228"/>
      <c r="T71" s="1228"/>
      <c r="U71" s="1228"/>
      <c r="V71" s="1228"/>
      <c r="W71" s="1859"/>
      <c r="X71" s="1193"/>
      <c r="Y71" s="1193"/>
      <c r="Z71" s="1193"/>
      <c r="AA71" s="1193"/>
      <c r="AB71" s="1193"/>
      <c r="AC71" s="1193"/>
      <c r="AD71" s="1193"/>
      <c r="AE71" s="1193"/>
      <c r="AF71" s="1193"/>
      <c r="AG71" s="1193"/>
      <c r="AH71" s="1193"/>
      <c r="AI71" s="1193"/>
      <c r="AJ71" s="1193"/>
      <c r="AK71" s="1193"/>
      <c r="AL71" s="1193"/>
      <c r="AM71" s="1193"/>
      <c r="AN71" s="1193"/>
      <c r="AO71" s="1193"/>
      <c r="AP71" s="1193"/>
      <c r="AQ71" s="1193"/>
      <c r="AR71" s="1394">
        <v>0</v>
      </c>
    </row>
    <row r="72" spans="1:44" ht="11.25" customHeight="1">
      <c r="AR72" s="44">
        <v>0</v>
      </c>
    </row>
    <row r="73" spans="1:44" ht="11.25" customHeight="1">
      <c r="E73" s="3151" t="s">
        <v>224</v>
      </c>
      <c r="F73" s="3151"/>
      <c r="G73" s="3151"/>
      <c r="H73" s="3151"/>
      <c r="I73" s="3151"/>
      <c r="J73" s="3151"/>
      <c r="K73" s="3151"/>
      <c r="L73" s="3151"/>
      <c r="M73" s="3151"/>
      <c r="N73" s="3151"/>
      <c r="O73" s="3151"/>
      <c r="P73" s="3151"/>
      <c r="Q73" s="3151"/>
      <c r="R73" s="3151"/>
      <c r="S73" s="3151"/>
      <c r="T73" s="3151"/>
      <c r="U73" s="3151"/>
      <c r="V73" s="3151"/>
      <c r="W73" s="3151"/>
      <c r="AR73" s="44">
        <v>0</v>
      </c>
    </row>
    <row r="74" spans="1:44" ht="36.75" customHeight="1">
      <c r="E74" s="3149" t="s">
        <v>225</v>
      </c>
      <c r="F74" s="3149"/>
      <c r="G74" s="3150"/>
      <c r="H74" s="3150"/>
      <c r="I74" s="3150"/>
      <c r="J74" s="3150"/>
      <c r="K74" s="3150"/>
      <c r="L74" s="3150"/>
      <c r="M74" s="3150"/>
      <c r="N74" s="3150"/>
      <c r="O74" s="3150"/>
      <c r="P74" s="3150"/>
      <c r="Q74" s="3150"/>
      <c r="R74" s="3150"/>
      <c r="S74" s="3150"/>
      <c r="T74" s="3150"/>
      <c r="U74" s="3150"/>
      <c r="V74" s="3150"/>
      <c r="W74" s="3150"/>
      <c r="AR74" s="44">
        <v>0</v>
      </c>
    </row>
    <row r="75" spans="1:44" ht="28.5" customHeight="1">
      <c r="E75" s="3149" t="s">
        <v>226</v>
      </c>
      <c r="F75" s="3149"/>
      <c r="G75" s="3150"/>
      <c r="H75" s="3150"/>
      <c r="I75" s="3150"/>
      <c r="J75" s="3150"/>
      <c r="K75" s="3150"/>
      <c r="L75" s="3150"/>
      <c r="M75" s="3150"/>
      <c r="N75" s="3150"/>
      <c r="O75" s="3150"/>
      <c r="P75" s="3150"/>
      <c r="Q75" s="3150"/>
      <c r="R75" s="3150"/>
      <c r="S75" s="3150"/>
      <c r="T75" s="3150"/>
      <c r="U75" s="3150"/>
      <c r="V75" s="3150"/>
      <c r="W75" s="3150"/>
      <c r="AR75" s="44">
        <v>0</v>
      </c>
    </row>
    <row r="76" spans="1:44" ht="27" customHeight="1">
      <c r="E76" s="3149" t="s">
        <v>227</v>
      </c>
      <c r="F76" s="3149"/>
      <c r="G76" s="3150"/>
      <c r="H76" s="3150"/>
      <c r="I76" s="3150"/>
      <c r="J76" s="3150"/>
      <c r="K76" s="3150"/>
      <c r="L76" s="3150"/>
      <c r="M76" s="3150"/>
      <c r="N76" s="3150"/>
      <c r="O76" s="3150"/>
      <c r="P76" s="3150"/>
      <c r="Q76" s="3150"/>
      <c r="R76" s="3150"/>
      <c r="S76" s="3150"/>
      <c r="T76" s="3150"/>
      <c r="U76" s="3150"/>
      <c r="V76" s="3150"/>
      <c r="W76" s="3150"/>
      <c r="AR76" s="44">
        <v>0</v>
      </c>
    </row>
    <row r="77" spans="1:44" ht="17.25" customHeight="1">
      <c r="E77" s="3149" t="s">
        <v>228</v>
      </c>
      <c r="F77" s="3149"/>
      <c r="G77" s="3150"/>
      <c r="H77" s="3150"/>
      <c r="I77" s="3150"/>
      <c r="J77" s="3150"/>
      <c r="K77" s="3150"/>
      <c r="L77" s="3150"/>
      <c r="M77" s="3150"/>
      <c r="N77" s="3150"/>
      <c r="O77" s="3150"/>
      <c r="P77" s="3150"/>
      <c r="Q77" s="3150"/>
      <c r="R77" s="3150"/>
      <c r="S77" s="3150"/>
      <c r="T77" s="3150"/>
      <c r="U77" s="3150"/>
      <c r="V77" s="3150"/>
      <c r="W77" s="3150"/>
      <c r="AR77" s="44">
        <v>0</v>
      </c>
    </row>
    <row r="78" spans="1:44" ht="15" customHeight="1">
      <c r="E78" s="278"/>
      <c r="F78" s="1212"/>
      <c r="G78" s="95"/>
      <c r="H78" s="95"/>
      <c r="I78" s="95"/>
      <c r="J78" s="95"/>
      <c r="K78" s="95"/>
      <c r="L78" s="95"/>
      <c r="M78" s="95"/>
      <c r="N78" s="95"/>
      <c r="O78" s="95"/>
      <c r="P78" s="95"/>
      <c r="Q78" s="95"/>
      <c r="R78" s="95"/>
      <c r="S78" s="95"/>
      <c r="T78" s="95"/>
      <c r="U78" s="95"/>
      <c r="V78" s="95"/>
      <c r="W78" s="95"/>
      <c r="AR78" s="44">
        <v>0</v>
      </c>
    </row>
    <row r="79" spans="1:44" ht="15" customHeight="1">
      <c r="E79" s="3151" t="s">
        <v>229</v>
      </c>
      <c r="F79" s="3151"/>
      <c r="G79" s="3151"/>
      <c r="H79" s="3151"/>
      <c r="I79" s="3151"/>
      <c r="J79" s="3151"/>
      <c r="K79" s="3151"/>
      <c r="L79" s="3151"/>
      <c r="M79" s="3151"/>
      <c r="N79" s="3151"/>
      <c r="O79" s="3151"/>
      <c r="P79" s="3151"/>
      <c r="Q79" s="3151"/>
      <c r="R79" s="3151"/>
      <c r="S79" s="3151"/>
      <c r="T79" s="3151"/>
      <c r="U79" s="3151"/>
      <c r="V79" s="3151"/>
      <c r="W79" s="3151"/>
      <c r="AR79" s="44">
        <v>0</v>
      </c>
    </row>
    <row r="80" spans="1:44" ht="17.25" customHeight="1">
      <c r="E80" s="3149" t="s">
        <v>230</v>
      </c>
      <c r="F80" s="3149"/>
      <c r="G80" s="3150"/>
      <c r="H80" s="3150"/>
      <c r="I80" s="3150"/>
      <c r="J80" s="3150"/>
      <c r="K80" s="3150"/>
      <c r="L80" s="3150"/>
      <c r="M80" s="3150"/>
      <c r="N80" s="3150"/>
      <c r="O80" s="3150"/>
      <c r="P80" s="3150"/>
      <c r="Q80" s="3150"/>
      <c r="R80" s="3150"/>
      <c r="S80" s="3150"/>
      <c r="T80" s="3150"/>
      <c r="U80" s="3150"/>
      <c r="V80" s="3150"/>
      <c r="W80" s="3150"/>
      <c r="AR80" s="44">
        <v>0</v>
      </c>
    </row>
    <row r="81" spans="1:44" ht="17.25" customHeight="1">
      <c r="E81" s="3149" t="s">
        <v>231</v>
      </c>
      <c r="F81" s="3149"/>
      <c r="G81" s="3150"/>
      <c r="H81" s="3150"/>
      <c r="I81" s="3150"/>
      <c r="J81" s="3150"/>
      <c r="K81" s="3150"/>
      <c r="L81" s="3150"/>
      <c r="M81" s="3150"/>
      <c r="N81" s="3150"/>
      <c r="O81" s="3150"/>
      <c r="P81" s="3150"/>
      <c r="Q81" s="3150"/>
      <c r="R81" s="3150"/>
      <c r="S81" s="3150"/>
      <c r="T81" s="3150"/>
      <c r="U81" s="3150"/>
      <c r="V81" s="3150"/>
      <c r="W81" s="3150"/>
      <c r="AR81" s="44">
        <v>0</v>
      </c>
    </row>
    <row r="82" spans="1:44" s="1778" customFormat="1" ht="11.25" hidden="1" customHeight="1">
      <c r="A82" s="215"/>
      <c r="B82" s="215"/>
      <c r="Y82" s="1186"/>
      <c r="Z82" s="1186"/>
      <c r="AA82" s="1186"/>
      <c r="AB82" s="1186"/>
      <c r="AC82" s="1186"/>
      <c r="AD82" s="1186"/>
      <c r="AE82" s="1186"/>
      <c r="AF82" s="1186"/>
      <c r="AG82" s="1186"/>
      <c r="AH82" s="1186"/>
      <c r="AI82" s="1186"/>
      <c r="AJ82" s="1186"/>
      <c r="AK82" s="1186"/>
      <c r="AL82" s="1186"/>
      <c r="AM82" s="1186"/>
      <c r="AN82" s="1186"/>
      <c r="AO82" s="1186"/>
      <c r="AP82" s="1186"/>
      <c r="AQ82" s="1186"/>
      <c r="AR82" s="1277">
        <v>0</v>
      </c>
    </row>
    <row r="83" spans="1:44" s="1778" customFormat="1" ht="17.25" hidden="1" customHeight="1">
      <c r="A83" s="259"/>
      <c r="C83" s="147"/>
      <c r="D83" s="3144">
        <v>1</v>
      </c>
      <c r="E83" s="3133" t="s">
        <v>232</v>
      </c>
      <c r="F83" s="3146" t="s">
        <v>19</v>
      </c>
      <c r="G83" s="3133"/>
      <c r="H83" s="3135"/>
      <c r="I83" s="3137"/>
      <c r="J83" s="3139"/>
      <c r="K83" s="3131"/>
      <c r="L83" s="3131"/>
      <c r="M83" s="3131"/>
      <c r="N83" s="3142"/>
      <c r="O83" s="3131"/>
      <c r="P83" s="3131"/>
      <c r="Q83" s="3131"/>
      <c r="R83" s="3129"/>
      <c r="S83" s="3131"/>
      <c r="T83" s="1397"/>
      <c r="U83" s="1397"/>
      <c r="V83" s="1399"/>
      <c r="W83" s="1223"/>
      <c r="Y83" s="1194"/>
      <c r="Z83" s="1194"/>
      <c r="AA83" s="1194"/>
      <c r="AB83" s="1194"/>
      <c r="AC83" s="1194" t="s">
        <v>233</v>
      </c>
      <c r="AD83" s="1194" t="s">
        <v>234</v>
      </c>
      <c r="AE83" s="1194" t="s">
        <v>235</v>
      </c>
      <c r="AF83" s="1194" t="s">
        <v>236</v>
      </c>
      <c r="AG83" s="1194"/>
      <c r="AH83" s="1194" t="str">
        <f>IF($E$83=0,"",$E$83)</f>
        <v>Тариф на питьевую воду (питьевое водоснабжение)</v>
      </c>
      <c r="AI83" s="1194" t="str">
        <f>IF($G$83=0,"",$G$83)</f>
        <v/>
      </c>
      <c r="AJ83" s="1194" t="str">
        <f>IF($J$83=0,"",$J$83)</f>
        <v/>
      </c>
      <c r="AK83" s="1194" t="str">
        <f>IF($K$83="нет","без дифференциации",IF($N$83=0,"",$N$83))</f>
        <v/>
      </c>
      <c r="AL83" s="1194" t="str">
        <f>IF($O$83="нет","без дифференциации",IF($R$83=0,"",$R$83))</f>
        <v/>
      </c>
      <c r="AM83" s="1194" t="str">
        <f>IF($S$83="нет","без дифференциации",IF($V$83=0,"",$V$83))</f>
        <v/>
      </c>
      <c r="AN83" s="1194">
        <f>$I$83</f>
        <v>0</v>
      </c>
      <c r="AO83" s="1194" t="str">
        <f>$I$83&amp;"."&amp;$M$83</f>
        <v>.</v>
      </c>
      <c r="AP83" s="1194" t="str">
        <f>$I$83&amp;"."&amp;$M$83&amp;"."&amp;$Q$83</f>
        <v>..</v>
      </c>
      <c r="AQ83" s="1194" t="str">
        <f>$I$83&amp;"."&amp;$M$83&amp;"."&amp;$Q$83&amp;"."&amp;$U$83</f>
        <v>...</v>
      </c>
      <c r="AR83" s="1277">
        <v>0</v>
      </c>
    </row>
    <row r="84" spans="1:44" s="1778" customFormat="1" ht="17.25" hidden="1" customHeight="1">
      <c r="A84" s="259"/>
      <c r="C84" s="258"/>
      <c r="D84" s="3144"/>
      <c r="E84" s="3133"/>
      <c r="F84" s="3147"/>
      <c r="G84" s="3133"/>
      <c r="H84" s="3136"/>
      <c r="I84" s="3138"/>
      <c r="J84" s="3140"/>
      <c r="K84" s="3132"/>
      <c r="L84" s="3132"/>
      <c r="M84" s="3132"/>
      <c r="N84" s="3143"/>
      <c r="O84" s="3132"/>
      <c r="P84" s="3132"/>
      <c r="Q84" s="3132"/>
      <c r="R84" s="3130"/>
      <c r="S84" s="3132"/>
      <c r="T84" s="1224"/>
      <c r="U84" s="1224"/>
      <c r="V84" s="1224"/>
      <c r="W84" s="1225"/>
      <c r="Y84" s="1186"/>
      <c r="Z84" s="1186"/>
      <c r="AA84" s="1186"/>
      <c r="AB84" s="1186"/>
      <c r="AC84" s="1186"/>
      <c r="AD84" s="1186"/>
      <c r="AE84" s="1186"/>
      <c r="AF84" s="1186"/>
      <c r="AG84" s="1186"/>
      <c r="AH84" s="1186"/>
      <c r="AI84" s="1186"/>
      <c r="AJ84" s="1186"/>
      <c r="AK84" s="1186"/>
      <c r="AL84" s="1186"/>
      <c r="AM84" s="1186"/>
      <c r="AN84" s="1186"/>
      <c r="AO84" s="1186"/>
      <c r="AP84" s="1186"/>
      <c r="AQ84" s="1186"/>
      <c r="AR84" s="1277">
        <v>0</v>
      </c>
    </row>
    <row r="85" spans="1:44" s="1778" customFormat="1" ht="17.25" hidden="1" customHeight="1">
      <c r="A85" s="259"/>
      <c r="C85" s="147"/>
      <c r="D85" s="3144"/>
      <c r="E85" s="3133"/>
      <c r="F85" s="3147"/>
      <c r="G85" s="3133"/>
      <c r="H85" s="3136"/>
      <c r="I85" s="3138"/>
      <c r="J85" s="3141"/>
      <c r="K85" s="3132"/>
      <c r="L85" s="3132"/>
      <c r="M85" s="3132"/>
      <c r="N85" s="3130"/>
      <c r="O85" s="3132"/>
      <c r="P85" s="1398"/>
      <c r="Q85" s="1224"/>
      <c r="R85" s="1224"/>
      <c r="S85" s="267"/>
      <c r="T85" s="267"/>
      <c r="U85" s="267"/>
      <c r="V85" s="267"/>
      <c r="W85" s="1225"/>
      <c r="Y85" s="1194"/>
      <c r="Z85" s="1194"/>
      <c r="AA85" s="1194"/>
      <c r="AB85" s="1194"/>
      <c r="AC85" s="1194"/>
      <c r="AD85" s="1194"/>
      <c r="AE85" s="1194"/>
      <c r="AF85" s="1194"/>
      <c r="AG85" s="1194"/>
      <c r="AH85" s="1194"/>
      <c r="AI85" s="1194"/>
      <c r="AJ85" s="1194"/>
      <c r="AK85" s="1194"/>
      <c r="AL85" s="1194"/>
      <c r="AM85" s="1194"/>
      <c r="AN85" s="1194"/>
      <c r="AO85" s="1194"/>
      <c r="AP85" s="1194"/>
      <c r="AQ85" s="1194"/>
      <c r="AR85" s="1368">
        <v>0</v>
      </c>
    </row>
    <row r="86" spans="1:44" s="1778" customFormat="1" ht="17.25" hidden="1" customHeight="1">
      <c r="A86" s="259"/>
      <c r="C86" s="258"/>
      <c r="D86" s="3144"/>
      <c r="E86" s="3133"/>
      <c r="F86" s="3147"/>
      <c r="G86" s="3133"/>
      <c r="H86" s="3136"/>
      <c r="I86" s="3138"/>
      <c r="J86" s="3141"/>
      <c r="K86" s="3132"/>
      <c r="L86" s="1224"/>
      <c r="M86" s="1224"/>
      <c r="N86" s="1224"/>
      <c r="O86" s="1224"/>
      <c r="P86" s="1224"/>
      <c r="Q86" s="1224"/>
      <c r="R86" s="1224"/>
      <c r="S86" s="267"/>
      <c r="T86" s="267"/>
      <c r="U86" s="267"/>
      <c r="V86" s="267"/>
      <c r="W86" s="1225"/>
      <c r="Y86" s="1186"/>
      <c r="Z86" s="1186"/>
      <c r="AA86" s="1186"/>
      <c r="AB86" s="1186"/>
      <c r="AC86" s="1186"/>
      <c r="AD86" s="1186"/>
      <c r="AE86" s="1186"/>
      <c r="AF86" s="1186"/>
      <c r="AG86" s="1186"/>
      <c r="AH86" s="1186"/>
      <c r="AI86" s="1186"/>
      <c r="AJ86" s="1186"/>
      <c r="AK86" s="1186"/>
      <c r="AL86" s="1186"/>
      <c r="AM86" s="1186"/>
      <c r="AN86" s="1186"/>
      <c r="AO86" s="1186"/>
      <c r="AP86" s="1186"/>
      <c r="AQ86" s="1186"/>
      <c r="AR86" s="1368">
        <v>0</v>
      </c>
    </row>
    <row r="87" spans="1:44" s="1778" customFormat="1" ht="17.25" hidden="1" customHeight="1">
      <c r="A87" s="259"/>
      <c r="C87" s="258"/>
      <c r="D87" s="3145"/>
      <c r="E87" s="3134"/>
      <c r="F87" s="3148"/>
      <c r="G87" s="3134"/>
      <c r="H87" s="1226"/>
      <c r="I87" s="1227"/>
      <c r="J87" s="1227"/>
      <c r="K87" s="1227"/>
      <c r="L87" s="1227"/>
      <c r="M87" s="1227"/>
      <c r="N87" s="1227"/>
      <c r="O87" s="1227"/>
      <c r="P87" s="1227"/>
      <c r="Q87" s="1227"/>
      <c r="R87" s="1227"/>
      <c r="S87" s="1228"/>
      <c r="T87" s="1228"/>
      <c r="U87" s="1228"/>
      <c r="V87" s="1228"/>
      <c r="W87" s="1229"/>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147"/>
      <c r="D88" s="3144">
        <v>2</v>
      </c>
      <c r="E88" s="3133" t="s">
        <v>237</v>
      </c>
      <c r="F88" s="3146" t="s">
        <v>19</v>
      </c>
      <c r="G88" s="3133"/>
      <c r="H88" s="3135"/>
      <c r="I88" s="3137"/>
      <c r="J88" s="3139"/>
      <c r="K88" s="3131"/>
      <c r="L88" s="3131"/>
      <c r="M88" s="3131"/>
      <c r="N88" s="3142"/>
      <c r="O88" s="3131"/>
      <c r="P88" s="3131"/>
      <c r="Q88" s="3131"/>
      <c r="R88" s="3129"/>
      <c r="S88" s="3131"/>
      <c r="T88" s="1370"/>
      <c r="U88" s="1370"/>
      <c r="V88" s="1372"/>
      <c r="W88" s="1223"/>
      <c r="X88" s="1194"/>
      <c r="Y88" s="1194"/>
      <c r="Z88" s="1194"/>
      <c r="AA88" s="1194"/>
      <c r="AB88" s="1194"/>
      <c r="AC88" s="1194" t="s">
        <v>238</v>
      </c>
      <c r="AD88" s="1194" t="s">
        <v>239</v>
      </c>
      <c r="AE88" s="1194" t="s">
        <v>240</v>
      </c>
      <c r="AF88" s="1194" t="s">
        <v>241</v>
      </c>
      <c r="AG88" s="1194"/>
      <c r="AH88" s="1194" t="str">
        <f>IF($E$88=0,"",$E$88)</f>
        <v>Тариф на техническую воду</v>
      </c>
      <c r="AI88" s="1194" t="str">
        <f>IF($G$88=0,"",$G$88)</f>
        <v/>
      </c>
      <c r="AJ88" s="1194" t="str">
        <f>IF($J$88=0,"",$J$88)</f>
        <v/>
      </c>
      <c r="AK88" s="1194" t="str">
        <f>IF($K$88="нет","без дифференциации",IF($N$88=0,"",$N$88))</f>
        <v/>
      </c>
      <c r="AL88" s="1194" t="str">
        <f>IF($O$88="нет","без дифференциации",IF($R$88=0,"",$R$88))</f>
        <v/>
      </c>
      <c r="AM88" s="1194" t="str">
        <f>IF($S$88="нет","без дифференциации",IF($V$88=0,"",$V$88))</f>
        <v/>
      </c>
      <c r="AN88" s="1698">
        <f>$I$88</f>
        <v>0</v>
      </c>
      <c r="AO88" s="1194" t="str">
        <f>$I$88&amp;"."&amp;$M$88</f>
        <v>.</v>
      </c>
      <c r="AP88" s="1186" t="str">
        <f>$I$88&amp;"."&amp;$M$88&amp;"."&amp;$Q$88</f>
        <v>..</v>
      </c>
      <c r="AQ88" s="1186" t="str">
        <f>$I$88&amp;"."&amp;$M$88&amp;"."&amp;$Q$88&amp;"."&amp;$U$88</f>
        <v>...</v>
      </c>
      <c r="AR88" s="1277">
        <v>0</v>
      </c>
    </row>
    <row r="89" spans="1:44" s="1778" customFormat="1" ht="17.25" hidden="1" customHeight="1">
      <c r="A89" s="259"/>
      <c r="C89" s="258"/>
      <c r="D89" s="3144"/>
      <c r="E89" s="3133"/>
      <c r="F89" s="3147"/>
      <c r="G89" s="3133"/>
      <c r="H89" s="3136"/>
      <c r="I89" s="3138"/>
      <c r="J89" s="3140"/>
      <c r="K89" s="3132"/>
      <c r="L89" s="3132"/>
      <c r="M89" s="3132"/>
      <c r="N89" s="3143"/>
      <c r="O89" s="3132"/>
      <c r="P89" s="3132"/>
      <c r="Q89" s="3132"/>
      <c r="R89" s="3130"/>
      <c r="S89" s="3132"/>
      <c r="T89" s="1224"/>
      <c r="U89" s="1224"/>
      <c r="V89" s="1224"/>
      <c r="W89" s="1225"/>
      <c r="X89" s="1186"/>
      <c r="Y89" s="1186"/>
      <c r="Z89" s="1186"/>
      <c r="AA89" s="1186"/>
      <c r="AB89" s="1186"/>
      <c r="AC89" s="1186"/>
      <c r="AD89" s="1186"/>
      <c r="AE89" s="1186"/>
      <c r="AF89" s="1186"/>
      <c r="AG89" s="1186"/>
      <c r="AH89" s="1186"/>
      <c r="AI89" s="1186"/>
      <c r="AJ89" s="1186"/>
      <c r="AK89" s="1186"/>
      <c r="AL89" s="1186"/>
      <c r="AM89" s="1186"/>
      <c r="AN89" s="1186"/>
      <c r="AO89" s="1186"/>
      <c r="AP89" s="1186"/>
      <c r="AQ89" s="1186"/>
      <c r="AR89" s="1277">
        <v>0</v>
      </c>
    </row>
    <row r="90" spans="1:44" s="1778" customFormat="1" ht="17.25" hidden="1" customHeight="1">
      <c r="A90" s="259"/>
      <c r="C90" s="258"/>
      <c r="D90" s="3145"/>
      <c r="E90" s="3134"/>
      <c r="F90" s="3147"/>
      <c r="G90" s="3134"/>
      <c r="H90" s="3136"/>
      <c r="I90" s="3138"/>
      <c r="J90" s="3141"/>
      <c r="K90" s="3132"/>
      <c r="L90" s="3132"/>
      <c r="M90" s="3132"/>
      <c r="N90" s="3130"/>
      <c r="O90" s="3132"/>
      <c r="P90" s="1371"/>
      <c r="Q90" s="1224"/>
      <c r="R90" s="1224"/>
      <c r="S90" s="267"/>
      <c r="T90" s="267"/>
      <c r="U90" s="267"/>
      <c r="V90" s="267"/>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3145"/>
      <c r="E91" s="3134"/>
      <c r="F91" s="3147"/>
      <c r="G91" s="3134"/>
      <c r="H91" s="3136"/>
      <c r="I91" s="3138"/>
      <c r="J91" s="3141"/>
      <c r="K91" s="3132"/>
      <c r="L91" s="1224"/>
      <c r="M91" s="1224"/>
      <c r="N91" s="1224"/>
      <c r="O91" s="1224"/>
      <c r="P91" s="1224"/>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3145"/>
      <c r="E92" s="3134"/>
      <c r="F92" s="3148"/>
      <c r="G92" s="3134"/>
      <c r="H92" s="1226"/>
      <c r="I92" s="1227"/>
      <c r="J92" s="1227"/>
      <c r="K92" s="1227"/>
      <c r="L92" s="1227"/>
      <c r="M92" s="1227"/>
      <c r="N92" s="1227"/>
      <c r="O92" s="1227"/>
      <c r="P92" s="1227"/>
      <c r="Q92" s="1227"/>
      <c r="R92" s="1227"/>
      <c r="S92" s="1228"/>
      <c r="T92" s="1228"/>
      <c r="U92" s="1228"/>
      <c r="V92" s="1228"/>
      <c r="W92" s="1229"/>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147"/>
      <c r="D93" s="3144">
        <v>3</v>
      </c>
      <c r="E93" s="3133" t="s">
        <v>242</v>
      </c>
      <c r="F93" s="3146" t="s">
        <v>19</v>
      </c>
      <c r="G93" s="3133"/>
      <c r="H93" s="3135"/>
      <c r="I93" s="3137"/>
      <c r="J93" s="3139"/>
      <c r="K93" s="3131"/>
      <c r="L93" s="3131"/>
      <c r="M93" s="3131"/>
      <c r="N93" s="3142"/>
      <c r="O93" s="3131"/>
      <c r="P93" s="3131"/>
      <c r="Q93" s="3131"/>
      <c r="R93" s="3129"/>
      <c r="S93" s="3131"/>
      <c r="T93" s="1370"/>
      <c r="U93" s="1370"/>
      <c r="V93" s="1372"/>
      <c r="W93" s="1223"/>
      <c r="X93" s="1194"/>
      <c r="Y93" s="1194"/>
      <c r="Z93" s="1194"/>
      <c r="AA93" s="1194"/>
      <c r="AB93" s="1194"/>
      <c r="AC93" s="1194" t="s">
        <v>243</v>
      </c>
      <c r="AD93" s="1194" t="s">
        <v>244</v>
      </c>
      <c r="AE93" s="1194" t="s">
        <v>245</v>
      </c>
      <c r="AF93" s="1194" t="s">
        <v>246</v>
      </c>
      <c r="AG93" s="1194"/>
      <c r="AH93" s="1194" t="str">
        <f>IF($E$93=0,"",$E$93)</f>
        <v>Тариф на транспортировку воды</v>
      </c>
      <c r="AI93" s="1194" t="str">
        <f>IF($G$93=0,"",$G$93)</f>
        <v/>
      </c>
      <c r="AJ93" s="1194" t="str">
        <f>IF($J$93=0,"",$J$93)</f>
        <v/>
      </c>
      <c r="AK93" s="1194" t="str">
        <f>IF($K$93="нет","без дифференциации",IF($N$93=0,"",$N$93))</f>
        <v/>
      </c>
      <c r="AL93" s="1194" t="str">
        <f>IF($O$93="нет","без дифференциации",IF($R$93=0,"",$R$93))</f>
        <v/>
      </c>
      <c r="AM93" s="1194" t="str">
        <f>IF($S$93="нет","без дифференциации",IF($V$93=0,"",$V$93))</f>
        <v/>
      </c>
      <c r="AN93" s="1698">
        <f>$I$93</f>
        <v>0</v>
      </c>
      <c r="AO93" s="1194" t="str">
        <f>$I$93&amp;"."&amp;$M$93</f>
        <v>.</v>
      </c>
      <c r="AP93" s="1186" t="str">
        <f>$I$93&amp;"."&amp;$M$93&amp;"."&amp;$Q$93</f>
        <v>..</v>
      </c>
      <c r="AQ93" s="1186" t="str">
        <f>$I$93&amp;"."&amp;$M$93&amp;"."&amp;$Q$93&amp;"."&amp;$U$93</f>
        <v>...</v>
      </c>
      <c r="AR93" s="1277">
        <v>0</v>
      </c>
    </row>
    <row r="94" spans="1:44" s="1778" customFormat="1" ht="17.25" hidden="1" customHeight="1">
      <c r="A94" s="259"/>
      <c r="C94" s="258"/>
      <c r="D94" s="3144"/>
      <c r="E94" s="3133"/>
      <c r="F94" s="3147"/>
      <c r="G94" s="3133"/>
      <c r="H94" s="3136"/>
      <c r="I94" s="3138"/>
      <c r="J94" s="3140"/>
      <c r="K94" s="3132"/>
      <c r="L94" s="3132"/>
      <c r="M94" s="3132"/>
      <c r="N94" s="3143"/>
      <c r="O94" s="3132"/>
      <c r="P94" s="3132"/>
      <c r="Q94" s="3132"/>
      <c r="R94" s="3130"/>
      <c r="S94" s="3132"/>
      <c r="T94" s="1224"/>
      <c r="U94" s="1224"/>
      <c r="V94" s="1224"/>
      <c r="W94" s="1225"/>
      <c r="X94" s="1186"/>
      <c r="Y94" s="1186"/>
      <c r="Z94" s="1186"/>
      <c r="AA94" s="1186"/>
      <c r="AB94" s="1186"/>
      <c r="AC94" s="1186"/>
      <c r="AD94" s="1186"/>
      <c r="AE94" s="1186"/>
      <c r="AF94" s="1186"/>
      <c r="AG94" s="1186"/>
      <c r="AH94" s="1186"/>
      <c r="AI94" s="1186"/>
      <c r="AJ94" s="1186"/>
      <c r="AK94" s="1186"/>
      <c r="AL94" s="1186"/>
      <c r="AM94" s="1186"/>
      <c r="AN94" s="1186"/>
      <c r="AO94" s="1186"/>
      <c r="AP94" s="1186"/>
      <c r="AQ94" s="1186"/>
      <c r="AR94" s="1277">
        <v>0</v>
      </c>
    </row>
    <row r="95" spans="1:44" s="1778" customFormat="1" ht="17.25" hidden="1" customHeight="1">
      <c r="A95" s="259"/>
      <c r="C95" s="258"/>
      <c r="D95" s="3145"/>
      <c r="E95" s="3134"/>
      <c r="F95" s="3147"/>
      <c r="G95" s="3134"/>
      <c r="H95" s="3136"/>
      <c r="I95" s="3138"/>
      <c r="J95" s="3141"/>
      <c r="K95" s="3132"/>
      <c r="L95" s="3132"/>
      <c r="M95" s="3132"/>
      <c r="N95" s="3130"/>
      <c r="O95" s="3132"/>
      <c r="P95" s="1371"/>
      <c r="Q95" s="1224"/>
      <c r="R95" s="1224"/>
      <c r="S95" s="267"/>
      <c r="T95" s="267"/>
      <c r="U95" s="267"/>
      <c r="V95" s="267"/>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3145"/>
      <c r="E96" s="3134"/>
      <c r="F96" s="3147"/>
      <c r="G96" s="3134"/>
      <c r="H96" s="3136"/>
      <c r="I96" s="3138"/>
      <c r="J96" s="3141"/>
      <c r="K96" s="3132"/>
      <c r="L96" s="1224"/>
      <c r="M96" s="1224"/>
      <c r="N96" s="1224"/>
      <c r="O96" s="1224"/>
      <c r="P96" s="1224"/>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3145"/>
      <c r="E97" s="3134"/>
      <c r="F97" s="3148"/>
      <c r="G97" s="3134"/>
      <c r="H97" s="1226"/>
      <c r="I97" s="1227"/>
      <c r="J97" s="1227"/>
      <c r="K97" s="1227"/>
      <c r="L97" s="1227"/>
      <c r="M97" s="1227"/>
      <c r="N97" s="1227"/>
      <c r="O97" s="1227"/>
      <c r="P97" s="1227"/>
      <c r="Q97" s="1227"/>
      <c r="R97" s="1227"/>
      <c r="S97" s="1228"/>
      <c r="T97" s="1228"/>
      <c r="U97" s="1228"/>
      <c r="V97" s="1228"/>
      <c r="W97" s="1229"/>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147"/>
      <c r="D98" s="3144">
        <v>4</v>
      </c>
      <c r="E98" s="3133" t="s">
        <v>247</v>
      </c>
      <c r="F98" s="3146" t="s">
        <v>19</v>
      </c>
      <c r="G98" s="3133"/>
      <c r="H98" s="3135"/>
      <c r="I98" s="3137"/>
      <c r="J98" s="3139"/>
      <c r="K98" s="3131"/>
      <c r="L98" s="3131"/>
      <c r="M98" s="3131"/>
      <c r="N98" s="3142"/>
      <c r="O98" s="3131"/>
      <c r="P98" s="3131"/>
      <c r="Q98" s="3131"/>
      <c r="R98" s="3129"/>
      <c r="S98" s="3131"/>
      <c r="T98" s="1370"/>
      <c r="U98" s="1370"/>
      <c r="V98" s="1372"/>
      <c r="W98" s="1223"/>
      <c r="X98" s="1194"/>
      <c r="Y98" s="1194"/>
      <c r="Z98" s="1194"/>
      <c r="AA98" s="1194"/>
      <c r="AB98" s="1194"/>
      <c r="AC98" s="1194" t="s">
        <v>248</v>
      </c>
      <c r="AD98" s="1194" t="s">
        <v>249</v>
      </c>
      <c r="AE98" s="1194" t="s">
        <v>250</v>
      </c>
      <c r="AF98" s="1194" t="s">
        <v>251</v>
      </c>
      <c r="AG98" s="1194"/>
      <c r="AH98" s="1194" t="str">
        <f>IF($E$98=0,"",$E$98)</f>
        <v>Тариф на подвоз воды</v>
      </c>
      <c r="AI98" s="1194" t="str">
        <f>IF($G$98=0,"",$G$98)</f>
        <v/>
      </c>
      <c r="AJ98" s="1194" t="str">
        <f>IF($J$98=0,"",$J$98)</f>
        <v/>
      </c>
      <c r="AK98" s="1194" t="str">
        <f>IF($K$98="нет","без дифференциации",IF($N$98=0,"",$N$98))</f>
        <v/>
      </c>
      <c r="AL98" s="1194" t="str">
        <f>IF($O$98="нет","без дифференциации",IF($R$98=0,"",$R$98))</f>
        <v/>
      </c>
      <c r="AM98" s="1194" t="str">
        <f>IF($S$98="нет","без дифференциации",IF($V$98=0,"",$V$98))</f>
        <v/>
      </c>
      <c r="AN98" s="1698">
        <f>$I$98</f>
        <v>0</v>
      </c>
      <c r="AO98" s="1194" t="str">
        <f>$I$98&amp;"."&amp;$M$98</f>
        <v>.</v>
      </c>
      <c r="AP98" s="1186" t="str">
        <f>$I$98&amp;"."&amp;$M$98&amp;"."&amp;$Q$98</f>
        <v>..</v>
      </c>
      <c r="AQ98" s="1186" t="str">
        <f>$I$98&amp;"."&amp;$M$98&amp;"."&amp;$Q$98&amp;"."&amp;$U$98</f>
        <v>...</v>
      </c>
      <c r="AR98" s="1277">
        <v>0</v>
      </c>
    </row>
    <row r="99" spans="1:44" s="1778" customFormat="1" ht="17.25" hidden="1" customHeight="1">
      <c r="A99" s="259"/>
      <c r="C99" s="258"/>
      <c r="D99" s="3144"/>
      <c r="E99" s="3133"/>
      <c r="F99" s="3147"/>
      <c r="G99" s="3133"/>
      <c r="H99" s="3136"/>
      <c r="I99" s="3138"/>
      <c r="J99" s="3140"/>
      <c r="K99" s="3132"/>
      <c r="L99" s="3132"/>
      <c r="M99" s="3132"/>
      <c r="N99" s="3143"/>
      <c r="O99" s="3132"/>
      <c r="P99" s="3132"/>
      <c r="Q99" s="3132"/>
      <c r="R99" s="3130"/>
      <c r="S99" s="3132"/>
      <c r="T99" s="1224"/>
      <c r="U99" s="1224"/>
      <c r="V99" s="1224"/>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8" customFormat="1" ht="17.25" hidden="1" customHeight="1">
      <c r="A100" s="259"/>
      <c r="C100" s="258"/>
      <c r="D100" s="3145"/>
      <c r="E100" s="3134"/>
      <c r="F100" s="3147"/>
      <c r="G100" s="3134"/>
      <c r="H100" s="3136"/>
      <c r="I100" s="3138"/>
      <c r="J100" s="3141"/>
      <c r="K100" s="3132"/>
      <c r="L100" s="3132"/>
      <c r="M100" s="3132"/>
      <c r="N100" s="3130"/>
      <c r="O100" s="3132"/>
      <c r="P100" s="1371"/>
      <c r="Q100" s="1224"/>
      <c r="R100" s="1224"/>
      <c r="S100" s="267"/>
      <c r="T100" s="267"/>
      <c r="U100" s="267"/>
      <c r="V100" s="267"/>
      <c r="W100" s="1225"/>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8" customFormat="1" ht="17.25" hidden="1" customHeight="1">
      <c r="A101" s="259"/>
      <c r="C101" s="258"/>
      <c r="D101" s="3145"/>
      <c r="E101" s="3134"/>
      <c r="F101" s="3147"/>
      <c r="G101" s="3134"/>
      <c r="H101" s="3136"/>
      <c r="I101" s="3138"/>
      <c r="J101" s="3141"/>
      <c r="K101" s="3132"/>
      <c r="L101" s="1224"/>
      <c r="M101" s="1224"/>
      <c r="N101" s="1224"/>
      <c r="O101" s="1224"/>
      <c r="P101" s="1224"/>
      <c r="Q101" s="1224"/>
      <c r="R101" s="1224"/>
      <c r="S101" s="267"/>
      <c r="T101" s="267"/>
      <c r="U101" s="267"/>
      <c r="V101" s="267"/>
      <c r="W101" s="1225"/>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277">
        <v>0</v>
      </c>
    </row>
    <row r="102" spans="1:44" s="1778" customFormat="1" ht="17.25" hidden="1" customHeight="1">
      <c r="A102" s="259"/>
      <c r="C102" s="258"/>
      <c r="D102" s="3145"/>
      <c r="E102" s="3134"/>
      <c r="F102" s="3148"/>
      <c r="G102" s="3134"/>
      <c r="H102" s="1226"/>
      <c r="I102" s="1227"/>
      <c r="J102" s="1227"/>
      <c r="K102" s="1227"/>
      <c r="L102" s="1227"/>
      <c r="M102" s="1227"/>
      <c r="N102" s="1227"/>
      <c r="O102" s="1227"/>
      <c r="P102" s="1227"/>
      <c r="Q102" s="1227"/>
      <c r="R102" s="1227"/>
      <c r="S102" s="1228"/>
      <c r="T102" s="1228"/>
      <c r="U102" s="1228"/>
      <c r="V102" s="1228"/>
      <c r="W102" s="1229"/>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277">
        <v>0</v>
      </c>
    </row>
    <row r="103" spans="1:44" s="1778" customFormat="1" ht="17.25" hidden="1" customHeight="1">
      <c r="A103" s="259"/>
      <c r="C103" s="147"/>
      <c r="D103" s="3144">
        <v>5</v>
      </c>
      <c r="E103" s="3133" t="s">
        <v>252</v>
      </c>
      <c r="F103" s="3146" t="s">
        <v>19</v>
      </c>
      <c r="G103" s="3133"/>
      <c r="H103" s="3135"/>
      <c r="I103" s="3137"/>
      <c r="J103" s="3139"/>
      <c r="K103" s="3131"/>
      <c r="L103" s="3131"/>
      <c r="M103" s="3131"/>
      <c r="N103" s="3142"/>
      <c r="O103" s="3131"/>
      <c r="P103" s="3131"/>
      <c r="Q103" s="3131"/>
      <c r="R103" s="3129"/>
      <c r="S103" s="3131"/>
      <c r="T103" s="1865"/>
      <c r="U103" s="1865"/>
      <c r="V103" s="1867"/>
      <c r="W103" s="1223"/>
      <c r="X103" s="1194"/>
      <c r="Y103" s="1194"/>
      <c r="Z103" s="1194"/>
      <c r="AA103" s="1194"/>
      <c r="AB103" s="1194"/>
      <c r="AC103" s="1194" t="s">
        <v>253</v>
      </c>
      <c r="AD103" s="1194" t="s">
        <v>254</v>
      </c>
      <c r="AE103" s="1194" t="s">
        <v>255</v>
      </c>
      <c r="AF103" s="1194" t="s">
        <v>256</v>
      </c>
      <c r="AG103" s="1194"/>
      <c r="AH103" s="1194" t="str">
        <f>IF($E$103=0,"",$E$103)</f>
        <v>Тариф на подключение (технологическое присоединение) к централизованной системе холодного водоснабжения</v>
      </c>
      <c r="AI103" s="1194" t="str">
        <f>IF($G$103=0,"",$G$103)</f>
        <v/>
      </c>
      <c r="AJ103" s="1194" t="str">
        <f>IF($J$103=0,"",$J$103)</f>
        <v/>
      </c>
      <c r="AK103" s="1194" t="str">
        <f>IF($K$103="нет","без дифференциации",IF($N$103=0,"",$N$103))</f>
        <v/>
      </c>
      <c r="AL103" s="1194" t="str">
        <f>IF($O$103="нет","без дифференциации",IF($R$103=0,"",$R$103))</f>
        <v/>
      </c>
      <c r="AM103" s="1194" t="str">
        <f>IF($S$103="нет","без дифференциации",IF($V$103=0,"",$V$103))</f>
        <v/>
      </c>
      <c r="AN103" s="1698">
        <f>$I$103</f>
        <v>0</v>
      </c>
      <c r="AO103" s="1194" t="str">
        <f>$I$103&amp;"."&amp;$M$103</f>
        <v>.</v>
      </c>
      <c r="AP103" s="1193" t="str">
        <f>$I$103&amp;"."&amp;$M$103&amp;"."&amp;$Q$103</f>
        <v>..</v>
      </c>
      <c r="AQ103" s="1193" t="str">
        <f>$I$103&amp;"."&amp;$M$103&amp;"."&amp;$Q$103&amp;"."&amp;$U$103</f>
        <v>...</v>
      </c>
      <c r="AR103" s="1394">
        <v>0</v>
      </c>
    </row>
    <row r="104" spans="1:44" s="1778" customFormat="1" ht="17.25" hidden="1" customHeight="1">
      <c r="A104" s="259"/>
      <c r="C104" s="258"/>
      <c r="D104" s="3144"/>
      <c r="E104" s="3133"/>
      <c r="F104" s="3147"/>
      <c r="G104" s="3133"/>
      <c r="H104" s="3136"/>
      <c r="I104" s="3138"/>
      <c r="J104" s="3140"/>
      <c r="K104" s="3132"/>
      <c r="L104" s="3132"/>
      <c r="M104" s="3132"/>
      <c r="N104" s="3143"/>
      <c r="O104" s="3132"/>
      <c r="P104" s="3132"/>
      <c r="Q104" s="3132"/>
      <c r="R104" s="3130"/>
      <c r="S104" s="3132"/>
      <c r="T104" s="1870"/>
      <c r="U104" s="1870"/>
      <c r="V104" s="1870"/>
      <c r="W104" s="1871"/>
      <c r="X104" s="1193"/>
      <c r="Y104" s="1193"/>
      <c r="Z104" s="1193"/>
      <c r="AA104" s="1193"/>
      <c r="AB104" s="1193"/>
      <c r="AC104" s="1193"/>
      <c r="AD104" s="1193"/>
      <c r="AE104" s="1193"/>
      <c r="AF104" s="1193"/>
      <c r="AG104" s="1193"/>
      <c r="AH104" s="1193"/>
      <c r="AI104" s="1193"/>
      <c r="AJ104" s="1193"/>
      <c r="AK104" s="1193"/>
      <c r="AL104" s="1193"/>
      <c r="AM104" s="1193"/>
      <c r="AN104" s="1193"/>
      <c r="AO104" s="1193"/>
      <c r="AP104" s="1193"/>
      <c r="AQ104" s="1193"/>
      <c r="AR104" s="1394">
        <v>0</v>
      </c>
    </row>
    <row r="105" spans="1:44" s="1778" customFormat="1" ht="17.25" hidden="1" customHeight="1">
      <c r="A105" s="259"/>
      <c r="C105" s="258"/>
      <c r="D105" s="3145"/>
      <c r="E105" s="3134"/>
      <c r="F105" s="3147"/>
      <c r="G105" s="3134"/>
      <c r="H105" s="3136"/>
      <c r="I105" s="3138"/>
      <c r="J105" s="3141"/>
      <c r="K105" s="3132"/>
      <c r="L105" s="3132"/>
      <c r="M105" s="3132"/>
      <c r="N105" s="3130"/>
      <c r="O105" s="3132"/>
      <c r="P105" s="1866"/>
      <c r="Q105" s="1870"/>
      <c r="R105" s="1870"/>
      <c r="S105" s="267"/>
      <c r="T105" s="267"/>
      <c r="U105" s="267"/>
      <c r="V105" s="267"/>
      <c r="W105" s="1871"/>
      <c r="X105" s="1193"/>
      <c r="Y105" s="1193"/>
      <c r="Z105" s="1193"/>
      <c r="AA105" s="1193"/>
      <c r="AB105" s="1193"/>
      <c r="AC105" s="1193"/>
      <c r="AD105" s="1193"/>
      <c r="AE105" s="1193"/>
      <c r="AF105" s="1193"/>
      <c r="AG105" s="1193"/>
      <c r="AH105" s="1193"/>
      <c r="AI105" s="1193"/>
      <c r="AJ105" s="1193"/>
      <c r="AK105" s="1193"/>
      <c r="AL105" s="1193"/>
      <c r="AM105" s="1193"/>
      <c r="AN105" s="1193"/>
      <c r="AO105" s="1193"/>
      <c r="AP105" s="1193"/>
      <c r="AQ105" s="1193"/>
      <c r="AR105" s="1394">
        <v>0</v>
      </c>
    </row>
    <row r="106" spans="1:44" s="1778" customFormat="1" ht="17.25" hidden="1" customHeight="1">
      <c r="A106" s="259"/>
      <c r="C106" s="258"/>
      <c r="D106" s="3145"/>
      <c r="E106" s="3134"/>
      <c r="F106" s="3147"/>
      <c r="G106" s="3134"/>
      <c r="H106" s="3136"/>
      <c r="I106" s="3138"/>
      <c r="J106" s="3141"/>
      <c r="K106" s="3132"/>
      <c r="L106" s="1870"/>
      <c r="M106" s="1870"/>
      <c r="N106" s="1870"/>
      <c r="O106" s="1870"/>
      <c r="P106" s="1870"/>
      <c r="Q106" s="1870"/>
      <c r="R106" s="1870"/>
      <c r="S106" s="267"/>
      <c r="T106" s="267"/>
      <c r="U106" s="267"/>
      <c r="V106" s="267"/>
      <c r="W106" s="1871"/>
      <c r="X106" s="1193"/>
      <c r="Y106" s="1193"/>
      <c r="Z106" s="1193"/>
      <c r="AA106" s="1193"/>
      <c r="AB106" s="1193"/>
      <c r="AC106" s="1193"/>
      <c r="AD106" s="1193"/>
      <c r="AE106" s="1193"/>
      <c r="AF106" s="1193"/>
      <c r="AG106" s="1193"/>
      <c r="AH106" s="1193"/>
      <c r="AI106" s="1193"/>
      <c r="AJ106" s="1193"/>
      <c r="AK106" s="1193"/>
      <c r="AL106" s="1193"/>
      <c r="AM106" s="1193"/>
      <c r="AN106" s="1193"/>
      <c r="AO106" s="1193"/>
      <c r="AP106" s="1193"/>
      <c r="AQ106" s="1193"/>
      <c r="AR106" s="1394">
        <v>0</v>
      </c>
    </row>
    <row r="107" spans="1:44" s="1778" customFormat="1" ht="17.25" hidden="1" customHeight="1">
      <c r="A107" s="259"/>
      <c r="C107" s="258"/>
      <c r="D107" s="3145"/>
      <c r="E107" s="3134"/>
      <c r="F107" s="3148"/>
      <c r="G107" s="3134"/>
      <c r="H107" s="1226"/>
      <c r="I107" s="1868"/>
      <c r="J107" s="1868"/>
      <c r="K107" s="1868"/>
      <c r="L107" s="1868"/>
      <c r="M107" s="1868"/>
      <c r="N107" s="1868"/>
      <c r="O107" s="1868"/>
      <c r="P107" s="1868"/>
      <c r="Q107" s="1868"/>
      <c r="R107" s="1868"/>
      <c r="S107" s="1228"/>
      <c r="T107" s="1228"/>
      <c r="U107" s="1228"/>
      <c r="V107" s="1228"/>
      <c r="W107" s="1869"/>
      <c r="X107" s="1193"/>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4">
        <v>0</v>
      </c>
    </row>
    <row r="108" spans="1:44" s="1778" customFormat="1" ht="11.25" hidden="1" customHeight="1">
      <c r="A108" s="215"/>
      <c r="B108" s="21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147"/>
      <c r="D109" s="3144">
        <v>1</v>
      </c>
      <c r="E109" s="3133" t="s">
        <v>257</v>
      </c>
      <c r="F109" s="3146" t="s">
        <v>19</v>
      </c>
      <c r="G109" s="3133"/>
      <c r="H109" s="3135"/>
      <c r="I109" s="3137"/>
      <c r="J109" s="3139"/>
      <c r="K109" s="3131"/>
      <c r="L109" s="3131"/>
      <c r="M109" s="3131"/>
      <c r="N109" s="3142"/>
      <c r="O109" s="3131"/>
      <c r="P109" s="3131"/>
      <c r="Q109" s="3131"/>
      <c r="R109" s="3129"/>
      <c r="S109" s="3131"/>
      <c r="T109" s="1397"/>
      <c r="U109" s="1397"/>
      <c r="V109" s="1399"/>
      <c r="W109" s="1223"/>
      <c r="Y109" s="1194"/>
      <c r="Z109" s="1194"/>
      <c r="AA109" s="1194"/>
      <c r="AB109" s="1194"/>
      <c r="AC109" s="1194" t="s">
        <v>258</v>
      </c>
      <c r="AD109" s="1194" t="s">
        <v>259</v>
      </c>
      <c r="AE109" s="1194" t="s">
        <v>260</v>
      </c>
      <c r="AF109" s="1194" t="s">
        <v>261</v>
      </c>
      <c r="AG109" s="1194"/>
      <c r="AH109" s="1194" t="str">
        <f>IF($E$109=0,"",$E$109)</f>
        <v>Тариф на горячую воду (горячее водоснабжение)</v>
      </c>
      <c r="AI109" s="1194" t="str">
        <f>IF($G$109=0,"",$G$109)</f>
        <v/>
      </c>
      <c r="AJ109" s="1194" t="str">
        <f>IF($J$109=0,"",$J$109)</f>
        <v/>
      </c>
      <c r="AK109" s="1194" t="str">
        <f>IF($K$109="нет","без дифференциации",IF($N$109=0,"",$N$109))</f>
        <v/>
      </c>
      <c r="AL109" s="1194" t="str">
        <f>IF($O$109="нет","без дифференциации",IF($R$109=0,"",$R$109))</f>
        <v/>
      </c>
      <c r="AM109" s="1194" t="str">
        <f>IF($S$109="нет","без дифференциации",IF($V$109=0,"",$V$109))</f>
        <v/>
      </c>
      <c r="AN109" s="1194">
        <f>$I$109</f>
        <v>0</v>
      </c>
      <c r="AO109" s="1194" t="str">
        <f>$I$109&amp;"."&amp;$M$109</f>
        <v>.</v>
      </c>
      <c r="AP109" s="1194" t="str">
        <f>$I$109&amp;"."&amp;$M$109&amp;"."&amp;$Q$109</f>
        <v>..</v>
      </c>
      <c r="AQ109" s="1194" t="str">
        <f>$I$109&amp;"."&amp;$M$109&amp;"."&amp;$Q$109&amp;"."&amp;$U$109</f>
        <v>...</v>
      </c>
      <c r="AR109" s="1394">
        <v>0</v>
      </c>
    </row>
    <row r="110" spans="1:44" s="1778" customFormat="1" ht="17.25" hidden="1" customHeight="1">
      <c r="A110" s="259"/>
      <c r="C110" s="258"/>
      <c r="D110" s="3144"/>
      <c r="E110" s="3133"/>
      <c r="F110" s="3147"/>
      <c r="G110" s="3133"/>
      <c r="H110" s="3136"/>
      <c r="I110" s="3138"/>
      <c r="J110" s="3140"/>
      <c r="K110" s="3132"/>
      <c r="L110" s="3132"/>
      <c r="M110" s="3132"/>
      <c r="N110" s="3143"/>
      <c r="O110" s="3132"/>
      <c r="P110" s="3132"/>
      <c r="Q110" s="3132"/>
      <c r="R110" s="3130"/>
      <c r="S110" s="3132"/>
      <c r="T110" s="1224"/>
      <c r="U110" s="1224"/>
      <c r="V110" s="1224"/>
      <c r="W110" s="1225"/>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94">
        <v>0</v>
      </c>
    </row>
    <row r="111" spans="1:44" s="1778" customFormat="1" ht="17.25" hidden="1" customHeight="1">
      <c r="A111" s="259"/>
      <c r="C111" s="147"/>
      <c r="D111" s="3144"/>
      <c r="E111" s="3133"/>
      <c r="F111" s="3147"/>
      <c r="G111" s="3133"/>
      <c r="H111" s="3136"/>
      <c r="I111" s="3138"/>
      <c r="J111" s="3141"/>
      <c r="K111" s="3132"/>
      <c r="L111" s="3132"/>
      <c r="M111" s="3132"/>
      <c r="N111" s="3130"/>
      <c r="O111" s="3132"/>
      <c r="P111" s="1398"/>
      <c r="Q111" s="1224"/>
      <c r="R111" s="1224"/>
      <c r="S111" s="267"/>
      <c r="T111" s="267"/>
      <c r="U111" s="267"/>
      <c r="V111" s="267"/>
      <c r="W111" s="1225"/>
      <c r="Y111" s="1194"/>
      <c r="Z111" s="1194"/>
      <c r="AA111" s="1194"/>
      <c r="AB111" s="1194"/>
      <c r="AC111" s="1194"/>
      <c r="AD111" s="1194"/>
      <c r="AE111" s="1194"/>
      <c r="AF111" s="1194"/>
      <c r="AG111" s="1194"/>
      <c r="AH111" s="1194"/>
      <c r="AI111" s="1194"/>
      <c r="AJ111" s="1194"/>
      <c r="AK111" s="1194"/>
      <c r="AL111" s="1194"/>
      <c r="AM111" s="1194"/>
      <c r="AN111" s="1194"/>
      <c r="AO111" s="1194"/>
      <c r="AP111" s="1194"/>
      <c r="AQ111" s="1194"/>
      <c r="AR111" s="1394">
        <v>0</v>
      </c>
    </row>
    <row r="112" spans="1:44" s="1778" customFormat="1" ht="17.25" hidden="1" customHeight="1">
      <c r="A112" s="259"/>
      <c r="C112" s="258"/>
      <c r="D112" s="3144"/>
      <c r="E112" s="3133"/>
      <c r="F112" s="3147"/>
      <c r="G112" s="3133"/>
      <c r="H112" s="3136"/>
      <c r="I112" s="3138"/>
      <c r="J112" s="3141"/>
      <c r="K112" s="3132"/>
      <c r="L112" s="1224"/>
      <c r="M112" s="1224"/>
      <c r="N112" s="1224"/>
      <c r="O112" s="1224"/>
      <c r="P112" s="1224"/>
      <c r="Q112" s="1224"/>
      <c r="R112" s="1224"/>
      <c r="S112" s="267"/>
      <c r="T112" s="267"/>
      <c r="U112" s="267"/>
      <c r="V112" s="267"/>
      <c r="W112" s="1225"/>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3145"/>
      <c r="E113" s="3134"/>
      <c r="F113" s="3148"/>
      <c r="G113" s="3134"/>
      <c r="H113" s="1226"/>
      <c r="I113" s="1227"/>
      <c r="J113" s="1227"/>
      <c r="K113" s="1227"/>
      <c r="L113" s="1227"/>
      <c r="M113" s="1227"/>
      <c r="N113" s="1227"/>
      <c r="O113" s="1227"/>
      <c r="P113" s="1227"/>
      <c r="Q113" s="1227"/>
      <c r="R113" s="1227"/>
      <c r="S113" s="1228"/>
      <c r="T113" s="1228"/>
      <c r="U113" s="1228"/>
      <c r="V113" s="1228"/>
      <c r="W113" s="1229"/>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147"/>
      <c r="D114" s="3144">
        <v>2</v>
      </c>
      <c r="E114" s="3133" t="s">
        <v>262</v>
      </c>
      <c r="F114" s="3146" t="s">
        <v>19</v>
      </c>
      <c r="G114" s="3133"/>
      <c r="H114" s="3135"/>
      <c r="I114" s="3137"/>
      <c r="J114" s="3139"/>
      <c r="K114" s="3131"/>
      <c r="L114" s="3131"/>
      <c r="M114" s="3131"/>
      <c r="N114" s="3142"/>
      <c r="O114" s="3131"/>
      <c r="P114" s="3131"/>
      <c r="Q114" s="3131"/>
      <c r="R114" s="3129"/>
      <c r="S114" s="3131"/>
      <c r="T114" s="1397"/>
      <c r="U114" s="1397"/>
      <c r="V114" s="1399"/>
      <c r="W114" s="1223"/>
      <c r="X114" s="1194"/>
      <c r="Y114" s="1194"/>
      <c r="Z114" s="1194"/>
      <c r="AA114" s="1194"/>
      <c r="AB114" s="1194"/>
      <c r="AC114" s="1194" t="s">
        <v>263</v>
      </c>
      <c r="AD114" s="1194" t="s">
        <v>264</v>
      </c>
      <c r="AE114" s="1194" t="s">
        <v>265</v>
      </c>
      <c r="AF114" s="1194" t="s">
        <v>266</v>
      </c>
      <c r="AG114" s="1194"/>
      <c r="AH114" s="1194" t="str">
        <f>IF($E$114=0,"",$E$114)</f>
        <v>Тариф на транспортировку горячей воды</v>
      </c>
      <c r="AI114" s="1194" t="str">
        <f>IF($G$114=0,"",$G$114)</f>
        <v/>
      </c>
      <c r="AJ114" s="1194" t="str">
        <f>IF($J$114=0,"",$J$114)</f>
        <v/>
      </c>
      <c r="AK114" s="1194" t="str">
        <f>IF($K$114="нет","без дифференциации",IF($N$114=0,"",$N$114))</f>
        <v/>
      </c>
      <c r="AL114" s="1194" t="str">
        <f>IF($O$114="нет","без дифференциации",IF($R$114=0,"",$R$114))</f>
        <v/>
      </c>
      <c r="AM114" s="1194" t="str">
        <f>IF($S$114="нет","без дифференциации",IF($V$114=0,"",$V$114))</f>
        <v/>
      </c>
      <c r="AN114" s="1698">
        <f>$I$114</f>
        <v>0</v>
      </c>
      <c r="AO114" s="1194" t="str">
        <f>$I$114&amp;"."&amp;$M$114</f>
        <v>.</v>
      </c>
      <c r="AP114" s="1186" t="str">
        <f>$I$114&amp;"."&amp;$M$114&amp;"."&amp;$Q$114</f>
        <v>..</v>
      </c>
      <c r="AQ114" s="1186" t="str">
        <f>$I$114&amp;"."&amp;$M$114&amp;"."&amp;$Q$114&amp;"."&amp;$U$114</f>
        <v>...</v>
      </c>
      <c r="AR114" s="1394">
        <v>0</v>
      </c>
    </row>
    <row r="115" spans="1:44" s="1778" customFormat="1" ht="17.25" hidden="1" customHeight="1">
      <c r="A115" s="259"/>
      <c r="C115" s="258"/>
      <c r="D115" s="3144"/>
      <c r="E115" s="3133"/>
      <c r="F115" s="3147"/>
      <c r="G115" s="3133"/>
      <c r="H115" s="3136"/>
      <c r="I115" s="3138"/>
      <c r="J115" s="3140"/>
      <c r="K115" s="3132"/>
      <c r="L115" s="3132"/>
      <c r="M115" s="3132"/>
      <c r="N115" s="3143"/>
      <c r="O115" s="3132"/>
      <c r="P115" s="3132"/>
      <c r="Q115" s="3132"/>
      <c r="R115" s="3130"/>
      <c r="S115" s="3132"/>
      <c r="T115" s="1224"/>
      <c r="U115" s="1224"/>
      <c r="V115" s="1224"/>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8" customFormat="1" ht="17.25" hidden="1" customHeight="1">
      <c r="A116" s="259"/>
      <c r="C116" s="258"/>
      <c r="D116" s="3145"/>
      <c r="E116" s="3134"/>
      <c r="F116" s="3147"/>
      <c r="G116" s="3134"/>
      <c r="H116" s="3136"/>
      <c r="I116" s="3138"/>
      <c r="J116" s="3141"/>
      <c r="K116" s="3132"/>
      <c r="L116" s="3132"/>
      <c r="M116" s="3132"/>
      <c r="N116" s="3130"/>
      <c r="O116" s="3132"/>
      <c r="P116" s="1398"/>
      <c r="Q116" s="1224"/>
      <c r="R116" s="1224"/>
      <c r="S116" s="267"/>
      <c r="T116" s="267"/>
      <c r="U116" s="267"/>
      <c r="V116" s="267"/>
      <c r="W116" s="1225"/>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8" customFormat="1" ht="17.25" hidden="1" customHeight="1">
      <c r="A117" s="259"/>
      <c r="C117" s="258"/>
      <c r="D117" s="3145"/>
      <c r="E117" s="3134"/>
      <c r="F117" s="3147"/>
      <c r="G117" s="3134"/>
      <c r="H117" s="3136"/>
      <c r="I117" s="3138"/>
      <c r="J117" s="3141"/>
      <c r="K117" s="3132"/>
      <c r="L117" s="1224"/>
      <c r="M117" s="1224"/>
      <c r="N117" s="1224"/>
      <c r="O117" s="1224"/>
      <c r="P117" s="1224"/>
      <c r="Q117" s="1224"/>
      <c r="R117" s="1224"/>
      <c r="S117" s="267"/>
      <c r="T117" s="267"/>
      <c r="U117" s="267"/>
      <c r="V117" s="267"/>
      <c r="W117" s="1225"/>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8" customFormat="1" ht="17.25" hidden="1" customHeight="1">
      <c r="A118" s="259"/>
      <c r="C118" s="258"/>
      <c r="D118" s="3145"/>
      <c r="E118" s="3134"/>
      <c r="F118" s="3148"/>
      <c r="G118" s="3134"/>
      <c r="H118" s="1226"/>
      <c r="I118" s="1227"/>
      <c r="J118" s="1227"/>
      <c r="K118" s="1227"/>
      <c r="L118" s="1227"/>
      <c r="M118" s="1227"/>
      <c r="N118" s="1227"/>
      <c r="O118" s="1227"/>
      <c r="P118" s="1227"/>
      <c r="Q118" s="1227"/>
      <c r="R118" s="1227"/>
      <c r="S118" s="1228"/>
      <c r="T118" s="1228"/>
      <c r="U118" s="1228"/>
      <c r="V118" s="1228"/>
      <c r="W118" s="1229"/>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94">
        <v>0</v>
      </c>
    </row>
    <row r="119" spans="1:44" s="1778" customFormat="1" ht="17.25" hidden="1" customHeight="1">
      <c r="A119" s="259"/>
      <c r="C119" s="147"/>
      <c r="D119" s="3144">
        <v>3</v>
      </c>
      <c r="E119" s="3133" t="s">
        <v>267</v>
      </c>
      <c r="F119" s="3146" t="s">
        <v>19</v>
      </c>
      <c r="G119" s="3133"/>
      <c r="H119" s="3135"/>
      <c r="I119" s="3137"/>
      <c r="J119" s="3139"/>
      <c r="K119" s="3131"/>
      <c r="L119" s="3131"/>
      <c r="M119" s="3131"/>
      <c r="N119" s="3142"/>
      <c r="O119" s="3131"/>
      <c r="P119" s="3131"/>
      <c r="Q119" s="3131"/>
      <c r="R119" s="3129"/>
      <c r="S119" s="3131"/>
      <c r="T119" s="1865"/>
      <c r="U119" s="1865"/>
      <c r="V119" s="1867"/>
      <c r="W119" s="1223"/>
      <c r="X119" s="1194"/>
      <c r="Y119" s="1194"/>
      <c r="Z119" s="1194"/>
      <c r="AA119" s="1194"/>
      <c r="AB119" s="1194"/>
      <c r="AC119" s="1194" t="s">
        <v>268</v>
      </c>
      <c r="AD119" s="1194" t="s">
        <v>269</v>
      </c>
      <c r="AE119" s="1194" t="s">
        <v>270</v>
      </c>
      <c r="AF119" s="1194" t="s">
        <v>271</v>
      </c>
      <c r="AG119" s="1194"/>
      <c r="AH119" s="1194" t="str">
        <f>IF($E$119=0,"",$E$119)</f>
        <v>Тариф на подключение (технологическое присоединение) к централизованной системе горячего водоснабжения</v>
      </c>
      <c r="AI119" s="1194" t="str">
        <f>IF($G$119=0,"",$G$119)</f>
        <v/>
      </c>
      <c r="AJ119" s="1194" t="str">
        <f>IF($J$119=0,"",$J$119)</f>
        <v/>
      </c>
      <c r="AK119" s="1194" t="str">
        <f>IF($K$119="нет","без дифференциации",IF($N$119=0,"",$N$119))</f>
        <v/>
      </c>
      <c r="AL119" s="1194" t="str">
        <f>IF($O$119="нет","без дифференциации",IF($R$119=0,"",$R$119))</f>
        <v/>
      </c>
      <c r="AM119" s="1194" t="str">
        <f>IF($S$119="нет","без дифференциации",IF($V$119=0,"",$V$119))</f>
        <v/>
      </c>
      <c r="AN119" s="1698">
        <f>$I$119</f>
        <v>0</v>
      </c>
      <c r="AO119" s="1194" t="str">
        <f>$I$119&amp;"."&amp;$M$119</f>
        <v>.</v>
      </c>
      <c r="AP119" s="1193" t="str">
        <f>$I$119&amp;"."&amp;$M$119&amp;"."&amp;$Q$119</f>
        <v>..</v>
      </c>
      <c r="AQ119" s="1193" t="str">
        <f>$I$119&amp;"."&amp;$M$119&amp;"."&amp;$Q$119&amp;"."&amp;$U$119</f>
        <v>...</v>
      </c>
      <c r="AR119" s="1394">
        <v>0</v>
      </c>
    </row>
    <row r="120" spans="1:44" s="1778" customFormat="1" ht="17.25" hidden="1" customHeight="1">
      <c r="A120" s="259"/>
      <c r="C120" s="258"/>
      <c r="D120" s="3144"/>
      <c r="E120" s="3133"/>
      <c r="F120" s="3147"/>
      <c r="G120" s="3133"/>
      <c r="H120" s="3136"/>
      <c r="I120" s="3138"/>
      <c r="J120" s="3140"/>
      <c r="K120" s="3132"/>
      <c r="L120" s="3132"/>
      <c r="M120" s="3132"/>
      <c r="N120" s="3143"/>
      <c r="O120" s="3132"/>
      <c r="P120" s="3132"/>
      <c r="Q120" s="3132"/>
      <c r="R120" s="3130"/>
      <c r="S120" s="3132"/>
      <c r="T120" s="1870"/>
      <c r="U120" s="1870"/>
      <c r="V120" s="1870"/>
      <c r="W120" s="1871"/>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8" customFormat="1" ht="17.25" hidden="1" customHeight="1">
      <c r="A121" s="259"/>
      <c r="C121" s="258"/>
      <c r="D121" s="3145"/>
      <c r="E121" s="3134"/>
      <c r="F121" s="3147"/>
      <c r="G121" s="3134"/>
      <c r="H121" s="3136"/>
      <c r="I121" s="3138"/>
      <c r="J121" s="3141"/>
      <c r="K121" s="3132"/>
      <c r="L121" s="3132"/>
      <c r="M121" s="3132"/>
      <c r="N121" s="3130"/>
      <c r="O121" s="3132"/>
      <c r="P121" s="1866"/>
      <c r="Q121" s="1870"/>
      <c r="R121" s="1870"/>
      <c r="S121" s="267"/>
      <c r="T121" s="267"/>
      <c r="U121" s="267"/>
      <c r="V121" s="267"/>
      <c r="W121" s="1871"/>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8" customFormat="1" ht="17.25" hidden="1" customHeight="1">
      <c r="A122" s="259"/>
      <c r="C122" s="258"/>
      <c r="D122" s="3145"/>
      <c r="E122" s="3134"/>
      <c r="F122" s="3147"/>
      <c r="G122" s="3134"/>
      <c r="H122" s="3136"/>
      <c r="I122" s="3138"/>
      <c r="J122" s="3141"/>
      <c r="K122" s="3132"/>
      <c r="L122" s="1870"/>
      <c r="M122" s="1870"/>
      <c r="N122" s="1870"/>
      <c r="O122" s="1870"/>
      <c r="P122" s="1870"/>
      <c r="Q122" s="1870"/>
      <c r="R122" s="1870"/>
      <c r="S122" s="267"/>
      <c r="T122" s="267"/>
      <c r="U122" s="267"/>
      <c r="V122" s="267"/>
      <c r="W122" s="1871"/>
      <c r="X122" s="1193"/>
      <c r="Y122" s="1193"/>
      <c r="Z122" s="1193"/>
      <c r="AA122" s="1193"/>
      <c r="AB122" s="1193"/>
      <c r="AC122" s="1193"/>
      <c r="AD122" s="1193"/>
      <c r="AE122" s="1193"/>
      <c r="AF122" s="1193"/>
      <c r="AG122" s="1193"/>
      <c r="AH122" s="1193"/>
      <c r="AI122" s="1193"/>
      <c r="AJ122" s="1193"/>
      <c r="AK122" s="1193"/>
      <c r="AL122" s="1193"/>
      <c r="AM122" s="1193"/>
      <c r="AN122" s="1193"/>
      <c r="AO122" s="1193"/>
      <c r="AP122" s="1193"/>
      <c r="AQ122" s="1193"/>
      <c r="AR122" s="1394">
        <v>0</v>
      </c>
    </row>
    <row r="123" spans="1:44" s="1778" customFormat="1" ht="17.25" hidden="1" customHeight="1">
      <c r="A123" s="259"/>
      <c r="C123" s="258"/>
      <c r="D123" s="3145"/>
      <c r="E123" s="3134"/>
      <c r="F123" s="3148"/>
      <c r="G123" s="3134"/>
      <c r="H123" s="1226"/>
      <c r="I123" s="1868"/>
      <c r="J123" s="1868"/>
      <c r="K123" s="1868"/>
      <c r="L123" s="1868"/>
      <c r="M123" s="1868"/>
      <c r="N123" s="1868"/>
      <c r="O123" s="1868"/>
      <c r="P123" s="1868"/>
      <c r="Q123" s="1868"/>
      <c r="R123" s="1868"/>
      <c r="S123" s="1228"/>
      <c r="T123" s="1228"/>
      <c r="U123" s="1228"/>
      <c r="V123" s="1228"/>
      <c r="W123" s="1869"/>
      <c r="X123" s="1193"/>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4">
        <v>0</v>
      </c>
    </row>
    <row r="124" spans="1:44" s="1778" customFormat="1" ht="11.25" hidden="1" customHeight="1">
      <c r="A124" s="215"/>
      <c r="B124" s="21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147"/>
      <c r="D125" s="3144">
        <v>1</v>
      </c>
      <c r="E125" s="3133" t="s">
        <v>272</v>
      </c>
      <c r="F125" s="3146" t="s">
        <v>19</v>
      </c>
      <c r="G125" s="3133"/>
      <c r="H125" s="3135"/>
      <c r="I125" s="3137"/>
      <c r="J125" s="3139"/>
      <c r="K125" s="3131"/>
      <c r="L125" s="3131"/>
      <c r="M125" s="3131"/>
      <c r="N125" s="3142"/>
      <c r="O125" s="3131"/>
      <c r="P125" s="3131"/>
      <c r="Q125" s="3131"/>
      <c r="R125" s="3129"/>
      <c r="S125" s="3131"/>
      <c r="T125" s="1397"/>
      <c r="U125" s="1397"/>
      <c r="V125" s="1399"/>
      <c r="W125" s="1223"/>
      <c r="Y125" s="1194"/>
      <c r="Z125" s="1194"/>
      <c r="AA125" s="1194"/>
      <c r="AB125" s="1194"/>
      <c r="AC125" s="1194" t="s">
        <v>273</v>
      </c>
      <c r="AD125" s="1194" t="s">
        <v>274</v>
      </c>
      <c r="AE125" s="1194" t="s">
        <v>275</v>
      </c>
      <c r="AF125" s="1194" t="s">
        <v>276</v>
      </c>
      <c r="AG125" s="1194"/>
      <c r="AH125" s="1194" t="str">
        <f>IF($E$125=0,"",$E$125)</f>
        <v>Тариф на водоотведение</v>
      </c>
      <c r="AI125" s="1194" t="str">
        <f>IF($G$125=0,"",$G$125)</f>
        <v/>
      </c>
      <c r="AJ125" s="1194" t="str">
        <f>IF($J$125=0,"",$J$125)</f>
        <v/>
      </c>
      <c r="AK125" s="1194" t="str">
        <f>IF($K$125="нет","без дифференциации",IF($N$125=0,"",$N$125))</f>
        <v/>
      </c>
      <c r="AL125" s="1194" t="str">
        <f>IF($O$125="нет","без дифференциации",IF($R$125=0,"",$R$125))</f>
        <v/>
      </c>
      <c r="AM125" s="1194" t="str">
        <f>IF($S$125="нет","без дифференциации",IF($V$125=0,"",$V$125))</f>
        <v/>
      </c>
      <c r="AN125" s="1194">
        <f>$I$125</f>
        <v>0</v>
      </c>
      <c r="AO125" s="1194" t="str">
        <f>$I$125&amp;"."&amp;$M$125</f>
        <v>.</v>
      </c>
      <c r="AP125" s="1194" t="str">
        <f>$I$125&amp;"."&amp;$M$125&amp;"."&amp;$Q$125</f>
        <v>..</v>
      </c>
      <c r="AQ125" s="1194" t="str">
        <f>$I$125&amp;"."&amp;$M$125&amp;"."&amp;$Q$125&amp;"."&amp;$U$125</f>
        <v>...</v>
      </c>
      <c r="AR125" s="1394">
        <v>0</v>
      </c>
    </row>
    <row r="126" spans="1:44" s="1778" customFormat="1" ht="17.25" hidden="1" customHeight="1">
      <c r="A126" s="259"/>
      <c r="C126" s="258"/>
      <c r="D126" s="3144"/>
      <c r="E126" s="3133"/>
      <c r="F126" s="3147"/>
      <c r="G126" s="3133"/>
      <c r="H126" s="3136"/>
      <c r="I126" s="3138"/>
      <c r="J126" s="3140"/>
      <c r="K126" s="3132"/>
      <c r="L126" s="3132"/>
      <c r="M126" s="3132"/>
      <c r="N126" s="3143"/>
      <c r="O126" s="3132"/>
      <c r="P126" s="3132"/>
      <c r="Q126" s="3132"/>
      <c r="R126" s="3130"/>
      <c r="S126" s="3132"/>
      <c r="T126" s="1224"/>
      <c r="U126" s="1224"/>
      <c r="V126" s="1224"/>
      <c r="W126" s="1225"/>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94">
        <v>0</v>
      </c>
    </row>
    <row r="127" spans="1:44" s="1778" customFormat="1" ht="17.25" hidden="1" customHeight="1">
      <c r="A127" s="259"/>
      <c r="C127" s="147"/>
      <c r="D127" s="3144"/>
      <c r="E127" s="3133"/>
      <c r="F127" s="3147"/>
      <c r="G127" s="3133"/>
      <c r="H127" s="3136"/>
      <c r="I127" s="3138"/>
      <c r="J127" s="3141"/>
      <c r="K127" s="3132"/>
      <c r="L127" s="3132"/>
      <c r="M127" s="3132"/>
      <c r="N127" s="3130"/>
      <c r="O127" s="3132"/>
      <c r="P127" s="1398"/>
      <c r="Q127" s="1224"/>
      <c r="R127" s="1224"/>
      <c r="S127" s="267"/>
      <c r="T127" s="267"/>
      <c r="U127" s="267"/>
      <c r="V127" s="267"/>
      <c r="W127" s="1225"/>
      <c r="Y127" s="1194"/>
      <c r="Z127" s="1194"/>
      <c r="AA127" s="1194"/>
      <c r="AB127" s="1194"/>
      <c r="AC127" s="1194"/>
      <c r="AD127" s="1194"/>
      <c r="AE127" s="1194"/>
      <c r="AF127" s="1194"/>
      <c r="AG127" s="1194"/>
      <c r="AH127" s="1194"/>
      <c r="AI127" s="1194"/>
      <c r="AJ127" s="1194"/>
      <c r="AK127" s="1194"/>
      <c r="AL127" s="1194"/>
      <c r="AM127" s="1194"/>
      <c r="AN127" s="1194"/>
      <c r="AO127" s="1194"/>
      <c r="AP127" s="1194"/>
      <c r="AQ127" s="1194"/>
      <c r="AR127" s="1394">
        <v>0</v>
      </c>
    </row>
    <row r="128" spans="1:44" s="1778" customFormat="1" ht="17.25" hidden="1" customHeight="1">
      <c r="A128" s="259"/>
      <c r="C128" s="258"/>
      <c r="D128" s="3144"/>
      <c r="E128" s="3133"/>
      <c r="F128" s="3147"/>
      <c r="G128" s="3133"/>
      <c r="H128" s="3136"/>
      <c r="I128" s="3138"/>
      <c r="J128" s="3141"/>
      <c r="K128" s="3132"/>
      <c r="L128" s="1224"/>
      <c r="M128" s="1224"/>
      <c r="N128" s="1224"/>
      <c r="O128" s="1224"/>
      <c r="P128" s="1224"/>
      <c r="Q128" s="1224"/>
      <c r="R128" s="1224"/>
      <c r="S128" s="267"/>
      <c r="T128" s="267"/>
      <c r="U128" s="267"/>
      <c r="V128" s="267"/>
      <c r="W128" s="1225"/>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3145"/>
      <c r="E129" s="3134"/>
      <c r="F129" s="3148"/>
      <c r="G129" s="3134"/>
      <c r="H129" s="1226"/>
      <c r="I129" s="1227"/>
      <c r="J129" s="1227"/>
      <c r="K129" s="1227"/>
      <c r="L129" s="1227"/>
      <c r="M129" s="1227"/>
      <c r="N129" s="1227"/>
      <c r="O129" s="1227"/>
      <c r="P129" s="1227"/>
      <c r="Q129" s="1227"/>
      <c r="R129" s="1227"/>
      <c r="S129" s="1228"/>
      <c r="T129" s="1228"/>
      <c r="U129" s="1228"/>
      <c r="V129" s="1228"/>
      <c r="W129" s="1229"/>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147"/>
      <c r="D130" s="3144">
        <v>2</v>
      </c>
      <c r="E130" s="3133" t="s">
        <v>277</v>
      </c>
      <c r="F130" s="3146" t="s">
        <v>19</v>
      </c>
      <c r="G130" s="3133"/>
      <c r="H130" s="3135"/>
      <c r="I130" s="3137"/>
      <c r="J130" s="3139"/>
      <c r="K130" s="3131"/>
      <c r="L130" s="3131"/>
      <c r="M130" s="3131"/>
      <c r="N130" s="3142"/>
      <c r="O130" s="3131"/>
      <c r="P130" s="3131"/>
      <c r="Q130" s="3131"/>
      <c r="R130" s="3129"/>
      <c r="S130" s="3131"/>
      <c r="T130" s="1397"/>
      <c r="U130" s="1397"/>
      <c r="V130" s="1399"/>
      <c r="W130" s="1223"/>
      <c r="X130" s="1194"/>
      <c r="Y130" s="1194"/>
      <c r="Z130" s="1194"/>
      <c r="AA130" s="1194"/>
      <c r="AB130" s="1194"/>
      <c r="AC130" s="1194" t="s">
        <v>278</v>
      </c>
      <c r="AD130" s="1194" t="s">
        <v>279</v>
      </c>
      <c r="AE130" s="1194" t="s">
        <v>280</v>
      </c>
      <c r="AF130" s="1194" t="s">
        <v>281</v>
      </c>
      <c r="AG130" s="1194"/>
      <c r="AH130" s="1194" t="str">
        <f>IF($E$130=0,"",$E$130)</f>
        <v>Тариф на транспортировку сточных вод</v>
      </c>
      <c r="AI130" s="1194" t="str">
        <f>IF($G$130=0,"",$G$130)</f>
        <v/>
      </c>
      <c r="AJ130" s="1194" t="str">
        <f>IF($J$130=0,"",$J$130)</f>
        <v/>
      </c>
      <c r="AK130" s="1194" t="str">
        <f>IF($K$130="нет","без дифференциации",IF($N$130=0,"",$N$130))</f>
        <v/>
      </c>
      <c r="AL130" s="1194" t="str">
        <f>IF($O$130="нет","без дифференциации",IF($R$130=0,"",$R$130))</f>
        <v/>
      </c>
      <c r="AM130" s="1194" t="str">
        <f>IF($S$130="нет","без дифференциации",IF($V$130=0,"",$V$130))</f>
        <v/>
      </c>
      <c r="AN130" s="1698">
        <f>$I$130</f>
        <v>0</v>
      </c>
      <c r="AO130" s="1194" t="str">
        <f>$I$130&amp;"."&amp;$M$130</f>
        <v>.</v>
      </c>
      <c r="AP130" s="1186" t="str">
        <f>$I$130&amp;"."&amp;$M$130&amp;"."&amp;$Q$130</f>
        <v>..</v>
      </c>
      <c r="AQ130" s="1186" t="str">
        <f>$I$130&amp;"."&amp;$M$130&amp;"."&amp;$Q$130&amp;"."&amp;$U$130</f>
        <v>...</v>
      </c>
      <c r="AR130" s="1394">
        <v>0</v>
      </c>
    </row>
    <row r="131" spans="1:44" s="1778" customFormat="1" ht="17.25" hidden="1" customHeight="1">
      <c r="A131" s="259"/>
      <c r="C131" s="258"/>
      <c r="D131" s="3144"/>
      <c r="E131" s="3133"/>
      <c r="F131" s="3147"/>
      <c r="G131" s="3133"/>
      <c r="H131" s="3136"/>
      <c r="I131" s="3138"/>
      <c r="J131" s="3140"/>
      <c r="K131" s="3132"/>
      <c r="L131" s="3132"/>
      <c r="M131" s="3132"/>
      <c r="N131" s="3143"/>
      <c r="O131" s="3132"/>
      <c r="P131" s="3132"/>
      <c r="Q131" s="3132"/>
      <c r="R131" s="3130"/>
      <c r="S131" s="3132"/>
      <c r="T131" s="1224"/>
      <c r="U131" s="1224"/>
      <c r="V131" s="1224"/>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8" customFormat="1" ht="17.25" hidden="1" customHeight="1">
      <c r="A132" s="259"/>
      <c r="C132" s="258"/>
      <c r="D132" s="3145"/>
      <c r="E132" s="3134"/>
      <c r="F132" s="3147"/>
      <c r="G132" s="3134"/>
      <c r="H132" s="3136"/>
      <c r="I132" s="3138"/>
      <c r="J132" s="3141"/>
      <c r="K132" s="3132"/>
      <c r="L132" s="3132"/>
      <c r="M132" s="3132"/>
      <c r="N132" s="3130"/>
      <c r="O132" s="3132"/>
      <c r="P132" s="1398"/>
      <c r="Q132" s="1224"/>
      <c r="R132" s="1224"/>
      <c r="S132" s="267"/>
      <c r="T132" s="267"/>
      <c r="U132" s="267"/>
      <c r="V132" s="267"/>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9"/>
      <c r="C133" s="258"/>
      <c r="D133" s="3145"/>
      <c r="E133" s="3134"/>
      <c r="F133" s="3147"/>
      <c r="G133" s="3134"/>
      <c r="H133" s="3136"/>
      <c r="I133" s="3138"/>
      <c r="J133" s="3141"/>
      <c r="K133" s="3132"/>
      <c r="L133" s="1224"/>
      <c r="M133" s="1224"/>
      <c r="N133" s="1224"/>
      <c r="O133" s="1224"/>
      <c r="P133" s="1224"/>
      <c r="Q133" s="1224"/>
      <c r="R133" s="1224"/>
      <c r="S133" s="267"/>
      <c r="T133" s="267"/>
      <c r="U133" s="267"/>
      <c r="V133" s="267"/>
      <c r="W133" s="1225"/>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8" customFormat="1" ht="17.25" hidden="1" customHeight="1">
      <c r="A134" s="259"/>
      <c r="C134" s="258"/>
      <c r="D134" s="3145"/>
      <c r="E134" s="3134"/>
      <c r="F134" s="3148"/>
      <c r="G134" s="3134"/>
      <c r="H134" s="1226"/>
      <c r="I134" s="1227"/>
      <c r="J134" s="1227"/>
      <c r="K134" s="1227"/>
      <c r="L134" s="1227"/>
      <c r="M134" s="1227"/>
      <c r="N134" s="1227"/>
      <c r="O134" s="1227"/>
      <c r="P134" s="1227"/>
      <c r="Q134" s="1227"/>
      <c r="R134" s="1227"/>
      <c r="S134" s="1228"/>
      <c r="T134" s="1228"/>
      <c r="U134" s="1228"/>
      <c r="V134" s="1228"/>
      <c r="W134" s="1229"/>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hidden="1" customHeight="1">
      <c r="A135" s="259"/>
      <c r="C135" s="147"/>
      <c r="D135" s="3144">
        <v>3</v>
      </c>
      <c r="E135" s="3133" t="s">
        <v>282</v>
      </c>
      <c r="F135" s="3146" t="s">
        <v>19</v>
      </c>
      <c r="G135" s="3133"/>
      <c r="H135" s="3135"/>
      <c r="I135" s="3137"/>
      <c r="J135" s="3139"/>
      <c r="K135" s="3131"/>
      <c r="L135" s="3131"/>
      <c r="M135" s="3131"/>
      <c r="N135" s="3142"/>
      <c r="O135" s="3131"/>
      <c r="P135" s="3131"/>
      <c r="Q135" s="3131"/>
      <c r="R135" s="3129"/>
      <c r="S135" s="3131"/>
      <c r="T135" s="1865"/>
      <c r="U135" s="1865"/>
      <c r="V135" s="1867"/>
      <c r="W135" s="1223"/>
      <c r="X135" s="1194"/>
      <c r="Y135" s="1194"/>
      <c r="Z135" s="1194"/>
      <c r="AA135" s="1194"/>
      <c r="AB135" s="1194"/>
      <c r="AC135" s="1194" t="s">
        <v>283</v>
      </c>
      <c r="AD135" s="1194" t="s">
        <v>284</v>
      </c>
      <c r="AE135" s="1194" t="s">
        <v>285</v>
      </c>
      <c r="AF135" s="1194" t="s">
        <v>286</v>
      </c>
      <c r="AG135" s="1194"/>
      <c r="AH135" s="1194" t="str">
        <f>IF($E$135=0,"",$E$135)</f>
        <v>Тариф на подключение (технологическое присоединение) к централизованной системе водоотведения</v>
      </c>
      <c r="AI135" s="1194" t="str">
        <f>IF($G$135=0,"",$G$135)</f>
        <v/>
      </c>
      <c r="AJ135" s="1194" t="str">
        <f>IF($J$135=0,"",$J$135)</f>
        <v/>
      </c>
      <c r="AK135" s="1194" t="str">
        <f>IF($K$135="нет","без дифференциации",IF($N$135=0,"",$N$135))</f>
        <v/>
      </c>
      <c r="AL135" s="1194" t="str">
        <f>IF($O$135="нет","без дифференциации",IF($R$135=0,"",$R$135))</f>
        <v/>
      </c>
      <c r="AM135" s="1194" t="str">
        <f>IF($S$135="нет","без дифференциации",IF($V$135=0,"",$V$135))</f>
        <v/>
      </c>
      <c r="AN135" s="1698">
        <f>$I$135</f>
        <v>0</v>
      </c>
      <c r="AO135" s="1194" t="str">
        <f>$I$135&amp;"."&amp;$M$135</f>
        <v>.</v>
      </c>
      <c r="AP135" s="1193" t="str">
        <f>$I$135&amp;"."&amp;$M$135&amp;"."&amp;$Q$135</f>
        <v>..</v>
      </c>
      <c r="AQ135" s="1193" t="str">
        <f>$I$135&amp;"."&amp;$M$135&amp;"."&amp;$Q$135&amp;"."&amp;$U$135</f>
        <v>...</v>
      </c>
      <c r="AR135" s="1394">
        <v>0</v>
      </c>
    </row>
    <row r="136" spans="1:44" s="1778" customFormat="1" ht="17.25" hidden="1" customHeight="1">
      <c r="A136" s="259"/>
      <c r="C136" s="258"/>
      <c r="D136" s="3144"/>
      <c r="E136" s="3133"/>
      <c r="F136" s="3147"/>
      <c r="G136" s="3133"/>
      <c r="H136" s="3136"/>
      <c r="I136" s="3138"/>
      <c r="J136" s="3140"/>
      <c r="K136" s="3132"/>
      <c r="L136" s="3132"/>
      <c r="M136" s="3132"/>
      <c r="N136" s="3143"/>
      <c r="O136" s="3132"/>
      <c r="P136" s="3132"/>
      <c r="Q136" s="3132"/>
      <c r="R136" s="3130"/>
      <c r="S136" s="3132"/>
      <c r="T136" s="1870"/>
      <c r="U136" s="1870"/>
      <c r="V136" s="1870"/>
      <c r="W136" s="1871"/>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8" customFormat="1" ht="17.25" hidden="1" customHeight="1">
      <c r="A137" s="259"/>
      <c r="C137" s="258"/>
      <c r="D137" s="3145"/>
      <c r="E137" s="3134"/>
      <c r="F137" s="3147"/>
      <c r="G137" s="3134"/>
      <c r="H137" s="3136"/>
      <c r="I137" s="3138"/>
      <c r="J137" s="3141"/>
      <c r="K137" s="3132"/>
      <c r="L137" s="3132"/>
      <c r="M137" s="3132"/>
      <c r="N137" s="3130"/>
      <c r="O137" s="3132"/>
      <c r="P137" s="1866"/>
      <c r="Q137" s="1870"/>
      <c r="R137" s="1870"/>
      <c r="S137" s="267"/>
      <c r="T137" s="267"/>
      <c r="U137" s="267"/>
      <c r="V137" s="267"/>
      <c r="W137" s="1871"/>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8" customFormat="1" ht="17.25" hidden="1" customHeight="1">
      <c r="A138" s="259"/>
      <c r="C138" s="258"/>
      <c r="D138" s="3145"/>
      <c r="E138" s="3134"/>
      <c r="F138" s="3147"/>
      <c r="G138" s="3134"/>
      <c r="H138" s="3136"/>
      <c r="I138" s="3138"/>
      <c r="J138" s="3141"/>
      <c r="K138" s="3132"/>
      <c r="L138" s="1870"/>
      <c r="M138" s="1870"/>
      <c r="N138" s="1870"/>
      <c r="O138" s="1870"/>
      <c r="P138" s="1870"/>
      <c r="Q138" s="1870"/>
      <c r="R138" s="1870"/>
      <c r="S138" s="267"/>
      <c r="T138" s="267"/>
      <c r="U138" s="267"/>
      <c r="V138" s="267"/>
      <c r="W138" s="1871"/>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s="1778" customFormat="1" ht="17.25" hidden="1" customHeight="1">
      <c r="A139" s="259"/>
      <c r="C139" s="258"/>
      <c r="D139" s="3145"/>
      <c r="E139" s="3134"/>
      <c r="F139" s="3148"/>
      <c r="G139" s="3134"/>
      <c r="H139" s="1226"/>
      <c r="I139" s="1868"/>
      <c r="J139" s="1868"/>
      <c r="K139" s="1868"/>
      <c r="L139" s="1868"/>
      <c r="M139" s="1868"/>
      <c r="N139" s="1868"/>
      <c r="O139" s="1868"/>
      <c r="P139" s="1868"/>
      <c r="Q139" s="1868"/>
      <c r="R139" s="1868"/>
      <c r="S139" s="1228"/>
      <c r="T139" s="1228"/>
      <c r="U139" s="1228"/>
      <c r="V139" s="1228"/>
      <c r="W139" s="1869"/>
      <c r="X139" s="1193"/>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4">
        <v>0</v>
      </c>
    </row>
    <row r="140" spans="1:44" ht="11.45" customHeight="1">
      <c r="AR140" s="44">
        <v>11</v>
      </c>
    </row>
    <row r="141" spans="1:44" ht="11.45" customHeight="1">
      <c r="AR141" s="44">
        <v>11</v>
      </c>
    </row>
    <row r="142" spans="1:44" ht="11.45" customHeight="1">
      <c r="AR142" s="44">
        <v>11</v>
      </c>
    </row>
    <row r="143" spans="1:44" ht="11.45" customHeight="1">
      <c r="E143" s="1277"/>
      <c r="AR143" s="44">
        <v>11</v>
      </c>
    </row>
    <row r="144" spans="1:44" ht="11.45" customHeight="1">
      <c r="E144" s="1277"/>
      <c r="AR144" s="44">
        <v>11</v>
      </c>
    </row>
    <row r="145" spans="1:44" ht="11.45" customHeight="1">
      <c r="E145" s="1277"/>
      <c r="AR145" s="44">
        <v>11</v>
      </c>
    </row>
    <row r="146" spans="1:44" ht="11.45" customHeight="1">
      <c r="E146" s="1277"/>
      <c r="AR146" s="44">
        <v>11</v>
      </c>
    </row>
    <row r="147" spans="1:44" ht="11.45" customHeight="1">
      <c r="E147" s="1277"/>
      <c r="AR147" s="44">
        <v>11</v>
      </c>
    </row>
    <row r="148" spans="1:44" ht="11.45" customHeight="1">
      <c r="E148" s="1277"/>
      <c r="AR148" s="44">
        <v>11</v>
      </c>
    </row>
    <row r="149" spans="1:44" ht="11.45" customHeight="1">
      <c r="E149" s="1277"/>
      <c r="AR149" s="44">
        <v>11</v>
      </c>
    </row>
    <row r="150" spans="1:44" ht="11.25" hidden="1" customHeight="1">
      <c r="A150" s="91" t="s">
        <v>79</v>
      </c>
      <c r="B150" s="91">
        <v>0</v>
      </c>
      <c r="C150" s="44">
        <v>3</v>
      </c>
      <c r="D150" s="44">
        <v>6</v>
      </c>
      <c r="E150" s="44">
        <v>42</v>
      </c>
      <c r="F150" s="1210">
        <v>14</v>
      </c>
      <c r="G150" s="44">
        <v>42</v>
      </c>
      <c r="H150" s="44">
        <v>3</v>
      </c>
      <c r="I150" s="44">
        <v>5</v>
      </c>
      <c r="J150" s="44">
        <v>47</v>
      </c>
      <c r="K150" s="44">
        <v>3</v>
      </c>
      <c r="L150" s="44">
        <v>3</v>
      </c>
      <c r="M150" s="44">
        <v>5</v>
      </c>
      <c r="N150" s="44">
        <v>28</v>
      </c>
      <c r="O150" s="44">
        <v>3</v>
      </c>
      <c r="P150" s="44">
        <v>3</v>
      </c>
      <c r="Q150" s="44">
        <v>5</v>
      </c>
      <c r="R150" s="44">
        <v>34</v>
      </c>
      <c r="S150" s="220">
        <v>0</v>
      </c>
      <c r="T150" s="220">
        <v>0</v>
      </c>
      <c r="U150" s="220">
        <v>0</v>
      </c>
      <c r="V150" s="220">
        <v>0</v>
      </c>
      <c r="W150" s="44">
        <v>30</v>
      </c>
      <c r="X150" s="44">
        <v>3</v>
      </c>
      <c r="Y150" s="1186">
        <v>0</v>
      </c>
      <c r="Z150" s="1186">
        <v>0</v>
      </c>
      <c r="AA150" s="1186">
        <v>0</v>
      </c>
      <c r="AB150" s="1186">
        <v>0</v>
      </c>
      <c r="AC150" s="1186">
        <v>0</v>
      </c>
      <c r="AD150" s="1186">
        <v>0</v>
      </c>
      <c r="AE150" s="1186">
        <v>0</v>
      </c>
      <c r="AF150" s="1186">
        <v>0</v>
      </c>
      <c r="AG150" s="1186">
        <v>0</v>
      </c>
      <c r="AH150" s="1186">
        <v>0</v>
      </c>
      <c r="AI150" s="1186">
        <v>0</v>
      </c>
      <c r="AJ150" s="1186">
        <v>0</v>
      </c>
      <c r="AK150" s="1186">
        <v>0</v>
      </c>
      <c r="AL150" s="1186">
        <v>0</v>
      </c>
      <c r="AM150" s="1186">
        <v>0</v>
      </c>
      <c r="AN150" s="1186">
        <v>0</v>
      </c>
      <c r="AO150" s="1186">
        <v>0</v>
      </c>
      <c r="AP150" s="1186">
        <v>0</v>
      </c>
      <c r="AQ150" s="1186">
        <v>0</v>
      </c>
      <c r="AR150" s="44">
        <v>11</v>
      </c>
    </row>
  </sheetData>
  <sheetProtection formatColumns="0" formatRows="0" insertRows="0" deleteColumns="0" deleteRows="0" sort="0" autoFilter="0"/>
  <mergeCells count="391">
    <mergeCell ref="R13:R14"/>
    <mergeCell ref="S13:S14"/>
    <mergeCell ref="P13:P14"/>
    <mergeCell ref="H13:H16"/>
    <mergeCell ref="J13:J16"/>
    <mergeCell ref="K13:K16"/>
    <mergeCell ref="M13:M15"/>
    <mergeCell ref="O13:O15"/>
    <mergeCell ref="H22:H25"/>
    <mergeCell ref="I22:I25"/>
    <mergeCell ref="J22:J25"/>
    <mergeCell ref="K22:K25"/>
    <mergeCell ref="L22:L24"/>
    <mergeCell ref="M22:M24"/>
    <mergeCell ref="N22:N24"/>
    <mergeCell ref="S22:S23"/>
    <mergeCell ref="O22:O24"/>
    <mergeCell ref="P22:P23"/>
    <mergeCell ref="Q22:Q23"/>
    <mergeCell ref="R22:R23"/>
    <mergeCell ref="S18:S19"/>
    <mergeCell ref="P18:P19"/>
    <mergeCell ref="Q18:Q19"/>
    <mergeCell ref="R18:R19"/>
    <mergeCell ref="K18:K21"/>
    <mergeCell ref="M18:M20"/>
    <mergeCell ref="L18:L20"/>
    <mergeCell ref="N18:N20"/>
    <mergeCell ref="J18:J21"/>
    <mergeCell ref="D62:D66"/>
    <mergeCell ref="M103:M105"/>
    <mergeCell ref="M62:M64"/>
    <mergeCell ref="N62:N64"/>
    <mergeCell ref="O62:O64"/>
    <mergeCell ref="P62:P63"/>
    <mergeCell ref="Q62:Q63"/>
    <mergeCell ref="R62:R63"/>
    <mergeCell ref="S62:S63"/>
    <mergeCell ref="D67:D71"/>
    <mergeCell ref="E67:E71"/>
    <mergeCell ref="F67:F71"/>
    <mergeCell ref="G67:G71"/>
    <mergeCell ref="H67:H70"/>
    <mergeCell ref="I67:I70"/>
    <mergeCell ref="J67:J70"/>
    <mergeCell ref="K67:K70"/>
    <mergeCell ref="L67:L69"/>
    <mergeCell ref="M67:M69"/>
    <mergeCell ref="N67:N69"/>
    <mergeCell ref="O67:O69"/>
    <mergeCell ref="P67:P68"/>
    <mergeCell ref="Q67:Q68"/>
    <mergeCell ref="R67:R68"/>
    <mergeCell ref="S67:S68"/>
    <mergeCell ref="E62:E66"/>
    <mergeCell ref="F62:F66"/>
    <mergeCell ref="G62:G66"/>
    <mergeCell ref="H62:H65"/>
    <mergeCell ref="I62:I65"/>
    <mergeCell ref="J62:J65"/>
    <mergeCell ref="K62:K65"/>
    <mergeCell ref="L62:L64"/>
    <mergeCell ref="D93:D97"/>
    <mergeCell ref="E93:E97"/>
    <mergeCell ref="M93:M95"/>
    <mergeCell ref="D98:D102"/>
    <mergeCell ref="E98:E102"/>
    <mergeCell ref="F98:F102"/>
    <mergeCell ref="G98:G102"/>
    <mergeCell ref="H98:H101"/>
    <mergeCell ref="I98:I101"/>
    <mergeCell ref="J98:J101"/>
    <mergeCell ref="K98:K101"/>
    <mergeCell ref="L98:L100"/>
    <mergeCell ref="F93:F97"/>
    <mergeCell ref="G93:G97"/>
    <mergeCell ref="H93:H96"/>
    <mergeCell ref="I93:I96"/>
    <mergeCell ref="J93:J96"/>
    <mergeCell ref="S83:S84"/>
    <mergeCell ref="M88:M90"/>
    <mergeCell ref="M98:M100"/>
    <mergeCell ref="N98:N100"/>
    <mergeCell ref="O98:O100"/>
    <mergeCell ref="P98:P99"/>
    <mergeCell ref="Q98:Q99"/>
    <mergeCell ref="R98:R99"/>
    <mergeCell ref="S98:S99"/>
    <mergeCell ref="N93:N95"/>
    <mergeCell ref="O93:O95"/>
    <mergeCell ref="P93:P94"/>
    <mergeCell ref="Q93:Q94"/>
    <mergeCell ref="R93:R94"/>
    <mergeCell ref="L88:L90"/>
    <mergeCell ref="N83:N85"/>
    <mergeCell ref="O83:O85"/>
    <mergeCell ref="P83:P84"/>
    <mergeCell ref="Q83:Q84"/>
    <mergeCell ref="R83:R84"/>
    <mergeCell ref="W9:W10"/>
    <mergeCell ref="O9:R9"/>
    <mergeCell ref="K9:N9"/>
    <mergeCell ref="T11:U11"/>
    <mergeCell ref="S9:V9"/>
    <mergeCell ref="T10:U10"/>
    <mergeCell ref="D83:D87"/>
    <mergeCell ref="E83:E87"/>
    <mergeCell ref="D88:D92"/>
    <mergeCell ref="E88:E92"/>
    <mergeCell ref="F88:F92"/>
    <mergeCell ref="G88:G92"/>
    <mergeCell ref="H88:H91"/>
    <mergeCell ref="I88:I91"/>
    <mergeCell ref="J88:J91"/>
    <mergeCell ref="F83:F87"/>
    <mergeCell ref="G83:G87"/>
    <mergeCell ref="H83:H86"/>
    <mergeCell ref="I83:I86"/>
    <mergeCell ref="J83:J86"/>
    <mergeCell ref="G18:G26"/>
    <mergeCell ref="N32:N34"/>
    <mergeCell ref="Q88:Q89"/>
    <mergeCell ref="R88:R89"/>
    <mergeCell ref="D5:J5"/>
    <mergeCell ref="D9:D10"/>
    <mergeCell ref="D7:J7"/>
    <mergeCell ref="G9:G10"/>
    <mergeCell ref="H9:I10"/>
    <mergeCell ref="D6:J6"/>
    <mergeCell ref="D13:D17"/>
    <mergeCell ref="E13:E17"/>
    <mergeCell ref="G13:G17"/>
    <mergeCell ref="J9:J10"/>
    <mergeCell ref="H11:I11"/>
    <mergeCell ref="E9:F9"/>
    <mergeCell ref="F13:F17"/>
    <mergeCell ref="I13:I16"/>
    <mergeCell ref="L10:M10"/>
    <mergeCell ref="P10:Q10"/>
    <mergeCell ref="L11:M11"/>
    <mergeCell ref="P11:Q11"/>
    <mergeCell ref="K32:K35"/>
    <mergeCell ref="L32:L34"/>
    <mergeCell ref="P32:P33"/>
    <mergeCell ref="Q32:Q33"/>
    <mergeCell ref="P27:P28"/>
    <mergeCell ref="Q27:Q28"/>
    <mergeCell ref="O18:O20"/>
    <mergeCell ref="N13:N15"/>
    <mergeCell ref="L13:L15"/>
    <mergeCell ref="Q13:Q14"/>
    <mergeCell ref="D18:D26"/>
    <mergeCell ref="E18:E26"/>
    <mergeCell ref="F18:F26"/>
    <mergeCell ref="M32:M34"/>
    <mergeCell ref="R32:R33"/>
    <mergeCell ref="O32:O34"/>
    <mergeCell ref="D32:D36"/>
    <mergeCell ref="E32:E36"/>
    <mergeCell ref="F32:F36"/>
    <mergeCell ref="H32:H35"/>
    <mergeCell ref="I32:I35"/>
    <mergeCell ref="J32:J35"/>
    <mergeCell ref="G32:G36"/>
    <mergeCell ref="D27:D31"/>
    <mergeCell ref="E27:E31"/>
    <mergeCell ref="F27:F31"/>
    <mergeCell ref="H18:H21"/>
    <mergeCell ref="I18:I21"/>
    <mergeCell ref="D57:D61"/>
    <mergeCell ref="E57:E61"/>
    <mergeCell ref="F57:F61"/>
    <mergeCell ref="H57:H60"/>
    <mergeCell ref="N47:N49"/>
    <mergeCell ref="G42:G46"/>
    <mergeCell ref="K42:K45"/>
    <mergeCell ref="G57:G61"/>
    <mergeCell ref="K57:K60"/>
    <mergeCell ref="N57:N59"/>
    <mergeCell ref="I57:I60"/>
    <mergeCell ref="J57:J60"/>
    <mergeCell ref="L57:L59"/>
    <mergeCell ref="M57:M59"/>
    <mergeCell ref="L47:L49"/>
    <mergeCell ref="M47:M49"/>
    <mergeCell ref="K47:K50"/>
    <mergeCell ref="D47:D51"/>
    <mergeCell ref="I47:I50"/>
    <mergeCell ref="J47:J50"/>
    <mergeCell ref="I42:I45"/>
    <mergeCell ref="J42:J45"/>
    <mergeCell ref="L42:L44"/>
    <mergeCell ref="M42:M44"/>
    <mergeCell ref="G52:G56"/>
    <mergeCell ref="H52:H55"/>
    <mergeCell ref="I52:I55"/>
    <mergeCell ref="J52:J55"/>
    <mergeCell ref="K52:K55"/>
    <mergeCell ref="L52:L54"/>
    <mergeCell ref="D37:D41"/>
    <mergeCell ref="E37:E41"/>
    <mergeCell ref="F37:F41"/>
    <mergeCell ref="H37:H40"/>
    <mergeCell ref="I37:I40"/>
    <mergeCell ref="J37:J40"/>
    <mergeCell ref="G37:G41"/>
    <mergeCell ref="K37:K40"/>
    <mergeCell ref="S37:S38"/>
    <mergeCell ref="S42:S43"/>
    <mergeCell ref="S47:S48"/>
    <mergeCell ref="O37:O39"/>
    <mergeCell ref="E42:E46"/>
    <mergeCell ref="F42:F46"/>
    <mergeCell ref="H42:H45"/>
    <mergeCell ref="L37:L39"/>
    <mergeCell ref="M37:M39"/>
    <mergeCell ref="P42:P43"/>
    <mergeCell ref="Q42:Q43"/>
    <mergeCell ref="R42:R43"/>
    <mergeCell ref="P37:P38"/>
    <mergeCell ref="Q37:Q38"/>
    <mergeCell ref="R37:R38"/>
    <mergeCell ref="N37:N39"/>
    <mergeCell ref="P47:P48"/>
    <mergeCell ref="O42:O44"/>
    <mergeCell ref="Q47:Q48"/>
    <mergeCell ref="R47:R48"/>
    <mergeCell ref="O47:O49"/>
    <mergeCell ref="P109:P110"/>
    <mergeCell ref="Q109:Q110"/>
    <mergeCell ref="R109:R110"/>
    <mergeCell ref="S109:S110"/>
    <mergeCell ref="O57:O59"/>
    <mergeCell ref="E81:W81"/>
    <mergeCell ref="E73:W73"/>
    <mergeCell ref="E74:W74"/>
    <mergeCell ref="E75:W75"/>
    <mergeCell ref="E76:W76"/>
    <mergeCell ref="E77:W77"/>
    <mergeCell ref="L83:L85"/>
    <mergeCell ref="M83:M85"/>
    <mergeCell ref="E79:W79"/>
    <mergeCell ref="E80:W80"/>
    <mergeCell ref="K93:K96"/>
    <mergeCell ref="L93:L95"/>
    <mergeCell ref="S88:S89"/>
    <mergeCell ref="K88:K91"/>
    <mergeCell ref="K83:K86"/>
    <mergeCell ref="N88:N90"/>
    <mergeCell ref="O88:O90"/>
    <mergeCell ref="P88:P89"/>
    <mergeCell ref="S93:S94"/>
    <mergeCell ref="P57:P58"/>
    <mergeCell ref="Q57:Q58"/>
    <mergeCell ref="R57:R58"/>
    <mergeCell ref="S57:S58"/>
    <mergeCell ref="P52:P53"/>
    <mergeCell ref="Q52:Q53"/>
    <mergeCell ref="R52:R53"/>
    <mergeCell ref="S52:S53"/>
    <mergeCell ref="S32:S33"/>
    <mergeCell ref="M52:M54"/>
    <mergeCell ref="N52:N54"/>
    <mergeCell ref="O52:O54"/>
    <mergeCell ref="N42:N44"/>
    <mergeCell ref="D109:D113"/>
    <mergeCell ref="E109:E113"/>
    <mergeCell ref="F109:F113"/>
    <mergeCell ref="G109:G113"/>
    <mergeCell ref="H109:H112"/>
    <mergeCell ref="I109:I112"/>
    <mergeCell ref="J109:J112"/>
    <mergeCell ref="K109:K112"/>
    <mergeCell ref="L109:L111"/>
    <mergeCell ref="M109:M111"/>
    <mergeCell ref="N109:N111"/>
    <mergeCell ref="O109:O111"/>
    <mergeCell ref="E47:E51"/>
    <mergeCell ref="F47:F51"/>
    <mergeCell ref="H47:H50"/>
    <mergeCell ref="G47:G51"/>
    <mergeCell ref="D42:D46"/>
    <mergeCell ref="D52:D56"/>
    <mergeCell ref="E52:E56"/>
    <mergeCell ref="F52:F56"/>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M130:M132"/>
    <mergeCell ref="N130:N132"/>
    <mergeCell ref="O130:O132"/>
    <mergeCell ref="P125:P126"/>
    <mergeCell ref="Q125:Q126"/>
    <mergeCell ref="R125:R126"/>
    <mergeCell ref="P130:P131"/>
    <mergeCell ref="Q130:Q131"/>
    <mergeCell ref="R130:R131"/>
    <mergeCell ref="F103:F107"/>
    <mergeCell ref="G103:G107"/>
    <mergeCell ref="H103:H106"/>
    <mergeCell ref="I103:I106"/>
    <mergeCell ref="J103:J106"/>
    <mergeCell ref="K103:K106"/>
    <mergeCell ref="L103:L105"/>
    <mergeCell ref="S130:S131"/>
    <mergeCell ref="D130:D134"/>
    <mergeCell ref="E130:E134"/>
    <mergeCell ref="F130:F134"/>
    <mergeCell ref="G130:G134"/>
    <mergeCell ref="H130:H133"/>
    <mergeCell ref="I130:I133"/>
    <mergeCell ref="J130:J133"/>
    <mergeCell ref="K130:K133"/>
    <mergeCell ref="L130:L132"/>
    <mergeCell ref="H125:H128"/>
    <mergeCell ref="I125:I128"/>
    <mergeCell ref="J125:J128"/>
    <mergeCell ref="K125:K128"/>
    <mergeCell ref="L125:L127"/>
    <mergeCell ref="M125:M127"/>
    <mergeCell ref="N125:N127"/>
    <mergeCell ref="N103:N105"/>
    <mergeCell ref="O103:O105"/>
    <mergeCell ref="P103:P104"/>
    <mergeCell ref="Q103:Q104"/>
    <mergeCell ref="R103:R104"/>
    <mergeCell ref="S103:S104"/>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103:D107"/>
    <mergeCell ref="E103:E107"/>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7:R28"/>
    <mergeCell ref="S27:S28"/>
    <mergeCell ref="G27:G31"/>
    <mergeCell ref="H27:H30"/>
    <mergeCell ref="I27:I30"/>
    <mergeCell ref="J27:J30"/>
    <mergeCell ref="K27:K30"/>
    <mergeCell ref="L27:L29"/>
    <mergeCell ref="M27:M29"/>
    <mergeCell ref="N27:N29"/>
    <mergeCell ref="O27:O29"/>
  </mergeCells>
  <dataValidations count="6">
    <dataValidation allowBlank="1" showInputMessage="1" showErrorMessage="1" prompt="Выберите виды деятельности, выполнив двойной щелчок левой кнопки мыши по ячейке." sqref="G109:G123 G125:G139 G83:G107 G13:G71" xr:uid="{00000000-0002-0000-0400-000000000000}"/>
    <dataValidation allowBlank="1" showInputMessage="1" showErrorMessage="1" prompt="Для выбора выполните двойной щелчок левой клавиши мыши по соответствующей ячейке." sqref="S18:S19 O18 K18 K42:K43 K52:K53 O52:O53 S52:S53 K47:K48 K32:K33 O42:O43 O47:O48 O32:O33 S42:S43 S47:S48 S32:S33 K37:K38 O37:O38 S37:S38 K83:K84 O83:O84 S83:S84 K88:K89 O88:O89 S88:S89 K98:K99 O98:O99 S98:S99 K93:K94 O93:O94 S57:S58 S93:S94 K57:K58 O57:O58 O135:O136 O109:O110 S109:S110 O114:O115 S114:S115 K109:K110 K114:K115 S103:S104 K130:K131 O130:O131 K125:K126 O125:O126 S130:S131 O119:O120 S125:S126 O62:O63 S62:S63 K62:K63 K67:K68 O67:O68 S67:S68 F83:F107 K103:K104 O103:O104 F109:F123 S119:S120 K119:K120 F125:F139 S135:S136 K135:K136 K27:K28 O27:O28 S27:S28 K13:K14 O13:O14 S13:S14 K22 O22 S22:S23 F13:F71" xr:uid="{00000000-0002-0000-0400-000001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N22:N24" xr:uid="{00000000-0002-0000-0400-000002000000}"/>
    <dataValidation type="textLength" operator="lessThanOrEqual" allowBlank="1" showInputMessage="1" showErrorMessage="1" errorTitle="Ошибка" error="Допускается ввод не более 900 символов!" sqref="V18:W18 R18:R19 J18:J19 J42:J43 J52:J53 R52:R53 V52:W52 J47:J48 J32:J33 R42:R43 R47:R48 R32:R33 V42:W42 V47:W47 V32:W32 J37:J38 R37:R38 V37:W37 J83:J84 R83:R84 V83:W83 J88:J89 R88:R89 V88:W88 J98:J99 R98:R99 V98:W98 J93:J94 R93:R94 V93:W93 J57:J58 R57:R58 V57:W57 J109:J110 R109:R110 V109:W109 J114:J115 R114:R115 V114:W114 J130:J131 R130:R131 V130:W130 J125:J126 R125:R126 V125:W125 J62:J63 R62:R63 V62:W62 J67:J68 R67:R68 V67:W67 J103:J104 R103:R104 V103:W103 J119:J120 R119:R120 V119:W119 J135:J136 R135:R136 V135:W135 J27:J28 R27:R28 V27:W27 V13:W13 J13:J14 R13:R14 R22:R23 V22:W22 J22:J23" xr:uid="{00000000-0002-0000-0400-000006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N54 N47:N49 N32:N34 N42:N44 N37:N39 N83:N85 N98:N100 N88:N90 N93:N95 N57:N59 N109:N111 N114:N116 N130:N132 N125:N127 N62:N64 N67:N69 N103:N105 N119:N121 N135:N137 N27:N29 N13:N15" xr:uid="{00000000-0002-0000-0400-000015000000}">
      <formula1>DESCRIPTION_TERRITORY</formula1>
    </dataValidation>
    <dataValidation type="list" allowBlank="1" showInputMessage="1" showErrorMessage="1" errorTitle="Ошибка" error="Выберите значение из списка" prompt="Выберите значение из списка" sqref="E18:E21 E26" xr:uid="{00000000-0002-0000-0400-000028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4368-EAA5-961C-CFA3-87374CA3E6A6}">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3232" t="s">
        <v>1171</v>
      </c>
      <c r="E5" s="3232"/>
      <c r="F5" s="3232"/>
      <c r="G5" s="3232"/>
      <c r="H5" s="3232"/>
      <c r="I5" s="3232"/>
      <c r="J5" s="3232"/>
      <c r="V5" s="442">
        <v>63</v>
      </c>
    </row>
    <row r="6" spans="1:22" ht="15.75" customHeight="1">
      <c r="C6" s="114"/>
      <c r="D6" s="3204" t="str">
        <f>IF(org=0,"Не определено",org)</f>
        <v>АО Нижневартовская ГРЭС</v>
      </c>
      <c r="E6" s="3204"/>
      <c r="F6" s="3204"/>
      <c r="G6" s="3204"/>
      <c r="H6" s="3204"/>
      <c r="I6" s="3204"/>
      <c r="J6" s="3204"/>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115</v>
      </c>
      <c r="J8" s="689"/>
      <c r="K8" s="354"/>
      <c r="U8" s="612"/>
      <c r="V8" s="693">
        <v>1</v>
      </c>
    </row>
    <row r="9" spans="1:22" ht="15.75" customHeight="1">
      <c r="C9" s="114"/>
      <c r="D9" s="648"/>
      <c r="E9" s="3370" t="s">
        <v>103</v>
      </c>
      <c r="F9" s="3371"/>
      <c r="G9" s="3395" t="str">
        <f>IF(G8="","",INDEX(DIFFERENTIATION_UNMERGE_VD,MATCH(G8,DIFFERENTIATION_ID_DIFF,0)))</f>
        <v/>
      </c>
      <c r="H9" s="3396"/>
      <c r="I9" s="3395">
        <f>IF(I8="","",INDEX(DIFFERENTIATION_UNMERGE_VD,MATCH(I8,DIFFERENTIATION_ID_DIFF,0)))</f>
        <v>0</v>
      </c>
      <c r="J9" s="3396"/>
      <c r="K9" s="3184" t="s">
        <v>309</v>
      </c>
      <c r="V9" s="442">
        <v>15</v>
      </c>
    </row>
    <row r="10" spans="1:22" s="1562" customFormat="1" ht="15.75" customHeight="1">
      <c r="A10" s="694"/>
      <c r="C10" s="114"/>
      <c r="D10" s="648"/>
      <c r="E10" s="3370" t="s">
        <v>571</v>
      </c>
      <c r="F10" s="3371"/>
      <c r="G10" s="3395" t="str">
        <f>IF(G8="","",INDEX(DIFFERENTIATION_UNMERGE_AREA,MATCH(G8,DIFFERENTIATION_ID_DIFF,0)))</f>
        <v/>
      </c>
      <c r="H10" s="3396"/>
      <c r="I10" s="3395" t="str">
        <f>IF(I8="","",INDEX(DIFFERENTIATION_UNMERGE_AREA,MATCH(I8,DIFFERENTIATION_ID_DIFF,0)))</f>
        <v/>
      </c>
      <c r="J10" s="3396"/>
      <c r="K10" s="3189"/>
      <c r="U10" s="612"/>
      <c r="V10" s="693">
        <v>15</v>
      </c>
    </row>
    <row r="11" spans="1:22" s="1562" customFormat="1" ht="15.75" customHeight="1">
      <c r="A11" s="694"/>
      <c r="C11" s="114"/>
      <c r="D11" s="648"/>
      <c r="E11" s="3370" t="s">
        <v>572</v>
      </c>
      <c r="F11" s="3371"/>
      <c r="G11" s="3395" t="str">
        <f>IF(G8="","",INDEX(DIFFERENTIATION_UNMERGE_SYSTEM,MATCH(G8,DIFFERENTIATION_ID_DIFF,0)))</f>
        <v/>
      </c>
      <c r="H11" s="3396"/>
      <c r="I11" s="3395" t="str">
        <f>IF(I8="","",INDEX(DIFFERENTIATION_UNMERGE_SYSTEM,MATCH(I8,DIFFERENTIATION_ID_DIFF,0)))</f>
        <v>без дифференциации</v>
      </c>
      <c r="J11" s="3396"/>
      <c r="K11" s="3189"/>
      <c r="U11" s="612"/>
      <c r="V11" s="693">
        <v>15</v>
      </c>
    </row>
    <row r="12" spans="1:22" s="1562" customFormat="1" ht="15.75" customHeight="1">
      <c r="A12" s="694"/>
      <c r="C12" s="114"/>
      <c r="D12" s="3372" t="s">
        <v>308</v>
      </c>
      <c r="E12" s="3373"/>
      <c r="F12" s="3373"/>
      <c r="G12" s="817"/>
      <c r="H12" s="817"/>
      <c r="I12" s="817"/>
      <c r="J12" s="817"/>
      <c r="K12" s="3189"/>
      <c r="U12" s="612"/>
      <c r="V12" s="693">
        <v>15</v>
      </c>
    </row>
    <row r="13" spans="1:22" ht="35.65" customHeight="1">
      <c r="C13" s="114"/>
      <c r="D13" s="736" t="s">
        <v>85</v>
      </c>
      <c r="E13" s="738" t="s">
        <v>310</v>
      </c>
      <c r="F13" s="738" t="s">
        <v>573</v>
      </c>
      <c r="G13" s="739" t="s">
        <v>311</v>
      </c>
      <c r="H13" s="738" t="s">
        <v>398</v>
      </c>
      <c r="I13" s="739" t="s">
        <v>311</v>
      </c>
      <c r="J13" s="738" t="s">
        <v>398</v>
      </c>
      <c r="K13" s="3237"/>
      <c r="V13" s="442">
        <v>34</v>
      </c>
    </row>
    <row r="14" spans="1:22" ht="15" hidden="1" customHeight="1">
      <c r="C14" s="114"/>
      <c r="D14" s="530" t="s">
        <v>107</v>
      </c>
      <c r="E14" s="530" t="s">
        <v>108</v>
      </c>
      <c r="F14" s="530" t="s">
        <v>87</v>
      </c>
      <c r="G14" s="596" t="str">
        <f>G1&amp;".1"</f>
        <v>4.1</v>
      </c>
      <c r="H14" s="596"/>
      <c r="I14" s="596" t="str">
        <f>I1&amp;".1"</f>
        <v>4.1</v>
      </c>
      <c r="J14" s="596"/>
      <c r="K14" s="227"/>
      <c r="V14" s="442">
        <v>0</v>
      </c>
    </row>
    <row r="15" spans="1:22" ht="22.5" hidden="1" customHeight="1">
      <c r="A15" s="442"/>
      <c r="C15" s="463"/>
      <c r="D15" s="458">
        <v>1</v>
      </c>
      <c r="E15" s="614" t="s">
        <v>815</v>
      </c>
      <c r="F15" s="458" t="s">
        <v>816</v>
      </c>
      <c r="G15" s="615"/>
      <c r="H15" s="615"/>
      <c r="I15" s="615"/>
      <c r="J15" s="615"/>
      <c r="K15" s="227" t="s">
        <v>817</v>
      </c>
      <c r="V15" s="442">
        <v>0</v>
      </c>
    </row>
    <row r="16" spans="1:22" ht="22.5" hidden="1" customHeight="1">
      <c r="A16" s="442"/>
      <c r="C16" s="463"/>
      <c r="D16" s="458">
        <v>2</v>
      </c>
      <c r="E16" s="217" t="s">
        <v>818</v>
      </c>
      <c r="F16" s="458" t="s">
        <v>819</v>
      </c>
      <c r="G16" s="615"/>
      <c r="H16" s="615"/>
      <c r="I16" s="615"/>
      <c r="J16" s="615"/>
      <c r="K16" s="227" t="s">
        <v>820</v>
      </c>
      <c r="V16" s="442">
        <v>0</v>
      </c>
    </row>
    <row r="17" spans="1:22" ht="123.75" hidden="1" customHeight="1">
      <c r="A17" s="442"/>
      <c r="C17" s="463"/>
      <c r="D17" s="458">
        <v>3</v>
      </c>
      <c r="E17" s="217" t="s">
        <v>1172</v>
      </c>
      <c r="F17" s="458" t="s">
        <v>314</v>
      </c>
      <c r="G17" s="615"/>
      <c r="H17" s="615"/>
      <c r="I17" s="615"/>
      <c r="J17" s="615"/>
      <c r="K17" s="227" t="s">
        <v>1173</v>
      </c>
      <c r="V17" s="442">
        <v>0</v>
      </c>
    </row>
    <row r="18" spans="1:22" ht="48.2" customHeight="1">
      <c r="A18" s="442"/>
      <c r="C18" s="463"/>
      <c r="D18" s="458">
        <v>3</v>
      </c>
      <c r="E18" s="217" t="s">
        <v>821</v>
      </c>
      <c r="F18" s="458" t="s">
        <v>314</v>
      </c>
      <c r="G18" s="740" t="s">
        <v>314</v>
      </c>
      <c r="H18" s="741" t="s">
        <v>314</v>
      </c>
      <c r="I18" s="458" t="s">
        <v>314</v>
      </c>
      <c r="J18" s="515" t="s">
        <v>314</v>
      </c>
      <c r="K18" s="227" t="s">
        <v>1174</v>
      </c>
      <c r="V18" s="442">
        <v>46</v>
      </c>
    </row>
    <row r="19" spans="1:22" ht="35.65" customHeight="1">
      <c r="A19" s="442"/>
      <c r="C19" s="463"/>
      <c r="D19" s="476" t="s">
        <v>332</v>
      </c>
      <c r="E19" s="496" t="s">
        <v>823</v>
      </c>
      <c r="F19" s="458" t="s">
        <v>824</v>
      </c>
      <c r="G19" s="748"/>
      <c r="H19" s="46"/>
      <c r="I19" s="748"/>
      <c r="J19" s="749"/>
      <c r="K19" s="616"/>
      <c r="V19" s="442">
        <v>34</v>
      </c>
    </row>
    <row r="20" spans="1:22" ht="35.65" customHeight="1">
      <c r="A20" s="442"/>
      <c r="C20" s="463"/>
      <c r="D20" s="1815" t="s">
        <v>340</v>
      </c>
      <c r="E20" s="496" t="s">
        <v>825</v>
      </c>
      <c r="F20" s="458" t="s">
        <v>826</v>
      </c>
      <c r="G20" s="748"/>
      <c r="H20" s="46"/>
      <c r="I20" s="748"/>
      <c r="J20" s="46"/>
      <c r="K20" s="616"/>
      <c r="V20" s="442">
        <v>34</v>
      </c>
    </row>
    <row r="21" spans="1:22" ht="48.2" customHeight="1">
      <c r="A21" s="442"/>
      <c r="C21" s="463"/>
      <c r="D21" s="1815" t="s">
        <v>342</v>
      </c>
      <c r="E21" s="496" t="s">
        <v>827</v>
      </c>
      <c r="F21" s="458" t="s">
        <v>578</v>
      </c>
      <c r="G21" s="617"/>
      <c r="H21" s="46"/>
      <c r="I21" s="617"/>
      <c r="J21" s="46"/>
      <c r="K21" s="616"/>
      <c r="V21" s="442">
        <v>46</v>
      </c>
    </row>
    <row r="22" spans="1:22" ht="67.5" hidden="1" customHeight="1">
      <c r="A22" s="442"/>
      <c r="C22" s="463"/>
      <c r="D22" s="458">
        <v>5</v>
      </c>
      <c r="E22" s="217" t="s">
        <v>1175</v>
      </c>
      <c r="F22" s="458" t="s">
        <v>565</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79</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A0A73-1D75-DEBE-FE0A-90B2572486F5}">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814</v>
      </c>
      <c r="BI1" s="1000"/>
      <c r="BJ1" s="1001" t="s">
        <v>1220</v>
      </c>
      <c r="BK1" s="1000"/>
      <c r="BL1" s="1002" t="s">
        <v>913</v>
      </c>
      <c r="BM1" s="1000"/>
      <c r="BN1" s="1003" t="s">
        <v>1221</v>
      </c>
    </row>
    <row r="2" spans="1:79" ht="11.25" customHeight="1">
      <c r="A2" s="1004" t="s">
        <v>1222</v>
      </c>
      <c r="B2" s="1005">
        <v>2000</v>
      </c>
      <c r="C2" s="1005">
        <v>2022</v>
      </c>
      <c r="D2" s="1005" t="s">
        <v>67</v>
      </c>
      <c r="E2" s="1006" t="s">
        <v>1223</v>
      </c>
      <c r="F2" s="1006" t="s">
        <v>1224</v>
      </c>
      <c r="G2" s="1006" t="s">
        <v>1225</v>
      </c>
      <c r="H2" s="1007" t="s">
        <v>56</v>
      </c>
      <c r="I2" s="1006" t="s">
        <v>107</v>
      </c>
      <c r="J2" s="1006" t="s">
        <v>1226</v>
      </c>
      <c r="K2" s="1008" t="s">
        <v>1227</v>
      </c>
      <c r="L2" s="1009"/>
      <c r="M2" s="1008">
        <v>1</v>
      </c>
      <c r="N2" s="1089" t="s">
        <v>1228</v>
      </c>
      <c r="O2" s="1007" t="s">
        <v>455</v>
      </c>
      <c r="P2" s="1010" t="s">
        <v>1229</v>
      </c>
      <c r="Q2" s="1011" t="s">
        <v>453</v>
      </c>
      <c r="R2" s="82" t="s">
        <v>1230</v>
      </c>
      <c r="S2" s="82" t="s">
        <v>1231</v>
      </c>
      <c r="T2" s="1012" t="s">
        <v>1232</v>
      </c>
      <c r="U2" s="1009" t="s">
        <v>1233</v>
      </c>
      <c r="V2" s="1013">
        <v>1</v>
      </c>
      <c r="W2" s="1014"/>
      <c r="X2" s="1014" t="s">
        <v>1234</v>
      </c>
      <c r="Y2" s="1005" t="s">
        <v>1235</v>
      </c>
      <c r="Z2" s="1015"/>
      <c r="AA2" s="1005" t="s">
        <v>1236</v>
      </c>
      <c r="AB2" s="1016" t="s">
        <v>1236</v>
      </c>
      <c r="AC2" s="1005" t="s">
        <v>1237</v>
      </c>
      <c r="AD2" s="1016" t="s">
        <v>1237</v>
      </c>
      <c r="AF2" s="1007" t="s">
        <v>1233</v>
      </c>
      <c r="AH2" s="1006" t="s">
        <v>1238</v>
      </c>
      <c r="AI2" s="1006" t="s">
        <v>1238</v>
      </c>
      <c r="AK2" s="1006" t="s">
        <v>1239</v>
      </c>
      <c r="AM2" s="1006" t="s">
        <v>1240</v>
      </c>
      <c r="AP2" s="1017" t="s">
        <v>1234</v>
      </c>
      <c r="AQ2" s="1018" t="s">
        <v>1234</v>
      </c>
      <c r="AS2" s="1005" t="s">
        <v>1241</v>
      </c>
      <c r="AU2" s="1047" t="s">
        <v>1242</v>
      </c>
      <c r="AW2" s="1047" t="s">
        <v>1243</v>
      </c>
      <c r="AX2" s="1047" t="s">
        <v>1243</v>
      </c>
      <c r="AZ2" s="1047" t="s">
        <v>54</v>
      </c>
      <c r="BB2" s="1047" t="s">
        <v>1244</v>
      </c>
      <c r="BC2" s="1047" t="s">
        <v>1245</v>
      </c>
      <c r="BE2" s="1047">
        <v>2000</v>
      </c>
      <c r="BF2" s="1047" t="s">
        <v>1246</v>
      </c>
    </row>
    <row r="3" spans="1:79" ht="11.25" customHeight="1">
      <c r="A3" s="1004" t="s">
        <v>1247</v>
      </c>
      <c r="B3" s="1005">
        <v>2001</v>
      </c>
      <c r="C3" s="1005">
        <v>2023</v>
      </c>
      <c r="D3" s="1005" t="s">
        <v>19</v>
      </c>
      <c r="E3" s="1006" t="s">
        <v>1248</v>
      </c>
      <c r="F3" s="1006" t="s">
        <v>1249</v>
      </c>
      <c r="G3" s="1006" t="s">
        <v>1250</v>
      </c>
      <c r="H3" s="1007" t="s">
        <v>1251</v>
      </c>
      <c r="I3" s="1006" t="s">
        <v>108</v>
      </c>
      <c r="J3" s="1006" t="s">
        <v>563</v>
      </c>
      <c r="K3" s="1008" t="s">
        <v>1156</v>
      </c>
      <c r="L3" s="1009">
        <f>IFERROR(MATCH(K3,OFFER_METHOD,0),0)</f>
        <v>1</v>
      </c>
      <c r="M3" s="1008">
        <v>2</v>
      </c>
      <c r="N3" s="1089" t="s">
        <v>1252</v>
      </c>
      <c r="O3" s="1007" t="s">
        <v>1253</v>
      </c>
      <c r="P3" s="1010" t="s">
        <v>37</v>
      </c>
      <c r="Q3" s="1011" t="s">
        <v>1254</v>
      </c>
      <c r="R3" s="82" t="s">
        <v>1255</v>
      </c>
      <c r="S3" s="82" t="s">
        <v>1256</v>
      </c>
      <c r="T3" s="1012" t="s">
        <v>1257</v>
      </c>
      <c r="U3" s="1009" t="s">
        <v>1258</v>
      </c>
      <c r="V3" s="1013">
        <v>2</v>
      </c>
      <c r="W3" s="1014"/>
      <c r="X3" s="1014" t="s">
        <v>1259</v>
      </c>
      <c r="Y3" s="1005" t="s">
        <v>1235</v>
      </c>
      <c r="Z3" s="1015"/>
      <c r="AA3" s="1005" t="s">
        <v>1260</v>
      </c>
      <c r="AB3" s="1016" t="s">
        <v>1260</v>
      </c>
      <c r="AC3" s="1005" t="s">
        <v>1261</v>
      </c>
      <c r="AD3" s="1016" t="s">
        <v>1261</v>
      </c>
      <c r="AF3" s="1007" t="s">
        <v>1258</v>
      </c>
      <c r="AH3" s="1006" t="s">
        <v>1262</v>
      </c>
      <c r="AI3" s="1006" t="s">
        <v>1263</v>
      </c>
      <c r="AK3" s="1006" t="s">
        <v>1264</v>
      </c>
      <c r="AM3" s="1006" t="s">
        <v>1265</v>
      </c>
      <c r="AP3" s="1017" t="s">
        <v>1266</v>
      </c>
      <c r="AQ3" s="1018" t="s">
        <v>1266</v>
      </c>
      <c r="AS3" s="1005" t="s">
        <v>1267</v>
      </c>
      <c r="AU3" s="1047" t="s">
        <v>1268</v>
      </c>
      <c r="AW3" s="1047" t="s">
        <v>1269</v>
      </c>
      <c r="AX3" s="1047" t="s">
        <v>1269</v>
      </c>
      <c r="AZ3" s="1047" t="s">
        <v>1270</v>
      </c>
      <c r="BB3" s="1047" t="s">
        <v>1271</v>
      </c>
      <c r="BC3" s="1047" t="s">
        <v>1245</v>
      </c>
      <c r="BE3" s="1047">
        <v>2001</v>
      </c>
      <c r="BF3" s="1047" t="s">
        <v>1272</v>
      </c>
      <c r="BH3" s="997" t="s">
        <v>1273</v>
      </c>
      <c r="BJ3" s="997" t="s">
        <v>1274</v>
      </c>
      <c r="BL3" s="997" t="s">
        <v>1275</v>
      </c>
      <c r="BN3" s="997" t="s">
        <v>1276</v>
      </c>
      <c r="BR3" s="997" t="s">
        <v>1277</v>
      </c>
      <c r="BS3" s="1355"/>
      <c r="BT3" s="1000"/>
      <c r="BU3" s="997" t="s">
        <v>1278</v>
      </c>
      <c r="BV3" s="1000"/>
      <c r="BW3" s="1617"/>
      <c r="BX3" s="1619" t="s">
        <v>1279</v>
      </c>
      <c r="CA3" s="997" t="s">
        <v>1280</v>
      </c>
    </row>
    <row r="4" spans="1:79" ht="11.25" customHeight="1">
      <c r="A4" s="1004" t="s">
        <v>1281</v>
      </c>
      <c r="B4" s="1005">
        <v>2002</v>
      </c>
      <c r="C4" s="1005">
        <v>2024</v>
      </c>
      <c r="E4" s="1006" t="s">
        <v>1282</v>
      </c>
      <c r="F4" s="1006" t="s">
        <v>1283</v>
      </c>
      <c r="H4" s="1007" t="s">
        <v>1284</v>
      </c>
      <c r="I4" s="1006" t="s">
        <v>87</v>
      </c>
      <c r="J4" s="1006" t="s">
        <v>1285</v>
      </c>
      <c r="K4" s="1008" t="s">
        <v>1286</v>
      </c>
      <c r="L4" s="1009">
        <f>IFERROR(MATCH(K4,OFFER_METHOD,0),0)</f>
        <v>0</v>
      </c>
      <c r="M4" s="1008">
        <v>3</v>
      </c>
      <c r="N4" s="1089" t="s">
        <v>1287</v>
      </c>
      <c r="O4" s="1006" t="s">
        <v>1288</v>
      </c>
      <c r="Q4" s="1011" t="s">
        <v>1289</v>
      </c>
      <c r="R4" s="82" t="s">
        <v>1290</v>
      </c>
      <c r="S4" s="82" t="s">
        <v>1291</v>
      </c>
      <c r="T4" s="1012" t="s">
        <v>1292</v>
      </c>
      <c r="U4" s="1009" t="s">
        <v>1293</v>
      </c>
      <c r="V4" s="1013">
        <v>3</v>
      </c>
      <c r="W4" s="1014"/>
      <c r="X4" s="1014" t="s">
        <v>1294</v>
      </c>
      <c r="Y4" s="1005" t="s">
        <v>1235</v>
      </c>
      <c r="Z4" s="1020"/>
      <c r="AC4" s="1005" t="s">
        <v>1295</v>
      </c>
      <c r="AD4" s="1016" t="s">
        <v>1295</v>
      </c>
      <c r="AF4" s="1007" t="s">
        <v>1293</v>
      </c>
      <c r="AH4" s="1007" t="s">
        <v>1296</v>
      </c>
      <c r="AK4" s="1006" t="s">
        <v>1297</v>
      </c>
      <c r="AM4" s="1006" t="s">
        <v>1298</v>
      </c>
      <c r="AP4" s="1017" t="s">
        <v>1259</v>
      </c>
      <c r="AQ4" s="1018" t="s">
        <v>1259</v>
      </c>
      <c r="AS4" s="1005" t="s">
        <v>1299</v>
      </c>
      <c r="AU4" s="1047" t="s">
        <v>1300</v>
      </c>
      <c r="AW4" s="1047" t="s">
        <v>1301</v>
      </c>
      <c r="AX4" s="1047" t="s">
        <v>1301</v>
      </c>
      <c r="AZ4" s="1047" t="s">
        <v>1302</v>
      </c>
      <c r="BB4" s="1047" t="s">
        <v>1303</v>
      </c>
      <c r="BC4" s="1047" t="s">
        <v>1304</v>
      </c>
      <c r="BE4" s="1047">
        <v>2002</v>
      </c>
      <c r="BF4" s="1047" t="s">
        <v>1305</v>
      </c>
      <c r="BH4" s="998" t="s">
        <v>1306</v>
      </c>
      <c r="BJ4" s="998" t="s">
        <v>1306</v>
      </c>
      <c r="BL4" s="998" t="s">
        <v>1306</v>
      </c>
      <c r="BN4" s="998" t="s">
        <v>1306</v>
      </c>
      <c r="BQ4" s="1359" t="s">
        <v>1307</v>
      </c>
      <c r="BR4" s="1086" t="s">
        <v>1308</v>
      </c>
      <c r="BS4" s="212"/>
      <c r="BT4" s="1359" t="s">
        <v>1309</v>
      </c>
      <c r="BU4" s="1086" t="s">
        <v>1310</v>
      </c>
      <c r="BV4" s="1000"/>
      <c r="BW4" s="1624" t="s">
        <v>1311</v>
      </c>
      <c r="BX4" s="1618" t="s">
        <v>1312</v>
      </c>
      <c r="BZ4" s="1359" t="s">
        <v>1313</v>
      </c>
      <c r="CA4" s="1086" t="s">
        <v>1314</v>
      </c>
    </row>
    <row r="5" spans="1:79" ht="11.25" customHeight="1">
      <c r="A5" s="1004" t="s">
        <v>1315</v>
      </c>
      <c r="B5" s="1005">
        <v>2003</v>
      </c>
      <c r="C5" s="1005">
        <v>2025</v>
      </c>
      <c r="E5" s="1006" t="s">
        <v>1316</v>
      </c>
      <c r="F5" s="1006" t="s">
        <v>1317</v>
      </c>
      <c r="H5" s="1007" t="s">
        <v>1318</v>
      </c>
      <c r="I5" s="1006" t="s">
        <v>88</v>
      </c>
      <c r="K5" s="1008" t="s">
        <v>1319</v>
      </c>
      <c r="L5" s="1009">
        <f>IFERROR(MATCH(K5,OFFER_METHOD,0),0)</f>
        <v>0</v>
      </c>
      <c r="M5" s="1008">
        <v>4</v>
      </c>
      <c r="N5" s="1021" t="s">
        <v>1320</v>
      </c>
      <c r="O5" s="1006" t="s">
        <v>1321</v>
      </c>
      <c r="Q5" s="1011" t="s">
        <v>1322</v>
      </c>
      <c r="R5" s="82" t="s">
        <v>454</v>
      </c>
      <c r="T5" s="1007" t="s">
        <v>1323</v>
      </c>
      <c r="U5" s="1009" t="s">
        <v>1324</v>
      </c>
      <c r="V5" s="1013">
        <v>4</v>
      </c>
      <c r="W5" s="1014"/>
      <c r="X5" s="1014" t="s">
        <v>176</v>
      </c>
      <c r="Y5" s="1005" t="s">
        <v>1325</v>
      </c>
      <c r="Z5" s="1020">
        <v>1</v>
      </c>
      <c r="AF5" s="1007" t="s">
        <v>1326</v>
      </c>
      <c r="AH5" s="1006" t="s">
        <v>1327</v>
      </c>
      <c r="AK5" s="1006" t="s">
        <v>1328</v>
      </c>
      <c r="AM5" s="1006" t="s">
        <v>1329</v>
      </c>
      <c r="AP5" s="1017" t="s">
        <v>176</v>
      </c>
      <c r="AQ5" s="1018" t="s">
        <v>176</v>
      </c>
      <c r="AU5" s="1047" t="s">
        <v>1330</v>
      </c>
      <c r="AW5" s="1047" t="s">
        <v>1331</v>
      </c>
      <c r="AX5" s="1047" t="s">
        <v>1331</v>
      </c>
      <c r="AZ5" s="1047" t="s">
        <v>1332</v>
      </c>
      <c r="BB5" s="1047" t="s">
        <v>1333</v>
      </c>
      <c r="BC5" s="1047" t="s">
        <v>1334</v>
      </c>
      <c r="BE5" s="1047">
        <v>2003</v>
      </c>
      <c r="BF5" s="1047" t="s">
        <v>1335</v>
      </c>
      <c r="BH5" s="998" t="s">
        <v>1336</v>
      </c>
      <c r="BJ5" s="998" t="s">
        <v>1336</v>
      </c>
      <c r="BL5" s="998" t="s">
        <v>1336</v>
      </c>
      <c r="BN5" s="998" t="s">
        <v>1337</v>
      </c>
      <c r="BQ5" s="1208">
        <v>4213775</v>
      </c>
      <c r="BR5" s="998" t="s">
        <v>1234</v>
      </c>
      <c r="BS5" s="1356"/>
      <c r="BT5" s="1208">
        <v>64236871</v>
      </c>
      <c r="BU5" s="998" t="s">
        <v>237</v>
      </c>
      <c r="BV5" s="1000"/>
      <c r="BW5" s="1622">
        <v>4213767</v>
      </c>
      <c r="BX5" s="1620" t="s">
        <v>1338</v>
      </c>
      <c r="BZ5" s="1208">
        <v>64237509</v>
      </c>
      <c r="CA5" s="1222" t="s">
        <v>1339</v>
      </c>
    </row>
    <row r="6" spans="1:79" ht="11.25" customHeight="1">
      <c r="A6" s="1004" t="s">
        <v>1340</v>
      </c>
      <c r="B6" s="1005">
        <v>2004</v>
      </c>
      <c r="C6" s="1005">
        <v>2026</v>
      </c>
      <c r="E6" s="1006" t="s">
        <v>1341</v>
      </c>
      <c r="F6" s="1022"/>
      <c r="H6" s="1007" t="s">
        <v>1342</v>
      </c>
      <c r="I6" s="1006" t="s">
        <v>109</v>
      </c>
      <c r="J6" s="997" t="s">
        <v>1343</v>
      </c>
      <c r="L6" s="1009">
        <f>SUM(kind_of_control_method_filter)</f>
        <v>1</v>
      </c>
      <c r="N6" s="1021" t="s">
        <v>1344</v>
      </c>
      <c r="O6" s="1006" t="s">
        <v>1345</v>
      </c>
      <c r="R6" s="82" t="s">
        <v>453</v>
      </c>
      <c r="T6" s="1007" t="s">
        <v>1346</v>
      </c>
      <c r="U6" s="1009" t="s">
        <v>1326</v>
      </c>
      <c r="V6" s="1013">
        <v>5</v>
      </c>
      <c r="W6" s="1014"/>
      <c r="X6" s="1005" t="s">
        <v>182</v>
      </c>
      <c r="Y6" s="1005" t="s">
        <v>1347</v>
      </c>
      <c r="Z6" s="1020"/>
      <c r="AA6" s="1023"/>
      <c r="AH6" s="1006" t="s">
        <v>1348</v>
      </c>
      <c r="AK6" s="1006" t="s">
        <v>1349</v>
      </c>
      <c r="AM6" s="1006" t="s">
        <v>1350</v>
      </c>
      <c r="AP6" s="1017" t="s">
        <v>182</v>
      </c>
      <c r="AQ6" s="1018" t="s">
        <v>182</v>
      </c>
      <c r="AU6" s="1047" t="s">
        <v>1351</v>
      </c>
      <c r="AW6" s="1047" t="s">
        <v>1352</v>
      </c>
      <c r="AX6" s="1047" t="s">
        <v>1352</v>
      </c>
      <c r="BB6" s="1047" t="s">
        <v>1353</v>
      </c>
      <c r="BC6" s="1047" t="s">
        <v>1334</v>
      </c>
      <c r="BE6" s="1047">
        <v>2004</v>
      </c>
      <c r="BF6" s="1047" t="s">
        <v>1354</v>
      </c>
      <c r="BH6" s="998" t="s">
        <v>1355</v>
      </c>
      <c r="BJ6" s="998" t="s">
        <v>1356</v>
      </c>
      <c r="BL6" s="998" t="s">
        <v>1356</v>
      </c>
      <c r="BN6" s="998" t="s">
        <v>1357</v>
      </c>
      <c r="BQ6" s="1208">
        <v>4213784</v>
      </c>
      <c r="BR6" s="1222" t="s">
        <v>1266</v>
      </c>
      <c r="BS6" s="1357"/>
      <c r="BT6" s="1208">
        <v>64236872</v>
      </c>
      <c r="BU6" s="998" t="s">
        <v>242</v>
      </c>
      <c r="BV6" s="1000"/>
      <c r="BW6" s="1622">
        <v>4213768</v>
      </c>
      <c r="BX6" s="1620" t="s">
        <v>262</v>
      </c>
      <c r="BZ6" s="1208">
        <v>64237510</v>
      </c>
      <c r="CA6" s="998" t="s">
        <v>1358</v>
      </c>
    </row>
    <row r="7" spans="1:79" ht="11.25" customHeight="1">
      <c r="A7" s="1004" t="s">
        <v>1359</v>
      </c>
      <c r="B7" s="1005">
        <v>2005</v>
      </c>
      <c r="E7" s="1006" t="s">
        <v>1360</v>
      </c>
      <c r="F7" s="1022"/>
      <c r="H7" s="1007" t="s">
        <v>1361</v>
      </c>
      <c r="I7" s="1006" t="s">
        <v>89</v>
      </c>
      <c r="J7" s="1006" t="s">
        <v>1362</v>
      </c>
      <c r="N7" s="1025" t="s">
        <v>1363</v>
      </c>
      <c r="O7" s="1006" t="s">
        <v>1364</v>
      </c>
      <c r="U7" s="1009" t="s">
        <v>19</v>
      </c>
      <c r="V7" s="307" t="s">
        <v>89</v>
      </c>
      <c r="W7" s="1014"/>
      <c r="X7" s="1005" t="s">
        <v>188</v>
      </c>
      <c r="Y7" s="1005" t="s">
        <v>1325</v>
      </c>
      <c r="Z7" s="1020"/>
      <c r="AA7" s="1023"/>
      <c r="AH7" s="1006" t="s">
        <v>1365</v>
      </c>
      <c r="AK7" s="1006" t="s">
        <v>1366</v>
      </c>
      <c r="AM7" s="1006" t="s">
        <v>1367</v>
      </c>
      <c r="AP7" s="1017" t="s">
        <v>188</v>
      </c>
      <c r="AQ7" s="1018" t="s">
        <v>188</v>
      </c>
      <c r="AU7" s="1047" t="s">
        <v>1368</v>
      </c>
      <c r="AW7" s="1047" t="s">
        <v>1369</v>
      </c>
      <c r="AX7" s="1047" t="s">
        <v>1369</v>
      </c>
      <c r="AZ7" s="997" t="s">
        <v>1370</v>
      </c>
      <c r="BB7" s="1047" t="s">
        <v>1371</v>
      </c>
      <c r="BC7" s="1047" t="s">
        <v>1334</v>
      </c>
      <c r="BE7" s="1047">
        <v>2005</v>
      </c>
      <c r="BF7" s="1047" t="s">
        <v>1372</v>
      </c>
      <c r="BH7" s="998" t="s">
        <v>1373</v>
      </c>
      <c r="BJ7" s="998" t="s">
        <v>1355</v>
      </c>
      <c r="BL7" s="998" t="s">
        <v>1355</v>
      </c>
      <c r="BN7" s="998" t="s">
        <v>1374</v>
      </c>
      <c r="BQ7" s="1208">
        <v>4213781</v>
      </c>
      <c r="BR7" s="998" t="s">
        <v>1259</v>
      </c>
      <c r="BS7" s="1356"/>
      <c r="BT7" s="1208">
        <v>64236873</v>
      </c>
      <c r="BU7" s="998" t="s">
        <v>247</v>
      </c>
      <c r="BV7" s="1000"/>
      <c r="BW7" s="1622">
        <v>4213769</v>
      </c>
      <c r="BX7" s="1620" t="s">
        <v>1375</v>
      </c>
      <c r="BZ7" s="1208">
        <v>64237511</v>
      </c>
      <c r="CA7" s="998" t="s">
        <v>277</v>
      </c>
    </row>
    <row r="8" spans="1:79" ht="11.25" customHeight="1">
      <c r="A8" s="1004" t="s">
        <v>1376</v>
      </c>
      <c r="B8" s="1005">
        <v>2006</v>
      </c>
      <c r="E8" s="1006" t="s">
        <v>1377</v>
      </c>
      <c r="F8" s="1022"/>
      <c r="H8" s="1007" t="s">
        <v>1378</v>
      </c>
      <c r="I8" s="1006" t="s">
        <v>90</v>
      </c>
      <c r="J8" s="1006" t="s">
        <v>1379</v>
      </c>
      <c r="N8" s="1090" t="s">
        <v>1380</v>
      </c>
      <c r="O8" s="1006" t="s">
        <v>1381</v>
      </c>
      <c r="V8" s="307" t="s">
        <v>90</v>
      </c>
      <c r="W8" s="1014"/>
      <c r="X8" s="1005" t="s">
        <v>194</v>
      </c>
      <c r="Y8" s="1005" t="s">
        <v>1325</v>
      </c>
      <c r="Z8" s="1020"/>
      <c r="AA8" s="1023"/>
      <c r="AK8" s="1006" t="s">
        <v>1382</v>
      </c>
      <c r="AP8" s="1017" t="s">
        <v>194</v>
      </c>
      <c r="AQ8" s="1018" t="s">
        <v>194</v>
      </c>
      <c r="AU8" s="1047" t="s">
        <v>1383</v>
      </c>
      <c r="AW8" s="1047" t="s">
        <v>1384</v>
      </c>
      <c r="AX8" s="1047" t="s">
        <v>1384</v>
      </c>
      <c r="AZ8" s="1047" t="s">
        <v>1385</v>
      </c>
      <c r="BB8" s="1047" t="s">
        <v>1386</v>
      </c>
      <c r="BC8" s="1047" t="s">
        <v>1334</v>
      </c>
      <c r="BE8" s="1047">
        <v>2006</v>
      </c>
      <c r="BF8" s="1047" t="s">
        <v>1387</v>
      </c>
      <c r="BH8" s="998" t="s">
        <v>1388</v>
      </c>
      <c r="BJ8" s="998" t="s">
        <v>1389</v>
      </c>
      <c r="BL8" s="998" t="s">
        <v>1389</v>
      </c>
      <c r="BN8" s="998" t="s">
        <v>1390</v>
      </c>
      <c r="BQ8" s="1208">
        <v>4213776</v>
      </c>
      <c r="BR8" s="998" t="s">
        <v>176</v>
      </c>
      <c r="BS8" s="1356"/>
      <c r="BT8" s="1208">
        <v>64236874</v>
      </c>
      <c r="BU8" s="1222" t="s">
        <v>1391</v>
      </c>
      <c r="BV8" s="1000"/>
      <c r="BW8" s="1622">
        <v>4213770</v>
      </c>
      <c r="BX8" s="1623" t="s">
        <v>1392</v>
      </c>
      <c r="BZ8" s="1208">
        <v>64237512</v>
      </c>
      <c r="CA8" s="998" t="s">
        <v>272</v>
      </c>
    </row>
    <row r="9" spans="1:79" ht="11.25" customHeight="1">
      <c r="A9" s="1004" t="s">
        <v>1393</v>
      </c>
      <c r="B9" s="1005">
        <v>2007</v>
      </c>
      <c r="E9" s="1006" t="s">
        <v>1394</v>
      </c>
      <c r="F9" s="1022"/>
      <c r="G9" s="997" t="s">
        <v>1395</v>
      </c>
      <c r="H9" s="997" t="s">
        <v>1396</v>
      </c>
      <c r="I9" s="1006" t="s">
        <v>110</v>
      </c>
      <c r="O9" s="1006" t="s">
        <v>1397</v>
      </c>
      <c r="V9" s="307" t="s">
        <v>110</v>
      </c>
      <c r="W9" s="1014"/>
      <c r="X9" s="1005" t="s">
        <v>200</v>
      </c>
      <c r="Y9" s="1005" t="s">
        <v>1235</v>
      </c>
      <c r="Z9" s="1020">
        <v>1</v>
      </c>
      <c r="AA9" s="1023"/>
      <c r="AK9" s="1006" t="s">
        <v>1398</v>
      </c>
      <c r="AP9" s="1017" t="s">
        <v>1399</v>
      </c>
      <c r="AQ9" s="1018" t="s">
        <v>1399</v>
      </c>
      <c r="AW9" s="1047" t="s">
        <v>1400</v>
      </c>
      <c r="AX9" s="1047" t="s">
        <v>1400</v>
      </c>
      <c r="AZ9" s="1047" t="s">
        <v>1401</v>
      </c>
      <c r="BB9" s="1047" t="s">
        <v>1402</v>
      </c>
      <c r="BC9" s="1047" t="s">
        <v>1334</v>
      </c>
      <c r="BE9" s="1047">
        <v>2007</v>
      </c>
      <c r="BF9" s="1047" t="s">
        <v>1403</v>
      </c>
      <c r="BH9" s="998" t="s">
        <v>1404</v>
      </c>
      <c r="BJ9" s="998" t="s">
        <v>1405</v>
      </c>
      <c r="BL9" s="998" t="s">
        <v>1405</v>
      </c>
      <c r="BN9" s="998" t="s">
        <v>1406</v>
      </c>
      <c r="BQ9" s="1208">
        <v>4213777</v>
      </c>
      <c r="BR9" s="998" t="s">
        <v>182</v>
      </c>
      <c r="BS9" s="1356"/>
      <c r="BT9" s="1208">
        <v>64236875</v>
      </c>
      <c r="BU9" s="998" t="s">
        <v>252</v>
      </c>
      <c r="BV9" s="1000"/>
      <c r="BW9" s="1617"/>
      <c r="BX9" s="1617"/>
    </row>
    <row r="10" spans="1:79" ht="11.25" customHeight="1">
      <c r="A10" s="1004" t="s">
        <v>1407</v>
      </c>
      <c r="B10" s="1005">
        <v>2008</v>
      </c>
      <c r="E10" s="1006" t="s">
        <v>1408</v>
      </c>
      <c r="F10" s="1022"/>
      <c r="G10" s="1006" t="s">
        <v>1409</v>
      </c>
      <c r="H10" s="1006" t="s">
        <v>1410</v>
      </c>
      <c r="I10" s="1006" t="s">
        <v>146</v>
      </c>
      <c r="J10" s="997" t="s">
        <v>1411</v>
      </c>
      <c r="K10" s="997" t="s">
        <v>1412</v>
      </c>
      <c r="O10" s="1006" t="s">
        <v>1413</v>
      </c>
      <c r="V10" s="308" t="s">
        <v>146</v>
      </c>
      <c r="W10" s="1026"/>
      <c r="X10" s="1026" t="s">
        <v>1414</v>
      </c>
      <c r="Y10" s="1027" t="s">
        <v>1415</v>
      </c>
      <c r="Z10" s="1020"/>
      <c r="AP10" s="1017" t="s">
        <v>1414</v>
      </c>
      <c r="AQ10" s="1018" t="s">
        <v>1414</v>
      </c>
      <c r="AW10" s="1047" t="s">
        <v>1416</v>
      </c>
      <c r="AX10" s="1047" t="s">
        <v>1416</v>
      </c>
      <c r="AZ10" s="1047" t="s">
        <v>1417</v>
      </c>
      <c r="BB10" s="1047" t="s">
        <v>1418</v>
      </c>
      <c r="BC10" s="1047" t="s">
        <v>1334</v>
      </c>
      <c r="BE10" s="1047">
        <v>2008</v>
      </c>
      <c r="BF10" s="1047" t="s">
        <v>1419</v>
      </c>
      <c r="BH10" s="998" t="s">
        <v>1420</v>
      </c>
      <c r="BJ10" s="998" t="s">
        <v>1421</v>
      </c>
      <c r="BL10" s="998" t="s">
        <v>1421</v>
      </c>
      <c r="BN10" s="998" t="s">
        <v>1422</v>
      </c>
      <c r="BQ10" s="1208">
        <v>4213778</v>
      </c>
      <c r="BR10" s="998" t="s">
        <v>188</v>
      </c>
      <c r="BS10" s="1356"/>
      <c r="BT10" s="1208">
        <v>64236876</v>
      </c>
      <c r="BU10" s="998" t="s">
        <v>232</v>
      </c>
      <c r="BV10" s="1000"/>
      <c r="BW10" s="1617"/>
      <c r="BX10" s="1617"/>
    </row>
    <row r="11" spans="1:79" ht="11.25" customHeight="1">
      <c r="A11" s="1004" t="s">
        <v>1423</v>
      </c>
      <c r="B11" s="1005">
        <v>2009</v>
      </c>
      <c r="E11" s="1006" t="s">
        <v>1424</v>
      </c>
      <c r="F11" s="1022"/>
      <c r="G11" s="1006" t="s">
        <v>1425</v>
      </c>
      <c r="H11" s="1006" t="s">
        <v>1426</v>
      </c>
      <c r="I11" s="1006" t="s">
        <v>147</v>
      </c>
      <c r="J11" s="1007" t="s">
        <v>1427</v>
      </c>
      <c r="K11" s="1028" t="s">
        <v>1428</v>
      </c>
      <c r="O11" s="1007" t="s">
        <v>1429</v>
      </c>
      <c r="V11" s="307" t="s">
        <v>147</v>
      </c>
      <c r="W11" s="213"/>
      <c r="X11" s="1014" t="s">
        <v>1399</v>
      </c>
      <c r="Y11" s="1005" t="s">
        <v>1430</v>
      </c>
      <c r="Z11" s="1020"/>
      <c r="AP11" s="1017" t="s">
        <v>200</v>
      </c>
      <c r="AQ11" s="1019" t="s">
        <v>200</v>
      </c>
      <c r="AW11" s="1047" t="s">
        <v>1431</v>
      </c>
      <c r="AX11" s="1047" t="s">
        <v>1431</v>
      </c>
      <c r="AZ11" s="1047" t="s">
        <v>1432</v>
      </c>
      <c r="BB11" s="1047" t="s">
        <v>1433</v>
      </c>
      <c r="BC11" s="1047" t="s">
        <v>1334</v>
      </c>
      <c r="BE11" s="1047">
        <v>2009</v>
      </c>
      <c r="BF11" s="1047" t="s">
        <v>1434</v>
      </c>
      <c r="BH11" s="998" t="s">
        <v>1435</v>
      </c>
      <c r="BJ11" s="998" t="s">
        <v>1404</v>
      </c>
      <c r="BL11" s="998" t="s">
        <v>1404</v>
      </c>
      <c r="BN11" s="998" t="s">
        <v>1436</v>
      </c>
      <c r="BQ11" s="1208">
        <v>4213780</v>
      </c>
      <c r="BR11" s="998" t="s">
        <v>194</v>
      </c>
      <c r="BS11" s="1356"/>
      <c r="BW11" s="1617"/>
      <c r="BX11" s="1617"/>
    </row>
    <row r="12" spans="1:79" ht="11.25" customHeight="1">
      <c r="A12" s="1004" t="s">
        <v>1437</v>
      </c>
      <c r="B12" s="1005">
        <v>2010</v>
      </c>
      <c r="E12" s="1006" t="s">
        <v>1438</v>
      </c>
      <c r="F12" s="1022"/>
      <c r="G12" s="1006" t="s">
        <v>1426</v>
      </c>
      <c r="I12" s="1006" t="s">
        <v>148</v>
      </c>
      <c r="J12" s="1007" t="s">
        <v>1439</v>
      </c>
      <c r="K12" s="1028" t="s">
        <v>1440</v>
      </c>
      <c r="O12" s="1007" t="s">
        <v>453</v>
      </c>
      <c r="V12" s="307" t="s">
        <v>148</v>
      </c>
      <c r="W12" s="1019"/>
      <c r="X12" s="1014" t="s">
        <v>1441</v>
      </c>
      <c r="Y12" s="1005" t="s">
        <v>1235</v>
      </c>
      <c r="AP12" s="1017"/>
      <c r="AW12" s="1047" t="s">
        <v>147</v>
      </c>
      <c r="AX12" s="1047" t="s">
        <v>147</v>
      </c>
      <c r="AZ12" s="1047" t="s">
        <v>1442</v>
      </c>
      <c r="BB12" s="1047" t="s">
        <v>1443</v>
      </c>
      <c r="BC12" s="1047" t="s">
        <v>1334</v>
      </c>
      <c r="BE12" s="1047">
        <v>2010</v>
      </c>
      <c r="BF12" s="1047" t="s">
        <v>1444</v>
      </c>
      <c r="BH12" s="998" t="s">
        <v>1445</v>
      </c>
      <c r="BJ12" s="998" t="s">
        <v>1446</v>
      </c>
      <c r="BL12" s="998" t="s">
        <v>1446</v>
      </c>
      <c r="BN12" s="998" t="s">
        <v>1447</v>
      </c>
      <c r="BQ12" s="1208">
        <v>4213779</v>
      </c>
      <c r="BR12" s="998" t="s">
        <v>1399</v>
      </c>
      <c r="BS12" s="1356"/>
      <c r="BT12" s="1000"/>
      <c r="BU12" s="1000"/>
      <c r="BV12" s="1000"/>
      <c r="BW12" s="1617"/>
      <c r="BX12" s="1617"/>
    </row>
    <row r="13" spans="1:79" ht="11.25" customHeight="1">
      <c r="A13" s="1004" t="s">
        <v>1448</v>
      </c>
      <c r="B13" s="1005">
        <v>2011</v>
      </c>
      <c r="E13" s="1006" t="s">
        <v>1449</v>
      </c>
      <c r="F13" s="1022"/>
      <c r="I13" s="1006" t="s">
        <v>149</v>
      </c>
      <c r="K13" s="1028" t="s">
        <v>1398</v>
      </c>
      <c r="V13" s="307" t="s">
        <v>149</v>
      </c>
      <c r="W13" s="1019"/>
      <c r="X13" s="1019"/>
      <c r="Y13" s="1019"/>
      <c r="AW13" s="1047" t="s">
        <v>148</v>
      </c>
      <c r="AX13" s="1047" t="s">
        <v>148</v>
      </c>
      <c r="BB13" s="1047" t="s">
        <v>1450</v>
      </c>
      <c r="BC13" s="1047" t="s">
        <v>1451</v>
      </c>
      <c r="BE13" s="1047">
        <v>2011</v>
      </c>
      <c r="BF13" s="1047" t="s">
        <v>1452</v>
      </c>
      <c r="BH13" s="998" t="s">
        <v>1453</v>
      </c>
      <c r="BJ13" s="998" t="s">
        <v>1435</v>
      </c>
      <c r="BL13" s="998" t="s">
        <v>1435</v>
      </c>
      <c r="BN13" s="998" t="s">
        <v>1454</v>
      </c>
      <c r="BQ13" s="1208">
        <v>4213783</v>
      </c>
      <c r="BR13" s="998" t="s">
        <v>1414</v>
      </c>
      <c r="BS13" s="1356"/>
      <c r="BT13" s="1000"/>
      <c r="BU13" s="1000"/>
      <c r="BV13" s="1000"/>
      <c r="BW13" s="1621"/>
      <c r="BX13" s="1617"/>
    </row>
    <row r="14" spans="1:79" ht="11.25" customHeight="1">
      <c r="A14" s="1004" t="s">
        <v>1455</v>
      </c>
      <c r="B14" s="1005">
        <v>2012</v>
      </c>
      <c r="I14" s="1006" t="s">
        <v>150</v>
      </c>
      <c r="J14" s="997" t="s">
        <v>1456</v>
      </c>
      <c r="N14" s="997" t="s">
        <v>1457</v>
      </c>
      <c r="V14" s="1013">
        <v>13</v>
      </c>
      <c r="W14" s="1014"/>
      <c r="X14" s="1014" t="s">
        <v>1266</v>
      </c>
      <c r="Y14" s="1005" t="s">
        <v>1235</v>
      </c>
      <c r="AW14" s="1047" t="s">
        <v>149</v>
      </c>
      <c r="AX14" s="1047" t="s">
        <v>149</v>
      </c>
      <c r="AZ14" s="997" t="s">
        <v>1458</v>
      </c>
      <c r="BB14" s="1047" t="s">
        <v>1459</v>
      </c>
      <c r="BC14" s="1047" t="s">
        <v>1451</v>
      </c>
      <c r="BE14" s="1047">
        <v>2012</v>
      </c>
      <c r="BH14" s="998" t="s">
        <v>1374</v>
      </c>
      <c r="BJ14" s="1144" t="s">
        <v>1460</v>
      </c>
      <c r="BL14" s="1144" t="s">
        <v>1460</v>
      </c>
      <c r="BN14" s="998" t="s">
        <v>1461</v>
      </c>
      <c r="BQ14" s="1208">
        <v>4213782</v>
      </c>
      <c r="BR14" s="998" t="s">
        <v>200</v>
      </c>
      <c r="BS14" s="1356"/>
      <c r="BT14" s="1000"/>
      <c r="BU14" s="1000"/>
      <c r="BV14" s="1000"/>
      <c r="BW14" s="1621"/>
      <c r="BX14" s="1617"/>
    </row>
    <row r="15" spans="1:79" ht="19.5" customHeight="1">
      <c r="A15" s="1004" t="s">
        <v>1462</v>
      </c>
      <c r="B15" s="1005">
        <v>2013</v>
      </c>
      <c r="E15" s="1625" t="s">
        <v>1463</v>
      </c>
      <c r="G15" s="997" t="s">
        <v>1464</v>
      </c>
      <c r="H15" s="997" t="s">
        <v>1465</v>
      </c>
      <c r="I15" s="1008" t="s">
        <v>151</v>
      </c>
      <c r="J15" s="1019" t="s">
        <v>590</v>
      </c>
      <c r="N15" s="1085" t="s">
        <v>1466</v>
      </c>
      <c r="X15" s="1017"/>
      <c r="AW15" s="1047" t="s">
        <v>150</v>
      </c>
      <c r="AX15" s="1047" t="s">
        <v>150</v>
      </c>
      <c r="AZ15" s="1047" t="s">
        <v>1385</v>
      </c>
      <c r="BB15" s="1047" t="s">
        <v>1467</v>
      </c>
      <c r="BC15" s="1047" t="s">
        <v>1451</v>
      </c>
      <c r="BE15" s="1047">
        <v>2013</v>
      </c>
      <c r="BH15" s="998" t="s">
        <v>1390</v>
      </c>
      <c r="BJ15" s="1144" t="s">
        <v>1468</v>
      </c>
      <c r="BL15" s="1144" t="s">
        <v>1468</v>
      </c>
      <c r="BN15" s="998" t="s">
        <v>1469</v>
      </c>
      <c r="BR15" s="1000"/>
      <c r="BS15" s="1358"/>
      <c r="BT15" s="1000"/>
      <c r="BU15" s="1000"/>
      <c r="BV15" s="1000"/>
      <c r="BW15" s="1621"/>
      <c r="BX15" s="1617"/>
    </row>
    <row r="16" spans="1:79" ht="21" customHeight="1">
      <c r="A16" s="1795" t="s">
        <v>1470</v>
      </c>
      <c r="B16" s="1005">
        <v>2014</v>
      </c>
      <c r="E16" s="1626" t="s">
        <v>1471</v>
      </c>
      <c r="G16" s="1006" t="s">
        <v>1472</v>
      </c>
      <c r="H16" s="1006" t="s">
        <v>1473</v>
      </c>
      <c r="I16" s="1008" t="s">
        <v>1474</v>
      </c>
      <c r="J16" s="1019" t="s">
        <v>563</v>
      </c>
      <c r="N16" s="1085" t="s">
        <v>1475</v>
      </c>
      <c r="AW16" s="1047" t="s">
        <v>151</v>
      </c>
      <c r="AX16" s="1047" t="s">
        <v>151</v>
      </c>
      <c r="AZ16" s="1047" t="s">
        <v>1401</v>
      </c>
      <c r="BB16" s="1047" t="s">
        <v>1476</v>
      </c>
      <c r="BC16" s="1047" t="s">
        <v>1451</v>
      </c>
      <c r="BE16" s="1047">
        <v>2014</v>
      </c>
      <c r="BH16" s="998" t="s">
        <v>1406</v>
      </c>
      <c r="BJ16" s="1144" t="s">
        <v>1477</v>
      </c>
      <c r="BL16" s="1144" t="s">
        <v>1477</v>
      </c>
      <c r="BN16" s="998" t="s">
        <v>1478</v>
      </c>
      <c r="BR16" s="1000"/>
      <c r="BS16" s="1358"/>
      <c r="BT16" s="1000"/>
      <c r="BU16" s="1000"/>
      <c r="BV16" s="1000"/>
      <c r="BW16" s="1621"/>
      <c r="BX16" s="1617"/>
    </row>
    <row r="17" spans="1:82" ht="21" customHeight="1">
      <c r="A17" s="1004" t="s">
        <v>1479</v>
      </c>
      <c r="B17" s="1005">
        <v>2015</v>
      </c>
      <c r="G17" s="1006" t="s">
        <v>1426</v>
      </c>
      <c r="H17" s="1006" t="s">
        <v>1426</v>
      </c>
      <c r="I17" s="1006" t="s">
        <v>1480</v>
      </c>
      <c r="N17" s="1085" t="s">
        <v>1481</v>
      </c>
      <c r="X17" s="1017"/>
      <c r="AW17" s="1047" t="s">
        <v>1474</v>
      </c>
      <c r="AX17" s="1047" t="s">
        <v>1474</v>
      </c>
      <c r="AZ17" s="1047" t="s">
        <v>1482</v>
      </c>
      <c r="BB17" s="1047" t="s">
        <v>1483</v>
      </c>
      <c r="BC17" s="1047" t="s">
        <v>1334</v>
      </c>
      <c r="BE17" s="1047">
        <v>2015</v>
      </c>
      <c r="BH17" s="998" t="s">
        <v>1422</v>
      </c>
      <c r="BJ17" s="1144" t="s">
        <v>1484</v>
      </c>
      <c r="BL17" s="1144" t="s">
        <v>1484</v>
      </c>
      <c r="BN17" s="998" t="s">
        <v>1485</v>
      </c>
      <c r="BR17" s="997" t="s">
        <v>1277</v>
      </c>
      <c r="BS17" s="1355"/>
      <c r="BU17" s="997" t="s">
        <v>1486</v>
      </c>
      <c r="BV17" s="1000"/>
      <c r="BW17" s="1617"/>
      <c r="BX17" s="1619" t="s">
        <v>1487</v>
      </c>
      <c r="CA17" s="997" t="s">
        <v>1488</v>
      </c>
      <c r="CD17" s="997" t="s">
        <v>1489</v>
      </c>
    </row>
    <row r="18" spans="1:82" ht="21" customHeight="1">
      <c r="A18" s="1004" t="s">
        <v>1490</v>
      </c>
      <c r="B18" s="1005">
        <v>2016</v>
      </c>
      <c r="E18" s="1927" t="s">
        <v>1491</v>
      </c>
      <c r="I18" s="1006" t="s">
        <v>1492</v>
      </c>
      <c r="N18" s="1085" t="s">
        <v>1493</v>
      </c>
      <c r="X18" s="1017"/>
      <c r="AW18" s="1047" t="s">
        <v>1480</v>
      </c>
      <c r="AX18" s="1047" t="s">
        <v>1480</v>
      </c>
      <c r="BB18" s="1047" t="s">
        <v>1494</v>
      </c>
      <c r="BC18" s="1047" t="s">
        <v>1334</v>
      </c>
      <c r="BE18" s="1047">
        <v>2016</v>
      </c>
      <c r="BH18" s="998" t="s">
        <v>1436</v>
      </c>
      <c r="BJ18" s="1144" t="s">
        <v>1495</v>
      </c>
      <c r="BL18" s="1144" t="s">
        <v>1495</v>
      </c>
      <c r="BN18" s="998" t="s">
        <v>1496</v>
      </c>
      <c r="BQ18" s="1359" t="s">
        <v>1307</v>
      </c>
      <c r="BR18" s="1086" t="s">
        <v>1308</v>
      </c>
      <c r="BS18" s="212"/>
      <c r="BT18" s="1359" t="s">
        <v>1497</v>
      </c>
      <c r="BU18" s="1086" t="s">
        <v>1498</v>
      </c>
      <c r="BV18" s="1000"/>
      <c r="BW18" s="1624" t="s">
        <v>1499</v>
      </c>
      <c r="BX18" s="1618" t="s">
        <v>1500</v>
      </c>
      <c r="BZ18" s="1359" t="s">
        <v>1501</v>
      </c>
      <c r="CA18" s="1086" t="s">
        <v>1502</v>
      </c>
      <c r="CC18" s="1359" t="s">
        <v>1503</v>
      </c>
      <c r="CD18" s="1086" t="s">
        <v>1504</v>
      </c>
    </row>
    <row r="19" spans="1:82" ht="21" customHeight="1">
      <c r="A19" s="1795" t="s">
        <v>1505</v>
      </c>
      <c r="B19" s="1005">
        <v>2017</v>
      </c>
      <c r="E19" s="1004" t="s">
        <v>158</v>
      </c>
      <c r="I19" s="1006" t="s">
        <v>1506</v>
      </c>
      <c r="N19" s="1085" t="s">
        <v>1507</v>
      </c>
      <c r="X19" s="1017"/>
      <c r="AW19" s="1047" t="s">
        <v>1492</v>
      </c>
      <c r="AX19" s="1047" t="s">
        <v>1492</v>
      </c>
      <c r="AZ19" s="997" t="s">
        <v>1508</v>
      </c>
      <c r="BB19" s="1047" t="s">
        <v>1509</v>
      </c>
      <c r="BC19" s="1047" t="s">
        <v>1334</v>
      </c>
      <c r="BE19" s="1047">
        <v>2017</v>
      </c>
      <c r="BH19" s="998" t="s">
        <v>1510</v>
      </c>
      <c r="BJ19" s="1144" t="s">
        <v>1511</v>
      </c>
      <c r="BL19" s="1144" t="s">
        <v>1511</v>
      </c>
      <c r="BQ19" s="1208">
        <v>4190064</v>
      </c>
      <c r="BR19" s="998" t="s">
        <v>1512</v>
      </c>
      <c r="BS19" s="1356"/>
      <c r="BT19" s="1208">
        <v>4189671</v>
      </c>
      <c r="BU19" s="998" t="s">
        <v>1513</v>
      </c>
      <c r="BV19" s="1000"/>
      <c r="BW19" s="1622">
        <v>4189706</v>
      </c>
      <c r="BX19" s="1620" t="s">
        <v>1514</v>
      </c>
      <c r="BZ19" s="1208">
        <v>4189714</v>
      </c>
      <c r="CA19" s="998" t="s">
        <v>1515</v>
      </c>
      <c r="CC19" s="1208">
        <v>4189708</v>
      </c>
      <c r="CD19" s="998" t="s">
        <v>1516</v>
      </c>
    </row>
    <row r="20" spans="1:82" ht="21" customHeight="1">
      <c r="A20" s="1004" t="s">
        <v>1517</v>
      </c>
      <c r="B20" s="1005">
        <v>2018</v>
      </c>
      <c r="E20" s="1004" t="s">
        <v>1266</v>
      </c>
      <c r="I20" s="1006" t="s">
        <v>1518</v>
      </c>
      <c r="N20" s="1085" t="s">
        <v>1519</v>
      </c>
      <c r="AW20" s="1047" t="s">
        <v>1506</v>
      </c>
      <c r="AX20" s="1047" t="s">
        <v>1506</v>
      </c>
      <c r="AZ20" s="1047" t="s">
        <v>1520</v>
      </c>
      <c r="BB20" s="1047" t="s">
        <v>1521</v>
      </c>
      <c r="BC20" s="1047" t="s">
        <v>1451</v>
      </c>
      <c r="BE20" s="1047">
        <v>2018</v>
      </c>
      <c r="BH20" s="998" t="s">
        <v>1447</v>
      </c>
      <c r="BJ20" s="998" t="s">
        <v>1374</v>
      </c>
      <c r="BL20" s="998" t="s">
        <v>1374</v>
      </c>
      <c r="BQ20" s="1208">
        <v>4190065</v>
      </c>
      <c r="BR20" s="998" t="s">
        <v>1522</v>
      </c>
      <c r="BS20" s="1356"/>
      <c r="BT20" s="1208">
        <v>4189672</v>
      </c>
      <c r="BU20" s="998" t="s">
        <v>1523</v>
      </c>
      <c r="BV20" s="1000"/>
      <c r="BW20" s="1622">
        <v>4189705</v>
      </c>
      <c r="BX20" s="1620" t="s">
        <v>1524</v>
      </c>
      <c r="BZ20" s="1208">
        <v>4189713</v>
      </c>
      <c r="CA20" s="998" t="s">
        <v>1524</v>
      </c>
      <c r="CC20" s="1208">
        <v>4189709</v>
      </c>
      <c r="CD20" s="998" t="s">
        <v>1525</v>
      </c>
    </row>
    <row r="21" spans="1:82" ht="21" customHeight="1">
      <c r="A21" s="1004" t="s">
        <v>1526</v>
      </c>
      <c r="B21" s="1005">
        <v>2019</v>
      </c>
      <c r="I21" s="1006" t="s">
        <v>1527</v>
      </c>
      <c r="N21" s="1085" t="s">
        <v>1528</v>
      </c>
      <c r="AW21" s="1047" t="s">
        <v>1518</v>
      </c>
      <c r="AX21" s="1047" t="s">
        <v>1518</v>
      </c>
      <c r="AZ21" s="1047" t="s">
        <v>1529</v>
      </c>
      <c r="BB21" s="1047" t="s">
        <v>1530</v>
      </c>
      <c r="BC21" s="1047" t="s">
        <v>1334</v>
      </c>
      <c r="BE21" s="1047">
        <v>2019</v>
      </c>
      <c r="BH21" s="998" t="s">
        <v>1454</v>
      </c>
      <c r="BJ21" s="998" t="s">
        <v>1390</v>
      </c>
      <c r="BL21" s="998" t="s">
        <v>1390</v>
      </c>
      <c r="BQ21" s="1208">
        <v>4190066</v>
      </c>
      <c r="BR21" s="998" t="s">
        <v>1531</v>
      </c>
      <c r="BS21" s="1356"/>
      <c r="BT21" s="1208">
        <v>4189673</v>
      </c>
      <c r="BU21" s="998" t="s">
        <v>1532</v>
      </c>
      <c r="BV21" s="1000"/>
      <c r="BW21" s="1622">
        <v>4189707</v>
      </c>
      <c r="BX21" s="1620" t="s">
        <v>1533</v>
      </c>
      <c r="BZ21" s="1208">
        <v>4189712</v>
      </c>
      <c r="CA21" s="998" t="s">
        <v>1534</v>
      </c>
      <c r="CC21" s="1208">
        <v>4189710</v>
      </c>
      <c r="CD21" s="998" t="s">
        <v>1535</v>
      </c>
    </row>
    <row r="22" spans="1:82" ht="21" customHeight="1">
      <c r="A22" s="1004" t="s">
        <v>1536</v>
      </c>
      <c r="B22" s="1005">
        <v>2020</v>
      </c>
      <c r="N22" s="1085" t="s">
        <v>1537</v>
      </c>
      <c r="AW22" s="1047" t="s">
        <v>1527</v>
      </c>
      <c r="AX22" s="1047" t="s">
        <v>1527</v>
      </c>
      <c r="AZ22" s="1047" t="s">
        <v>1538</v>
      </c>
      <c r="BB22" s="1047" t="s">
        <v>1539</v>
      </c>
      <c r="BC22" s="1047" t="s">
        <v>1334</v>
      </c>
      <c r="BE22" s="1047">
        <v>2020</v>
      </c>
      <c r="BH22" s="998" t="s">
        <v>1461</v>
      </c>
      <c r="BJ22" s="998" t="s">
        <v>1406</v>
      </c>
      <c r="BL22" s="998" t="s">
        <v>1406</v>
      </c>
      <c r="BQ22" s="1208">
        <v>4190067</v>
      </c>
      <c r="BR22" s="998" t="s">
        <v>1540</v>
      </c>
      <c r="BS22" s="1356"/>
      <c r="BT22" s="1208">
        <v>4189674</v>
      </c>
      <c r="BU22" s="998" t="s">
        <v>1541</v>
      </c>
      <c r="BV22" s="1000"/>
      <c r="BW22" s="1000"/>
      <c r="CC22" s="1208">
        <v>4189711</v>
      </c>
      <c r="CD22" s="998" t="s">
        <v>301</v>
      </c>
    </row>
    <row r="23" spans="1:82" ht="21" customHeight="1">
      <c r="A23" s="1004" t="s">
        <v>1542</v>
      </c>
      <c r="B23" s="1005">
        <v>2021</v>
      </c>
      <c r="AW23" s="1047" t="s">
        <v>1543</v>
      </c>
      <c r="AX23" s="1047" t="s">
        <v>1543</v>
      </c>
      <c r="AZ23" s="1047" t="s">
        <v>1544</v>
      </c>
      <c r="BB23" s="1047" t="s">
        <v>1545</v>
      </c>
      <c r="BC23" s="1047" t="s">
        <v>1245</v>
      </c>
      <c r="BE23" s="1047">
        <v>2021</v>
      </c>
      <c r="BH23" s="998" t="s">
        <v>1469</v>
      </c>
      <c r="BJ23" s="998" t="s">
        <v>1422</v>
      </c>
      <c r="BL23" s="998" t="s">
        <v>1422</v>
      </c>
      <c r="BQ23" s="1208">
        <v>4190068</v>
      </c>
      <c r="BR23" s="998" t="s">
        <v>1546</v>
      </c>
      <c r="BS23" s="1356"/>
      <c r="BT23" s="1208">
        <v>4189675</v>
      </c>
      <c r="BU23" s="998" t="s">
        <v>1547</v>
      </c>
      <c r="BV23" s="1000"/>
      <c r="BW23" s="1000"/>
      <c r="CC23" s="1208">
        <v>5110778</v>
      </c>
      <c r="CD23" s="998" t="s">
        <v>1548</v>
      </c>
    </row>
    <row r="24" spans="1:82" ht="21" customHeight="1">
      <c r="A24" s="1004" t="s">
        <v>1549</v>
      </c>
      <c r="B24" s="1005">
        <v>2022</v>
      </c>
      <c r="AW24" s="1047" t="s">
        <v>1550</v>
      </c>
      <c r="AX24" s="1047" t="s">
        <v>1550</v>
      </c>
      <c r="AZ24" s="1047" t="s">
        <v>1551</v>
      </c>
      <c r="BB24" s="1047" t="s">
        <v>1552</v>
      </c>
      <c r="BC24" s="1047" t="s">
        <v>1553</v>
      </c>
      <c r="BE24" s="1047">
        <v>2022</v>
      </c>
      <c r="BH24" s="998" t="s">
        <v>1478</v>
      </c>
      <c r="BJ24" s="998" t="s">
        <v>1436</v>
      </c>
      <c r="BL24" s="998" t="s">
        <v>1436</v>
      </c>
      <c r="BQ24" s="1208">
        <v>4190069</v>
      </c>
      <c r="BR24" s="998" t="s">
        <v>1554</v>
      </c>
      <c r="BS24" s="1356"/>
      <c r="BT24" s="1208">
        <v>4189676</v>
      </c>
      <c r="BU24" s="998" t="s">
        <v>1555</v>
      </c>
      <c r="BV24" s="1000"/>
      <c r="BW24" s="1000"/>
      <c r="CC24" s="1208">
        <v>25575374</v>
      </c>
      <c r="CD24" s="998" t="s">
        <v>1556</v>
      </c>
    </row>
    <row r="25" spans="1:82" ht="11.25" customHeight="1">
      <c r="A25" s="1004" t="s">
        <v>1557</v>
      </c>
      <c r="B25" s="1005">
        <v>2023</v>
      </c>
      <c r="AW25" s="1047" t="s">
        <v>1558</v>
      </c>
      <c r="AX25" s="1047" t="s">
        <v>1558</v>
      </c>
      <c r="AZ25" s="1047" t="s">
        <v>1559</v>
      </c>
      <c r="BB25" s="1047" t="s">
        <v>1560</v>
      </c>
      <c r="BC25" s="1047" t="s">
        <v>1553</v>
      </c>
      <c r="BE25" s="1047">
        <v>2023</v>
      </c>
      <c r="BH25" s="998" t="s">
        <v>1485</v>
      </c>
      <c r="BJ25" s="998" t="s">
        <v>1510</v>
      </c>
      <c r="BL25" s="998" t="s">
        <v>1510</v>
      </c>
      <c r="BQ25" s="1208">
        <v>4190070</v>
      </c>
      <c r="BR25" s="998" t="s">
        <v>1561</v>
      </c>
      <c r="BS25" s="1356"/>
      <c r="BT25" s="1208">
        <v>4189677</v>
      </c>
      <c r="BU25" s="998" t="s">
        <v>1562</v>
      </c>
      <c r="BV25" s="1000"/>
      <c r="BW25" s="1000"/>
    </row>
    <row r="26" spans="1:82" ht="11.25" customHeight="1">
      <c r="A26" s="1004" t="s">
        <v>1563</v>
      </c>
      <c r="B26" s="1005">
        <v>2024</v>
      </c>
      <c r="J26" s="1657" t="s">
        <v>1564</v>
      </c>
      <c r="AX26" s="1047" t="s">
        <v>1565</v>
      </c>
      <c r="AZ26" s="1047" t="s">
        <v>1429</v>
      </c>
      <c r="BB26" s="1047" t="s">
        <v>1566</v>
      </c>
      <c r="BC26" s="1047" t="s">
        <v>1553</v>
      </c>
      <c r="BE26" s="1047">
        <v>2024</v>
      </c>
      <c r="BH26" s="998" t="s">
        <v>1496</v>
      </c>
      <c r="BJ26" s="998" t="s">
        <v>1447</v>
      </c>
      <c r="BL26" s="998" t="s">
        <v>1447</v>
      </c>
      <c r="BQ26" s="1208">
        <v>4190071</v>
      </c>
      <c r="BR26" s="998" t="s">
        <v>1567</v>
      </c>
      <c r="BS26" s="1356"/>
      <c r="BV26" s="1000"/>
      <c r="BW26" s="1000"/>
    </row>
    <row r="27" spans="1:82" ht="11.25" customHeight="1">
      <c r="A27" s="1004" t="s">
        <v>1568</v>
      </c>
      <c r="B27" s="1005">
        <v>2025</v>
      </c>
      <c r="J27" s="114" t="s">
        <v>169</v>
      </c>
      <c r="AX27" s="1047" t="s">
        <v>1569</v>
      </c>
      <c r="BB27" s="1047" t="s">
        <v>1570</v>
      </c>
      <c r="BC27" s="1047" t="s">
        <v>1553</v>
      </c>
      <c r="BE27" s="1047">
        <v>2025</v>
      </c>
      <c r="BH27" s="1000" t="s">
        <v>28</v>
      </c>
      <c r="BJ27" s="998" t="s">
        <v>1454</v>
      </c>
      <c r="BL27" s="998" t="s">
        <v>1454</v>
      </c>
      <c r="BN27" s="1000" t="s">
        <v>28</v>
      </c>
      <c r="BQ27" s="1208">
        <v>4190072</v>
      </c>
      <c r="BR27" s="998" t="s">
        <v>1571</v>
      </c>
      <c r="BS27" s="1356"/>
      <c r="BV27" s="1000"/>
      <c r="BW27" s="1000"/>
    </row>
    <row r="28" spans="1:82" ht="11.25" customHeight="1">
      <c r="A28" s="1004" t="s">
        <v>1572</v>
      </c>
      <c r="D28" s="1029"/>
      <c r="E28" s="1030"/>
      <c r="F28" s="1030"/>
      <c r="H28" s="1031" t="s">
        <v>1573</v>
      </c>
      <c r="AX28" s="1047" t="s">
        <v>1574</v>
      </c>
      <c r="AZ28" s="997" t="s">
        <v>1575</v>
      </c>
      <c r="BB28" s="1047" t="s">
        <v>1576</v>
      </c>
      <c r="BC28" s="1047" t="s">
        <v>1577</v>
      </c>
      <c r="BE28" s="1047">
        <v>2026</v>
      </c>
      <c r="BH28" s="1000" t="s">
        <v>28</v>
      </c>
      <c r="BJ28" s="998" t="s">
        <v>1461</v>
      </c>
      <c r="BL28" s="998" t="s">
        <v>1461</v>
      </c>
      <c r="BN28" s="1000" t="s">
        <v>28</v>
      </c>
      <c r="BQ28" s="1208">
        <v>4190073</v>
      </c>
      <c r="BR28" s="998" t="s">
        <v>1578</v>
      </c>
      <c r="BS28" s="1356"/>
      <c r="BV28" s="1000"/>
      <c r="BW28" s="1000"/>
    </row>
    <row r="29" spans="1:82" ht="11.25" customHeight="1">
      <c r="A29" s="1004" t="s">
        <v>1579</v>
      </c>
      <c r="D29" s="1032" t="s">
        <v>1580</v>
      </c>
      <c r="E29" s="1033" t="str">
        <f>IF(TEMPLATE_GROUP="","",INDEX(StartDateList,MATCH(TEMPLATE_GROUP,CodeTemplateList,0),1))</f>
        <v>01.01.2024</v>
      </c>
      <c r="F29" s="1033" t="str">
        <f>IF(TEMPLATE_GROUP="","",INDEX(EndDateList,MATCH(TEMPLATE_GROUP,CodeTemplateList,0),1))</f>
        <v>31.12.2028</v>
      </c>
      <c r="H29" s="1034" t="s">
        <v>1581</v>
      </c>
      <c r="AX29" s="1047" t="s">
        <v>1582</v>
      </c>
      <c r="AZ29" s="1047" t="s">
        <v>1230</v>
      </c>
      <c r="BB29" s="1047" t="s">
        <v>1429</v>
      </c>
      <c r="BC29" s="1020"/>
      <c r="BE29" s="1047">
        <v>2027</v>
      </c>
      <c r="BJ29" s="998" t="s">
        <v>1469</v>
      </c>
      <c r="BL29" s="998" t="s">
        <v>1469</v>
      </c>
    </row>
    <row r="30" spans="1:82" ht="11.25" customHeight="1">
      <c r="A30" s="1004" t="s">
        <v>1583</v>
      </c>
      <c r="D30" s="1035"/>
      <c r="E30" s="1036"/>
      <c r="F30" s="1036"/>
      <c r="AX30" s="1047" t="s">
        <v>1584</v>
      </c>
      <c r="AZ30" s="1047" t="s">
        <v>1255</v>
      </c>
      <c r="BE30" s="1047">
        <v>2028</v>
      </c>
      <c r="BJ30" s="998" t="s">
        <v>1585</v>
      </c>
      <c r="BL30" s="998" t="s">
        <v>1585</v>
      </c>
    </row>
    <row r="31" spans="1:82" ht="12.75" customHeight="1">
      <c r="A31" s="1004" t="s">
        <v>1586</v>
      </c>
      <c r="D31" s="1029"/>
      <c r="E31" s="1030"/>
      <c r="F31" s="1030"/>
      <c r="H31" s="1037"/>
      <c r="AX31" s="1047" t="s">
        <v>1587</v>
      </c>
      <c r="AZ31" s="1047" t="s">
        <v>1588</v>
      </c>
      <c r="BE31" s="1047">
        <v>2029</v>
      </c>
      <c r="BJ31" s="998" t="s">
        <v>1589</v>
      </c>
      <c r="BL31" s="998" t="s">
        <v>1589</v>
      </c>
    </row>
    <row r="32" spans="1:82" ht="11.25" customHeight="1">
      <c r="A32" s="1004" t="s">
        <v>1590</v>
      </c>
      <c r="D32" s="1032" t="s">
        <v>1591</v>
      </c>
      <c r="E32" s="1033" t="str">
        <f>IF(TEMPLATE_GROUP="","",INDEX(StartDateList,MATCH(TEMPLATE_GROUP,CodeTemplateList,0),1))</f>
        <v>01.01.2024</v>
      </c>
      <c r="F32" s="1033" t="str">
        <f>IF(TEMPLATE_GROUP="","",INDEX(EndDateList,MATCH(TEMPLATE_GROUP,CodeTemplateList,0),1))</f>
        <v>31.12.2028</v>
      </c>
      <c r="H32" s="1038" t="s">
        <v>1592</v>
      </c>
      <c r="O32" s="1004" t="s">
        <v>455</v>
      </c>
      <c r="AX32" s="1047" t="s">
        <v>1593</v>
      </c>
      <c r="AZ32" s="1047" t="s">
        <v>454</v>
      </c>
      <c r="BE32" s="1047">
        <v>2030</v>
      </c>
      <c r="BJ32" s="998" t="s">
        <v>1478</v>
      </c>
      <c r="BL32" s="998" t="s">
        <v>1478</v>
      </c>
    </row>
    <row r="33" spans="1:66" ht="11.25" customHeight="1">
      <c r="A33" s="1004" t="s">
        <v>1594</v>
      </c>
      <c r="O33" s="1004" t="s">
        <v>1253</v>
      </c>
      <c r="AX33" s="1047" t="s">
        <v>1595</v>
      </c>
      <c r="AZ33" s="1047" t="s">
        <v>453</v>
      </c>
      <c r="BE33" s="1047">
        <v>2031</v>
      </c>
      <c r="BJ33" s="998" t="s">
        <v>1485</v>
      </c>
      <c r="BL33" s="998" t="s">
        <v>1485</v>
      </c>
    </row>
    <row r="34" spans="1:66" ht="11.25" customHeight="1">
      <c r="A34" s="1004" t="s">
        <v>1596</v>
      </c>
      <c r="O34" s="1004" t="s">
        <v>1288</v>
      </c>
      <c r="AX34" s="1047" t="s">
        <v>1597</v>
      </c>
      <c r="BE34" s="1047">
        <v>2032</v>
      </c>
      <c r="BJ34" s="998" t="s">
        <v>1496</v>
      </c>
      <c r="BL34" s="998" t="s">
        <v>1496</v>
      </c>
    </row>
    <row r="35" spans="1:66" ht="11.25" customHeight="1">
      <c r="A35" s="1004" t="s">
        <v>1598</v>
      </c>
      <c r="O35" s="1004" t="s">
        <v>1321</v>
      </c>
      <c r="AX35" s="1047" t="s">
        <v>1599</v>
      </c>
      <c r="AZ35" s="997" t="s">
        <v>1600</v>
      </c>
      <c r="BE35" s="1047">
        <v>2033</v>
      </c>
      <c r="BL35" s="998" t="s">
        <v>1601</v>
      </c>
    </row>
    <row r="36" spans="1:66" ht="11.25" customHeight="1">
      <c r="A36" s="1795" t="s">
        <v>1602</v>
      </c>
      <c r="D36" s="1039" t="s">
        <v>1603</v>
      </c>
      <c r="E36" s="1040" t="s">
        <v>814</v>
      </c>
      <c r="F36" s="1041" t="str">
        <f>INDEX(E37:E41,MATCH(TEMPLATE_SPHERE,F37:F41,0))</f>
        <v>теплоснабжения</v>
      </c>
      <c r="G36" s="1041" t="str">
        <f>INDEX(G37:G41,MATCH(TEMPLATE_SPHERE,F37:F41,0))</f>
        <v>теплоснабжение</v>
      </c>
      <c r="O36" s="1004" t="s">
        <v>1345</v>
      </c>
      <c r="AX36" s="1047" t="s">
        <v>1604</v>
      </c>
      <c r="AZ36" s="1047" t="s">
        <v>453</v>
      </c>
      <c r="BE36" s="1047">
        <v>2034</v>
      </c>
      <c r="BL36" s="998" t="s">
        <v>1605</v>
      </c>
    </row>
    <row r="37" spans="1:66" ht="11.25" customHeight="1">
      <c r="A37" s="1004" t="s">
        <v>1606</v>
      </c>
      <c r="E37" s="344" t="s">
        <v>1607</v>
      </c>
      <c r="F37" s="1042" t="s">
        <v>814</v>
      </c>
      <c r="G37" s="344" t="s">
        <v>1608</v>
      </c>
      <c r="O37" s="1004" t="s">
        <v>1364</v>
      </c>
      <c r="AX37" s="1047" t="s">
        <v>1609</v>
      </c>
      <c r="AZ37" s="1047" t="s">
        <v>1254</v>
      </c>
      <c r="BE37" s="1047">
        <v>2035</v>
      </c>
    </row>
    <row r="38" spans="1:66" ht="11.25" customHeight="1">
      <c r="A38" s="1004" t="s">
        <v>1610</v>
      </c>
      <c r="E38" s="344" t="s">
        <v>1611</v>
      </c>
      <c r="F38" s="1043" t="s">
        <v>860</v>
      </c>
      <c r="G38" s="344" t="s">
        <v>1612</v>
      </c>
      <c r="O38" s="1004" t="s">
        <v>1381</v>
      </c>
      <c r="AX38" s="1047" t="s">
        <v>1613</v>
      </c>
      <c r="AZ38" s="1047" t="s">
        <v>1289</v>
      </c>
      <c r="BE38" s="1047">
        <v>2036</v>
      </c>
      <c r="BH38" s="997" t="s">
        <v>1614</v>
      </c>
      <c r="BJ38" s="997" t="s">
        <v>1615</v>
      </c>
      <c r="BL38" s="997" t="s">
        <v>1616</v>
      </c>
      <c r="BN38" s="997" t="s">
        <v>1617</v>
      </c>
    </row>
    <row r="39" spans="1:66" ht="11.25" customHeight="1">
      <c r="A39" s="1004" t="s">
        <v>1618</v>
      </c>
      <c r="E39" s="344" t="s">
        <v>1619</v>
      </c>
      <c r="F39" s="1043" t="s">
        <v>913</v>
      </c>
      <c r="G39" s="344" t="s">
        <v>1620</v>
      </c>
      <c r="O39" s="1004" t="s">
        <v>1397</v>
      </c>
      <c r="AX39" s="1047" t="s">
        <v>1621</v>
      </c>
      <c r="AZ39" s="1047" t="s">
        <v>1322</v>
      </c>
      <c r="BE39" s="1047">
        <v>2037</v>
      </c>
      <c r="BH39" s="998" t="s">
        <v>1622</v>
      </c>
      <c r="BJ39" s="1144" t="s">
        <v>1622</v>
      </c>
      <c r="BL39" s="1144" t="s">
        <v>1622</v>
      </c>
      <c r="BN39" s="998" t="s">
        <v>1623</v>
      </c>
    </row>
    <row r="40" spans="1:66" ht="11.25" customHeight="1">
      <c r="A40" s="1004" t="s">
        <v>1624</v>
      </c>
      <c r="E40" s="344" t="s">
        <v>1625</v>
      </c>
      <c r="F40" s="1043" t="s">
        <v>900</v>
      </c>
      <c r="G40" s="344" t="s">
        <v>1626</v>
      </c>
      <c r="O40" s="1004" t="s">
        <v>1413</v>
      </c>
      <c r="AX40" s="1047" t="s">
        <v>1627</v>
      </c>
      <c r="BE40" s="1047">
        <v>2038</v>
      </c>
      <c r="BH40" s="998" t="s">
        <v>1628</v>
      </c>
      <c r="BJ40" s="1144" t="s">
        <v>1033</v>
      </c>
      <c r="BL40" s="1144" t="s">
        <v>1033</v>
      </c>
      <c r="BN40" s="998" t="s">
        <v>1067</v>
      </c>
    </row>
    <row r="41" spans="1:66" ht="11.25" customHeight="1">
      <c r="A41" s="1004" t="s">
        <v>1629</v>
      </c>
      <c r="E41" s="344" t="s">
        <v>1630</v>
      </c>
      <c r="F41" s="1043" t="s">
        <v>1631</v>
      </c>
      <c r="G41" s="344" t="s">
        <v>1630</v>
      </c>
      <c r="O41" s="1004" t="s">
        <v>1429</v>
      </c>
      <c r="AX41" s="1047" t="s">
        <v>1632</v>
      </c>
      <c r="AZ41" s="997" t="s">
        <v>1633</v>
      </c>
      <c r="BE41" s="1047">
        <v>2039</v>
      </c>
      <c r="BH41" s="998" t="s">
        <v>1634</v>
      </c>
      <c r="BJ41" s="1144" t="s">
        <v>1029</v>
      </c>
      <c r="BL41" s="1144" t="s">
        <v>1029</v>
      </c>
      <c r="BN41" s="998" t="s">
        <v>1054</v>
      </c>
    </row>
    <row r="42" spans="1:66" ht="11.25" customHeight="1">
      <c r="A42" s="1004" t="s">
        <v>1635</v>
      </c>
      <c r="AX42" s="1047" t="s">
        <v>1636</v>
      </c>
      <c r="AZ42" s="1047" t="s">
        <v>455</v>
      </c>
      <c r="BE42" s="1047">
        <v>2040</v>
      </c>
      <c r="BH42" s="998" t="s">
        <v>1051</v>
      </c>
      <c r="BJ42" s="1144" t="s">
        <v>1031</v>
      </c>
      <c r="BL42" s="1144" t="s">
        <v>1031</v>
      </c>
      <c r="BN42" s="998" t="s">
        <v>1637</v>
      </c>
    </row>
    <row r="43" spans="1:66" ht="11.25" customHeight="1">
      <c r="A43" s="1004" t="s">
        <v>1638</v>
      </c>
      <c r="AX43" s="1047" t="s">
        <v>1639</v>
      </c>
      <c r="AZ43" s="1047" t="s">
        <v>1253</v>
      </c>
      <c r="BE43" s="1047">
        <v>2041</v>
      </c>
      <c r="BH43" s="998" t="s">
        <v>1640</v>
      </c>
      <c r="BJ43" s="1144" t="s">
        <v>1634</v>
      </c>
      <c r="BL43" s="1144" t="s">
        <v>1634</v>
      </c>
      <c r="BN43" s="998" t="s">
        <v>1641</v>
      </c>
    </row>
    <row r="44" spans="1:66" ht="11.25" customHeight="1">
      <c r="A44" s="1004" t="s">
        <v>1642</v>
      </c>
      <c r="G44" s="1023">
        <f ca="1">YEAR(TODAY())</f>
        <v>2024</v>
      </c>
      <c r="I44" s="730" t="s">
        <v>1643</v>
      </c>
      <c r="J44" s="1019" t="s">
        <v>1644</v>
      </c>
      <c r="K44" s="1019" t="s">
        <v>1645</v>
      </c>
      <c r="AX44" s="1047" t="s">
        <v>1646</v>
      </c>
      <c r="AZ44" s="1047" t="s">
        <v>1288</v>
      </c>
      <c r="BE44" s="1047">
        <v>2042</v>
      </c>
      <c r="BH44" s="998" t="s">
        <v>1647</v>
      </c>
      <c r="BJ44" s="1144" t="s">
        <v>1051</v>
      </c>
      <c r="BL44" s="1144" t="s">
        <v>1051</v>
      </c>
      <c r="BN44" s="998" t="s">
        <v>1648</v>
      </c>
    </row>
    <row r="45" spans="1:66" ht="11.25" customHeight="1">
      <c r="A45" s="1004" t="s">
        <v>1649</v>
      </c>
      <c r="D45" s="1039" t="s">
        <v>1650</v>
      </c>
      <c r="E45" s="1040" t="s">
        <v>1651</v>
      </c>
      <c r="F45" s="728" t="s">
        <v>1652</v>
      </c>
      <c r="G45" s="727" t="s">
        <v>1653</v>
      </c>
      <c r="H45" s="730" t="s">
        <v>1654</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1655</v>
      </c>
      <c r="AZ45" s="1047" t="s">
        <v>1321</v>
      </c>
      <c r="BE45" s="1047">
        <v>2043</v>
      </c>
      <c r="BH45" s="998" t="s">
        <v>1656</v>
      </c>
      <c r="BJ45" s="1144" t="s">
        <v>1045</v>
      </c>
      <c r="BL45" s="1144" t="s">
        <v>1045</v>
      </c>
      <c r="BN45" s="998" t="s">
        <v>1657</v>
      </c>
    </row>
    <row r="46" spans="1:66" ht="11.25" customHeight="1">
      <c r="A46" s="1004" t="s">
        <v>1658</v>
      </c>
      <c r="E46" s="344" t="s">
        <v>26</v>
      </c>
      <c r="F46" s="1042" t="s">
        <v>1659</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1660</v>
      </c>
      <c r="AZ46" s="1047" t="s">
        <v>1345</v>
      </c>
      <c r="BE46" s="1047">
        <v>2044</v>
      </c>
      <c r="BH46" s="998" t="s">
        <v>1054</v>
      </c>
      <c r="BJ46" s="1144" t="s">
        <v>1035</v>
      </c>
      <c r="BL46" s="1144" t="s">
        <v>1035</v>
      </c>
      <c r="BN46" s="998" t="s">
        <v>1661</v>
      </c>
    </row>
    <row r="47" spans="1:66" ht="11.25" customHeight="1">
      <c r="A47" s="1004" t="s">
        <v>1662</v>
      </c>
      <c r="E47" s="344" t="s">
        <v>33</v>
      </c>
      <c r="F47" s="1043" t="s">
        <v>1663</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96</v>
      </c>
      <c r="AZ47" s="1047" t="s">
        <v>1364</v>
      </c>
      <c r="BE47" s="1047">
        <v>2045</v>
      </c>
      <c r="BH47" s="998" t="s">
        <v>1637</v>
      </c>
      <c r="BJ47" s="1144" t="s">
        <v>1037</v>
      </c>
      <c r="BL47" s="1144" t="s">
        <v>1037</v>
      </c>
      <c r="BN47" s="998" t="s">
        <v>1664</v>
      </c>
    </row>
    <row r="48" spans="1:66" ht="11.25" customHeight="1">
      <c r="A48" s="1004" t="s">
        <v>1665</v>
      </c>
      <c r="E48" s="344" t="s">
        <v>1666</v>
      </c>
      <c r="F48" s="1043" t="s">
        <v>1667</v>
      </c>
      <c r="G48" s="1044" t="str">
        <f ca="1">IFERROR(IF(f_year="","01.01."&amp;CURRENT_YEAR,"01.01."&amp;f_year),"01.01."&amp;CURRENT_YEAR)</f>
        <v>01.01.2024</v>
      </c>
      <c r="H48" s="1044" t="str">
        <f ca="1">IFERROR(IF(f_year="","31.12."&amp;CURRENT_YEAR,"31.12."&amp;f_year),"31.12."&amp;CURRENT_YEAR)</f>
        <v>31.12.2024</v>
      </c>
      <c r="I48" s="1668" t="b">
        <f>IF(f_year="",TRUE,FALSE)</f>
        <v>1</v>
      </c>
      <c r="J48" s="1671" t="s">
        <v>1668</v>
      </c>
      <c r="K48" s="1672"/>
      <c r="AX48" s="1047" t="s">
        <v>1669</v>
      </c>
      <c r="AZ48" s="1047" t="s">
        <v>1381</v>
      </c>
      <c r="BE48" s="1047">
        <v>2046</v>
      </c>
      <c r="BH48" s="998" t="s">
        <v>1641</v>
      </c>
      <c r="BJ48" s="1144" t="s">
        <v>1039</v>
      </c>
      <c r="BL48" s="1144" t="s">
        <v>1039</v>
      </c>
      <c r="BN48" s="998" t="s">
        <v>1670</v>
      </c>
    </row>
    <row r="49" spans="1:64" ht="11.25" customHeight="1">
      <c r="A49" s="1004" t="s">
        <v>1671</v>
      </c>
      <c r="E49" s="344" t="s">
        <v>1672</v>
      </c>
      <c r="F49" s="1043" t="s">
        <v>1673</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1674</v>
      </c>
      <c r="AZ49" s="1047" t="s">
        <v>1397</v>
      </c>
      <c r="BE49" s="1047">
        <v>2047</v>
      </c>
      <c r="BH49" s="998" t="s">
        <v>1055</v>
      </c>
      <c r="BJ49" s="1144" t="s">
        <v>1041</v>
      </c>
      <c r="BL49" s="1144" t="s">
        <v>1041</v>
      </c>
    </row>
    <row r="50" spans="1:64" ht="11.25" customHeight="1">
      <c r="A50" s="1004" t="s">
        <v>1675</v>
      </c>
      <c r="E50" s="344" t="s">
        <v>1676</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1677</v>
      </c>
      <c r="AZ50" s="1047" t="s">
        <v>1413</v>
      </c>
      <c r="BE50" s="1047">
        <v>2048</v>
      </c>
      <c r="BH50" s="998" t="s">
        <v>1648</v>
      </c>
      <c r="BJ50" s="1144" t="s">
        <v>1043</v>
      </c>
      <c r="BL50" s="1144" t="s">
        <v>1043</v>
      </c>
    </row>
    <row r="51" spans="1:64" ht="11.25" customHeight="1">
      <c r="A51" s="1004" t="s">
        <v>1678</v>
      </c>
      <c r="E51" s="344" t="s">
        <v>1679</v>
      </c>
      <c r="F51" s="1043" t="s">
        <v>1651</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1680</v>
      </c>
      <c r="AZ51" s="1047" t="s">
        <v>1429</v>
      </c>
      <c r="BE51" s="1047">
        <v>2049</v>
      </c>
      <c r="BH51" s="998" t="s">
        <v>1657</v>
      </c>
      <c r="BJ51" s="1144" t="s">
        <v>1681</v>
      </c>
      <c r="BL51" s="1144" t="s">
        <v>1681</v>
      </c>
    </row>
    <row r="52" spans="1:64" ht="11.25" customHeight="1">
      <c r="A52" s="1004" t="s">
        <v>1682</v>
      </c>
      <c r="E52" s="344" t="s">
        <v>1683</v>
      </c>
      <c r="F52" s="1043" t="s">
        <v>1684</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1685</v>
      </c>
      <c r="AZ52" s="1047" t="s">
        <v>453</v>
      </c>
      <c r="BE52" s="1047">
        <v>2050</v>
      </c>
      <c r="BH52" s="998" t="s">
        <v>1661</v>
      </c>
      <c r="BJ52" s="1144" t="s">
        <v>1054</v>
      </c>
      <c r="BL52" s="1144" t="s">
        <v>1054</v>
      </c>
    </row>
    <row r="53" spans="1:64" ht="11.25" customHeight="1">
      <c r="A53" s="1004" t="s">
        <v>1686</v>
      </c>
      <c r="E53" s="344" t="s">
        <v>1687</v>
      </c>
      <c r="F53" s="1043" t="s">
        <v>1687</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1688</v>
      </c>
      <c r="K53" s="1672"/>
      <c r="AX53" s="1047" t="s">
        <v>1689</v>
      </c>
      <c r="BE53" s="1047">
        <v>2051</v>
      </c>
      <c r="BH53" s="998" t="s">
        <v>1664</v>
      </c>
      <c r="BJ53" s="1144" t="s">
        <v>1637</v>
      </c>
      <c r="BL53" s="1144" t="s">
        <v>1637</v>
      </c>
    </row>
    <row r="54" spans="1:64" ht="11.25" customHeight="1">
      <c r="A54" s="1004" t="s">
        <v>1690</v>
      </c>
      <c r="AX54" s="1047" t="s">
        <v>1691</v>
      </c>
      <c r="AZ54" s="997" t="s">
        <v>1692</v>
      </c>
      <c r="BE54" s="1047">
        <v>2052</v>
      </c>
      <c r="BH54" s="998" t="s">
        <v>1670</v>
      </c>
      <c r="BJ54" s="1144" t="s">
        <v>1641</v>
      </c>
      <c r="BL54" s="1144" t="s">
        <v>1641</v>
      </c>
    </row>
    <row r="55" spans="1:64" ht="11.25" customHeight="1">
      <c r="A55" s="1004" t="s">
        <v>1693</v>
      </c>
      <c r="AX55" s="1047" t="s">
        <v>1694</v>
      </c>
      <c r="AZ55" s="1047" t="s">
        <v>1231</v>
      </c>
      <c r="BE55" s="1047">
        <v>2053</v>
      </c>
      <c r="BH55" s="1000" t="s">
        <v>28</v>
      </c>
      <c r="BJ55" s="1144" t="s">
        <v>1055</v>
      </c>
      <c r="BL55" s="1144" t="s">
        <v>1055</v>
      </c>
    </row>
    <row r="56" spans="1:64" ht="11.25" customHeight="1">
      <c r="A56" s="1004" t="s">
        <v>1695</v>
      </c>
      <c r="D56" s="1046" t="s">
        <v>1696</v>
      </c>
      <c r="E56" s="1024" t="s">
        <v>109</v>
      </c>
      <c r="F56" s="1004" t="s">
        <v>1697</v>
      </c>
      <c r="AX56" s="1047" t="s">
        <v>1698</v>
      </c>
      <c r="AZ56" s="1047" t="s">
        <v>1256</v>
      </c>
      <c r="BE56" s="1047">
        <v>2054</v>
      </c>
      <c r="BH56" s="1000" t="s">
        <v>28</v>
      </c>
      <c r="BJ56" s="1144" t="s">
        <v>1648</v>
      </c>
      <c r="BL56" s="1144" t="s">
        <v>1648</v>
      </c>
    </row>
    <row r="57" spans="1:64" ht="11.25" customHeight="1">
      <c r="A57" s="1004" t="s">
        <v>1699</v>
      </c>
      <c r="D57" s="1046" t="s">
        <v>1700</v>
      </c>
      <c r="E57" s="1024" t="s">
        <v>109</v>
      </c>
      <c r="F57" s="1004" t="s">
        <v>1697</v>
      </c>
      <c r="AX57" s="1047" t="s">
        <v>1701</v>
      </c>
      <c r="AZ57" s="1047" t="s">
        <v>1291</v>
      </c>
      <c r="BE57" s="1047">
        <v>2055</v>
      </c>
      <c r="BJ57" s="1144" t="s">
        <v>1657</v>
      </c>
      <c r="BL57" s="1144" t="s">
        <v>1657</v>
      </c>
    </row>
    <row r="58" spans="1:64" ht="11.25" customHeight="1">
      <c r="A58" s="1004" t="s">
        <v>1702</v>
      </c>
      <c r="D58" s="1046" t="s">
        <v>1703</v>
      </c>
      <c r="E58" s="1024" t="s">
        <v>109</v>
      </c>
      <c r="F58" s="1004" t="s">
        <v>1697</v>
      </c>
      <c r="AX58" s="1047" t="s">
        <v>1704</v>
      </c>
      <c r="BE58" s="1047">
        <v>2056</v>
      </c>
      <c r="BJ58" s="1144" t="s">
        <v>1661</v>
      </c>
      <c r="BL58" s="1144" t="s">
        <v>1661</v>
      </c>
    </row>
    <row r="59" spans="1:64" ht="11.25" customHeight="1">
      <c r="A59" s="1004" t="s">
        <v>1705</v>
      </c>
      <c r="D59" s="1046" t="s">
        <v>129</v>
      </c>
      <c r="E59" s="1024" t="s">
        <v>1593</v>
      </c>
      <c r="F59" s="1004" t="s">
        <v>1706</v>
      </c>
      <c r="AX59" s="1047" t="s">
        <v>1707</v>
      </c>
      <c r="AZ59" s="997" t="s">
        <v>1708</v>
      </c>
      <c r="BE59" s="1047">
        <v>2057</v>
      </c>
      <c r="BJ59" s="1144" t="s">
        <v>1664</v>
      </c>
      <c r="BL59" s="1144" t="s">
        <v>1664</v>
      </c>
    </row>
    <row r="60" spans="1:64" ht="11.25" customHeight="1">
      <c r="A60" s="1004" t="s">
        <v>1709</v>
      </c>
      <c r="D60" s="1046" t="s">
        <v>1710</v>
      </c>
      <c r="E60" s="1024" t="s">
        <v>1593</v>
      </c>
      <c r="F60" s="1004" t="s">
        <v>1706</v>
      </c>
      <c r="AX60" s="1047" t="s">
        <v>1711</v>
      </c>
      <c r="AZ60" s="1047" t="s">
        <v>1232</v>
      </c>
      <c r="BE60" s="1047">
        <v>2058</v>
      </c>
      <c r="BJ60" s="1144" t="s">
        <v>1670</v>
      </c>
      <c r="BL60" s="1144" t="s">
        <v>1670</v>
      </c>
    </row>
    <row r="61" spans="1:64" ht="11.25" customHeight="1">
      <c r="A61" s="1004" t="s">
        <v>1712</v>
      </c>
      <c r="D61" s="1046" t="s">
        <v>1713</v>
      </c>
      <c r="E61" s="1024" t="s">
        <v>1714</v>
      </c>
      <c r="F61" s="1004" t="s">
        <v>1706</v>
      </c>
      <c r="AX61" s="1047" t="s">
        <v>1715</v>
      </c>
      <c r="AZ61" s="1047" t="s">
        <v>1257</v>
      </c>
      <c r="BE61" s="1047">
        <v>2059</v>
      </c>
      <c r="BL61" s="1144" t="s">
        <v>1047</v>
      </c>
    </row>
    <row r="62" spans="1:64" ht="11.25" customHeight="1">
      <c r="A62" s="1004" t="s">
        <v>1716</v>
      </c>
      <c r="D62" s="1046" t="s">
        <v>128</v>
      </c>
      <c r="E62" s="1024">
        <v>31</v>
      </c>
      <c r="F62" s="1004" t="s">
        <v>1706</v>
      </c>
      <c r="AZ62" s="1047" t="s">
        <v>1292</v>
      </c>
      <c r="BE62" s="1047">
        <v>2060</v>
      </c>
      <c r="BL62" s="1144" t="s">
        <v>1049</v>
      </c>
    </row>
    <row r="63" spans="1:64" ht="11.25" customHeight="1">
      <c r="A63" s="1004" t="s">
        <v>1717</v>
      </c>
      <c r="D63" s="1046" t="s">
        <v>1718</v>
      </c>
      <c r="E63" s="1024">
        <v>31</v>
      </c>
      <c r="F63" s="1004" t="s">
        <v>1706</v>
      </c>
      <c r="AZ63" s="1047" t="s">
        <v>1323</v>
      </c>
      <c r="BE63" s="1047">
        <v>2061</v>
      </c>
    </row>
    <row r="64" spans="1:64" ht="11.25" customHeight="1">
      <c r="A64" s="1004" t="s">
        <v>1719</v>
      </c>
      <c r="D64" s="1046" t="s">
        <v>1720</v>
      </c>
      <c r="E64" s="1024">
        <v>31</v>
      </c>
      <c r="F64" s="1004" t="s">
        <v>1706</v>
      </c>
      <c r="AZ64" s="1047" t="s">
        <v>1346</v>
      </c>
      <c r="BE64" s="1047">
        <v>2062</v>
      </c>
    </row>
    <row r="65" spans="1:66" ht="11.25" customHeight="1">
      <c r="A65" s="1004" t="s">
        <v>1721</v>
      </c>
      <c r="D65" s="1004"/>
      <c r="BE65" s="1047">
        <v>2063</v>
      </c>
    </row>
    <row r="66" spans="1:66" ht="11.25" customHeight="1">
      <c r="A66" s="1004" t="s">
        <v>1722</v>
      </c>
      <c r="AZ66" s="997" t="s">
        <v>1723</v>
      </c>
      <c r="BE66" s="1047">
        <v>2064</v>
      </c>
    </row>
    <row r="67" spans="1:66" ht="11.25" customHeight="1">
      <c r="A67" s="1004" t="s">
        <v>1724</v>
      </c>
      <c r="AZ67" s="1047" t="s">
        <v>1233</v>
      </c>
      <c r="BE67" s="1047">
        <v>2065</v>
      </c>
    </row>
    <row r="68" spans="1:66" ht="11.25" customHeight="1">
      <c r="A68" s="1004" t="s">
        <v>1725</v>
      </c>
      <c r="AZ68" s="1047" t="s">
        <v>1258</v>
      </c>
      <c r="BE68" s="1047">
        <v>2066</v>
      </c>
      <c r="BH68" s="997" t="s">
        <v>1726</v>
      </c>
      <c r="BJ68" s="997" t="s">
        <v>1727</v>
      </c>
      <c r="BL68" s="997" t="s">
        <v>1728</v>
      </c>
      <c r="BN68" s="997" t="s">
        <v>1729</v>
      </c>
    </row>
    <row r="69" spans="1:66" ht="11.25" customHeight="1">
      <c r="A69" s="1004" t="s">
        <v>1730</v>
      </c>
      <c r="AZ69" s="1047" t="s">
        <v>1293</v>
      </c>
      <c r="BE69" s="1047">
        <v>2067</v>
      </c>
      <c r="BH69" s="998" t="s">
        <v>1731</v>
      </c>
      <c r="BI69" s="1045" t="s">
        <v>107</v>
      </c>
      <c r="BJ69" s="998" t="s">
        <v>1732</v>
      </c>
      <c r="BK69" s="1045" t="s">
        <v>107</v>
      </c>
      <c r="BL69" s="998" t="s">
        <v>1733</v>
      </c>
      <c r="BM69" s="1000" t="s">
        <v>107</v>
      </c>
      <c r="BN69" s="998" t="s">
        <v>1734</v>
      </c>
    </row>
    <row r="70" spans="1:66" ht="11.25" customHeight="1">
      <c r="A70" s="1004" t="s">
        <v>1735</v>
      </c>
      <c r="AZ70" s="1047" t="s">
        <v>1324</v>
      </c>
      <c r="BE70" s="1047">
        <v>2068</v>
      </c>
      <c r="BH70" s="998" t="s">
        <v>1736</v>
      </c>
      <c r="BJ70" s="998" t="s">
        <v>1737</v>
      </c>
      <c r="BL70" s="998" t="s">
        <v>1738</v>
      </c>
      <c r="BN70" s="998" t="s">
        <v>1739</v>
      </c>
    </row>
    <row r="71" spans="1:66" ht="11.25" customHeight="1">
      <c r="A71" s="1004" t="s">
        <v>1740</v>
      </c>
      <c r="AZ71" s="1047" t="s">
        <v>1326</v>
      </c>
      <c r="BE71" s="1047">
        <v>2069</v>
      </c>
      <c r="BH71" s="998" t="s">
        <v>1741</v>
      </c>
      <c r="BI71" s="1045" t="s">
        <v>87</v>
      </c>
      <c r="BJ71" s="998" t="s">
        <v>1742</v>
      </c>
      <c r="BK71" s="1045" t="s">
        <v>87</v>
      </c>
      <c r="BL71" s="998" t="s">
        <v>1743</v>
      </c>
      <c r="BM71" s="1000" t="s">
        <v>87</v>
      </c>
      <c r="BN71" s="998" t="s">
        <v>1744</v>
      </c>
    </row>
    <row r="72" spans="1:66" ht="11.25" customHeight="1">
      <c r="A72" s="1004" t="s">
        <v>1745</v>
      </c>
      <c r="AZ72" s="1047" t="s">
        <v>19</v>
      </c>
      <c r="BE72" s="1047">
        <v>2070</v>
      </c>
      <c r="BH72" s="998" t="s">
        <v>1746</v>
      </c>
      <c r="BJ72" s="998" t="s">
        <v>1746</v>
      </c>
      <c r="BL72" s="998" t="s">
        <v>1746</v>
      </c>
      <c r="BN72" s="998" t="s">
        <v>1747</v>
      </c>
    </row>
    <row r="73" spans="1:66" ht="11.25" customHeight="1">
      <c r="A73" s="1004" t="s">
        <v>1748</v>
      </c>
      <c r="BH73" s="998" t="s">
        <v>1749</v>
      </c>
      <c r="BI73" s="1045" t="s">
        <v>109</v>
      </c>
      <c r="BJ73" s="998" t="s">
        <v>1750</v>
      </c>
      <c r="BK73" s="1045" t="s">
        <v>109</v>
      </c>
      <c r="BL73" s="998" t="s">
        <v>1751</v>
      </c>
      <c r="BM73" s="1000" t="s">
        <v>109</v>
      </c>
      <c r="BN73" s="998" t="s">
        <v>1752</v>
      </c>
    </row>
    <row r="74" spans="1:66" ht="11.25" customHeight="1">
      <c r="A74" s="1004" t="s">
        <v>1753</v>
      </c>
      <c r="BH74" s="998" t="s">
        <v>1754</v>
      </c>
      <c r="BJ74" s="998" t="s">
        <v>1755</v>
      </c>
      <c r="BL74" s="998" t="s">
        <v>1756</v>
      </c>
      <c r="BN74" s="998" t="s">
        <v>1757</v>
      </c>
    </row>
    <row r="75" spans="1:66" ht="11.25" customHeight="1">
      <c r="A75" s="1004" t="s">
        <v>1758</v>
      </c>
      <c r="AZ75" s="997" t="s">
        <v>1759</v>
      </c>
      <c r="BH75" s="998" t="s">
        <v>1760</v>
      </c>
      <c r="BJ75" s="998" t="s">
        <v>1760</v>
      </c>
      <c r="BL75" s="998" t="s">
        <v>1760</v>
      </c>
    </row>
    <row r="76" spans="1:66" ht="11.25" customHeight="1">
      <c r="A76" s="1004" t="s">
        <v>1761</v>
      </c>
      <c r="AZ76" s="1047" t="s">
        <v>1242</v>
      </c>
      <c r="BH76" s="998" t="s">
        <v>1762</v>
      </c>
      <c r="BJ76" s="998" t="s">
        <v>1763</v>
      </c>
      <c r="BL76" s="998" t="s">
        <v>1764</v>
      </c>
    </row>
    <row r="77" spans="1:66" ht="11.25" customHeight="1">
      <c r="A77" s="1004" t="s">
        <v>1765</v>
      </c>
      <c r="AZ77" s="1047" t="s">
        <v>1268</v>
      </c>
    </row>
    <row r="78" spans="1:66" ht="11.25" customHeight="1">
      <c r="A78" s="1004" t="s">
        <v>1766</v>
      </c>
      <c r="AZ78" s="1047" t="s">
        <v>1300</v>
      </c>
    </row>
    <row r="79" spans="1:66" ht="11.25" customHeight="1">
      <c r="A79" s="1004" t="s">
        <v>1767</v>
      </c>
      <c r="AZ79" s="1047" t="s">
        <v>1330</v>
      </c>
      <c r="BH79" s="997" t="s">
        <v>1768</v>
      </c>
      <c r="BJ79" s="997" t="s">
        <v>1769</v>
      </c>
      <c r="BL79" s="997" t="s">
        <v>1770</v>
      </c>
    </row>
    <row r="80" spans="1:66" ht="11.25" customHeight="1">
      <c r="A80" s="1004" t="s">
        <v>1771</v>
      </c>
      <c r="AZ80" s="1047" t="s">
        <v>1351</v>
      </c>
      <c r="BH80" s="998" t="s">
        <v>1772</v>
      </c>
      <c r="BJ80" s="998" t="s">
        <v>1773</v>
      </c>
      <c r="BL80" s="998" t="s">
        <v>1774</v>
      </c>
    </row>
    <row r="81" spans="1:66" ht="11.25" customHeight="1">
      <c r="A81" s="1004" t="s">
        <v>1775</v>
      </c>
      <c r="AZ81" s="1047" t="s">
        <v>1368</v>
      </c>
      <c r="BH81" s="998" t="s">
        <v>1776</v>
      </c>
      <c r="BJ81" s="998" t="s">
        <v>1777</v>
      </c>
      <c r="BL81" s="998" t="s">
        <v>1778</v>
      </c>
    </row>
    <row r="82" spans="1:66" ht="11.25" customHeight="1">
      <c r="A82" s="1004" t="s">
        <v>1779</v>
      </c>
      <c r="AZ82" s="1047" t="s">
        <v>1383</v>
      </c>
      <c r="BH82" s="998" t="s">
        <v>1780</v>
      </c>
      <c r="BJ82" s="998" t="s">
        <v>1781</v>
      </c>
      <c r="BL82" s="998" t="s">
        <v>1782</v>
      </c>
    </row>
    <row r="83" spans="1:66" ht="11.25" customHeight="1">
      <c r="A83" s="1004" t="s">
        <v>1783</v>
      </c>
      <c r="BH83" s="998" t="s">
        <v>1784</v>
      </c>
      <c r="BJ83" s="998" t="s">
        <v>1785</v>
      </c>
      <c r="BL83" s="998" t="s">
        <v>1786</v>
      </c>
    </row>
    <row r="84" spans="1:66" ht="11.25" customHeight="1">
      <c r="A84" s="1004" t="s">
        <v>16</v>
      </c>
      <c r="AZ84" s="997" t="s">
        <v>1787</v>
      </c>
    </row>
    <row r="85" spans="1:66" ht="11.25" customHeight="1">
      <c r="A85" s="1795" t="s">
        <v>1788</v>
      </c>
      <c r="AZ85" s="1047" t="s">
        <v>1789</v>
      </c>
    </row>
    <row r="86" spans="1:66" ht="11.25" customHeight="1">
      <c r="A86" s="1004" t="s">
        <v>1790</v>
      </c>
      <c r="AZ86" s="1047" t="s">
        <v>1791</v>
      </c>
      <c r="BH86" s="997" t="s">
        <v>1792</v>
      </c>
      <c r="BJ86" s="997" t="s">
        <v>1793</v>
      </c>
      <c r="BL86" s="997" t="s">
        <v>1794</v>
      </c>
    </row>
    <row r="87" spans="1:66" ht="11.25" customHeight="1">
      <c r="A87" s="1004" t="s">
        <v>1795</v>
      </c>
      <c r="AZ87" s="1047" t="s">
        <v>1796</v>
      </c>
      <c r="BH87" s="998" t="s">
        <v>1797</v>
      </c>
      <c r="BJ87" s="998" t="s">
        <v>1798</v>
      </c>
      <c r="BL87" s="998" t="s">
        <v>1799</v>
      </c>
    </row>
    <row r="88" spans="1:66" ht="11.25" customHeight="1">
      <c r="A88" s="1004" t="s">
        <v>1800</v>
      </c>
      <c r="AZ88" s="1533"/>
      <c r="BH88" s="998" t="s">
        <v>1801</v>
      </c>
      <c r="BJ88" s="998" t="s">
        <v>1802</v>
      </c>
      <c r="BL88" s="998" t="s">
        <v>1803</v>
      </c>
    </row>
    <row r="89" spans="1:66" ht="11.25" customHeight="1">
      <c r="A89" s="1004" t="s">
        <v>1804</v>
      </c>
      <c r="AZ89" s="997" t="s">
        <v>1805</v>
      </c>
    </row>
    <row r="90" spans="1:66" ht="11.25" customHeight="1">
      <c r="A90" s="1004" t="s">
        <v>1806</v>
      </c>
      <c r="AZ90" s="1047" t="s">
        <v>1025</v>
      </c>
    </row>
    <row r="91" spans="1:66" ht="11.25" customHeight="1">
      <c r="A91" s="1004" t="s">
        <v>1807</v>
      </c>
      <c r="AZ91" s="1047" t="s">
        <v>1061</v>
      </c>
      <c r="BH91" s="997" t="s">
        <v>1808</v>
      </c>
      <c r="BJ91" s="997" t="s">
        <v>1809</v>
      </c>
      <c r="BL91" s="997" t="s">
        <v>1810</v>
      </c>
    </row>
    <row r="92" spans="1:66" ht="11.25" customHeight="1">
      <c r="AZ92" s="1047" t="s">
        <v>1811</v>
      </c>
      <c r="BH92" s="998" t="s">
        <v>1812</v>
      </c>
      <c r="BJ92" s="998" t="s">
        <v>1813</v>
      </c>
      <c r="BL92" s="998" t="s">
        <v>1814</v>
      </c>
    </row>
    <row r="93" spans="1:66" ht="11.25" customHeight="1">
      <c r="AZ93" s="1047" t="s">
        <v>1815</v>
      </c>
      <c r="BH93" s="998" t="s">
        <v>1816</v>
      </c>
      <c r="BJ93" s="998" t="s">
        <v>1817</v>
      </c>
      <c r="BL93" s="998" t="s">
        <v>1818</v>
      </c>
    </row>
    <row r="94" spans="1:66" ht="11.25" customHeight="1">
      <c r="AZ94" s="1047" t="s">
        <v>1819</v>
      </c>
    </row>
    <row r="96" spans="1:66" ht="11.25" customHeight="1">
      <c r="AZ96" s="997" t="s">
        <v>1820</v>
      </c>
      <c r="BH96" s="997" t="s">
        <v>1821</v>
      </c>
      <c r="BJ96" s="997" t="s">
        <v>1822</v>
      </c>
      <c r="BL96" s="997" t="s">
        <v>1823</v>
      </c>
      <c r="BN96" s="997" t="s">
        <v>1824</v>
      </c>
    </row>
    <row r="97" spans="52:66" ht="11.25" customHeight="1">
      <c r="AZ97" s="1826" t="s">
        <v>1825</v>
      </c>
      <c r="BA97" s="1827" t="s">
        <v>1826</v>
      </c>
      <c r="BH97" s="998" t="s">
        <v>1827</v>
      </c>
      <c r="BJ97" s="998" t="s">
        <v>1828</v>
      </c>
      <c r="BL97" s="998" t="s">
        <v>1829</v>
      </c>
      <c r="BN97" s="998" t="s">
        <v>1830</v>
      </c>
    </row>
    <row r="98" spans="52:66" ht="11.25" customHeight="1">
      <c r="AZ98" s="1826" t="s">
        <v>1831</v>
      </c>
      <c r="BA98" s="1827" t="s">
        <v>1832</v>
      </c>
      <c r="BH98" s="998" t="s">
        <v>1833</v>
      </c>
      <c r="BJ98" s="998" t="s">
        <v>1834</v>
      </c>
      <c r="BL98" s="998" t="s">
        <v>1835</v>
      </c>
      <c r="BN98" s="998" t="s">
        <v>1836</v>
      </c>
    </row>
    <row r="99" spans="52:66" ht="22.5" customHeight="1">
      <c r="AZ99" s="1826" t="s">
        <v>1837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1838</v>
      </c>
      <c r="BJ99" s="998" t="s">
        <v>1839</v>
      </c>
      <c r="BL99" s="998" t="s">
        <v>1840</v>
      </c>
      <c r="BN99" s="998" t="s">
        <v>1841</v>
      </c>
    </row>
    <row r="100" spans="52:66" ht="22.5" customHeight="1">
      <c r="AZ100" s="1826" t="s">
        <v>1842</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1429</v>
      </c>
      <c r="BL100" s="998" t="s">
        <v>1429</v>
      </c>
      <c r="BN100" s="998" t="s">
        <v>1843</v>
      </c>
    </row>
    <row r="101" spans="52:66" ht="22.5" customHeight="1">
      <c r="AZ101" s="1826" t="s">
        <v>1844</v>
      </c>
      <c r="BA101" s="1827" t="s">
        <v>1845</v>
      </c>
      <c r="BN101" s="998" t="s">
        <v>1846</v>
      </c>
    </row>
    <row r="102" spans="52:66" ht="22.5" customHeight="1">
      <c r="AZ102" s="1826" t="s">
        <v>1847</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1848</v>
      </c>
    </row>
    <row r="103" spans="52:66" ht="11.25" customHeight="1">
      <c r="AZ103" s="1826" t="s">
        <v>1849</v>
      </c>
      <c r="BA103" s="1827" t="s">
        <v>1850</v>
      </c>
      <c r="BN103" s="998" t="s">
        <v>1851</v>
      </c>
    </row>
    <row r="104" spans="52:66" ht="11.25" customHeight="1">
      <c r="BN104" s="998" t="s">
        <v>1852</v>
      </c>
    </row>
    <row r="105" spans="52:66" ht="11.25" customHeight="1">
      <c r="AZ105" s="1619" t="s">
        <v>1853</v>
      </c>
    </row>
    <row r="106" spans="52:66" ht="11.25" customHeight="1">
      <c r="AZ106" s="1047" t="s">
        <v>1854</v>
      </c>
    </row>
    <row r="107" spans="52:66" ht="11.25" customHeight="1">
      <c r="AZ107" s="1047" t="s">
        <v>1855</v>
      </c>
      <c r="BH107" s="997" t="s">
        <v>1856</v>
      </c>
      <c r="BJ107" s="997" t="s">
        <v>1857</v>
      </c>
      <c r="BL107" s="997" t="s">
        <v>1858</v>
      </c>
      <c r="BN107" s="997" t="s">
        <v>1859</v>
      </c>
    </row>
    <row r="108" spans="52:66" ht="11.25" customHeight="1">
      <c r="AZ108" s="1047" t="s">
        <v>578</v>
      </c>
      <c r="BH108" s="998" t="s">
        <v>1860</v>
      </c>
      <c r="BJ108" s="998" t="s">
        <v>1861</v>
      </c>
      <c r="BL108" s="998" t="s">
        <v>1515</v>
      </c>
      <c r="BN108" s="998" t="s">
        <v>1862</v>
      </c>
    </row>
    <row r="109" spans="52:66" ht="11.25" customHeight="1">
      <c r="BH109" s="998" t="s">
        <v>1863</v>
      </c>
    </row>
    <row r="110" spans="52:66" ht="11.25" customHeight="1">
      <c r="AZ110" s="1619" t="s">
        <v>1864</v>
      </c>
      <c r="BH110" s="998" t="s">
        <v>1863</v>
      </c>
    </row>
    <row r="111" spans="52:66" ht="11.25" customHeight="1">
      <c r="AZ111" s="1826" t="s">
        <v>1825</v>
      </c>
      <c r="BA111" s="1827" t="s">
        <v>1826</v>
      </c>
    </row>
    <row r="112" spans="52:66" ht="11.25" customHeight="1">
      <c r="AZ112" s="1826" t="s">
        <v>1831</v>
      </c>
      <c r="BA112" s="1827" t="s">
        <v>1832</v>
      </c>
    </row>
    <row r="113" spans="52:60" ht="22.5" customHeight="1">
      <c r="AZ113" s="1826" t="s">
        <v>1837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1842</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1865</v>
      </c>
    </row>
    <row r="115" spans="52:60" ht="22.5" customHeight="1">
      <c r="AZ115" s="1826" t="s">
        <v>1847</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453</v>
      </c>
    </row>
    <row r="116" spans="52:60" ht="11.25" customHeight="1">
      <c r="AZ116" s="1826" t="s">
        <v>1849</v>
      </c>
      <c r="BA116" s="1827" t="s">
        <v>1850</v>
      </c>
      <c r="BH116" s="998" t="s">
        <v>1254</v>
      </c>
    </row>
    <row r="117" spans="52:60" ht="11.25" customHeight="1">
      <c r="BH117" s="998" t="s">
        <v>1289</v>
      </c>
    </row>
    <row r="118" spans="52:60" ht="11.25" customHeight="1">
      <c r="BH118" s="998"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C2DCC-F99A-3218-34A2-D841A186215D}">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307</v>
      </c>
      <c r="J1" s="392" t="s">
        <v>14</v>
      </c>
    </row>
    <row r="2" spans="1:10" ht="22.5" hidden="1" customHeight="1">
      <c r="A2" s="439"/>
      <c r="B2" s="439"/>
      <c r="C2" s="1656" t="s">
        <v>169</v>
      </c>
      <c r="D2" s="1447"/>
      <c r="E2" s="1453"/>
      <c r="F2" s="1476"/>
      <c r="H2" s="412"/>
      <c r="J2" s="392">
        <v>0</v>
      </c>
    </row>
    <row r="3" spans="1:10" ht="11.25" hidden="1" customHeight="1">
      <c r="J3" s="392">
        <v>0</v>
      </c>
    </row>
    <row r="4" spans="1:10" ht="11.45" customHeight="1">
      <c r="A4" s="1477"/>
      <c r="B4" s="1477"/>
      <c r="J4" s="392">
        <v>11</v>
      </c>
    </row>
    <row r="5" spans="1:10" ht="27.4" customHeight="1">
      <c r="D5" s="31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105"/>
      <c r="F5" s="3106"/>
      <c r="I5" s="652"/>
      <c r="J5" s="392">
        <v>26</v>
      </c>
    </row>
    <row r="6" spans="1:10" ht="18" customHeight="1">
      <c r="D6" s="3204" t="str">
        <f>IF(region_name=0,"Не определено",region_name)</f>
        <v>Ханты-Мансийский автономный округ</v>
      </c>
      <c r="E6" s="3204"/>
      <c r="F6" s="3204"/>
      <c r="I6" s="652"/>
      <c r="J6" s="392">
        <v>17</v>
      </c>
    </row>
    <row r="7" spans="1:10" s="414" customFormat="1" ht="11.45" customHeight="1">
      <c r="A7" s="438"/>
      <c r="B7" s="438"/>
      <c r="D7" s="651"/>
      <c r="E7" s="651"/>
      <c r="F7" s="689"/>
      <c r="G7" s="651"/>
      <c r="J7" s="414">
        <v>11</v>
      </c>
    </row>
    <row r="8" spans="1:10" ht="11.25" hidden="1" customHeight="1">
      <c r="A8" s="439"/>
      <c r="B8" s="439"/>
      <c r="C8" s="394"/>
      <c r="D8" s="400"/>
      <c r="E8" s="3210"/>
      <c r="F8" s="3210"/>
      <c r="J8" s="392">
        <v>0</v>
      </c>
    </row>
    <row r="9" spans="1:10" ht="11.45" customHeight="1">
      <c r="A9" s="439"/>
      <c r="B9" s="439"/>
      <c r="C9" s="394"/>
      <c r="D9" s="3207" t="s">
        <v>308</v>
      </c>
      <c r="E9" s="3208"/>
      <c r="F9" s="3208"/>
      <c r="G9" s="3211" t="s">
        <v>309</v>
      </c>
      <c r="J9" s="392">
        <v>11</v>
      </c>
    </row>
    <row r="10" spans="1:10" ht="11.45" customHeight="1">
      <c r="A10" s="439"/>
      <c r="B10" s="439"/>
      <c r="C10" s="394"/>
      <c r="D10" s="1401" t="s">
        <v>85</v>
      </c>
      <c r="E10" s="1403" t="s">
        <v>310</v>
      </c>
      <c r="F10" s="1403" t="s">
        <v>311</v>
      </c>
      <c r="G10" s="321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Нижневартовская ГРЭС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1866</v>
      </c>
      <c r="F13" s="1448" t="s">
        <v>314</v>
      </c>
      <c r="G13" s="411"/>
      <c r="H13" s="1460"/>
      <c r="J13" s="392">
        <v>19</v>
      </c>
    </row>
    <row r="14" spans="1:10" ht="19.899999999999999" customHeight="1">
      <c r="A14" s="439"/>
      <c r="B14" s="439"/>
      <c r="C14" s="394"/>
      <c r="D14" s="1450" t="s">
        <v>715</v>
      </c>
      <c r="E14" s="1451" t="s">
        <v>1867</v>
      </c>
      <c r="F14" s="1453"/>
      <c r="G14" s="1452" t="s">
        <v>1868</v>
      </c>
      <c r="H14" s="1460"/>
      <c r="J14" s="392">
        <v>19</v>
      </c>
    </row>
    <row r="15" spans="1:10" ht="19.899999999999999" customHeight="1">
      <c r="A15" s="439"/>
      <c r="B15" s="439"/>
      <c r="C15" s="394"/>
      <c r="D15" s="1450" t="s">
        <v>315</v>
      </c>
      <c r="E15" s="1451" t="s">
        <v>1869</v>
      </c>
      <c r="F15" s="1453"/>
      <c r="G15" s="1452" t="s">
        <v>1870</v>
      </c>
      <c r="H15" s="1460"/>
      <c r="J15" s="392">
        <v>19</v>
      </c>
    </row>
    <row r="16" spans="1:10" ht="24" customHeight="1">
      <c r="A16" s="439"/>
      <c r="B16" s="439"/>
      <c r="C16" s="394"/>
      <c r="D16" s="1450" t="s">
        <v>318</v>
      </c>
      <c r="E16" s="1449" t="s">
        <v>1871</v>
      </c>
      <c r="F16" s="1458"/>
      <c r="G16" s="411" t="s">
        <v>1872</v>
      </c>
      <c r="H16" s="1460"/>
      <c r="J16" s="392">
        <v>23</v>
      </c>
    </row>
    <row r="17" spans="1:10" ht="48.2" customHeight="1">
      <c r="A17" s="439"/>
      <c r="B17" s="439"/>
      <c r="C17" s="394"/>
      <c r="D17" s="1447">
        <v>3</v>
      </c>
      <c r="E17" s="1454" t="s">
        <v>1873</v>
      </c>
      <c r="F17" s="1453"/>
      <c r="G17" s="411" t="s">
        <v>1874</v>
      </c>
      <c r="H17" s="1460"/>
      <c r="J17" s="392">
        <v>46</v>
      </c>
    </row>
    <row r="18" spans="1:10" ht="48.2" customHeight="1">
      <c r="A18" s="1402">
        <v>1</v>
      </c>
      <c r="B18" s="439"/>
      <c r="C18" s="1404"/>
      <c r="D18" s="1447" t="s">
        <v>88</v>
      </c>
      <c r="E18" s="1454" t="s">
        <v>1875</v>
      </c>
      <c r="F18" s="1453"/>
      <c r="G18" s="411" t="s">
        <v>1874</v>
      </c>
      <c r="H18" s="1460"/>
      <c r="I18" s="783"/>
      <c r="J18" s="392">
        <v>46</v>
      </c>
    </row>
    <row r="19" spans="1:10" ht="23.25" customHeight="1">
      <c r="A19" s="439"/>
      <c r="B19" s="439"/>
      <c r="C19" s="394"/>
      <c r="D19" s="1447" t="s">
        <v>109</v>
      </c>
      <c r="E19" s="1454" t="s">
        <v>1876</v>
      </c>
      <c r="F19" s="1448" t="s">
        <v>314</v>
      </c>
      <c r="G19" s="3449" t="s">
        <v>1877</v>
      </c>
      <c r="H19" s="412"/>
      <c r="J19" s="392">
        <v>22</v>
      </c>
    </row>
    <row r="20" spans="1:10" s="1457" customFormat="1" ht="5.25" hidden="1" customHeight="1">
      <c r="A20" s="439"/>
      <c r="B20" s="439"/>
      <c r="C20" s="1456"/>
      <c r="D20" s="1455" t="s">
        <v>1122</v>
      </c>
      <c r="E20" s="944"/>
      <c r="F20" s="943"/>
      <c r="G20" s="3450"/>
      <c r="J20" s="1457">
        <v>0</v>
      </c>
    </row>
    <row r="21" spans="1:10" ht="15.75" customHeight="1">
      <c r="A21" s="439"/>
      <c r="B21" s="439"/>
      <c r="C21" s="394"/>
      <c r="D21" s="404"/>
      <c r="E21" s="352" t="s">
        <v>347</v>
      </c>
      <c r="F21" s="406"/>
      <c r="G21" s="3451"/>
      <c r="H21" s="1460"/>
      <c r="J21" s="392">
        <v>15</v>
      </c>
    </row>
    <row r="22" spans="1:10" s="438" customFormat="1" ht="26.25" customHeight="1">
      <c r="A22" s="439"/>
      <c r="B22" s="439"/>
      <c r="C22" s="439"/>
      <c r="D22" s="1447" t="s">
        <v>89</v>
      </c>
      <c r="E22" s="411" t="s">
        <v>1878</v>
      </c>
      <c r="F22" s="1453"/>
      <c r="G22" s="411" t="s">
        <v>1879</v>
      </c>
      <c r="H22" s="1459"/>
      <c r="J22" s="438">
        <v>25</v>
      </c>
    </row>
    <row r="23" spans="1:10" s="438" customFormat="1" ht="19.899999999999999" customHeight="1">
      <c r="A23" s="439"/>
      <c r="B23" s="439"/>
      <c r="C23" s="439"/>
      <c r="D23" s="1447" t="s">
        <v>90</v>
      </c>
      <c r="E23" s="1454" t="s">
        <v>1880</v>
      </c>
      <c r="F23" s="1458"/>
      <c r="G23" s="411" t="s">
        <v>1881</v>
      </c>
      <c r="H23" s="1459"/>
      <c r="J23" s="438">
        <v>19</v>
      </c>
    </row>
    <row r="24" spans="1:10" s="438" customFormat="1" ht="144" hidden="1" customHeight="1">
      <c r="A24" s="439"/>
      <c r="B24" s="439"/>
      <c r="C24" s="439"/>
      <c r="D24" s="1447" t="s">
        <v>110</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79</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AE6F2-69CE-D584-C92B-81627D258465}">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1882</v>
      </c>
      <c r="G1" s="1558" t="s">
        <v>49</v>
      </c>
      <c r="H1" s="1558" t="s">
        <v>51</v>
      </c>
      <c r="IU1" s="1082" t="s">
        <v>14</v>
      </c>
    </row>
    <row r="2" spans="1:255" s="1775" customFormat="1" ht="22.5" hidden="1" customHeight="1">
      <c r="A2" s="762"/>
      <c r="B2" s="1087">
        <v>1</v>
      </c>
      <c r="C2" s="1087"/>
      <c r="D2" s="1850" t="s">
        <v>169</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80</v>
      </c>
      <c r="G3" s="431" t="s">
        <v>81</v>
      </c>
      <c r="H3" s="431"/>
      <c r="I3" s="431"/>
      <c r="J3" s="165" t="s">
        <v>82</v>
      </c>
      <c r="K3" s="185" t="s">
        <v>80</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309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097"/>
      <c r="G5" s="3097"/>
      <c r="H5" s="3097"/>
      <c r="I5" s="3097"/>
      <c r="J5" s="309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3093" t="s">
        <v>308</v>
      </c>
      <c r="F7" s="3098"/>
      <c r="G7" s="3098"/>
      <c r="H7" s="3098"/>
      <c r="I7" s="3098"/>
      <c r="J7" s="3452" t="s">
        <v>309</v>
      </c>
      <c r="K7" s="437"/>
      <c r="L7" s="437"/>
      <c r="M7" s="437"/>
      <c r="N7" s="437"/>
      <c r="O7" s="164"/>
      <c r="P7" s="437"/>
      <c r="Q7" s="163"/>
      <c r="R7" s="163"/>
      <c r="S7" s="163"/>
      <c r="T7" s="163"/>
      <c r="IU7" s="444">
        <v>14</v>
      </c>
    </row>
    <row r="8" spans="1:255" s="1745" customFormat="1" ht="21" customHeight="1">
      <c r="A8" s="1082"/>
      <c r="B8" s="1087"/>
      <c r="C8" s="1082"/>
      <c r="D8" s="1422"/>
      <c r="E8" s="1475" t="s">
        <v>85</v>
      </c>
      <c r="F8" s="1467" t="s">
        <v>1882</v>
      </c>
      <c r="G8" s="1467" t="s">
        <v>49</v>
      </c>
      <c r="H8" s="1467" t="s">
        <v>51</v>
      </c>
      <c r="I8" s="1467" t="s">
        <v>1883</v>
      </c>
      <c r="J8" s="3453"/>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315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1884</v>
      </c>
      <c r="G10" s="1469"/>
      <c r="H10" s="1469"/>
      <c r="I10" s="1824"/>
      <c r="J10" s="315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79</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00CC-0457-D7AA-F863-1F669C7B4B8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169</v>
      </c>
      <c r="E2" s="1814"/>
      <c r="F2" s="1817" t="str">
        <f>IF(ROIV_INFO_NAME="","",ROIV_INFO_NAME)</f>
        <v>АО Нижневартовская ГРЭС</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80</v>
      </c>
      <c r="G3" s="1661" t="s">
        <v>81</v>
      </c>
      <c r="H3" s="431"/>
      <c r="I3" s="431"/>
      <c r="J3" s="431"/>
      <c r="K3" s="431"/>
      <c r="L3" s="165" t="s">
        <v>82</v>
      </c>
      <c r="M3" s="185" t="s">
        <v>80</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309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97"/>
      <c r="G5" s="3097"/>
      <c r="H5" s="3097"/>
      <c r="I5" s="3097"/>
      <c r="J5" s="3097"/>
      <c r="K5" s="309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3093" t="s">
        <v>308</v>
      </c>
      <c r="F7" s="3098"/>
      <c r="G7" s="3098"/>
      <c r="H7" s="3098"/>
      <c r="I7" s="3098"/>
      <c r="J7" s="3098"/>
      <c r="K7" s="3098"/>
      <c r="L7" s="3452" t="s">
        <v>309</v>
      </c>
      <c r="M7" s="437"/>
      <c r="N7" s="437"/>
      <c r="O7" s="437"/>
      <c r="P7" s="437"/>
      <c r="Q7" s="164"/>
      <c r="R7" s="437"/>
      <c r="S7" s="163"/>
      <c r="T7" s="163"/>
      <c r="U7" s="163"/>
      <c r="V7" s="163"/>
      <c r="IW7" s="444">
        <v>14</v>
      </c>
    </row>
    <row r="8" spans="1:257" s="1745" customFormat="1" ht="67.150000000000006" customHeight="1">
      <c r="A8" s="1082"/>
      <c r="B8" s="1087"/>
      <c r="C8" s="1082"/>
      <c r="D8" s="1422"/>
      <c r="E8" s="3456" t="s">
        <v>85</v>
      </c>
      <c r="F8" s="34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4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459"/>
      <c r="I8" s="3460"/>
      <c r="J8" s="34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454"/>
      <c r="M8" s="437"/>
      <c r="N8" s="437"/>
      <c r="O8" s="437"/>
      <c r="P8" s="437"/>
      <c r="Q8" s="164"/>
      <c r="R8" s="437"/>
      <c r="S8" s="163"/>
      <c r="T8" s="163"/>
      <c r="U8" s="163"/>
      <c r="V8" s="163"/>
      <c r="IW8" s="444">
        <v>64</v>
      </c>
    </row>
    <row r="9" spans="1:257" s="1745" customFormat="1" ht="29.25" customHeight="1">
      <c r="A9" s="1082"/>
      <c r="B9" s="1087"/>
      <c r="C9" s="1082"/>
      <c r="D9" s="1422"/>
      <c r="E9" s="3457"/>
      <c r="F9" s="3457"/>
      <c r="G9" s="1464" t="s">
        <v>1885</v>
      </c>
      <c r="H9" s="1464" t="s">
        <v>1886</v>
      </c>
      <c r="I9" s="1464" t="s">
        <v>1887</v>
      </c>
      <c r="J9" s="3457"/>
      <c r="K9" s="3457"/>
      <c r="L9" s="3453"/>
      <c r="M9" s="437"/>
      <c r="N9" s="437"/>
      <c r="O9" s="437"/>
      <c r="P9" s="437"/>
      <c r="Q9" s="164"/>
      <c r="R9" s="437"/>
      <c r="S9" s="163"/>
      <c r="T9" s="163"/>
      <c r="U9" s="163"/>
      <c r="V9" s="163"/>
      <c r="IW9" s="444">
        <v>28</v>
      </c>
    </row>
    <row r="10" spans="1:257" s="1775" customFormat="1" ht="23.25" customHeight="1">
      <c r="A10" s="3096"/>
      <c r="B10" s="1087">
        <v>1</v>
      </c>
      <c r="C10" s="1087"/>
      <c r="D10" s="731"/>
      <c r="E10" s="729">
        <v>1</v>
      </c>
      <c r="F10" s="1466" t="str">
        <f>IF(ROIV_INFO_NAME="","",ROIV_INFO_NAME)</f>
        <v>АО Нижневартовская ГРЭС</v>
      </c>
      <c r="G10" s="1658" t="s">
        <v>28</v>
      </c>
      <c r="H10" s="1841"/>
      <c r="I10" s="1461"/>
      <c r="J10" s="749"/>
      <c r="K10" s="749"/>
      <c r="L10" s="3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3096"/>
      <c r="B11" s="1087"/>
      <c r="C11" s="349"/>
      <c r="D11" s="732"/>
      <c r="E11" s="358"/>
      <c r="F11" s="353" t="s">
        <v>1888</v>
      </c>
      <c r="G11" s="125"/>
      <c r="H11" s="125"/>
      <c r="I11" s="125"/>
      <c r="J11" s="125"/>
      <c r="K11" s="361"/>
      <c r="L11" s="345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79</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C5FCC-0522-1C83-E803-3EDCA0E2CDE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169</v>
      </c>
      <c r="E2" s="1829"/>
      <c r="F2" s="1831" t="str">
        <f>IF(ROIV_INFO_NAME="","",ROIV_INFO_NAME)</f>
        <v>АО Нижневартовская ГРЭС</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80</v>
      </c>
      <c r="G3" s="1661" t="s">
        <v>81</v>
      </c>
      <c r="H3" s="1818"/>
      <c r="I3" s="1818"/>
      <c r="J3" s="1818"/>
      <c r="K3" s="1818"/>
      <c r="L3" s="165" t="s">
        <v>82</v>
      </c>
      <c r="M3" s="186" t="s">
        <v>80</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309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97"/>
      <c r="G5" s="3097"/>
      <c r="H5" s="3097"/>
      <c r="I5" s="3097"/>
      <c r="J5" s="3097"/>
      <c r="K5" s="309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3093" t="s">
        <v>308</v>
      </c>
      <c r="F7" s="3098"/>
      <c r="G7" s="3098"/>
      <c r="H7" s="3098"/>
      <c r="I7" s="3098"/>
      <c r="J7" s="3098"/>
      <c r="K7" s="3098"/>
      <c r="L7" s="3452" t="s">
        <v>309</v>
      </c>
      <c r="M7" s="1551"/>
      <c r="N7" s="1551"/>
      <c r="O7" s="1551"/>
      <c r="P7" s="1551"/>
      <c r="Q7" s="1551"/>
      <c r="R7" s="1551"/>
      <c r="S7" s="163"/>
      <c r="T7" s="163"/>
      <c r="U7" s="163"/>
      <c r="V7" s="163"/>
      <c r="IW7" s="1536">
        <v>14</v>
      </c>
    </row>
    <row r="8" spans="1:257" s="1745" customFormat="1" ht="67.150000000000006" customHeight="1">
      <c r="A8" s="1558"/>
      <c r="B8" s="1293"/>
      <c r="C8" s="1558"/>
      <c r="D8" s="1442"/>
      <c r="E8" s="3456" t="s">
        <v>85</v>
      </c>
      <c r="F8" s="3456" t="s">
        <v>1889</v>
      </c>
      <c r="G8" s="3458" t="s">
        <v>1890</v>
      </c>
      <c r="H8" s="3459"/>
      <c r="I8" s="3460"/>
      <c r="J8" s="3456" t="s">
        <v>1891</v>
      </c>
      <c r="K8" s="3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454"/>
      <c r="M8" s="1551"/>
      <c r="N8" s="1551"/>
      <c r="O8" s="1551"/>
      <c r="P8" s="1551"/>
      <c r="Q8" s="1551"/>
      <c r="R8" s="1551"/>
      <c r="S8" s="163"/>
      <c r="T8" s="163"/>
      <c r="U8" s="163"/>
      <c r="V8" s="163"/>
      <c r="IW8" s="1536">
        <v>64</v>
      </c>
    </row>
    <row r="9" spans="1:257" s="1745" customFormat="1" ht="29.25" customHeight="1">
      <c r="A9" s="1558"/>
      <c r="B9" s="1293"/>
      <c r="C9" s="1558"/>
      <c r="D9" s="1442"/>
      <c r="E9" s="3457"/>
      <c r="F9" s="3457"/>
      <c r="G9" s="1819" t="s">
        <v>1885</v>
      </c>
      <c r="H9" s="1819" t="s">
        <v>1886</v>
      </c>
      <c r="I9" s="1819" t="s">
        <v>1887</v>
      </c>
      <c r="J9" s="3457"/>
      <c r="K9" s="3457"/>
      <c r="L9" s="3453"/>
      <c r="M9" s="1551"/>
      <c r="N9" s="1551"/>
      <c r="O9" s="1551"/>
      <c r="P9" s="1551"/>
      <c r="Q9" s="1551"/>
      <c r="R9" s="1551"/>
      <c r="S9" s="163"/>
      <c r="T9" s="163"/>
      <c r="U9" s="163"/>
      <c r="V9" s="163"/>
      <c r="IW9" s="1536">
        <v>28</v>
      </c>
    </row>
    <row r="10" spans="1:257" s="1775" customFormat="1" ht="1.1499999999999999" customHeight="1">
      <c r="A10" s="3096"/>
      <c r="B10" s="1293">
        <v>1</v>
      </c>
      <c r="C10" s="1293"/>
      <c r="D10" s="731"/>
      <c r="E10" s="726">
        <v>0</v>
      </c>
      <c r="F10" s="1816" t="str">
        <f>IF(ROIV_INFO_NAME="","",ROIV_INFO_NAME)</f>
        <v>АО Нижневартовская ГРЭС</v>
      </c>
      <c r="G10" s="1659" t="s">
        <v>28</v>
      </c>
      <c r="H10" s="1828"/>
      <c r="I10" s="1828"/>
      <c r="J10" s="456"/>
      <c r="K10" s="456"/>
      <c r="L10" s="3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3096"/>
      <c r="B11" s="1293"/>
      <c r="C11" s="349"/>
      <c r="D11" s="732"/>
      <c r="E11" s="358"/>
      <c r="F11" s="588" t="s">
        <v>1888</v>
      </c>
      <c r="G11" s="125"/>
      <c r="H11" s="125"/>
      <c r="I11" s="125"/>
      <c r="J11" s="125"/>
      <c r="K11" s="361"/>
      <c r="L11" s="345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79</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5F89C-98E1-A357-2D0E-0EBB41FCBA4F}">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169</v>
      </c>
      <c r="E2" s="3111">
        <v>1</v>
      </c>
      <c r="F2" s="3322" t="str">
        <f>IF(region_name="","",region_name)</f>
        <v>Ханты-Мансийский автономный округ</v>
      </c>
      <c r="G2" s="3469"/>
      <c r="H2" s="3470"/>
      <c r="I2" s="411"/>
      <c r="J2" s="1835">
        <v>1</v>
      </c>
      <c r="K2" s="1837"/>
      <c r="L2" s="1837"/>
      <c r="M2" s="1837"/>
      <c r="N2" s="429"/>
      <c r="O2" s="1462"/>
      <c r="P2" s="448"/>
      <c r="Q2" s="360">
        <v>0</v>
      </c>
    </row>
    <row r="3" spans="1:17" s="1775" customFormat="1" ht="22.5" hidden="1" customHeight="1">
      <c r="A3" s="762"/>
      <c r="B3" s="1087"/>
      <c r="C3" s="1087"/>
      <c r="D3" s="732"/>
      <c r="E3" s="3111"/>
      <c r="F3" s="3322"/>
      <c r="G3" s="3469"/>
      <c r="H3" s="3471"/>
      <c r="I3" s="358"/>
      <c r="J3" s="1427"/>
      <c r="K3" s="1427" t="s">
        <v>1892</v>
      </c>
      <c r="L3" s="1470"/>
      <c r="M3" s="1845"/>
      <c r="N3" s="1838"/>
      <c r="O3" s="1462"/>
      <c r="P3" s="448"/>
      <c r="Q3" s="360">
        <v>0</v>
      </c>
    </row>
    <row r="4" spans="1:17" s="1569" customFormat="1" ht="5.25" hidden="1" customHeight="1">
      <c r="A4" s="433"/>
      <c r="D4" s="431"/>
      <c r="F4" s="185" t="s">
        <v>80</v>
      </c>
      <c r="G4" s="431" t="s">
        <v>81</v>
      </c>
      <c r="H4" s="431"/>
      <c r="I4" s="1848"/>
      <c r="J4" s="1471"/>
      <c r="K4" s="1836"/>
      <c r="L4" s="1836"/>
      <c r="M4" s="1836"/>
      <c r="N4" s="1832"/>
      <c r="O4" s="185" t="s">
        <v>80</v>
      </c>
      <c r="P4" s="185"/>
      <c r="Q4" s="448">
        <v>0</v>
      </c>
    </row>
    <row r="5" spans="1:17" s="1775" customFormat="1" ht="22.5" hidden="1" customHeight="1">
      <c r="A5" s="1568"/>
      <c r="B5" s="1293">
        <v>1</v>
      </c>
      <c r="C5" s="1293"/>
      <c r="D5" s="732"/>
      <c r="E5" s="1838"/>
      <c r="F5" s="1838"/>
      <c r="G5" s="1838"/>
      <c r="H5" s="1849"/>
      <c r="I5" s="1851" t="s">
        <v>169</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3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463"/>
      <c r="G7" s="3463"/>
      <c r="H7" s="3463"/>
      <c r="I7" s="3463"/>
      <c r="J7" s="3463"/>
      <c r="K7" s="3463"/>
      <c r="L7" s="3463"/>
      <c r="M7" s="3463"/>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466"/>
      <c r="J9" s="3466"/>
      <c r="K9" s="3466"/>
      <c r="L9" s="1839"/>
      <c r="M9" s="1840"/>
      <c r="O9" s="1472"/>
      <c r="P9" s="1472"/>
      <c r="Q9" s="1473">
        <v>0</v>
      </c>
    </row>
    <row r="10" spans="1:17" s="1745" customFormat="1" ht="14.65" customHeight="1">
      <c r="A10" s="1082"/>
      <c r="B10" s="1087"/>
      <c r="C10" s="1082"/>
      <c r="D10" s="1422"/>
      <c r="E10" s="3111" t="s">
        <v>308</v>
      </c>
      <c r="F10" s="3111"/>
      <c r="G10" s="3111"/>
      <c r="H10" s="3111"/>
      <c r="I10" s="3111"/>
      <c r="J10" s="3111"/>
      <c r="K10" s="3111"/>
      <c r="L10" s="3111"/>
      <c r="M10" s="3093"/>
      <c r="N10" s="3456" t="s">
        <v>309</v>
      </c>
      <c r="O10" s="437"/>
      <c r="P10" s="437"/>
      <c r="Q10" s="444">
        <v>14</v>
      </c>
    </row>
    <row r="11" spans="1:17" s="1745" customFormat="1" ht="44.25" customHeight="1">
      <c r="A11" s="1558"/>
      <c r="B11" s="1293"/>
      <c r="C11" s="1558"/>
      <c r="D11" s="1442"/>
      <c r="E11" s="3465" t="s">
        <v>85</v>
      </c>
      <c r="F11" s="3465" t="s">
        <v>312</v>
      </c>
      <c r="G11" s="3465" t="s">
        <v>1893</v>
      </c>
      <c r="H11" s="3465"/>
      <c r="I11" s="3465" t="s">
        <v>1894</v>
      </c>
      <c r="J11" s="3465"/>
      <c r="K11" s="3465"/>
      <c r="L11" s="3465" t="s">
        <v>1895</v>
      </c>
      <c r="M11" s="3458" t="s">
        <v>1896</v>
      </c>
      <c r="N11" s="3464"/>
      <c r="O11" s="1551"/>
      <c r="P11" s="1551"/>
      <c r="Q11" s="1536">
        <v>42</v>
      </c>
    </row>
    <row r="12" spans="1:17" s="1745" customFormat="1" ht="29.25" customHeight="1">
      <c r="A12" s="1082"/>
      <c r="B12" s="1087"/>
      <c r="C12" s="1082"/>
      <c r="D12" s="1422"/>
      <c r="E12" s="3456"/>
      <c r="F12" s="3465"/>
      <c r="G12" s="1834" t="s">
        <v>1897</v>
      </c>
      <c r="H12" s="1834" t="s">
        <v>316</v>
      </c>
      <c r="I12" s="3465"/>
      <c r="J12" s="3465"/>
      <c r="K12" s="3465"/>
      <c r="L12" s="3465"/>
      <c r="M12" s="3458"/>
      <c r="N12" s="3457"/>
      <c r="O12" s="437"/>
      <c r="P12" s="437"/>
      <c r="Q12" s="444">
        <v>28</v>
      </c>
    </row>
    <row r="13" spans="1:17" s="1775" customFormat="1" ht="23.25" customHeight="1">
      <c r="A13" s="3096">
        <v>26379339</v>
      </c>
      <c r="B13" s="1087">
        <v>1</v>
      </c>
      <c r="C13" s="1087"/>
      <c r="D13" s="732"/>
      <c r="E13" s="3111">
        <v>1</v>
      </c>
      <c r="F13" s="3472" t="str">
        <f>IF(region_name="","",region_name)</f>
        <v>Ханты-Мансийский автономный округ</v>
      </c>
      <c r="G13" s="3473"/>
      <c r="H13" s="3467"/>
      <c r="I13" s="411"/>
      <c r="J13" s="1830">
        <v>1</v>
      </c>
      <c r="K13" s="1843"/>
      <c r="L13" s="1844"/>
      <c r="M13" s="1844"/>
      <c r="N13" s="3461" t="s">
        <v>1898</v>
      </c>
      <c r="O13" s="1462"/>
      <c r="P13" s="448"/>
      <c r="Q13" s="360">
        <v>22</v>
      </c>
    </row>
    <row r="14" spans="1:17" s="1775" customFormat="1" ht="23.25" customHeight="1">
      <c r="A14" s="3096"/>
      <c r="B14" s="1087"/>
      <c r="C14" s="1087"/>
      <c r="D14" s="732"/>
      <c r="E14" s="3111"/>
      <c r="F14" s="3472"/>
      <c r="G14" s="3473"/>
      <c r="H14" s="3468"/>
      <c r="I14" s="358"/>
      <c r="J14" s="1427"/>
      <c r="K14" s="1427" t="s">
        <v>1892</v>
      </c>
      <c r="L14" s="1470"/>
      <c r="M14" s="1470"/>
      <c r="N14" s="3462"/>
      <c r="O14" s="1462"/>
      <c r="P14" s="448"/>
      <c r="Q14" s="360">
        <v>22</v>
      </c>
    </row>
    <row r="15" spans="1:17" s="1775" customFormat="1" ht="23.25" customHeight="1">
      <c r="A15" s="3096"/>
      <c r="B15" s="1087"/>
      <c r="C15" s="349"/>
      <c r="D15" s="732"/>
      <c r="E15" s="358"/>
      <c r="F15" s="1427" t="s">
        <v>1884</v>
      </c>
      <c r="G15" s="1469"/>
      <c r="H15" s="1469"/>
      <c r="I15" s="125"/>
      <c r="J15" s="125"/>
      <c r="K15" s="125"/>
      <c r="L15" s="125"/>
      <c r="M15" s="125"/>
      <c r="N15" s="3462"/>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79</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5B67E-FFD3-F595-6F66-948C22EBF2C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3097" t="s">
        <v>1899</v>
      </c>
      <c r="E5" s="3097"/>
      <c r="F5" s="3097"/>
      <c r="G5" s="3097"/>
      <c r="H5" s="309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3212" t="s">
        <v>308</v>
      </c>
      <c r="E8" s="3212"/>
      <c r="F8" s="3212"/>
      <c r="G8" s="3212"/>
      <c r="H8" s="3212"/>
      <c r="I8" s="3212" t="s">
        <v>309</v>
      </c>
      <c r="M8" s="61">
        <v>14</v>
      </c>
    </row>
    <row r="9" spans="1:13" ht="29.25" customHeight="1">
      <c r="D9" s="3212" t="s">
        <v>85</v>
      </c>
      <c r="E9" s="3212" t="s">
        <v>1900</v>
      </c>
      <c r="F9" s="3212"/>
      <c r="G9" s="3212"/>
      <c r="H9" s="3212"/>
      <c r="I9" s="3212"/>
      <c r="M9" s="61">
        <v>28</v>
      </c>
    </row>
    <row r="10" spans="1:13" ht="24" customHeight="1">
      <c r="D10" s="3212"/>
      <c r="E10" s="67" t="s">
        <v>1901</v>
      </c>
      <c r="F10" s="67" t="s">
        <v>1902</v>
      </c>
      <c r="G10" s="67" t="s">
        <v>1903</v>
      </c>
      <c r="H10" s="67" t="s">
        <v>398</v>
      </c>
      <c r="I10" s="3212"/>
      <c r="M10" s="61">
        <v>23</v>
      </c>
    </row>
    <row r="11" spans="1:13" ht="12" hidden="1" customHeight="1">
      <c r="D11" s="27" t="s">
        <v>107</v>
      </c>
      <c r="E11" s="27" t="s">
        <v>88</v>
      </c>
      <c r="F11" s="27" t="s">
        <v>109</v>
      </c>
      <c r="G11" s="27" t="s">
        <v>89</v>
      </c>
      <c r="H11" s="27" t="s">
        <v>90</v>
      </c>
      <c r="I11" s="27" t="s">
        <v>110</v>
      </c>
      <c r="M11" s="61">
        <v>0</v>
      </c>
    </row>
    <row r="12" spans="1:13" s="1748" customFormat="1" ht="26.25" customHeight="1">
      <c r="A12" s="83" t="s">
        <v>87</v>
      </c>
      <c r="B12" s="65" t="s">
        <v>28</v>
      </c>
      <c r="C12" s="66"/>
      <c r="D12" s="68" t="s">
        <v>107</v>
      </c>
      <c r="E12" s="318"/>
      <c r="F12" s="318"/>
      <c r="G12" s="1660" t="s">
        <v>28</v>
      </c>
      <c r="H12" s="319"/>
      <c r="I12" s="3155" t="s">
        <v>1904</v>
      </c>
      <c r="K12" s="210"/>
      <c r="L12" s="211"/>
      <c r="M12" s="57">
        <v>25</v>
      </c>
    </row>
    <row r="13" spans="1:13" ht="15.75" customHeight="1">
      <c r="A13" s="61"/>
      <c r="B13" s="61"/>
      <c r="C13" s="61"/>
      <c r="D13" s="49"/>
      <c r="E13" s="70" t="s">
        <v>475</v>
      </c>
      <c r="F13" s="69"/>
      <c r="G13" s="69"/>
      <c r="H13" s="152"/>
      <c r="I13" s="3157"/>
      <c r="M13" s="61">
        <v>15</v>
      </c>
    </row>
    <row r="14" spans="1:13" ht="3" customHeight="1">
      <c r="A14" s="61"/>
      <c r="B14" s="61"/>
      <c r="C14" s="61"/>
      <c r="M14" s="61">
        <v>3</v>
      </c>
    </row>
    <row r="15" spans="1:13" ht="29.25" customHeight="1">
      <c r="E15" s="3474" t="s">
        <v>1905</v>
      </c>
      <c r="F15" s="3474"/>
      <c r="G15" s="3474"/>
      <c r="H15" s="3474"/>
      <c r="M15" s="61">
        <v>28</v>
      </c>
    </row>
    <row r="16" spans="1:13" ht="14.25" hidden="1" customHeight="1">
      <c r="A16" s="58" t="s">
        <v>79</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20F9D-1893-FA7D-AE56-21262B3D6DF8}">
  <sheetPr>
    <tabColor rgb="FFCCCCFF"/>
    <pageSetUpPr fitToPage="1"/>
  </sheetPr>
  <dimension ref="A1:J17"/>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3475" t="s">
        <v>1906</v>
      </c>
      <c r="E7" s="3476"/>
      <c r="F7" s="205"/>
      <c r="J7" s="9">
        <v>22</v>
      </c>
    </row>
    <row r="8" spans="3:10" ht="3" customHeight="1">
      <c r="C8" s="32"/>
      <c r="D8" s="10"/>
      <c r="E8" s="10"/>
      <c r="J8" s="9">
        <v>3</v>
      </c>
    </row>
    <row r="9" spans="3:10" ht="16.899999999999999" customHeight="1">
      <c r="C9" s="32"/>
      <c r="D9" s="45" t="s">
        <v>85</v>
      </c>
      <c r="E9" s="198" t="s">
        <v>1907</v>
      </c>
      <c r="J9" s="9">
        <v>16</v>
      </c>
    </row>
    <row r="10" spans="3:10" ht="1.1499999999999999" customHeight="1">
      <c r="C10" s="32"/>
      <c r="D10" s="27"/>
      <c r="E10" s="27"/>
      <c r="J10" s="9">
        <v>1</v>
      </c>
    </row>
    <row r="11" spans="3:10" ht="11.25" hidden="1" customHeight="1">
      <c r="C11" s="32"/>
      <c r="D11" s="88">
        <v>0</v>
      </c>
      <c r="E11" s="199"/>
      <c r="J11" s="9">
        <v>0</v>
      </c>
    </row>
    <row r="12" spans="3:10" ht="37.5" customHeight="1">
      <c r="C12" s="75"/>
      <c r="D12" s="53">
        <v>1</v>
      </c>
      <c r="E12" s="314" t="s">
        <v>1908</v>
      </c>
      <c r="J12" s="9">
        <v>15</v>
      </c>
    </row>
    <row r="13" spans="3:10" ht="49.5" customHeight="1">
      <c r="C13" s="620" t="s">
        <v>169</v>
      </c>
      <c r="D13" s="53" t="s">
        <v>108</v>
      </c>
      <c r="E13" s="314" t="s">
        <v>1909</v>
      </c>
    </row>
    <row r="14" spans="3:10" ht="12.75" customHeight="1">
      <c r="C14" s="32"/>
      <c r="D14" s="200"/>
      <c r="E14" s="201" t="s">
        <v>1910</v>
      </c>
      <c r="J14" s="9">
        <v>12</v>
      </c>
    </row>
    <row r="15" spans="3:10" ht="3" customHeight="1">
      <c r="J15" s="9">
        <v>3</v>
      </c>
    </row>
    <row r="16" spans="3:10" ht="23.25" customHeight="1">
      <c r="C16" s="76"/>
      <c r="D16" s="3474" t="s">
        <v>1911</v>
      </c>
      <c r="E16" s="3474"/>
      <c r="F16" s="77"/>
      <c r="G16" s="77"/>
      <c r="H16" s="77"/>
      <c r="I16" s="77"/>
      <c r="J16" s="9">
        <v>22</v>
      </c>
    </row>
    <row r="17" spans="1:10" ht="14.25" hidden="1" customHeight="1">
      <c r="A17" s="9" t="s">
        <v>79</v>
      </c>
      <c r="B17" s="9">
        <v>0</v>
      </c>
      <c r="C17" s="31">
        <v>3</v>
      </c>
      <c r="D17" s="9">
        <v>6</v>
      </c>
      <c r="E17" s="9">
        <v>94</v>
      </c>
      <c r="F17" s="9">
        <v>8</v>
      </c>
      <c r="G17" s="9">
        <v>8</v>
      </c>
      <c r="H17" s="9">
        <v>8</v>
      </c>
      <c r="I17" s="9">
        <v>8</v>
      </c>
      <c r="J17" s="9">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CDEBC-0E8B-1AC6-2819-A5EDE259C9A9}">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3097" t="s">
        <v>1912</v>
      </c>
      <c r="E7" s="3097"/>
      <c r="F7" s="205"/>
      <c r="M7" s="9">
        <v>22</v>
      </c>
    </row>
    <row r="8" spans="1:13" ht="3" customHeight="1">
      <c r="C8" s="32"/>
      <c r="D8" s="10"/>
      <c r="E8" s="10"/>
      <c r="M8" s="9">
        <v>3</v>
      </c>
    </row>
    <row r="9" spans="1:13" ht="16.899999999999999" customHeight="1">
      <c r="C9" s="32"/>
      <c r="D9" s="45" t="s">
        <v>85</v>
      </c>
      <c r="E9" s="48" t="s">
        <v>295</v>
      </c>
      <c r="M9" s="9">
        <v>16</v>
      </c>
    </row>
    <row r="10" spans="1:13" ht="12.75" customHeight="1">
      <c r="C10" s="32"/>
      <c r="D10" s="27" t="s">
        <v>107</v>
      </c>
      <c r="E10" s="27" t="s">
        <v>108</v>
      </c>
      <c r="M10" s="9">
        <v>12</v>
      </c>
    </row>
    <row r="11" spans="1:13" ht="15" hidden="1" customHeight="1">
      <c r="C11" s="32"/>
      <c r="D11" s="53">
        <v>0</v>
      </c>
      <c r="E11" s="87"/>
      <c r="M11" s="9">
        <v>0</v>
      </c>
    </row>
    <row r="12" spans="1:13" ht="14.65" customHeight="1">
      <c r="C12" s="32"/>
      <c r="D12" s="49"/>
      <c r="E12" s="47" t="s">
        <v>1910</v>
      </c>
      <c r="M12" s="9">
        <v>14</v>
      </c>
    </row>
    <row r="13" spans="1:13" ht="14.25" hidden="1" customHeight="1">
      <c r="A13" s="9" t="s">
        <v>79</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7037E-498B-D323-1873-240AA36F0396}">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287</v>
      </c>
      <c r="M2" s="1480" t="s">
        <v>288</v>
      </c>
      <c r="R2" s="1480" t="s">
        <v>289</v>
      </c>
      <c r="S2" s="1480" t="s">
        <v>288</v>
      </c>
      <c r="X2" s="1480" t="s">
        <v>287</v>
      </c>
      <c r="Y2" s="1480" t="s">
        <v>288</v>
      </c>
      <c r="AD2" s="1480" t="s">
        <v>287</v>
      </c>
      <c r="AE2" s="1480" t="s">
        <v>288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3183" t="s">
        <v>290</v>
      </c>
      <c r="E4" s="3183"/>
      <c r="F4" s="3183"/>
      <c r="G4" s="3183"/>
      <c r="H4" s="3183"/>
      <c r="I4" s="3183"/>
      <c r="J4" s="318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3204" t="str">
        <f>IF(org=0,"Не определено",org)</f>
        <v>АО Нижневартовская ГРЭС</v>
      </c>
      <c r="E5" s="3204"/>
      <c r="F5" s="3204"/>
      <c r="G5" s="3204"/>
      <c r="H5" s="3204"/>
      <c r="I5" s="3204"/>
      <c r="J5" s="320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3111" t="s">
        <v>85</v>
      </c>
      <c r="E8" s="3111" t="s">
        <v>103</v>
      </c>
      <c r="F8" s="3185" t="s">
        <v>120</v>
      </c>
      <c r="G8" s="3186"/>
      <c r="H8" s="3185" t="s">
        <v>85</v>
      </c>
      <c r="I8" s="3186"/>
      <c r="J8" s="3111" t="s">
        <v>121</v>
      </c>
      <c r="K8" s="1483"/>
      <c r="L8" s="3184" t="s">
        <v>291</v>
      </c>
      <c r="M8" s="3184"/>
      <c r="N8" s="3184"/>
      <c r="O8" s="3184"/>
      <c r="P8" s="3184"/>
      <c r="Q8" s="1484"/>
      <c r="R8" s="3093" t="s">
        <v>292</v>
      </c>
      <c r="S8" s="3098"/>
      <c r="T8" s="3098"/>
      <c r="U8" s="3098"/>
      <c r="V8" s="3098"/>
      <c r="W8" s="1484"/>
      <c r="X8" s="3111" t="s">
        <v>293</v>
      </c>
      <c r="Y8" s="3111"/>
      <c r="Z8" s="3111"/>
      <c r="AA8" s="3111"/>
      <c r="AB8" s="3111"/>
      <c r="AC8" s="1485"/>
      <c r="AD8" s="3111" t="s">
        <v>294</v>
      </c>
      <c r="AE8" s="3111"/>
      <c r="AF8" s="3111"/>
      <c r="AG8" s="3111"/>
      <c r="AH8" s="3093"/>
      <c r="AI8" s="3111" t="s">
        <v>295</v>
      </c>
      <c r="AJ8" s="1501"/>
      <c r="BM8" s="231">
        <v>32</v>
      </c>
    </row>
    <row r="9" spans="1:65" ht="23.25" customHeight="1">
      <c r="D9" s="3111"/>
      <c r="E9" s="3111"/>
      <c r="F9" s="3184" t="s">
        <v>86</v>
      </c>
      <c r="G9" s="3184" t="s">
        <v>126</v>
      </c>
      <c r="H9" s="3187"/>
      <c r="I9" s="3188"/>
      <c r="J9" s="3093"/>
      <c r="K9" s="1486"/>
      <c r="L9" s="3111" t="s">
        <v>296</v>
      </c>
      <c r="M9" s="3093"/>
      <c r="N9" s="3185" t="s">
        <v>85</v>
      </c>
      <c r="O9" s="3186"/>
      <c r="P9" s="3111" t="s">
        <v>127</v>
      </c>
      <c r="Q9" s="1483"/>
      <c r="R9" s="3111" t="s">
        <v>296</v>
      </c>
      <c r="S9" s="3093"/>
      <c r="T9" s="3185" t="s">
        <v>85</v>
      </c>
      <c r="U9" s="3186"/>
      <c r="V9" s="3111" t="s">
        <v>127</v>
      </c>
      <c r="W9" s="1483"/>
      <c r="X9" s="3111" t="s">
        <v>296</v>
      </c>
      <c r="Y9" s="3093"/>
      <c r="Z9" s="3185" t="s">
        <v>85</v>
      </c>
      <c r="AA9" s="3186"/>
      <c r="AB9" s="3111" t="s">
        <v>297</v>
      </c>
      <c r="AC9" s="1483"/>
      <c r="AD9" s="3111" t="s">
        <v>296</v>
      </c>
      <c r="AE9" s="3093"/>
      <c r="AF9" s="3185" t="s">
        <v>85</v>
      </c>
      <c r="AG9" s="3186"/>
      <c r="AH9" s="3093" t="s">
        <v>297</v>
      </c>
      <c r="AI9" s="3111"/>
      <c r="AJ9" s="1501"/>
      <c r="BM9" s="231">
        <v>22</v>
      </c>
    </row>
    <row r="10" spans="1:65" ht="24" customHeight="1">
      <c r="D10" s="3184"/>
      <c r="E10" s="3184"/>
      <c r="F10" s="3189"/>
      <c r="G10" s="3189"/>
      <c r="H10" s="3190"/>
      <c r="I10" s="3191"/>
      <c r="J10" s="3185"/>
      <c r="K10" s="1486"/>
      <c r="L10" s="1505" t="s">
        <v>298</v>
      </c>
      <c r="M10" s="1500" t="s">
        <v>299</v>
      </c>
      <c r="N10" s="3187"/>
      <c r="O10" s="3188"/>
      <c r="P10" s="3184"/>
      <c r="Q10" s="1483"/>
      <c r="R10" s="1505" t="s">
        <v>298</v>
      </c>
      <c r="S10" s="1500" t="s">
        <v>299</v>
      </c>
      <c r="T10" s="3187"/>
      <c r="U10" s="3188"/>
      <c r="V10" s="3184"/>
      <c r="W10" s="1483"/>
      <c r="X10" s="1505" t="s">
        <v>298</v>
      </c>
      <c r="Y10" s="1500" t="s">
        <v>299</v>
      </c>
      <c r="Z10" s="3187"/>
      <c r="AA10" s="3188"/>
      <c r="AB10" s="3184"/>
      <c r="AC10" s="1483"/>
      <c r="AD10" s="1505" t="s">
        <v>298</v>
      </c>
      <c r="AE10" s="1500" t="s">
        <v>299</v>
      </c>
      <c r="AF10" s="3187"/>
      <c r="AG10" s="3188"/>
      <c r="AH10" s="3185"/>
      <c r="AI10" s="3184"/>
      <c r="AJ10" s="1501"/>
      <c r="AK10" s="192" t="s">
        <v>300</v>
      </c>
      <c r="AL10" s="192" t="s">
        <v>128</v>
      </c>
      <c r="BM10" s="231">
        <v>23</v>
      </c>
    </row>
    <row r="11" spans="1:65" ht="15" customHeight="1">
      <c r="D11" s="3192" t="s">
        <v>107</v>
      </c>
      <c r="E11" s="3194" t="s">
        <v>301</v>
      </c>
      <c r="F11" s="3194" t="s">
        <v>302</v>
      </c>
      <c r="G11" s="3176" t="s">
        <v>19</v>
      </c>
      <c r="H11" s="1526"/>
      <c r="I11" s="3197"/>
      <c r="J11" s="3139"/>
      <c r="K11" s="1441"/>
      <c r="L11" s="3131"/>
      <c r="M11" s="3131"/>
      <c r="N11" s="1511"/>
      <c r="O11" s="3131"/>
      <c r="P11" s="3139"/>
      <c r="Q11" s="1512"/>
      <c r="R11" s="3131"/>
      <c r="S11" s="3131"/>
      <c r="T11" s="1513"/>
      <c r="U11" s="3131"/>
      <c r="V11" s="3139"/>
      <c r="W11" s="1514"/>
      <c r="X11" s="3131"/>
      <c r="Y11" s="3131"/>
      <c r="Z11" s="1511"/>
      <c r="AA11" s="3131"/>
      <c r="AB11" s="3139"/>
      <c r="AC11" s="1515"/>
      <c r="AD11" s="3131"/>
      <c r="AE11" s="3131"/>
      <c r="AF11" s="1440"/>
      <c r="AG11" s="1440"/>
      <c r="AH11" s="1516"/>
      <c r="AI11" s="1223"/>
      <c r="AJ11" s="1501"/>
      <c r="BM11" s="231">
        <v>14</v>
      </c>
    </row>
    <row r="12" spans="1:65" ht="14.65" customHeight="1">
      <c r="D12" s="3192"/>
      <c r="E12" s="3194"/>
      <c r="F12" s="3194"/>
      <c r="G12" s="3177"/>
      <c r="H12" s="1527"/>
      <c r="I12" s="3198"/>
      <c r="J12" s="3140"/>
      <c r="K12" s="1537"/>
      <c r="L12" s="3132"/>
      <c r="M12" s="3132"/>
      <c r="N12" s="1517"/>
      <c r="O12" s="3132"/>
      <c r="P12" s="3140"/>
      <c r="Q12" s="1518"/>
      <c r="R12" s="3132"/>
      <c r="S12" s="3132"/>
      <c r="T12" s="1519"/>
      <c r="U12" s="3132"/>
      <c r="V12" s="3140"/>
      <c r="W12" s="1520"/>
      <c r="X12" s="3132"/>
      <c r="Y12" s="3132"/>
      <c r="Z12" s="1517"/>
      <c r="AA12" s="3132"/>
      <c r="AB12" s="3140"/>
      <c r="AC12" s="1521"/>
      <c r="AD12" s="3132"/>
      <c r="AE12" s="3132"/>
      <c r="AF12" s="1522"/>
      <c r="AG12" s="1522"/>
      <c r="AH12" s="3201"/>
      <c r="AI12" s="3202"/>
      <c r="AJ12" s="1501"/>
      <c r="BM12" s="231">
        <v>14</v>
      </c>
    </row>
    <row r="13" spans="1:65" ht="14.65" customHeight="1">
      <c r="D13" s="3192"/>
      <c r="E13" s="3194"/>
      <c r="F13" s="3194"/>
      <c r="G13" s="3177"/>
      <c r="H13" s="1527"/>
      <c r="I13" s="3198"/>
      <c r="J13" s="3140"/>
      <c r="K13" s="1537"/>
      <c r="L13" s="3132"/>
      <c r="M13" s="3132"/>
      <c r="N13" s="1517"/>
      <c r="O13" s="3132"/>
      <c r="P13" s="3140"/>
      <c r="Q13" s="1518"/>
      <c r="R13" s="3132"/>
      <c r="S13" s="3132"/>
      <c r="T13" s="1519"/>
      <c r="U13" s="3132"/>
      <c r="V13" s="3140"/>
      <c r="W13" s="1520"/>
      <c r="X13" s="3132"/>
      <c r="Y13" s="3132"/>
      <c r="Z13" s="1439"/>
      <c r="AA13" s="1522"/>
      <c r="AB13" s="3201"/>
      <c r="AC13" s="3201"/>
      <c r="AD13" s="3201"/>
      <c r="AE13" s="3201"/>
      <c r="AF13" s="3201"/>
      <c r="AG13" s="3201"/>
      <c r="AH13" s="3201"/>
      <c r="AI13" s="3202"/>
      <c r="AJ13" s="1501"/>
      <c r="BM13" s="231">
        <v>14</v>
      </c>
    </row>
    <row r="14" spans="1:65" ht="14.65" customHeight="1">
      <c r="D14" s="3192"/>
      <c r="E14" s="3194"/>
      <c r="F14" s="3194"/>
      <c r="G14" s="3177"/>
      <c r="H14" s="1527"/>
      <c r="I14" s="3198"/>
      <c r="J14" s="3140"/>
      <c r="K14" s="1537"/>
      <c r="L14" s="3132"/>
      <c r="M14" s="3132"/>
      <c r="N14" s="1517"/>
      <c r="O14" s="3132"/>
      <c r="P14" s="3140"/>
      <c r="Q14" s="1518"/>
      <c r="R14" s="3132"/>
      <c r="S14" s="3132"/>
      <c r="T14" s="1523"/>
      <c r="U14" s="1524"/>
      <c r="V14" s="3201"/>
      <c r="W14" s="3201"/>
      <c r="X14" s="3201"/>
      <c r="Y14" s="3201"/>
      <c r="Z14" s="3201"/>
      <c r="AA14" s="3201"/>
      <c r="AB14" s="3201"/>
      <c r="AC14" s="3201"/>
      <c r="AD14" s="3201"/>
      <c r="AE14" s="3201"/>
      <c r="AF14" s="3201"/>
      <c r="AG14" s="3201"/>
      <c r="AH14" s="3201"/>
      <c r="AI14" s="3202"/>
      <c r="AJ14" s="1501"/>
      <c r="BM14" s="231">
        <v>14</v>
      </c>
    </row>
    <row r="15" spans="1:65" ht="11.45" customHeight="1">
      <c r="D15" s="3192"/>
      <c r="E15" s="3194"/>
      <c r="F15" s="3194"/>
      <c r="G15" s="3177"/>
      <c r="H15" s="1528"/>
      <c r="I15" s="3198"/>
      <c r="J15" s="3140"/>
      <c r="K15" s="1537"/>
      <c r="L15" s="3132"/>
      <c r="M15" s="3132"/>
      <c r="N15" s="1522"/>
      <c r="O15" s="1522"/>
      <c r="P15" s="3201"/>
      <c r="Q15" s="3201"/>
      <c r="R15" s="3201"/>
      <c r="S15" s="3201"/>
      <c r="T15" s="3201"/>
      <c r="U15" s="3201"/>
      <c r="V15" s="3201"/>
      <c r="W15" s="3201"/>
      <c r="X15" s="3201"/>
      <c r="Y15" s="3201"/>
      <c r="Z15" s="3201"/>
      <c r="AA15" s="3201"/>
      <c r="AB15" s="3201"/>
      <c r="AC15" s="3201"/>
      <c r="AD15" s="3201"/>
      <c r="AE15" s="3201"/>
      <c r="AF15" s="3201"/>
      <c r="AG15" s="3201"/>
      <c r="AH15" s="3201"/>
      <c r="AI15" s="3202"/>
      <c r="AJ15" s="1501"/>
      <c r="BM15" s="231">
        <v>11</v>
      </c>
    </row>
    <row r="16" spans="1:65" s="1481" customFormat="1" ht="11.45" customHeight="1">
      <c r="D16" s="3193"/>
      <c r="E16" s="3195"/>
      <c r="F16" s="3196"/>
      <c r="G16" s="3126"/>
      <c r="H16" s="1525"/>
      <c r="I16" s="1529"/>
      <c r="J16" s="3199"/>
      <c r="K16" s="3199"/>
      <c r="L16" s="3199"/>
      <c r="M16" s="3199"/>
      <c r="N16" s="3199"/>
      <c r="O16" s="3199"/>
      <c r="P16" s="3199"/>
      <c r="Q16" s="3199"/>
      <c r="R16" s="3199"/>
      <c r="S16" s="3199"/>
      <c r="T16" s="3199"/>
      <c r="U16" s="3199"/>
      <c r="V16" s="3199"/>
      <c r="W16" s="3199"/>
      <c r="X16" s="3199"/>
      <c r="Y16" s="3199"/>
      <c r="Z16" s="3199"/>
      <c r="AA16" s="3199"/>
      <c r="AB16" s="3199"/>
      <c r="AC16" s="3199"/>
      <c r="AD16" s="3199"/>
      <c r="AE16" s="3199"/>
      <c r="AF16" s="3199"/>
      <c r="AG16" s="3199"/>
      <c r="AH16" s="3199"/>
      <c r="AI16" s="3200"/>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3192" t="s">
        <v>108</v>
      </c>
      <c r="E17" s="3194" t="s">
        <v>301</v>
      </c>
      <c r="F17" s="3194" t="s">
        <v>303</v>
      </c>
      <c r="G17" s="3176" t="s">
        <v>19</v>
      </c>
      <c r="H17" s="1526"/>
      <c r="I17" s="3197"/>
      <c r="J17" s="3139"/>
      <c r="K17" s="1441"/>
      <c r="L17" s="3131"/>
      <c r="M17" s="3131"/>
      <c r="N17" s="1511"/>
      <c r="O17" s="3131"/>
      <c r="P17" s="3139"/>
      <c r="Q17" s="1512"/>
      <c r="R17" s="3131"/>
      <c r="S17" s="3131"/>
      <c r="T17" s="1513"/>
      <c r="U17" s="3131"/>
      <c r="V17" s="3139"/>
      <c r="W17" s="1514"/>
      <c r="X17" s="3131"/>
      <c r="Y17" s="3131"/>
      <c r="Z17" s="1511"/>
      <c r="AA17" s="3131"/>
      <c r="AB17" s="3139"/>
      <c r="AC17" s="1515"/>
      <c r="AD17" s="3131"/>
      <c r="AE17" s="3131"/>
      <c r="AF17" s="1440"/>
      <c r="AG17" s="1440"/>
      <c r="AH17" s="1516"/>
      <c r="AI17" s="1223"/>
      <c r="AJ17" s="1501"/>
      <c r="BM17" s="231">
        <v>14</v>
      </c>
    </row>
    <row r="18" spans="4:65" ht="14.65" customHeight="1">
      <c r="D18" s="3192"/>
      <c r="E18" s="3194"/>
      <c r="F18" s="3194"/>
      <c r="G18" s="3177"/>
      <c r="H18" s="1527"/>
      <c r="I18" s="3198"/>
      <c r="J18" s="3140"/>
      <c r="K18" s="1510"/>
      <c r="L18" s="3132"/>
      <c r="M18" s="3132"/>
      <c r="N18" s="1517"/>
      <c r="O18" s="3132"/>
      <c r="P18" s="3140"/>
      <c r="Q18" s="1518"/>
      <c r="R18" s="3132"/>
      <c r="S18" s="3132"/>
      <c r="T18" s="1519"/>
      <c r="U18" s="3132"/>
      <c r="V18" s="3140"/>
      <c r="W18" s="1520"/>
      <c r="X18" s="3132"/>
      <c r="Y18" s="3132"/>
      <c r="Z18" s="1517"/>
      <c r="AA18" s="3132"/>
      <c r="AB18" s="3140"/>
      <c r="AC18" s="1521"/>
      <c r="AD18" s="3132"/>
      <c r="AE18" s="3132"/>
      <c r="AF18" s="1522"/>
      <c r="AG18" s="1522"/>
      <c r="AH18" s="3201"/>
      <c r="AI18" s="3202"/>
      <c r="AJ18" s="1501"/>
      <c r="BM18" s="231">
        <v>14</v>
      </c>
    </row>
    <row r="19" spans="4:65" ht="14.65" customHeight="1">
      <c r="D19" s="3192"/>
      <c r="E19" s="3194"/>
      <c r="F19" s="3194"/>
      <c r="G19" s="3177"/>
      <c r="H19" s="1527"/>
      <c r="I19" s="3198"/>
      <c r="J19" s="3140"/>
      <c r="K19" s="1510"/>
      <c r="L19" s="3132"/>
      <c r="M19" s="3132"/>
      <c r="N19" s="1517"/>
      <c r="O19" s="3132"/>
      <c r="P19" s="3140"/>
      <c r="Q19" s="1518"/>
      <c r="R19" s="3132"/>
      <c r="S19" s="3132"/>
      <c r="T19" s="1519"/>
      <c r="U19" s="3132"/>
      <c r="V19" s="3140"/>
      <c r="W19" s="1520"/>
      <c r="X19" s="3132"/>
      <c r="Y19" s="3132"/>
      <c r="Z19" s="1439"/>
      <c r="AA19" s="1522"/>
      <c r="AB19" s="3201"/>
      <c r="AC19" s="3201"/>
      <c r="AD19" s="3201"/>
      <c r="AE19" s="3201"/>
      <c r="AF19" s="3201"/>
      <c r="AG19" s="3201"/>
      <c r="AH19" s="3201"/>
      <c r="AI19" s="3202"/>
      <c r="AJ19" s="1501"/>
      <c r="BM19" s="231">
        <v>14</v>
      </c>
    </row>
    <row r="20" spans="4:65" ht="14.65" customHeight="1">
      <c r="D20" s="3192"/>
      <c r="E20" s="3194"/>
      <c r="F20" s="3194"/>
      <c r="G20" s="3177"/>
      <c r="H20" s="1527"/>
      <c r="I20" s="3198"/>
      <c r="J20" s="3140"/>
      <c r="K20" s="1510"/>
      <c r="L20" s="3132"/>
      <c r="M20" s="3132"/>
      <c r="N20" s="1517"/>
      <c r="O20" s="3132"/>
      <c r="P20" s="3140"/>
      <c r="Q20" s="1518"/>
      <c r="R20" s="3132"/>
      <c r="S20" s="3132"/>
      <c r="T20" s="1523"/>
      <c r="U20" s="1524"/>
      <c r="V20" s="3201"/>
      <c r="W20" s="3201"/>
      <c r="X20" s="3201"/>
      <c r="Y20" s="3201"/>
      <c r="Z20" s="3201"/>
      <c r="AA20" s="3201"/>
      <c r="AB20" s="3201"/>
      <c r="AC20" s="3201"/>
      <c r="AD20" s="3201"/>
      <c r="AE20" s="3201"/>
      <c r="AF20" s="3201"/>
      <c r="AG20" s="3201"/>
      <c r="AH20" s="3201"/>
      <c r="AI20" s="3202"/>
      <c r="AJ20" s="1501"/>
      <c r="BM20" s="231">
        <v>14</v>
      </c>
    </row>
    <row r="21" spans="4:65" ht="11.45" customHeight="1">
      <c r="D21" s="3192"/>
      <c r="E21" s="3194"/>
      <c r="F21" s="3194"/>
      <c r="G21" s="3177"/>
      <c r="H21" s="1528"/>
      <c r="I21" s="3198"/>
      <c r="J21" s="3140"/>
      <c r="K21" s="1510"/>
      <c r="L21" s="3132"/>
      <c r="M21" s="3132"/>
      <c r="N21" s="1522"/>
      <c r="O21" s="1522"/>
      <c r="P21" s="3201"/>
      <c r="Q21" s="3201"/>
      <c r="R21" s="3201"/>
      <c r="S21" s="3201"/>
      <c r="T21" s="3201"/>
      <c r="U21" s="3201"/>
      <c r="V21" s="3201"/>
      <c r="W21" s="3201"/>
      <c r="X21" s="3201"/>
      <c r="Y21" s="3201"/>
      <c r="Z21" s="3201"/>
      <c r="AA21" s="3201"/>
      <c r="AB21" s="3201"/>
      <c r="AC21" s="3201"/>
      <c r="AD21" s="3201"/>
      <c r="AE21" s="3201"/>
      <c r="AF21" s="3201"/>
      <c r="AG21" s="3201"/>
      <c r="AH21" s="3201"/>
      <c r="AI21" s="3202"/>
      <c r="AJ21" s="1501"/>
      <c r="BM21" s="231">
        <v>11</v>
      </c>
    </row>
    <row r="22" spans="4:65" s="1481" customFormat="1" ht="11.45" customHeight="1">
      <c r="D22" s="3193"/>
      <c r="E22" s="3195"/>
      <c r="F22" s="3196"/>
      <c r="G22" s="3126"/>
      <c r="H22" s="1525"/>
      <c r="I22" s="1529"/>
      <c r="J22" s="3199"/>
      <c r="K22" s="3199"/>
      <c r="L22" s="3199"/>
      <c r="M22" s="3199"/>
      <c r="N22" s="3199"/>
      <c r="O22" s="3199"/>
      <c r="P22" s="3199"/>
      <c r="Q22" s="3199"/>
      <c r="R22" s="3199"/>
      <c r="S22" s="3199"/>
      <c r="T22" s="3199"/>
      <c r="U22" s="3199"/>
      <c r="V22" s="3199"/>
      <c r="W22" s="3199"/>
      <c r="X22" s="3199"/>
      <c r="Y22" s="3199"/>
      <c r="Z22" s="3199"/>
      <c r="AA22" s="3199"/>
      <c r="AB22" s="3199"/>
      <c r="AC22" s="3199"/>
      <c r="AD22" s="3199"/>
      <c r="AE22" s="3199"/>
      <c r="AF22" s="3199"/>
      <c r="AG22" s="3199"/>
      <c r="AH22" s="3199"/>
      <c r="AI22" s="3200"/>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3192" t="s">
        <v>87</v>
      </c>
      <c r="E23" s="3194" t="s">
        <v>301</v>
      </c>
      <c r="F23" s="3194" t="s">
        <v>304</v>
      </c>
      <c r="G23" s="3176" t="s">
        <v>19</v>
      </c>
      <c r="H23" s="1526"/>
      <c r="I23" s="3197"/>
      <c r="J23" s="3139"/>
      <c r="K23" s="1441"/>
      <c r="L23" s="3131"/>
      <c r="M23" s="3131"/>
      <c r="N23" s="1511"/>
      <c r="O23" s="3131"/>
      <c r="P23" s="3139"/>
      <c r="Q23" s="1512"/>
      <c r="R23" s="3131"/>
      <c r="S23" s="3131"/>
      <c r="T23" s="1513"/>
      <c r="U23" s="3131"/>
      <c r="V23" s="3139"/>
      <c r="W23" s="1514"/>
      <c r="X23" s="3131"/>
      <c r="Y23" s="3131"/>
      <c r="Z23" s="1511"/>
      <c r="AA23" s="3131"/>
      <c r="AB23" s="3139"/>
      <c r="AC23" s="1515"/>
      <c r="AD23" s="3131"/>
      <c r="AE23" s="3131"/>
      <c r="AF23" s="1440"/>
      <c r="AG23" s="1440"/>
      <c r="AH23" s="1516"/>
      <c r="AI23" s="1223"/>
      <c r="AJ23" s="1501"/>
      <c r="AK23" s="244" t="s">
        <v>95</v>
      </c>
      <c r="BM23" s="231">
        <v>14</v>
      </c>
    </row>
    <row r="24" spans="4:65" ht="14.65" customHeight="1">
      <c r="D24" s="3192"/>
      <c r="E24" s="3194"/>
      <c r="F24" s="3194"/>
      <c r="G24" s="3177"/>
      <c r="H24" s="1527"/>
      <c r="I24" s="3198"/>
      <c r="J24" s="3140"/>
      <c r="K24" s="1537"/>
      <c r="L24" s="3132"/>
      <c r="M24" s="3132"/>
      <c r="N24" s="1517"/>
      <c r="O24" s="3132"/>
      <c r="P24" s="3140"/>
      <c r="Q24" s="1518"/>
      <c r="R24" s="3132"/>
      <c r="S24" s="3132"/>
      <c r="T24" s="1519"/>
      <c r="U24" s="3132"/>
      <c r="V24" s="3140"/>
      <c r="W24" s="1520"/>
      <c r="X24" s="3132"/>
      <c r="Y24" s="3132"/>
      <c r="Z24" s="1517"/>
      <c r="AA24" s="3132"/>
      <c r="AB24" s="3140"/>
      <c r="AC24" s="1521"/>
      <c r="AD24" s="3132"/>
      <c r="AE24" s="3132"/>
      <c r="AF24" s="1522"/>
      <c r="AG24" s="1522"/>
      <c r="AH24" s="3201"/>
      <c r="AI24" s="3202"/>
      <c r="AJ24" s="1501"/>
      <c r="BM24" s="231">
        <v>14</v>
      </c>
    </row>
    <row r="25" spans="4:65" ht="14.65" customHeight="1">
      <c r="D25" s="3192"/>
      <c r="E25" s="3194"/>
      <c r="F25" s="3194"/>
      <c r="G25" s="3177"/>
      <c r="H25" s="1527"/>
      <c r="I25" s="3198"/>
      <c r="J25" s="3140"/>
      <c r="K25" s="1537"/>
      <c r="L25" s="3132"/>
      <c r="M25" s="3132"/>
      <c r="N25" s="1517"/>
      <c r="O25" s="3132"/>
      <c r="P25" s="3140"/>
      <c r="Q25" s="1518"/>
      <c r="R25" s="3132"/>
      <c r="S25" s="3132"/>
      <c r="T25" s="1519"/>
      <c r="U25" s="3132"/>
      <c r="V25" s="3140"/>
      <c r="W25" s="1520"/>
      <c r="X25" s="3132"/>
      <c r="Y25" s="3132"/>
      <c r="Z25" s="1439"/>
      <c r="AA25" s="1522"/>
      <c r="AB25" s="3201"/>
      <c r="AC25" s="3201"/>
      <c r="AD25" s="3201"/>
      <c r="AE25" s="3201"/>
      <c r="AF25" s="3201"/>
      <c r="AG25" s="3201"/>
      <c r="AH25" s="3201"/>
      <c r="AI25" s="3202"/>
      <c r="AJ25" s="1501"/>
      <c r="BM25" s="231">
        <v>14</v>
      </c>
    </row>
    <row r="26" spans="4:65" ht="14.65" customHeight="1">
      <c r="D26" s="3192"/>
      <c r="E26" s="3194"/>
      <c r="F26" s="3194"/>
      <c r="G26" s="3177"/>
      <c r="H26" s="1527"/>
      <c r="I26" s="3198"/>
      <c r="J26" s="3140"/>
      <c r="K26" s="1537"/>
      <c r="L26" s="3132"/>
      <c r="M26" s="3132"/>
      <c r="N26" s="1517"/>
      <c r="O26" s="3132"/>
      <c r="P26" s="3140"/>
      <c r="Q26" s="1518"/>
      <c r="R26" s="3132"/>
      <c r="S26" s="3132"/>
      <c r="T26" s="1523"/>
      <c r="U26" s="1524"/>
      <c r="V26" s="3201"/>
      <c r="W26" s="3201"/>
      <c r="X26" s="3201"/>
      <c r="Y26" s="3201"/>
      <c r="Z26" s="3201"/>
      <c r="AA26" s="3201"/>
      <c r="AB26" s="3201"/>
      <c r="AC26" s="3201"/>
      <c r="AD26" s="3201"/>
      <c r="AE26" s="3201"/>
      <c r="AF26" s="3201"/>
      <c r="AG26" s="3201"/>
      <c r="AH26" s="3201"/>
      <c r="AI26" s="3202"/>
      <c r="AJ26" s="1501"/>
      <c r="BM26" s="231">
        <v>14</v>
      </c>
    </row>
    <row r="27" spans="4:65" ht="11.45" customHeight="1">
      <c r="D27" s="3192"/>
      <c r="E27" s="3194"/>
      <c r="F27" s="3194"/>
      <c r="G27" s="3177"/>
      <c r="H27" s="1528"/>
      <c r="I27" s="3198"/>
      <c r="J27" s="3140"/>
      <c r="K27" s="1537"/>
      <c r="L27" s="3132"/>
      <c r="M27" s="3132"/>
      <c r="N27" s="1522"/>
      <c r="O27" s="1522"/>
      <c r="P27" s="3201"/>
      <c r="Q27" s="3201"/>
      <c r="R27" s="3201"/>
      <c r="S27" s="3201"/>
      <c r="T27" s="3201"/>
      <c r="U27" s="3201"/>
      <c r="V27" s="3201"/>
      <c r="W27" s="3201"/>
      <c r="X27" s="3201"/>
      <c r="Y27" s="3201"/>
      <c r="Z27" s="3201"/>
      <c r="AA27" s="3201"/>
      <c r="AB27" s="3201"/>
      <c r="AC27" s="3201"/>
      <c r="AD27" s="3201"/>
      <c r="AE27" s="3201"/>
      <c r="AF27" s="3201"/>
      <c r="AG27" s="3201"/>
      <c r="AH27" s="3201"/>
      <c r="AI27" s="3202"/>
      <c r="AJ27" s="1501"/>
      <c r="BM27" s="231">
        <v>11</v>
      </c>
    </row>
    <row r="28" spans="4:65" s="1481" customFormat="1" ht="11.45" customHeight="1">
      <c r="D28" s="3193"/>
      <c r="E28" s="3195"/>
      <c r="F28" s="3196"/>
      <c r="G28" s="3126"/>
      <c r="H28" s="1525"/>
      <c r="I28" s="1529"/>
      <c r="J28" s="3199"/>
      <c r="K28" s="3199"/>
      <c r="L28" s="3199"/>
      <c r="M28" s="3199"/>
      <c r="N28" s="3199"/>
      <c r="O28" s="3199"/>
      <c r="P28" s="3199"/>
      <c r="Q28" s="3199"/>
      <c r="R28" s="3199"/>
      <c r="S28" s="3199"/>
      <c r="T28" s="3199"/>
      <c r="U28" s="3199"/>
      <c r="V28" s="3199"/>
      <c r="W28" s="3199"/>
      <c r="X28" s="3199"/>
      <c r="Y28" s="3199"/>
      <c r="Z28" s="3199"/>
      <c r="AA28" s="3199"/>
      <c r="AB28" s="3199"/>
      <c r="AC28" s="3199"/>
      <c r="AD28" s="3199"/>
      <c r="AE28" s="3199"/>
      <c r="AF28" s="3199"/>
      <c r="AG28" s="3199"/>
      <c r="AH28" s="3199"/>
      <c r="AI28" s="3200"/>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3192" t="s">
        <v>88</v>
      </c>
      <c r="E29" s="3194" t="s">
        <v>301</v>
      </c>
      <c r="F29" s="3194" t="s">
        <v>305</v>
      </c>
      <c r="G29" s="3176" t="s">
        <v>19</v>
      </c>
      <c r="H29" s="1526"/>
      <c r="I29" s="3197"/>
      <c r="J29" s="3139"/>
      <c r="K29" s="1441"/>
      <c r="L29" s="3131"/>
      <c r="M29" s="3131"/>
      <c r="N29" s="1511"/>
      <c r="O29" s="3131"/>
      <c r="P29" s="3139"/>
      <c r="Q29" s="1512"/>
      <c r="R29" s="3131"/>
      <c r="S29" s="3131"/>
      <c r="T29" s="1513"/>
      <c r="U29" s="3131"/>
      <c r="V29" s="3139"/>
      <c r="W29" s="1514"/>
      <c r="X29" s="3131"/>
      <c r="Y29" s="3131"/>
      <c r="Z29" s="1511"/>
      <c r="AA29" s="3131"/>
      <c r="AB29" s="3139"/>
      <c r="AC29" s="1515"/>
      <c r="AD29" s="3131"/>
      <c r="AE29" s="3131"/>
      <c r="AF29" s="1440"/>
      <c r="AG29" s="1440"/>
      <c r="AH29" s="1516"/>
      <c r="AI29" s="1223"/>
      <c r="AJ29" s="1501"/>
      <c r="BM29" s="231">
        <v>14</v>
      </c>
    </row>
    <row r="30" spans="4:65" ht="14.65" customHeight="1">
      <c r="D30" s="3192"/>
      <c r="E30" s="3194"/>
      <c r="F30" s="3194"/>
      <c r="G30" s="3177"/>
      <c r="H30" s="1527"/>
      <c r="I30" s="3198"/>
      <c r="J30" s="3140"/>
      <c r="K30" s="1510"/>
      <c r="L30" s="3132"/>
      <c r="M30" s="3132"/>
      <c r="N30" s="1517"/>
      <c r="O30" s="3132"/>
      <c r="P30" s="3140"/>
      <c r="Q30" s="1518"/>
      <c r="R30" s="3132"/>
      <c r="S30" s="3132"/>
      <c r="T30" s="1519"/>
      <c r="U30" s="3132"/>
      <c r="V30" s="3140"/>
      <c r="W30" s="1520"/>
      <c r="X30" s="3132"/>
      <c r="Y30" s="3132"/>
      <c r="Z30" s="1517"/>
      <c r="AA30" s="3132"/>
      <c r="AB30" s="3140"/>
      <c r="AC30" s="1521"/>
      <c r="AD30" s="3132"/>
      <c r="AE30" s="3132"/>
      <c r="AF30" s="1522"/>
      <c r="AG30" s="1522"/>
      <c r="AH30" s="3201"/>
      <c r="AI30" s="3202"/>
      <c r="AJ30" s="1501"/>
      <c r="BM30" s="231">
        <v>14</v>
      </c>
    </row>
    <row r="31" spans="4:65" ht="14.65" customHeight="1">
      <c r="D31" s="3192"/>
      <c r="E31" s="3194"/>
      <c r="F31" s="3194"/>
      <c r="G31" s="3177"/>
      <c r="H31" s="1527"/>
      <c r="I31" s="3198"/>
      <c r="J31" s="3140"/>
      <c r="K31" s="1510"/>
      <c r="L31" s="3132"/>
      <c r="M31" s="3132"/>
      <c r="N31" s="1517"/>
      <c r="O31" s="3132"/>
      <c r="P31" s="3140"/>
      <c r="Q31" s="1518"/>
      <c r="R31" s="3132"/>
      <c r="S31" s="3132"/>
      <c r="T31" s="1519"/>
      <c r="U31" s="3132"/>
      <c r="V31" s="3140"/>
      <c r="W31" s="1520"/>
      <c r="X31" s="3132"/>
      <c r="Y31" s="3132"/>
      <c r="Z31" s="1439"/>
      <c r="AA31" s="1522"/>
      <c r="AB31" s="3201"/>
      <c r="AC31" s="3201"/>
      <c r="AD31" s="3201"/>
      <c r="AE31" s="3201"/>
      <c r="AF31" s="3201"/>
      <c r="AG31" s="3201"/>
      <c r="AH31" s="3201"/>
      <c r="AI31" s="3202"/>
      <c r="AJ31" s="1501"/>
      <c r="BM31" s="231">
        <v>14</v>
      </c>
    </row>
    <row r="32" spans="4:65" ht="14.65" customHeight="1">
      <c r="D32" s="3192"/>
      <c r="E32" s="3194"/>
      <c r="F32" s="3194"/>
      <c r="G32" s="3177"/>
      <c r="H32" s="1527"/>
      <c r="I32" s="3198"/>
      <c r="J32" s="3140"/>
      <c r="K32" s="1510"/>
      <c r="L32" s="3132"/>
      <c r="M32" s="3132"/>
      <c r="N32" s="1517"/>
      <c r="O32" s="3132"/>
      <c r="P32" s="3140"/>
      <c r="Q32" s="1518"/>
      <c r="R32" s="3132"/>
      <c r="S32" s="3132"/>
      <c r="T32" s="1523"/>
      <c r="U32" s="1524"/>
      <c r="V32" s="3201"/>
      <c r="W32" s="3201"/>
      <c r="X32" s="3201"/>
      <c r="Y32" s="3201"/>
      <c r="Z32" s="3201"/>
      <c r="AA32" s="3201"/>
      <c r="AB32" s="3201"/>
      <c r="AC32" s="3201"/>
      <c r="AD32" s="3201"/>
      <c r="AE32" s="3201"/>
      <c r="AF32" s="3201"/>
      <c r="AG32" s="3201"/>
      <c r="AH32" s="3201"/>
      <c r="AI32" s="3202"/>
      <c r="AJ32" s="1501"/>
      <c r="BM32" s="231">
        <v>14</v>
      </c>
    </row>
    <row r="33" spans="4:65" ht="11.45" customHeight="1">
      <c r="D33" s="3192"/>
      <c r="E33" s="3194"/>
      <c r="F33" s="3194"/>
      <c r="G33" s="3177"/>
      <c r="H33" s="1528"/>
      <c r="I33" s="3198"/>
      <c r="J33" s="3140"/>
      <c r="K33" s="1510"/>
      <c r="L33" s="3132"/>
      <c r="M33" s="3132"/>
      <c r="N33" s="1522"/>
      <c r="O33" s="1522"/>
      <c r="P33" s="3201"/>
      <c r="Q33" s="3201"/>
      <c r="R33" s="3201"/>
      <c r="S33" s="3201"/>
      <c r="T33" s="3201"/>
      <c r="U33" s="3201"/>
      <c r="V33" s="3201"/>
      <c r="W33" s="3201"/>
      <c r="X33" s="3201"/>
      <c r="Y33" s="3201"/>
      <c r="Z33" s="3201"/>
      <c r="AA33" s="3201"/>
      <c r="AB33" s="3201"/>
      <c r="AC33" s="3201"/>
      <c r="AD33" s="3201"/>
      <c r="AE33" s="3201"/>
      <c r="AF33" s="3201"/>
      <c r="AG33" s="3201"/>
      <c r="AH33" s="3201"/>
      <c r="AI33" s="3202"/>
      <c r="AJ33" s="1501"/>
      <c r="BM33" s="231">
        <v>11</v>
      </c>
    </row>
    <row r="34" spans="4:65" s="1481" customFormat="1" ht="11.45" customHeight="1">
      <c r="D34" s="3193"/>
      <c r="E34" s="3195"/>
      <c r="F34" s="3196"/>
      <c r="G34" s="3126"/>
      <c r="H34" s="1525"/>
      <c r="I34" s="1529"/>
      <c r="J34" s="3199"/>
      <c r="K34" s="3199"/>
      <c r="L34" s="3199"/>
      <c r="M34" s="3199"/>
      <c r="N34" s="3199"/>
      <c r="O34" s="3199"/>
      <c r="P34" s="3199"/>
      <c r="Q34" s="3199"/>
      <c r="R34" s="3199"/>
      <c r="S34" s="3199"/>
      <c r="T34" s="3199"/>
      <c r="U34" s="3199"/>
      <c r="V34" s="3199"/>
      <c r="W34" s="3199"/>
      <c r="X34" s="3199"/>
      <c r="Y34" s="3199"/>
      <c r="Z34" s="3199"/>
      <c r="AA34" s="3199"/>
      <c r="AB34" s="3199"/>
      <c r="AC34" s="3199"/>
      <c r="AD34" s="3199"/>
      <c r="AE34" s="3199"/>
      <c r="AF34" s="3199"/>
      <c r="AG34" s="3199"/>
      <c r="AH34" s="3199"/>
      <c r="AI34" s="3200"/>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3192" t="s">
        <v>109</v>
      </c>
      <c r="E35" s="3194" t="s">
        <v>301</v>
      </c>
      <c r="F35" s="3194" t="s">
        <v>306</v>
      </c>
      <c r="G35" s="3176" t="s">
        <v>19</v>
      </c>
      <c r="H35" s="1526"/>
      <c r="I35" s="3197"/>
      <c r="J35" s="3139"/>
      <c r="K35" s="1441"/>
      <c r="L35" s="3131"/>
      <c r="M35" s="3131"/>
      <c r="N35" s="1511"/>
      <c r="O35" s="3131"/>
      <c r="P35" s="3139"/>
      <c r="Q35" s="1512"/>
      <c r="R35" s="3131"/>
      <c r="S35" s="3131"/>
      <c r="T35" s="1513"/>
      <c r="U35" s="3131"/>
      <c r="V35" s="3139"/>
      <c r="W35" s="1514"/>
      <c r="X35" s="3131"/>
      <c r="Y35" s="3131"/>
      <c r="Z35" s="1511"/>
      <c r="AA35" s="3131"/>
      <c r="AB35" s="3139"/>
      <c r="AC35" s="1515"/>
      <c r="AD35" s="3131"/>
      <c r="AE35" s="3131"/>
      <c r="AF35" s="1440"/>
      <c r="AG35" s="1440"/>
      <c r="AH35" s="1516"/>
      <c r="AI35" s="1223"/>
      <c r="AJ35" s="1501"/>
      <c r="BM35" s="231">
        <v>14</v>
      </c>
    </row>
    <row r="36" spans="4:65" ht="14.65" customHeight="1">
      <c r="D36" s="3192"/>
      <c r="E36" s="3194"/>
      <c r="F36" s="3194"/>
      <c r="G36" s="3177"/>
      <c r="H36" s="1527"/>
      <c r="I36" s="3198"/>
      <c r="J36" s="3140"/>
      <c r="K36" s="1510"/>
      <c r="L36" s="3132"/>
      <c r="M36" s="3132"/>
      <c r="N36" s="1517"/>
      <c r="O36" s="3132"/>
      <c r="P36" s="3140"/>
      <c r="Q36" s="1518"/>
      <c r="R36" s="3132"/>
      <c r="S36" s="3132"/>
      <c r="T36" s="1519"/>
      <c r="U36" s="3132"/>
      <c r="V36" s="3140"/>
      <c r="W36" s="1520"/>
      <c r="X36" s="3132"/>
      <c r="Y36" s="3132"/>
      <c r="Z36" s="1517"/>
      <c r="AA36" s="3132"/>
      <c r="AB36" s="3140"/>
      <c r="AC36" s="1521"/>
      <c r="AD36" s="3132"/>
      <c r="AE36" s="3132"/>
      <c r="AF36" s="1522"/>
      <c r="AG36" s="1522"/>
      <c r="AH36" s="3201"/>
      <c r="AI36" s="3202"/>
      <c r="AJ36" s="1501"/>
      <c r="BM36" s="231">
        <v>14</v>
      </c>
    </row>
    <row r="37" spans="4:65" ht="14.65" customHeight="1">
      <c r="D37" s="3192"/>
      <c r="E37" s="3194"/>
      <c r="F37" s="3194"/>
      <c r="G37" s="3177"/>
      <c r="H37" s="1527"/>
      <c r="I37" s="3198"/>
      <c r="J37" s="3140"/>
      <c r="K37" s="1510"/>
      <c r="L37" s="3132"/>
      <c r="M37" s="3132"/>
      <c r="N37" s="1517"/>
      <c r="O37" s="3132"/>
      <c r="P37" s="3140"/>
      <c r="Q37" s="1518"/>
      <c r="R37" s="3132"/>
      <c r="S37" s="3132"/>
      <c r="T37" s="1519"/>
      <c r="U37" s="3132"/>
      <c r="V37" s="3140"/>
      <c r="W37" s="1520"/>
      <c r="X37" s="3132"/>
      <c r="Y37" s="3132"/>
      <c r="Z37" s="1439"/>
      <c r="AA37" s="1522"/>
      <c r="AB37" s="3201"/>
      <c r="AC37" s="3201"/>
      <c r="AD37" s="3201"/>
      <c r="AE37" s="3201"/>
      <c r="AF37" s="3201"/>
      <c r="AG37" s="3201"/>
      <c r="AH37" s="3201"/>
      <c r="AI37" s="3202"/>
      <c r="AJ37" s="1501"/>
      <c r="BM37" s="231">
        <v>14</v>
      </c>
    </row>
    <row r="38" spans="4:65" ht="14.65" customHeight="1">
      <c r="D38" s="3192"/>
      <c r="E38" s="3194"/>
      <c r="F38" s="3194"/>
      <c r="G38" s="3177"/>
      <c r="H38" s="1527"/>
      <c r="I38" s="3198"/>
      <c r="J38" s="3140"/>
      <c r="K38" s="1510"/>
      <c r="L38" s="3132"/>
      <c r="M38" s="3132"/>
      <c r="N38" s="1517"/>
      <c r="O38" s="3132"/>
      <c r="P38" s="3140"/>
      <c r="Q38" s="1518"/>
      <c r="R38" s="3132"/>
      <c r="S38" s="3132"/>
      <c r="T38" s="1523"/>
      <c r="U38" s="1524"/>
      <c r="V38" s="3201"/>
      <c r="W38" s="3201"/>
      <c r="X38" s="3201"/>
      <c r="Y38" s="3201"/>
      <c r="Z38" s="3201"/>
      <c r="AA38" s="3201"/>
      <c r="AB38" s="3201"/>
      <c r="AC38" s="3201"/>
      <c r="AD38" s="3201"/>
      <c r="AE38" s="3201"/>
      <c r="AF38" s="3201"/>
      <c r="AG38" s="3201"/>
      <c r="AH38" s="3201"/>
      <c r="AI38" s="3202"/>
      <c r="AJ38" s="1501"/>
      <c r="BM38" s="231">
        <v>14</v>
      </c>
    </row>
    <row r="39" spans="4:65" ht="11.45" customHeight="1">
      <c r="D39" s="3192"/>
      <c r="E39" s="3194"/>
      <c r="F39" s="3194"/>
      <c r="G39" s="3177"/>
      <c r="H39" s="1528"/>
      <c r="I39" s="3198"/>
      <c r="J39" s="3140"/>
      <c r="K39" s="1510"/>
      <c r="L39" s="3132"/>
      <c r="M39" s="3132"/>
      <c r="N39" s="1522"/>
      <c r="O39" s="1522"/>
      <c r="P39" s="3201"/>
      <c r="Q39" s="3201"/>
      <c r="R39" s="3201"/>
      <c r="S39" s="3201"/>
      <c r="T39" s="3201"/>
      <c r="U39" s="3201"/>
      <c r="V39" s="3201"/>
      <c r="W39" s="3201"/>
      <c r="X39" s="3201"/>
      <c r="Y39" s="3201"/>
      <c r="Z39" s="3201"/>
      <c r="AA39" s="3201"/>
      <c r="AB39" s="3201"/>
      <c r="AC39" s="3201"/>
      <c r="AD39" s="3201"/>
      <c r="AE39" s="3201"/>
      <c r="AF39" s="3201"/>
      <c r="AG39" s="3201"/>
      <c r="AH39" s="3201"/>
      <c r="AI39" s="3202"/>
      <c r="AJ39" s="1501"/>
      <c r="BM39" s="231">
        <v>11</v>
      </c>
    </row>
    <row r="40" spans="4:65" s="1481" customFormat="1" ht="11.45" customHeight="1">
      <c r="D40" s="3192"/>
      <c r="E40" s="3194"/>
      <c r="F40" s="3203"/>
      <c r="G40" s="3126"/>
      <c r="H40" s="1525"/>
      <c r="I40" s="1529"/>
      <c r="J40" s="3199"/>
      <c r="K40" s="3199"/>
      <c r="L40" s="3199"/>
      <c r="M40" s="3199"/>
      <c r="N40" s="3199"/>
      <c r="O40" s="3199"/>
      <c r="P40" s="3199"/>
      <c r="Q40" s="3199"/>
      <c r="R40" s="3199"/>
      <c r="S40" s="3199"/>
      <c r="T40" s="3199"/>
      <c r="U40" s="3199"/>
      <c r="V40" s="3199"/>
      <c r="W40" s="3199"/>
      <c r="X40" s="3199"/>
      <c r="Y40" s="3199"/>
      <c r="Z40" s="3199"/>
      <c r="AA40" s="3199"/>
      <c r="AB40" s="3199"/>
      <c r="AC40" s="3199"/>
      <c r="AD40" s="3199"/>
      <c r="AE40" s="3199"/>
      <c r="AF40" s="3199"/>
      <c r="AG40" s="3199"/>
      <c r="AH40" s="3199"/>
      <c r="AI40" s="3200"/>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79</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DC11-E318-CDF9-1024-9F5B0115D8F8}">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477" t="s">
        <v>1913</v>
      </c>
      <c r="C2" s="3477"/>
      <c r="D2" s="3477"/>
      <c r="E2" s="206"/>
      <c r="F2" s="29">
        <v>22</v>
      </c>
    </row>
    <row r="3" spans="1:6" ht="3" customHeight="1">
      <c r="F3" s="29">
        <v>3</v>
      </c>
    </row>
    <row r="4" spans="1:6" ht="23.25" customHeight="1">
      <c r="B4" s="2023" t="s">
        <v>1914</v>
      </c>
      <c r="C4" s="320" t="s">
        <v>1915</v>
      </c>
      <c r="D4" s="320" t="s">
        <v>1916</v>
      </c>
      <c r="F4" s="29">
        <v>22</v>
      </c>
    </row>
    <row r="5" spans="1:6" ht="11.25" hidden="1" customHeight="1">
      <c r="A5" s="29" t="s">
        <v>79</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FF4BD-7EFA-B6CD-6B5E-E4CE5AF1EDB2}">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1917</v>
      </c>
    </row>
    <row r="4" spans="1:80" s="202" customFormat="1" ht="15" customHeight="1">
      <c r="C4" s="1742"/>
      <c r="D4" s="53"/>
      <c r="E4" s="314"/>
    </row>
    <row r="6" spans="1:80" s="1741" customFormat="1" ht="17.25" customHeight="1">
      <c r="A6" s="1741" t="s">
        <v>1918</v>
      </c>
    </row>
    <row r="8" spans="1:80" s="202" customFormat="1" ht="17.25" customHeight="1">
      <c r="C8" s="1743"/>
      <c r="D8" s="53"/>
      <c r="E8" s="54"/>
    </row>
    <row r="11" spans="1:80" s="1741" customFormat="1" ht="17.25" customHeight="1">
      <c r="A11" s="1741" t="s">
        <v>1919</v>
      </c>
    </row>
    <row r="13" spans="1:80" s="1745" customFormat="1" ht="15" customHeight="1">
      <c r="A13" s="3229">
        <v>1</v>
      </c>
      <c r="B13" s="1087"/>
      <c r="C13" s="732" t="s">
        <v>169</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3229"/>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3229"/>
      <c r="B15" s="1087"/>
      <c r="C15" s="349"/>
      <c r="D15" s="732"/>
      <c r="E15" s="358"/>
      <c r="F15" s="115"/>
      <c r="G15" s="352" t="s">
        <v>100</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1920</v>
      </c>
    </row>
    <row r="19" spans="1:80" s="1775" customFormat="1" ht="15" customHeight="1">
      <c r="A19" s="1807"/>
      <c r="B19" s="1293">
        <v>1</v>
      </c>
      <c r="C19" s="1293"/>
      <c r="D19" s="731" t="s">
        <v>169</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1921</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169</v>
      </c>
      <c r="D23" s="3122" t="s">
        <v>107</v>
      </c>
      <c r="E23" s="3123"/>
      <c r="F23" s="3121" t="s">
        <v>19</v>
      </c>
      <c r="G23" s="3512"/>
      <c r="H23" s="3111">
        <v>1</v>
      </c>
      <c r="I23" s="3514" t="str">
        <f>IF(U23="","",INDEX(TERRITORY_MR_LIST,MATCH(U23,TERRITORY_LIST_ID,0)))</f>
        <v/>
      </c>
      <c r="J23" s="3121" t="s">
        <v>19</v>
      </c>
      <c r="K23" s="763"/>
      <c r="L23" s="1708" t="s">
        <v>107</v>
      </c>
      <c r="M23" s="540"/>
      <c r="N23" s="541"/>
      <c r="O23" s="541"/>
      <c r="P23" s="541"/>
      <c r="Q23" s="541"/>
      <c r="R23" s="541"/>
      <c r="S23" s="541"/>
      <c r="T23" s="541"/>
      <c r="U23" s="542"/>
      <c r="V23" s="541"/>
      <c r="W23" s="541"/>
      <c r="X23" s="532"/>
      <c r="Y23" s="532" t="s">
        <v>116</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3122"/>
      <c r="E24" s="3124"/>
      <c r="F24" s="3121"/>
      <c r="G24" s="3513"/>
      <c r="H24" s="3111"/>
      <c r="I24" s="3515"/>
      <c r="J24" s="3121"/>
      <c r="K24" s="358"/>
      <c r="L24" s="115"/>
      <c r="M24" s="544" t="s">
        <v>117</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3122"/>
      <c r="E25" s="3125"/>
      <c r="F25" s="3121"/>
      <c r="G25" s="358"/>
      <c r="H25" s="115"/>
      <c r="I25" s="517" t="s">
        <v>118</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1922</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516" t="s">
        <v>169</v>
      </c>
      <c r="H29" s="3092">
        <v>1</v>
      </c>
      <c r="I29" s="3517" t="str">
        <f>IF(U29="","",INDEX(TERRITORY_MR_LIST,MATCH(U29,TERRITORY_LIST_ID,0)))</f>
        <v/>
      </c>
      <c r="J29" s="3121" t="s">
        <v>19</v>
      </c>
      <c r="K29" s="763"/>
      <c r="L29" s="1708" t="s">
        <v>107</v>
      </c>
      <c r="M29" s="540"/>
      <c r="N29" s="541"/>
      <c r="O29" s="541"/>
      <c r="P29" s="541"/>
      <c r="Q29" s="541"/>
      <c r="R29" s="541"/>
      <c r="S29" s="541"/>
      <c r="T29" s="541"/>
      <c r="U29" s="542"/>
      <c r="V29" s="541"/>
      <c r="W29" s="541"/>
      <c r="X29" s="532"/>
      <c r="Y29" s="532" t="s">
        <v>116</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516"/>
      <c r="H30" s="3092"/>
      <c r="I30" s="3517"/>
      <c r="J30" s="3121"/>
      <c r="K30" s="358"/>
      <c r="L30" s="115"/>
      <c r="M30" s="544" t="s">
        <v>117</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1923</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169</v>
      </c>
      <c r="L34" s="1655" t="s">
        <v>107</v>
      </c>
      <c r="M34" s="742"/>
      <c r="N34" s="743"/>
      <c r="O34" s="541"/>
      <c r="P34" s="541"/>
      <c r="Q34" s="541"/>
      <c r="R34" s="541"/>
      <c r="S34" s="541"/>
      <c r="T34" s="541"/>
      <c r="U34" s="542"/>
      <c r="V34" s="541"/>
      <c r="W34" s="541"/>
      <c r="X34" s="532"/>
      <c r="Y34" s="532" t="s">
        <v>116</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1924</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1925</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1926</v>
      </c>
    </row>
    <row r="46" spans="1:38" ht="11.25" customHeight="1"/>
    <row r="47" spans="1:38" s="392" customFormat="1" ht="24" customHeight="1">
      <c r="A47" s="3205" t="s">
        <v>321</v>
      </c>
      <c r="B47" s="439"/>
      <c r="C47" s="3216"/>
      <c r="D47" s="382" t="str">
        <f>A47</f>
        <v>5.1</v>
      </c>
      <c r="E47" s="379" t="s">
        <v>322</v>
      </c>
      <c r="F47" s="1898" t="s">
        <v>314</v>
      </c>
      <c r="G47" s="381" t="s">
        <v>323</v>
      </c>
      <c r="H47" s="412"/>
      <c r="I47" s="783"/>
    </row>
    <row r="48" spans="1:38" s="392" customFormat="1" ht="22.5" customHeight="1">
      <c r="A48" s="3205"/>
      <c r="B48" s="439"/>
      <c r="C48" s="3216"/>
      <c r="D48" s="377" t="str">
        <f>D47&amp;".1"</f>
        <v>5.1.1</v>
      </c>
      <c r="E48" s="376" t="s">
        <v>324</v>
      </c>
      <c r="F48" s="1899" t="s">
        <v>28</v>
      </c>
      <c r="G48" s="411"/>
      <c r="H48" s="412"/>
      <c r="I48" s="783"/>
    </row>
    <row r="49" spans="1:45" s="392" customFormat="1" ht="22.5" customHeight="1">
      <c r="A49" s="3205"/>
      <c r="B49" s="439"/>
      <c r="C49" s="3216"/>
      <c r="D49" s="377" t="str">
        <f>D47&amp;".2"</f>
        <v>5.1.2</v>
      </c>
      <c r="E49" s="376" t="s">
        <v>325</v>
      </c>
      <c r="F49" s="1658" t="s">
        <v>28</v>
      </c>
      <c r="G49" s="381" t="s">
        <v>326</v>
      </c>
      <c r="H49" s="412"/>
      <c r="I49" s="783"/>
    </row>
    <row r="50" spans="1:45" s="392" customFormat="1" ht="22.5" customHeight="1">
      <c r="A50" s="3205"/>
      <c r="B50" s="439"/>
      <c r="C50" s="3216"/>
      <c r="D50" s="377" t="str">
        <f>D47&amp;".3"</f>
        <v>5.1.3</v>
      </c>
      <c r="E50" s="376" t="s">
        <v>327</v>
      </c>
      <c r="F50" s="1899" t="s">
        <v>28</v>
      </c>
      <c r="G50" s="411"/>
      <c r="H50" s="412"/>
      <c r="I50" s="783"/>
    </row>
    <row r="51" spans="1:45" s="392" customFormat="1" ht="22.5" customHeight="1">
      <c r="A51" s="3205"/>
      <c r="B51" s="439"/>
      <c r="C51" s="3216"/>
      <c r="D51" s="377" t="str">
        <f>D47&amp;".4"</f>
        <v>5.1.4</v>
      </c>
      <c r="E51" s="376" t="s">
        <v>328</v>
      </c>
      <c r="F51" s="1899" t="s">
        <v>28</v>
      </c>
      <c r="G51" s="381" t="s">
        <v>329</v>
      </c>
      <c r="H51" s="412"/>
      <c r="I51" s="783"/>
    </row>
    <row r="54" spans="1:45" s="1741" customFormat="1" ht="17.25" customHeight="1">
      <c r="A54" s="1741" t="s">
        <v>1927</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400</v>
      </c>
      <c r="Q56" s="453" t="s">
        <v>401</v>
      </c>
      <c r="R56" s="454" t="s">
        <v>402</v>
      </c>
      <c r="S56" s="1563" t="s">
        <v>403</v>
      </c>
      <c r="T56" s="1563"/>
      <c r="U56" s="1563"/>
      <c r="V56" s="1563"/>
    </row>
    <row r="58" spans="1:45" s="1741" customFormat="1" ht="11.25" customHeight="1">
      <c r="A58" s="1741" t="s">
        <v>1928</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389</v>
      </c>
      <c r="AQ60" s="1551" t="s">
        <v>389</v>
      </c>
      <c r="AR60" s="1563"/>
      <c r="AS60" s="1563"/>
    </row>
    <row r="62" spans="1:45" s="1741" customFormat="1" ht="11.25" customHeight="1">
      <c r="A62" s="1741" t="s">
        <v>1929</v>
      </c>
    </row>
    <row r="64" spans="1:45" s="1748" customFormat="1" ht="15" customHeight="1">
      <c r="A64" s="83" t="s">
        <v>87</v>
      </c>
      <c r="B64" s="65" t="s">
        <v>28</v>
      </c>
      <c r="C64" s="1751"/>
      <c r="D64" s="68"/>
      <c r="E64" s="318"/>
      <c r="F64" s="318"/>
      <c r="G64" s="1729"/>
      <c r="H64" s="1750"/>
      <c r="I64" s="1730"/>
      <c r="K64" s="210"/>
      <c r="L64" s="211"/>
    </row>
    <row r="66" spans="1:30" s="1741" customFormat="1" ht="11.25" customHeight="1">
      <c r="A66" s="1741" t="s">
        <v>1930</v>
      </c>
    </row>
    <row r="68" spans="1:30" s="1562" customFormat="1" ht="14.25" customHeight="1">
      <c r="A68" s="281"/>
      <c r="B68" s="1087"/>
      <c r="C68" s="313"/>
      <c r="D68" s="1736"/>
      <c r="E68" s="816"/>
      <c r="F68" s="1750"/>
      <c r="G68" s="29"/>
      <c r="I68" s="1551"/>
      <c r="J68" s="1551"/>
    </row>
    <row r="70" spans="1:30" s="1741" customFormat="1" ht="11.25" customHeight="1">
      <c r="A70" s="1741" t="s">
        <v>1931</v>
      </c>
    </row>
    <row r="72" spans="1:30" s="1562" customFormat="1" ht="27" customHeight="1">
      <c r="A72" s="1093"/>
      <c r="B72" s="1093"/>
      <c r="C72" s="1093"/>
      <c r="D72" s="1087"/>
      <c r="E72" s="1752"/>
      <c r="F72" s="3478"/>
      <c r="G72" s="3479"/>
      <c r="H72" s="3480" t="s">
        <v>67</v>
      </c>
      <c r="I72" s="3482"/>
      <c r="J72" s="3484"/>
      <c r="K72" s="3486"/>
      <c r="L72" s="3497"/>
      <c r="M72" s="3497"/>
      <c r="N72" s="3520"/>
      <c r="O72" s="3520"/>
      <c r="P72" s="3521" t="e">
        <f>DATEDIF(DATEVALUE(N72),DATEVALUE(O72),"y")&amp;"г. "&amp;DATEDIF(DATEVALUE(N72),DATEVALUE(O72),"ym")&amp;"мес. "&amp;DATEVALUE(O72)-DATE(YEAR(DATEVALUE(O72)),MONTH(DATEVALUE(O72)),1)&amp;"дн. "</f>
        <v>#VALUE!</v>
      </c>
      <c r="Q72" s="3498"/>
      <c r="R72" s="3498"/>
      <c r="S72" s="3498"/>
      <c r="T72" s="3484"/>
      <c r="U72" s="3498"/>
      <c r="V72" s="3498"/>
      <c r="W72" s="3498"/>
      <c r="X72" s="3484"/>
      <c r="Y72" s="3518" t="s">
        <v>67</v>
      </c>
      <c r="Z72" s="1734"/>
      <c r="AA72" s="1718">
        <v>1</v>
      </c>
      <c r="AB72" s="1169"/>
      <c r="AD72" s="1563" t="s">
        <v>1932</v>
      </c>
    </row>
    <row r="73" spans="1:30" s="1562" customFormat="1" ht="10.5" customHeight="1">
      <c r="A73" s="1093"/>
      <c r="B73" s="1093"/>
      <c r="C73" s="1093"/>
      <c r="D73" s="1087"/>
      <c r="E73" s="877"/>
      <c r="F73" s="3478"/>
      <c r="G73" s="3479"/>
      <c r="H73" s="3481"/>
      <c r="I73" s="3483"/>
      <c r="J73" s="3485"/>
      <c r="K73" s="3486"/>
      <c r="L73" s="3497"/>
      <c r="M73" s="3497"/>
      <c r="N73" s="3520"/>
      <c r="O73" s="3520"/>
      <c r="P73" s="3521"/>
      <c r="Q73" s="3498"/>
      <c r="R73" s="3498"/>
      <c r="S73" s="3498"/>
      <c r="T73" s="3485"/>
      <c r="U73" s="3498"/>
      <c r="V73" s="3498"/>
      <c r="W73" s="3498"/>
      <c r="X73" s="3485"/>
      <c r="Y73" s="3519"/>
      <c r="Z73" s="285"/>
      <c r="AA73" s="509"/>
      <c r="AB73" s="589" t="s">
        <v>1933</v>
      </c>
    </row>
    <row r="75" spans="1:30" s="1741" customFormat="1" ht="11.25" customHeight="1">
      <c r="A75" s="1741" t="s">
        <v>1934</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1932</v>
      </c>
    </row>
    <row r="79" spans="1:30" s="1741" customFormat="1" ht="11.25" customHeight="1">
      <c r="A79" s="1741" t="s">
        <v>1935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524"/>
      <c r="G82" s="3436"/>
      <c r="H82" s="3527" t="s">
        <v>384</v>
      </c>
      <c r="I82" s="3528"/>
      <c r="J82" s="3490"/>
      <c r="K82" s="3490"/>
      <c r="L82" s="3522"/>
      <c r="M82" s="3250"/>
      <c r="N82" s="1958"/>
      <c r="O82" s="1957"/>
      <c r="P82" s="1958"/>
      <c r="Q82" s="1958"/>
      <c r="R82" s="1958"/>
      <c r="S82" s="1958"/>
      <c r="T82" s="1958"/>
      <c r="U82" s="1958"/>
      <c r="V82" s="1958"/>
      <c r="W82" s="1958"/>
      <c r="X82" s="1958"/>
      <c r="Y82" s="1958"/>
      <c r="Z82" s="1958"/>
      <c r="AA82" s="1958"/>
      <c r="AB82" s="1958"/>
      <c r="AC82" s="1958"/>
      <c r="AD82" s="1958"/>
      <c r="AE82" s="1958"/>
      <c r="AF82" s="3526"/>
      <c r="AG82" s="3522"/>
      <c r="AH82" s="3522"/>
      <c r="AI82" s="3526"/>
      <c r="AJ82" s="3522"/>
      <c r="AK82" s="352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524"/>
      <c r="G83" s="3436"/>
      <c r="H83" s="3527"/>
      <c r="I83" s="3528"/>
      <c r="J83" s="3490"/>
      <c r="K83" s="3490"/>
      <c r="L83" s="3522"/>
      <c r="M83" s="3250"/>
      <c r="N83" s="3529"/>
      <c r="O83" s="3530"/>
      <c r="P83" s="3487"/>
      <c r="Q83" s="3490"/>
      <c r="R83" s="3490"/>
      <c r="S83" s="3490"/>
      <c r="T83" s="3490"/>
      <c r="U83" s="3490"/>
      <c r="V83" s="3490"/>
      <c r="W83" s="3490"/>
      <c r="X83" s="3490"/>
      <c r="Y83" s="3490"/>
      <c r="Z83" s="1959"/>
      <c r="AA83" s="1960"/>
      <c r="AB83" s="1960"/>
      <c r="AC83" s="1961"/>
      <c r="AD83" s="1961"/>
      <c r="AE83" s="1962"/>
      <c r="AF83" s="3526"/>
      <c r="AG83" s="3522"/>
      <c r="AH83" s="3522"/>
      <c r="AI83" s="3526"/>
      <c r="AJ83" s="3522"/>
      <c r="AK83" s="352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524"/>
      <c r="G84" s="3436"/>
      <c r="H84" s="3527"/>
      <c r="I84" s="3528"/>
      <c r="J84" s="3490"/>
      <c r="K84" s="3490"/>
      <c r="L84" s="3522"/>
      <c r="M84" s="3250"/>
      <c r="N84" s="3529"/>
      <c r="O84" s="3530"/>
      <c r="P84" s="3488"/>
      <c r="Q84" s="3490"/>
      <c r="R84" s="3490"/>
      <c r="S84" s="3490"/>
      <c r="T84" s="3490"/>
      <c r="U84" s="3490"/>
      <c r="V84" s="3490"/>
      <c r="W84" s="3490"/>
      <c r="X84" s="3490"/>
      <c r="Y84" s="3490"/>
      <c r="Z84" s="1963"/>
      <c r="AA84" s="1964"/>
      <c r="AB84" s="1965"/>
      <c r="AC84" s="1966"/>
      <c r="AD84" s="1965"/>
      <c r="AE84" s="1966"/>
      <c r="AF84" s="3526"/>
      <c r="AG84" s="3522"/>
      <c r="AH84" s="3522"/>
      <c r="AI84" s="3526"/>
      <c r="AJ84" s="3522"/>
      <c r="AK84" s="352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524"/>
      <c r="G85" s="3436"/>
      <c r="H85" s="3527"/>
      <c r="I85" s="3528"/>
      <c r="J85" s="3490"/>
      <c r="K85" s="3490"/>
      <c r="L85" s="3522"/>
      <c r="M85" s="3250"/>
      <c r="N85" s="3529"/>
      <c r="O85" s="3530"/>
      <c r="P85" s="3489"/>
      <c r="Q85" s="3490"/>
      <c r="R85" s="3490"/>
      <c r="S85" s="3490"/>
      <c r="T85" s="3490"/>
      <c r="U85" s="3490"/>
      <c r="V85" s="3490"/>
      <c r="W85" s="3490"/>
      <c r="X85" s="3490"/>
      <c r="Y85" s="3490"/>
      <c r="Z85" s="1959"/>
      <c r="AA85" s="1960"/>
      <c r="AB85" s="1967"/>
      <c r="AC85" s="1961"/>
      <c r="AD85" s="1961"/>
      <c r="AE85" s="1968"/>
      <c r="AF85" s="3526"/>
      <c r="AG85" s="3522"/>
      <c r="AH85" s="3522"/>
      <c r="AI85" s="3526"/>
      <c r="AJ85" s="3522"/>
      <c r="AK85" s="352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524"/>
      <c r="G86" s="3436"/>
      <c r="H86" s="3527"/>
      <c r="I86" s="3528"/>
      <c r="J86" s="3490"/>
      <c r="K86" s="3490"/>
      <c r="L86" s="3522"/>
      <c r="M86" s="3250"/>
      <c r="N86" s="1960"/>
      <c r="O86" s="1960"/>
      <c r="P86" s="1967"/>
      <c r="Q86" s="1960"/>
      <c r="R86" s="1960"/>
      <c r="S86" s="1960"/>
      <c r="T86" s="1960"/>
      <c r="U86" s="1960"/>
      <c r="V86" s="1960"/>
      <c r="W86" s="1960"/>
      <c r="X86" s="1960"/>
      <c r="Y86" s="1960"/>
      <c r="Z86" s="1960"/>
      <c r="AA86" s="1960"/>
      <c r="AB86" s="1960"/>
      <c r="AC86" s="1960"/>
      <c r="AD86" s="1960"/>
      <c r="AE86" s="1969"/>
      <c r="AF86" s="3526"/>
      <c r="AG86" s="3522"/>
      <c r="AH86" s="3522"/>
      <c r="AI86" s="3526"/>
      <c r="AJ86" s="3522"/>
      <c r="AK86" s="352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525"/>
      <c r="G87" s="1117"/>
      <c r="H87" s="1117"/>
      <c r="I87" s="3523" t="s">
        <v>1936</v>
      </c>
      <c r="J87" s="3523"/>
      <c r="K87" s="352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1937</v>
      </c>
    </row>
    <row r="91" spans="1:58" s="1562" customFormat="1" ht="11.25" customHeight="1">
      <c r="A91" s="1093"/>
      <c r="B91" s="1093"/>
      <c r="C91" s="1093"/>
      <c r="D91" s="1087"/>
      <c r="E91" s="1097"/>
      <c r="F91" s="1754"/>
      <c r="G91" s="1755"/>
      <c r="H91" s="1755"/>
      <c r="I91" s="1690"/>
      <c r="J91" s="1690"/>
      <c r="K91" s="1756"/>
      <c r="L91" s="1690"/>
      <c r="M91" s="1755"/>
      <c r="N91" s="3491"/>
      <c r="O91" s="3492">
        <v>1</v>
      </c>
      <c r="P91" s="3493" t="s">
        <v>19</v>
      </c>
      <c r="Q91" s="3400" t="s">
        <v>28</v>
      </c>
      <c r="R91" s="3400" t="s">
        <v>28</v>
      </c>
      <c r="S91" s="3400" t="s">
        <v>28</v>
      </c>
      <c r="T91" s="3400" t="s">
        <v>28</v>
      </c>
      <c r="U91" s="3400" t="s">
        <v>28</v>
      </c>
      <c r="V91" s="3400" t="s">
        <v>28</v>
      </c>
      <c r="W91" s="3400" t="s">
        <v>28</v>
      </c>
      <c r="X91" s="3400" t="s">
        <v>28</v>
      </c>
      <c r="Y91" s="3400"/>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491"/>
      <c r="O92" s="3492"/>
      <c r="P92" s="3494"/>
      <c r="Q92" s="3400"/>
      <c r="R92" s="3400"/>
      <c r="S92" s="3496"/>
      <c r="T92" s="3400"/>
      <c r="U92" s="3400"/>
      <c r="V92" s="3400"/>
      <c r="W92" s="3400"/>
      <c r="X92" s="3400"/>
      <c r="Y92" s="3400"/>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491"/>
      <c r="O93" s="3492"/>
      <c r="P93" s="3495"/>
      <c r="Q93" s="3400"/>
      <c r="R93" s="3400"/>
      <c r="S93" s="3496"/>
      <c r="T93" s="3400"/>
      <c r="U93" s="3400"/>
      <c r="V93" s="3400"/>
      <c r="W93" s="3400"/>
      <c r="X93" s="3400"/>
      <c r="Y93" s="3400"/>
      <c r="Z93" s="1102"/>
      <c r="AA93" s="1103"/>
      <c r="AB93" s="1168" t="s">
        <v>1938</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1939</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1940</v>
      </c>
    </row>
    <row r="101" spans="1:184" s="1562" customFormat="1" ht="11.25" customHeight="1">
      <c r="A101" s="1093"/>
      <c r="B101" s="1093"/>
      <c r="C101" s="1093"/>
      <c r="D101" s="1087"/>
      <c r="E101" s="1097"/>
      <c r="F101" s="1754"/>
      <c r="G101" s="1755"/>
      <c r="H101" s="3436" t="s">
        <v>107</v>
      </c>
      <c r="I101" s="3543"/>
      <c r="J101" s="3471"/>
      <c r="K101" s="3541"/>
      <c r="L101" s="3121" t="s">
        <v>19</v>
      </c>
      <c r="M101" s="3122"/>
      <c r="N101" s="1908"/>
      <c r="O101" s="1104" t="s">
        <v>384</v>
      </c>
      <c r="P101" s="1105"/>
      <c r="Q101" s="1105"/>
      <c r="R101" s="1105"/>
      <c r="S101" s="1105"/>
      <c r="T101" s="1105"/>
      <c r="U101" s="1105"/>
      <c r="V101" s="1105"/>
      <c r="W101" s="1105"/>
      <c r="X101" s="1105"/>
      <c r="Y101" s="1105"/>
      <c r="Z101" s="1105"/>
      <c r="AA101" s="1105"/>
      <c r="AB101" s="1105"/>
      <c r="AC101" s="1105"/>
      <c r="AD101" s="1105"/>
      <c r="AE101" s="1105"/>
      <c r="AF101" s="3544"/>
      <c r="AG101" s="3545"/>
      <c r="AH101" s="3545"/>
      <c r="AI101" s="3544"/>
      <c r="AJ101" s="3545"/>
      <c r="AK101" s="354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436"/>
      <c r="I102" s="3543"/>
      <c r="J102" s="3471"/>
      <c r="K102" s="3541"/>
      <c r="L102" s="3121"/>
      <c r="M102" s="3122"/>
      <c r="N102" s="3491"/>
      <c r="O102" s="3546">
        <v>1</v>
      </c>
      <c r="P102" s="3493" t="s">
        <v>19</v>
      </c>
      <c r="Q102" s="3400" t="s">
        <v>28</v>
      </c>
      <c r="R102" s="3400" t="s">
        <v>28</v>
      </c>
      <c r="S102" s="3400" t="s">
        <v>28</v>
      </c>
      <c r="T102" s="3400" t="s">
        <v>28</v>
      </c>
      <c r="U102" s="3400" t="s">
        <v>28</v>
      </c>
      <c r="V102" s="3400" t="s">
        <v>28</v>
      </c>
      <c r="W102" s="3400" t="s">
        <v>28</v>
      </c>
      <c r="X102" s="3400" t="s">
        <v>28</v>
      </c>
      <c r="Y102" s="3400"/>
      <c r="Z102" s="1102"/>
      <c r="AA102" s="1103"/>
      <c r="AB102" s="1103"/>
      <c r="AC102" s="1107"/>
      <c r="AD102" s="1107"/>
      <c r="AE102" s="1108"/>
      <c r="AF102" s="3544"/>
      <c r="AG102" s="3545"/>
      <c r="AH102" s="3545"/>
      <c r="AI102" s="3544"/>
      <c r="AJ102" s="3545"/>
      <c r="AK102" s="354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436"/>
      <c r="I103" s="3543"/>
      <c r="J103" s="3471"/>
      <c r="K103" s="3541"/>
      <c r="L103" s="3121"/>
      <c r="M103" s="3122"/>
      <c r="N103" s="3491"/>
      <c r="O103" s="3546"/>
      <c r="P103" s="3494"/>
      <c r="Q103" s="3400"/>
      <c r="R103" s="3400"/>
      <c r="S103" s="3496"/>
      <c r="T103" s="3400"/>
      <c r="U103" s="3400"/>
      <c r="V103" s="3400"/>
      <c r="W103" s="3400"/>
      <c r="X103" s="3400"/>
      <c r="Y103" s="3400"/>
      <c r="Z103" s="1753"/>
      <c r="AA103" s="1720">
        <v>1</v>
      </c>
      <c r="AB103" s="1106"/>
      <c r="AC103" s="1096"/>
      <c r="AD103" s="1106">
        <f>AB103</f>
        <v>0</v>
      </c>
      <c r="AE103" s="1096"/>
      <c r="AF103" s="3544"/>
      <c r="AG103" s="3545"/>
      <c r="AH103" s="3545"/>
      <c r="AI103" s="3544"/>
      <c r="AJ103" s="3545"/>
      <c r="AK103" s="354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436"/>
      <c r="I104" s="3543"/>
      <c r="J104" s="3471"/>
      <c r="K104" s="3541"/>
      <c r="L104" s="3121"/>
      <c r="M104" s="3122"/>
      <c r="N104" s="3491"/>
      <c r="O104" s="3546"/>
      <c r="P104" s="3495"/>
      <c r="Q104" s="3400"/>
      <c r="R104" s="3400"/>
      <c r="S104" s="3496"/>
      <c r="T104" s="3400"/>
      <c r="U104" s="3400"/>
      <c r="V104" s="3400"/>
      <c r="W104" s="3400"/>
      <c r="X104" s="3400"/>
      <c r="Y104" s="3400"/>
      <c r="Z104" s="1102"/>
      <c r="AA104" s="1103"/>
      <c r="AB104" s="1168" t="s">
        <v>1938</v>
      </c>
      <c r="AC104" s="1107"/>
      <c r="AD104" s="1107"/>
      <c r="AE104" s="1109"/>
      <c r="AF104" s="3544"/>
      <c r="AG104" s="3545"/>
      <c r="AH104" s="3545"/>
      <c r="AI104" s="3544"/>
      <c r="AJ104" s="3545"/>
      <c r="AK104" s="354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436"/>
      <c r="I105" s="3543"/>
      <c r="J105" s="3471"/>
      <c r="K105" s="3541"/>
      <c r="L105" s="3121"/>
      <c r="M105" s="3122"/>
      <c r="N105" s="1102"/>
      <c r="O105" s="1103"/>
      <c r="P105" s="1095" t="s">
        <v>1941</v>
      </c>
      <c r="Q105" s="1103"/>
      <c r="R105" s="1103"/>
      <c r="S105" s="1103"/>
      <c r="T105" s="1103"/>
      <c r="U105" s="1103"/>
      <c r="V105" s="1103"/>
      <c r="W105" s="1103"/>
      <c r="X105" s="1103"/>
      <c r="Y105" s="1103"/>
      <c r="Z105" s="1103"/>
      <c r="AA105" s="1103"/>
      <c r="AB105" s="1103"/>
      <c r="AC105" s="1103"/>
      <c r="AD105" s="1103"/>
      <c r="AE105" s="1110"/>
      <c r="AF105" s="3544"/>
      <c r="AG105" s="3545"/>
      <c r="AH105" s="3545"/>
      <c r="AI105" s="3544"/>
      <c r="AJ105" s="3545"/>
      <c r="AK105" s="354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1942</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1944</v>
      </c>
    </row>
    <row r="115" spans="1:83" s="1775" customFormat="1" ht="15" customHeight="1">
      <c r="A115" s="560"/>
      <c r="B115" s="561"/>
      <c r="C115" s="561"/>
      <c r="D115" s="3500" t="s">
        <v>107</v>
      </c>
      <c r="E115" s="3381" t="s">
        <v>103</v>
      </c>
      <c r="F115" s="3382"/>
      <c r="G115" s="3383"/>
      <c r="H115" s="3377" t="str">
        <f>IF(A115="","",INDEX(DIFFERENTIATION_UNMERGE_VD,MATCH(A115,DIFFERENTIATION_ID_DIFF,0)))</f>
        <v/>
      </c>
      <c r="I115" s="3377"/>
      <c r="J115" s="3377"/>
      <c r="K115" s="3377"/>
      <c r="L115" s="3377"/>
      <c r="M115" s="3377"/>
      <c r="N115" s="3377"/>
      <c r="O115" s="3377"/>
      <c r="P115" s="3377"/>
      <c r="Q115" s="3377"/>
      <c r="R115" s="3377"/>
      <c r="S115" s="656"/>
      <c r="T115" s="653"/>
      <c r="U115" s="562"/>
      <c r="V115" s="562"/>
      <c r="W115" s="563"/>
      <c r="X115" s="563"/>
      <c r="Y115" s="563"/>
      <c r="Z115" s="563"/>
      <c r="AA115" s="564"/>
      <c r="AB115" s="565"/>
      <c r="AC115" s="3380"/>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501"/>
      <c r="E116" s="3381" t="s">
        <v>571</v>
      </c>
      <c r="F116" s="3382"/>
      <c r="G116" s="3383"/>
      <c r="H116" s="3377" t="str">
        <f>IF(A115="","",INDEX(DIFFERENTIATION_UNMERGE_AREA,MATCH(A115,DIFFERENTIATION_ID_DIFF,0)))</f>
        <v/>
      </c>
      <c r="I116" s="3377"/>
      <c r="J116" s="3377"/>
      <c r="K116" s="3377"/>
      <c r="L116" s="3377"/>
      <c r="M116" s="3377"/>
      <c r="N116" s="3377"/>
      <c r="O116" s="3377"/>
      <c r="P116" s="3377"/>
      <c r="Q116" s="3377"/>
      <c r="R116" s="3377"/>
      <c r="S116" s="656"/>
      <c r="T116" s="653"/>
      <c r="U116" s="562"/>
      <c r="V116" s="562"/>
      <c r="W116" s="563"/>
      <c r="X116" s="563"/>
      <c r="Y116" s="563"/>
      <c r="Z116" s="563"/>
      <c r="AA116" s="564"/>
      <c r="AB116" s="565"/>
      <c r="AC116" s="338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501"/>
      <c r="E117" s="3381" t="s">
        <v>572</v>
      </c>
      <c r="F117" s="3382"/>
      <c r="G117" s="3383"/>
      <c r="H117" s="3377" t="str">
        <f>IF(A115="","",INDEX(DIFFERENTIATION_UNMERGE_SYSTEM,MATCH(A115,DIFFERENTIATION_ID_DIFF,0)))</f>
        <v/>
      </c>
      <c r="I117" s="3377"/>
      <c r="J117" s="3377"/>
      <c r="K117" s="3377"/>
      <c r="L117" s="3377"/>
      <c r="M117" s="3377"/>
      <c r="N117" s="3377"/>
      <c r="O117" s="3377"/>
      <c r="P117" s="3377"/>
      <c r="Q117" s="3377"/>
      <c r="R117" s="3377"/>
      <c r="S117" s="656"/>
      <c r="T117" s="653"/>
      <c r="U117" s="562"/>
      <c r="V117" s="562"/>
      <c r="W117" s="563"/>
      <c r="X117" s="563"/>
      <c r="Y117" s="563"/>
      <c r="Z117" s="563"/>
      <c r="AA117" s="564"/>
      <c r="AB117" s="565"/>
      <c r="AC117" s="338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501"/>
      <c r="E118" s="3379" t="s">
        <v>617</v>
      </c>
      <c r="F118" s="3379"/>
      <c r="G118" s="3379"/>
      <c r="H118" s="3379"/>
      <c r="I118" s="3379"/>
      <c r="J118" s="3379"/>
      <c r="K118" s="3379"/>
      <c r="L118" s="3379"/>
      <c r="M118" s="3379"/>
      <c r="N118" s="3379"/>
      <c r="O118" s="3379"/>
      <c r="P118" s="3379"/>
      <c r="Q118" s="495">
        <f>SUMIF(T119:T120,"i",Q119:Q120)</f>
        <v>0</v>
      </c>
      <c r="R118" s="947"/>
      <c r="S118" s="1724" t="s">
        <v>618</v>
      </c>
      <c r="T118" s="654" t="s">
        <v>619</v>
      </c>
      <c r="U118" s="3258">
        <v>1</v>
      </c>
      <c r="V118" s="3258" t="s">
        <v>582</v>
      </c>
      <c r="W118" s="1087"/>
      <c r="X118" s="1087"/>
      <c r="Y118" s="1087"/>
      <c r="Z118" s="1087"/>
      <c r="AA118" s="1563"/>
      <c r="AB118" s="1087"/>
      <c r="AC118" s="338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501"/>
      <c r="E119" s="572"/>
      <c r="F119" s="572">
        <v>0</v>
      </c>
      <c r="G119" s="572"/>
      <c r="H119" s="572"/>
      <c r="I119" s="572"/>
      <c r="J119" s="572"/>
      <c r="K119" s="572"/>
      <c r="L119" s="572"/>
      <c r="M119" s="572"/>
      <c r="N119" s="572"/>
      <c r="O119" s="572"/>
      <c r="P119" s="572"/>
      <c r="Q119" s="572"/>
      <c r="R119" s="572"/>
      <c r="S119" s="573"/>
      <c r="T119" s="655"/>
      <c r="U119" s="3258"/>
      <c r="V119" s="3258"/>
      <c r="W119" s="1563"/>
      <c r="X119" s="1563"/>
      <c r="Y119" s="1563"/>
      <c r="Z119" s="1563"/>
      <c r="AA119" s="1563"/>
      <c r="AB119" s="1087"/>
      <c r="AC119" s="338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501"/>
      <c r="E120" s="586" t="s">
        <v>28</v>
      </c>
      <c r="F120" s="1095" t="s">
        <v>28</v>
      </c>
      <c r="G120" s="1095" t="s">
        <v>1945</v>
      </c>
      <c r="H120" s="588" t="s">
        <v>28</v>
      </c>
      <c r="I120" s="588"/>
      <c r="J120" s="588"/>
      <c r="K120" s="588"/>
      <c r="L120" s="588"/>
      <c r="M120" s="588"/>
      <c r="N120" s="588"/>
      <c r="O120" s="588"/>
      <c r="P120" s="588"/>
      <c r="Q120" s="588"/>
      <c r="R120" s="589"/>
      <c r="S120" s="590"/>
      <c r="T120" s="655"/>
      <c r="U120" s="3258"/>
      <c r="V120" s="3258"/>
      <c r="W120" s="1087"/>
      <c r="X120" s="1087"/>
      <c r="Y120" s="1087"/>
      <c r="Z120" s="1087"/>
      <c r="AA120" s="1563"/>
      <c r="AB120" s="1087"/>
      <c r="AC120" s="338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501"/>
      <c r="E121" s="3379" t="s">
        <v>620</v>
      </c>
      <c r="F121" s="3379"/>
      <c r="G121" s="3379"/>
      <c r="H121" s="3379"/>
      <c r="I121" s="3379"/>
      <c r="J121" s="3379"/>
      <c r="K121" s="3379"/>
      <c r="L121" s="3379"/>
      <c r="M121" s="3379"/>
      <c r="N121" s="3379"/>
      <c r="O121" s="3379"/>
      <c r="P121" s="3379"/>
      <c r="Q121" s="495">
        <f>SUMIF(T122:T123,"i",Q122:Q123)</f>
        <v>0</v>
      </c>
      <c r="R121" s="947"/>
      <c r="S121" s="1724" t="s">
        <v>621</v>
      </c>
      <c r="T121" s="654" t="s">
        <v>619</v>
      </c>
      <c r="U121" s="3258">
        <v>1</v>
      </c>
      <c r="V121" s="3258"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501"/>
      <c r="E122" s="572"/>
      <c r="F122" s="572">
        <v>0</v>
      </c>
      <c r="G122" s="572"/>
      <c r="H122" s="572"/>
      <c r="I122" s="572"/>
      <c r="J122" s="572"/>
      <c r="K122" s="572"/>
      <c r="L122" s="572"/>
      <c r="M122" s="572"/>
      <c r="N122" s="572"/>
      <c r="O122" s="572"/>
      <c r="P122" s="572"/>
      <c r="Q122" s="572"/>
      <c r="R122" s="572"/>
      <c r="S122" s="573"/>
      <c r="T122" s="655"/>
      <c r="U122" s="3258"/>
      <c r="V122" s="3258"/>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502"/>
      <c r="E123" s="586" t="s">
        <v>28</v>
      </c>
      <c r="F123" s="1095" t="s">
        <v>28</v>
      </c>
      <c r="G123" s="1095" t="s">
        <v>1945</v>
      </c>
      <c r="H123" s="588" t="s">
        <v>28</v>
      </c>
      <c r="I123" s="588"/>
      <c r="J123" s="588"/>
      <c r="K123" s="588"/>
      <c r="L123" s="588"/>
      <c r="M123" s="588"/>
      <c r="N123" s="588"/>
      <c r="O123" s="588"/>
      <c r="P123" s="588"/>
      <c r="Q123" s="588"/>
      <c r="R123" s="589"/>
      <c r="S123" s="590"/>
      <c r="T123" s="655"/>
      <c r="U123" s="3258"/>
      <c r="V123" s="3258"/>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1946</v>
      </c>
    </row>
    <row r="127" spans="1:83" s="1775" customFormat="1" ht="15" customHeight="1">
      <c r="A127" s="560"/>
      <c r="B127" s="561"/>
      <c r="C127" s="561"/>
      <c r="D127" s="3500" t="s">
        <v>107</v>
      </c>
      <c r="E127" s="3381" t="s">
        <v>103</v>
      </c>
      <c r="F127" s="3382"/>
      <c r="G127" s="3383"/>
      <c r="H127" s="3377" t="str">
        <f>IF(A127="","",INDEX(DIFFERENTIATION_UNMERGE_VD,MATCH(A127,DIFFERENTIATION_ID_DIFF,0)))</f>
        <v/>
      </c>
      <c r="I127" s="3377"/>
      <c r="J127" s="3377"/>
      <c r="K127" s="3377"/>
      <c r="L127" s="3377"/>
      <c r="M127" s="3377"/>
      <c r="N127" s="3377"/>
      <c r="O127" s="3377"/>
      <c r="P127" s="3377"/>
      <c r="Q127" s="3377"/>
      <c r="R127" s="3377"/>
      <c r="S127" s="656"/>
      <c r="T127" s="653"/>
      <c r="U127" s="562"/>
      <c r="V127" s="562"/>
      <c r="W127" s="563"/>
      <c r="X127" s="563"/>
      <c r="Y127" s="563"/>
      <c r="Z127" s="563"/>
      <c r="AA127" s="564"/>
      <c r="AB127" s="565"/>
      <c r="AC127" s="3380"/>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501"/>
      <c r="E128" s="3381" t="s">
        <v>571</v>
      </c>
      <c r="F128" s="3382"/>
      <c r="G128" s="3383"/>
      <c r="H128" s="3377" t="str">
        <f>IF(A127="","",INDEX(DIFFERENTIATION_UNMERGE_AREA,MATCH(A127,DIFFERENTIATION_ID_DIFF,0)))</f>
        <v/>
      </c>
      <c r="I128" s="3377"/>
      <c r="J128" s="3377"/>
      <c r="K128" s="3377"/>
      <c r="L128" s="3377"/>
      <c r="M128" s="3377"/>
      <c r="N128" s="3377"/>
      <c r="O128" s="3377"/>
      <c r="P128" s="3377"/>
      <c r="Q128" s="3377"/>
      <c r="R128" s="3377"/>
      <c r="S128" s="656"/>
      <c r="T128" s="653"/>
      <c r="U128" s="562"/>
      <c r="V128" s="562"/>
      <c r="W128" s="563"/>
      <c r="X128" s="563"/>
      <c r="Y128" s="563"/>
      <c r="Z128" s="563"/>
      <c r="AA128" s="564"/>
      <c r="AB128" s="565"/>
      <c r="AC128" s="338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501"/>
      <c r="E129" s="3381" t="s">
        <v>572</v>
      </c>
      <c r="F129" s="3382"/>
      <c r="G129" s="3383"/>
      <c r="H129" s="3377" t="str">
        <f>IF(A127="","",INDEX(DIFFERENTIATION_UNMERGE_SYSTEM,MATCH(A127,DIFFERENTIATION_ID_DIFF,0)))</f>
        <v/>
      </c>
      <c r="I129" s="3377"/>
      <c r="J129" s="3377"/>
      <c r="K129" s="3377"/>
      <c r="L129" s="3377"/>
      <c r="M129" s="3377"/>
      <c r="N129" s="3377"/>
      <c r="O129" s="3377"/>
      <c r="P129" s="3377"/>
      <c r="Q129" s="3377"/>
      <c r="R129" s="3377"/>
      <c r="S129" s="656"/>
      <c r="T129" s="653"/>
      <c r="U129" s="562"/>
      <c r="V129" s="562"/>
      <c r="W129" s="563"/>
      <c r="X129" s="563"/>
      <c r="Y129" s="563"/>
      <c r="Z129" s="563"/>
      <c r="AA129" s="564"/>
      <c r="AB129" s="565"/>
      <c r="AC129" s="338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501"/>
      <c r="E130" s="3379" t="s">
        <v>617</v>
      </c>
      <c r="F130" s="3379"/>
      <c r="G130" s="3379"/>
      <c r="H130" s="3379"/>
      <c r="I130" s="3379"/>
      <c r="J130" s="3379"/>
      <c r="K130" s="3379"/>
      <c r="L130" s="3379"/>
      <c r="M130" s="3379"/>
      <c r="N130" s="3379"/>
      <c r="O130" s="3379"/>
      <c r="P130" s="3379"/>
      <c r="Q130" s="495">
        <f>SUMIF(T131:T132,"i",Q131:Q132)</f>
        <v>0</v>
      </c>
      <c r="R130" s="947"/>
      <c r="S130" s="1724" t="s">
        <v>618</v>
      </c>
      <c r="T130" s="654" t="s">
        <v>619</v>
      </c>
      <c r="U130" s="3258">
        <v>1</v>
      </c>
      <c r="V130" s="3258" t="s">
        <v>582</v>
      </c>
      <c r="W130" s="1087"/>
      <c r="X130" s="1087"/>
      <c r="Y130" s="1087"/>
      <c r="Z130" s="1087"/>
      <c r="AA130" s="1563"/>
      <c r="AB130" s="1087"/>
      <c r="AC130" s="338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501"/>
      <c r="E131" s="572"/>
      <c r="F131" s="572">
        <v>0</v>
      </c>
      <c r="G131" s="572"/>
      <c r="H131" s="572"/>
      <c r="I131" s="572"/>
      <c r="J131" s="572"/>
      <c r="K131" s="572"/>
      <c r="L131" s="572"/>
      <c r="M131" s="572"/>
      <c r="N131" s="572"/>
      <c r="O131" s="572"/>
      <c r="P131" s="572"/>
      <c r="Q131" s="572"/>
      <c r="R131" s="572"/>
      <c r="S131" s="573"/>
      <c r="T131" s="655"/>
      <c r="U131" s="3258"/>
      <c r="V131" s="3258"/>
      <c r="W131" s="1563"/>
      <c r="X131" s="1563"/>
      <c r="Y131" s="1563"/>
      <c r="Z131" s="1563"/>
      <c r="AA131" s="1563"/>
      <c r="AB131" s="1087"/>
      <c r="AC131" s="338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501"/>
      <c r="E132" s="586" t="s">
        <v>28</v>
      </c>
      <c r="F132" s="1095" t="s">
        <v>28</v>
      </c>
      <c r="G132" s="1095" t="s">
        <v>1945</v>
      </c>
      <c r="H132" s="588" t="s">
        <v>28</v>
      </c>
      <c r="I132" s="588"/>
      <c r="J132" s="588"/>
      <c r="K132" s="588"/>
      <c r="L132" s="588"/>
      <c r="M132" s="588"/>
      <c r="N132" s="588"/>
      <c r="O132" s="588"/>
      <c r="P132" s="588"/>
      <c r="Q132" s="588"/>
      <c r="R132" s="589"/>
      <c r="S132" s="590"/>
      <c r="T132" s="655"/>
      <c r="U132" s="3258"/>
      <c r="V132" s="3258"/>
      <c r="W132" s="1087"/>
      <c r="X132" s="1087"/>
      <c r="Y132" s="1087"/>
      <c r="Z132" s="1087"/>
      <c r="AA132" s="1563"/>
      <c r="AB132" s="1087"/>
      <c r="AC132" s="338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501"/>
      <c r="E133" s="969"/>
      <c r="F133" s="969"/>
      <c r="G133" s="969"/>
      <c r="H133" s="969"/>
      <c r="I133" s="969"/>
      <c r="J133" s="969"/>
      <c r="K133" s="969"/>
      <c r="L133" s="969"/>
      <c r="M133" s="969"/>
      <c r="N133" s="969"/>
      <c r="O133" s="969"/>
      <c r="P133" s="969"/>
      <c r="Q133" s="970"/>
      <c r="R133" s="971"/>
      <c r="S133" s="972"/>
      <c r="T133" s="654" t="s">
        <v>619</v>
      </c>
      <c r="U133" s="3258">
        <v>1</v>
      </c>
      <c r="V133" s="3258"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501"/>
      <c r="E134" s="572"/>
      <c r="F134" s="572"/>
      <c r="G134" s="572"/>
      <c r="H134" s="572"/>
      <c r="I134" s="572"/>
      <c r="J134" s="572"/>
      <c r="K134" s="572"/>
      <c r="L134" s="572"/>
      <c r="M134" s="572"/>
      <c r="N134" s="572"/>
      <c r="O134" s="572"/>
      <c r="P134" s="572"/>
      <c r="Q134" s="572"/>
      <c r="R134" s="572"/>
      <c r="S134" s="573"/>
      <c r="T134" s="655"/>
      <c r="U134" s="3258"/>
      <c r="V134" s="3258"/>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502"/>
      <c r="E135" s="973"/>
      <c r="F135" s="974"/>
      <c r="G135" s="974"/>
      <c r="H135" s="975"/>
      <c r="I135" s="975"/>
      <c r="J135" s="975"/>
      <c r="K135" s="975"/>
      <c r="L135" s="975"/>
      <c r="M135" s="975"/>
      <c r="N135" s="975"/>
      <c r="O135" s="975"/>
      <c r="P135" s="975"/>
      <c r="Q135" s="975"/>
      <c r="R135" s="876"/>
      <c r="S135" s="976"/>
      <c r="T135" s="655"/>
      <c r="U135" s="3258"/>
      <c r="V135" s="3258"/>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1947</v>
      </c>
    </row>
    <row r="139" spans="1:83" s="1775" customFormat="1" ht="45" customHeight="1">
      <c r="A139" s="1732"/>
      <c r="B139" s="1087"/>
      <c r="C139" s="349"/>
      <c r="D139" s="29"/>
      <c r="E139" s="3505"/>
      <c r="F139" s="3122" t="s">
        <v>107</v>
      </c>
      <c r="G139" s="3508" t="s">
        <v>28</v>
      </c>
      <c r="H139" s="227"/>
      <c r="I139" s="574" t="s">
        <v>107</v>
      </c>
      <c r="J139" s="1733" t="s">
        <v>1948</v>
      </c>
      <c r="K139" s="575" t="s">
        <v>553</v>
      </c>
      <c r="L139" s="3218" t="s">
        <v>553</v>
      </c>
      <c r="M139" s="3172"/>
      <c r="N139" s="575" t="s">
        <v>553</v>
      </c>
      <c r="O139" s="575" t="s">
        <v>553</v>
      </c>
      <c r="P139" s="575" t="s">
        <v>553</v>
      </c>
      <c r="Q139" s="576">
        <f>SUM(Q140:Q142)</f>
        <v>0</v>
      </c>
      <c r="R139" s="576">
        <f>IF(R136=0,0,(Q136/R136)*100)</f>
        <v>0</v>
      </c>
      <c r="S139" s="3194"/>
      <c r="T139" s="654" t="s">
        <v>619</v>
      </c>
      <c r="U139" s="29"/>
      <c r="V139" s="29"/>
      <c r="AC139" s="29"/>
    </row>
    <row r="140" spans="1:83" s="1775" customFormat="1" ht="11.25" customHeight="1">
      <c r="A140" s="1732"/>
      <c r="B140" s="1087"/>
      <c r="C140" s="349"/>
      <c r="D140" s="29"/>
      <c r="E140" s="3506"/>
      <c r="F140" s="3122"/>
      <c r="G140" s="3508"/>
      <c r="H140" s="3111"/>
      <c r="I140" s="3436" t="s">
        <v>1028</v>
      </c>
      <c r="J140" s="3503"/>
      <c r="K140" s="3504"/>
      <c r="L140" s="577"/>
      <c r="M140" s="578" t="s">
        <v>107</v>
      </c>
      <c r="N140" s="1721"/>
      <c r="O140" s="579"/>
      <c r="P140" s="580"/>
      <c r="Q140" s="579"/>
      <c r="R140" s="581">
        <v>0</v>
      </c>
      <c r="S140" s="3194"/>
      <c r="T140" s="654"/>
      <c r="U140" s="29"/>
      <c r="V140" s="29"/>
      <c r="AC140" s="29"/>
    </row>
    <row r="141" spans="1:83" s="1775" customFormat="1" ht="11.25" customHeight="1">
      <c r="A141" s="1732"/>
      <c r="B141" s="1087"/>
      <c r="C141" s="349"/>
      <c r="D141" s="29"/>
      <c r="E141" s="3506"/>
      <c r="F141" s="3122"/>
      <c r="G141" s="3508"/>
      <c r="H141" s="3111"/>
      <c r="I141" s="3436"/>
      <c r="J141" s="3503"/>
      <c r="K141" s="3499"/>
      <c r="L141" s="582"/>
      <c r="M141" s="583"/>
      <c r="N141" s="584" t="s">
        <v>1949</v>
      </c>
      <c r="O141" s="584"/>
      <c r="P141" s="584"/>
      <c r="Q141" s="584"/>
      <c r="R141" s="585"/>
      <c r="S141" s="3194"/>
      <c r="T141" s="654"/>
      <c r="U141" s="29"/>
      <c r="V141" s="29"/>
      <c r="AC141" s="29"/>
    </row>
    <row r="142" spans="1:83" s="1775" customFormat="1" ht="11.25" customHeight="1">
      <c r="A142" s="1732"/>
      <c r="B142" s="1087"/>
      <c r="C142" s="349"/>
      <c r="D142" s="29"/>
      <c r="E142" s="3507"/>
      <c r="F142" s="3122"/>
      <c r="G142" s="3509"/>
      <c r="H142" s="582" t="s">
        <v>28</v>
      </c>
      <c r="I142" s="583"/>
      <c r="J142" s="584" t="s">
        <v>1950</v>
      </c>
      <c r="K142" s="584"/>
      <c r="L142" s="584"/>
      <c r="M142" s="584"/>
      <c r="N142" s="584"/>
      <c r="O142" s="584"/>
      <c r="P142" s="584"/>
      <c r="Q142" s="584"/>
      <c r="R142" s="585"/>
      <c r="S142" s="3194"/>
      <c r="T142" s="654"/>
      <c r="U142" s="29"/>
      <c r="V142" s="29"/>
      <c r="AC142" s="29"/>
    </row>
    <row r="147" spans="1:43" s="1775" customFormat="1" ht="11.25" customHeight="1">
      <c r="A147" s="1732"/>
      <c r="B147" s="1087"/>
      <c r="C147" s="349"/>
      <c r="D147" s="29"/>
      <c r="E147" s="1755"/>
      <c r="F147" s="1755"/>
      <c r="G147" s="1755"/>
      <c r="H147" s="3111"/>
      <c r="I147" s="3436" t="s">
        <v>1028</v>
      </c>
      <c r="J147" s="3503"/>
      <c r="K147" s="3504"/>
      <c r="L147" s="577"/>
      <c r="M147" s="578" t="s">
        <v>107</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3111"/>
      <c r="I148" s="3436"/>
      <c r="J148" s="3503"/>
      <c r="K148" s="3499"/>
      <c r="L148" s="582"/>
      <c r="M148" s="583"/>
      <c r="N148" s="584" t="s">
        <v>1949</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107</v>
      </c>
      <c r="N150" s="1721"/>
      <c r="O150" s="579"/>
      <c r="P150" s="580"/>
      <c r="Q150" s="579"/>
      <c r="R150" s="581">
        <v>0</v>
      </c>
      <c r="S150" s="29"/>
      <c r="T150" s="654"/>
      <c r="U150" s="29"/>
      <c r="V150" s="29"/>
      <c r="AC150" s="29"/>
    </row>
    <row r="152" spans="1:43" s="1741" customFormat="1" ht="17.25" customHeight="1">
      <c r="A152" s="1741" t="s">
        <v>1951</v>
      </c>
    </row>
    <row r="153" spans="1:43" ht="17.25" customHeight="1">
      <c r="G153" s="1764"/>
      <c r="H153" s="1764"/>
      <c r="I153" s="1764"/>
      <c r="M153" s="1760"/>
    </row>
    <row r="154" spans="1:43" s="1778" customFormat="1" ht="17.25" customHeight="1">
      <c r="A154" s="1765"/>
      <c r="C154" s="1767"/>
      <c r="D154" s="3182"/>
      <c r="E154" s="3133"/>
      <c r="F154" s="3146"/>
      <c r="G154" s="3173"/>
      <c r="H154" s="3182"/>
      <c r="I154" s="3182">
        <v>1</v>
      </c>
      <c r="J154" s="3180"/>
      <c r="K154" s="3176" t="s">
        <v>67</v>
      </c>
      <c r="L154" s="3122"/>
      <c r="M154" s="3122" t="s">
        <v>107</v>
      </c>
      <c r="N154" s="3510" t="str">
        <f>IF(Z154="","",INDEX(TERRITORY_MR_LIST,MATCH(Z154,TERRITORY_LIST_ID,0)))</f>
        <v/>
      </c>
      <c r="O154" s="3176" t="s">
        <v>67</v>
      </c>
      <c r="P154" s="3122"/>
      <c r="Q154" s="3122" t="s">
        <v>107</v>
      </c>
      <c r="R154" s="3499" t="s">
        <v>28</v>
      </c>
      <c r="S154" s="3121" t="s">
        <v>67</v>
      </c>
      <c r="T154" s="1737"/>
      <c r="U154" s="1737" t="s">
        <v>107</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3182"/>
      <c r="E155" s="3133"/>
      <c r="F155" s="3147"/>
      <c r="G155" s="3173"/>
      <c r="H155" s="3182"/>
      <c r="I155" s="3182"/>
      <c r="J155" s="3180"/>
      <c r="K155" s="3177"/>
      <c r="L155" s="3122"/>
      <c r="M155" s="3122"/>
      <c r="N155" s="3510"/>
      <c r="O155" s="3177"/>
      <c r="P155" s="3122"/>
      <c r="Q155" s="3122"/>
      <c r="R155" s="3499"/>
      <c r="S155" s="3121"/>
      <c r="T155" s="255"/>
      <c r="U155" s="256"/>
      <c r="V155" s="256" t="s">
        <v>166</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3145"/>
      <c r="E156" s="3134"/>
      <c r="F156" s="3147"/>
      <c r="G156" s="3174"/>
      <c r="H156" s="3145"/>
      <c r="I156" s="3145"/>
      <c r="J156" s="3181"/>
      <c r="K156" s="3177"/>
      <c r="L156" s="3145"/>
      <c r="M156" s="3145"/>
      <c r="N156" s="3511"/>
      <c r="O156" s="3126"/>
      <c r="P156" s="255"/>
      <c r="Q156" s="256"/>
      <c r="R156" s="256" t="s">
        <v>167</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3145"/>
      <c r="E157" s="3134"/>
      <c r="F157" s="3147"/>
      <c r="G157" s="3174"/>
      <c r="H157" s="3145"/>
      <c r="I157" s="3145"/>
      <c r="J157" s="3181"/>
      <c r="K157" s="3126"/>
      <c r="L157" s="255"/>
      <c r="M157" s="256"/>
      <c r="N157" s="256" t="s">
        <v>168</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3145"/>
      <c r="E158" s="3134"/>
      <c r="F158" s="3148"/>
      <c r="G158" s="3174"/>
      <c r="H158" s="255"/>
      <c r="I158" s="256"/>
      <c r="J158" s="256" t="s">
        <v>175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3182"/>
      <c r="I160" s="3182">
        <v>1</v>
      </c>
      <c r="J160" s="3180"/>
      <c r="K160" s="3176" t="s">
        <v>67</v>
      </c>
      <c r="L160" s="3122"/>
      <c r="M160" s="3122" t="s">
        <v>107</v>
      </c>
      <c r="N160" s="3510" t="str">
        <f>IF(Z160="","",INDEX(TERRITORY_MR_LIST,MATCH(Z160,TERRITORY_LIST_ID,0)))</f>
        <v/>
      </c>
      <c r="O160" s="3176" t="s">
        <v>67</v>
      </c>
      <c r="P160" s="3122"/>
      <c r="Q160" s="3122" t="s">
        <v>107</v>
      </c>
      <c r="R160" s="3499" t="s">
        <v>28</v>
      </c>
      <c r="S160" s="3121" t="s">
        <v>67</v>
      </c>
      <c r="T160" s="1737"/>
      <c r="U160" s="1737" t="s">
        <v>107</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3182"/>
      <c r="I161" s="3182"/>
      <c r="J161" s="3180"/>
      <c r="K161" s="3177"/>
      <c r="L161" s="3122"/>
      <c r="M161" s="3122"/>
      <c r="N161" s="3510"/>
      <c r="O161" s="3177"/>
      <c r="P161" s="3122"/>
      <c r="Q161" s="3122"/>
      <c r="R161" s="3499"/>
      <c r="S161" s="3121"/>
      <c r="T161" s="255"/>
      <c r="U161" s="256"/>
      <c r="V161" s="256" t="s">
        <v>166</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3145"/>
      <c r="I162" s="3145"/>
      <c r="J162" s="3181"/>
      <c r="K162" s="3177"/>
      <c r="L162" s="3145"/>
      <c r="M162" s="3145"/>
      <c r="N162" s="3511"/>
      <c r="O162" s="3126"/>
      <c r="P162" s="255"/>
      <c r="Q162" s="256"/>
      <c r="R162" s="256" t="s">
        <v>167</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3145"/>
      <c r="I163" s="3145"/>
      <c r="J163" s="3181"/>
      <c r="K163" s="3126"/>
      <c r="L163" s="255"/>
      <c r="M163" s="256"/>
      <c r="N163" s="256" t="s">
        <v>168</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3122"/>
      <c r="M165" s="3122" t="s">
        <v>107</v>
      </c>
      <c r="N165" s="3510" t="str">
        <f>IF(Z165="","",INDEX(TERRITORY_MR_LIST,MATCH(Z165,TERRITORY_LIST_ID,0)))</f>
        <v/>
      </c>
      <c r="O165" s="3176" t="s">
        <v>67</v>
      </c>
      <c r="P165" s="3122"/>
      <c r="Q165" s="3122" t="s">
        <v>107</v>
      </c>
      <c r="R165" s="3499" t="s">
        <v>28</v>
      </c>
      <c r="S165" s="3121" t="s">
        <v>67</v>
      </c>
      <c r="T165" s="1737"/>
      <c r="U165" s="1737" t="s">
        <v>107</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3122"/>
      <c r="M166" s="3122"/>
      <c r="N166" s="3510"/>
      <c r="O166" s="3177"/>
      <c r="P166" s="3122"/>
      <c r="Q166" s="3122"/>
      <c r="R166" s="3499"/>
      <c r="S166" s="3121"/>
      <c r="T166" s="255"/>
      <c r="U166" s="256"/>
      <c r="V166" s="256" t="s">
        <v>166</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3145"/>
      <c r="M167" s="3145"/>
      <c r="N167" s="3511"/>
      <c r="O167" s="3126"/>
      <c r="P167" s="255"/>
      <c r="Q167" s="256"/>
      <c r="R167" s="256" t="s">
        <v>167</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3122"/>
      <c r="Q169" s="3122" t="s">
        <v>107</v>
      </c>
      <c r="R169" s="3499" t="s">
        <v>28</v>
      </c>
      <c r="S169" s="3121" t="s">
        <v>67</v>
      </c>
      <c r="T169" s="1737"/>
      <c r="U169" s="1737" t="s">
        <v>107</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3122"/>
      <c r="Q170" s="3122"/>
      <c r="R170" s="3499"/>
      <c r="S170" s="3121"/>
      <c r="T170" s="255"/>
      <c r="U170" s="256"/>
      <c r="V170" s="256" t="s">
        <v>166</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107</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1952</v>
      </c>
    </row>
    <row r="175" spans="1:43" ht="17.25" customHeight="1">
      <c r="G175" s="1764"/>
      <c r="H175" s="1764"/>
      <c r="I175" s="1764"/>
      <c r="M175" s="1760"/>
    </row>
    <row r="176" spans="1:43" s="1778" customFormat="1" ht="17.25" customHeight="1">
      <c r="A176" s="1765"/>
      <c r="C176" s="1767"/>
      <c r="D176" s="3182"/>
      <c r="E176" s="3133"/>
      <c r="F176" s="3146"/>
      <c r="G176" s="3173"/>
      <c r="H176" s="3182"/>
      <c r="I176" s="3182">
        <v>1</v>
      </c>
      <c r="J176" s="3180"/>
      <c r="K176" s="3176" t="s">
        <v>67</v>
      </c>
      <c r="L176" s="3122"/>
      <c r="M176" s="3122" t="s">
        <v>107</v>
      </c>
      <c r="N176" s="3510" t="str">
        <f>IF(Z176="","",INDEX(TERRITORY_MR_LIST,MATCH(Z176,TERRITORY_LIST_ID,0)))</f>
        <v/>
      </c>
      <c r="O176" s="3176" t="s">
        <v>67</v>
      </c>
      <c r="P176" s="3122"/>
      <c r="Q176" s="3122" t="s">
        <v>107</v>
      </c>
      <c r="R176" s="3499" t="s">
        <v>28</v>
      </c>
      <c r="S176" s="3399" t="s">
        <v>19</v>
      </c>
      <c r="T176" s="1728"/>
      <c r="U176" s="1728" t="s">
        <v>107</v>
      </c>
      <c r="V176" s="1361"/>
      <c r="W176" s="3180"/>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3182"/>
      <c r="E177" s="3133"/>
      <c r="F177" s="3147"/>
      <c r="G177" s="3173"/>
      <c r="H177" s="3182"/>
      <c r="I177" s="3182"/>
      <c r="J177" s="3180"/>
      <c r="K177" s="3177"/>
      <c r="L177" s="3122"/>
      <c r="M177" s="3122"/>
      <c r="N177" s="3510"/>
      <c r="O177" s="3177"/>
      <c r="P177" s="3122"/>
      <c r="Q177" s="3122"/>
      <c r="R177" s="3499"/>
      <c r="S177" s="3399"/>
      <c r="T177" s="1362"/>
      <c r="U177" s="1363"/>
      <c r="V177" s="1363"/>
      <c r="W177" s="3180"/>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3145"/>
      <c r="E178" s="3134"/>
      <c r="F178" s="3147"/>
      <c r="G178" s="3174"/>
      <c r="H178" s="3145"/>
      <c r="I178" s="3145"/>
      <c r="J178" s="3181"/>
      <c r="K178" s="3177"/>
      <c r="L178" s="3145"/>
      <c r="M178" s="3145"/>
      <c r="N178" s="3511"/>
      <c r="O178" s="3126"/>
      <c r="P178" s="255"/>
      <c r="Q178" s="256"/>
      <c r="R178" s="256" t="s">
        <v>167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3145"/>
      <c r="E179" s="3134"/>
      <c r="F179" s="3147"/>
      <c r="G179" s="3174"/>
      <c r="H179" s="3145"/>
      <c r="I179" s="3145"/>
      <c r="J179" s="3181"/>
      <c r="K179" s="3126"/>
      <c r="L179" s="255"/>
      <c r="M179" s="256"/>
      <c r="N179" s="256" t="s">
        <v>168</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3145"/>
      <c r="E180" s="3134"/>
      <c r="F180" s="3148"/>
      <c r="G180" s="3174"/>
      <c r="H180" s="255"/>
      <c r="I180" s="256"/>
      <c r="J180" s="256" t="s">
        <v>175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3182"/>
      <c r="I182" s="3182">
        <v>1</v>
      </c>
      <c r="J182" s="3180"/>
      <c r="K182" s="3176" t="s">
        <v>67</v>
      </c>
      <c r="L182" s="3122"/>
      <c r="M182" s="3122" t="s">
        <v>107</v>
      </c>
      <c r="N182" s="3510" t="str">
        <f>IF(Z182="","",INDEX(TERRITORY_MR_LIST,MATCH(Z182,TERRITORY_LIST_ID,0)))</f>
        <v/>
      </c>
      <c r="O182" s="3176" t="s">
        <v>67</v>
      </c>
      <c r="P182" s="3122"/>
      <c r="Q182" s="3122" t="s">
        <v>107</v>
      </c>
      <c r="R182" s="3499" t="s">
        <v>28</v>
      </c>
      <c r="S182" s="3399" t="s">
        <v>19</v>
      </c>
      <c r="T182" s="1728"/>
      <c r="U182" s="1728" t="s">
        <v>107</v>
      </c>
      <c r="V182" s="1361"/>
      <c r="W182" s="3180"/>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3182"/>
      <c r="I183" s="3182"/>
      <c r="J183" s="3180"/>
      <c r="K183" s="3177"/>
      <c r="L183" s="3122"/>
      <c r="M183" s="3122"/>
      <c r="N183" s="3510"/>
      <c r="O183" s="3177"/>
      <c r="P183" s="3122"/>
      <c r="Q183" s="3122"/>
      <c r="R183" s="3499"/>
      <c r="S183" s="3399"/>
      <c r="T183" s="1362"/>
      <c r="U183" s="1363"/>
      <c r="V183" s="1363"/>
      <c r="W183" s="3180"/>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3145"/>
      <c r="I184" s="3145"/>
      <c r="J184" s="3181"/>
      <c r="K184" s="3177"/>
      <c r="L184" s="3145"/>
      <c r="M184" s="3145"/>
      <c r="N184" s="3511"/>
      <c r="O184" s="3126"/>
      <c r="P184" s="255"/>
      <c r="Q184" s="256"/>
      <c r="R184" s="256" t="s">
        <v>167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3145"/>
      <c r="I185" s="3145"/>
      <c r="J185" s="3181"/>
      <c r="K185" s="3126"/>
      <c r="L185" s="255"/>
      <c r="M185" s="256"/>
      <c r="N185" s="256" t="s">
        <v>168</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3122"/>
      <c r="M187" s="3122" t="s">
        <v>107</v>
      </c>
      <c r="N187" s="3510" t="str">
        <f>IF(Z187="","",INDEX(TERRITORY_MR_LIST,MATCH(Z187,TERRITORY_LIST_ID,0)))</f>
        <v/>
      </c>
      <c r="O187" s="3176" t="s">
        <v>67</v>
      </c>
      <c r="P187" s="3122"/>
      <c r="Q187" s="3122" t="s">
        <v>107</v>
      </c>
      <c r="R187" s="3499" t="s">
        <v>28</v>
      </c>
      <c r="S187" s="3399" t="s">
        <v>19</v>
      </c>
      <c r="T187" s="1728"/>
      <c r="U187" s="1728" t="s">
        <v>107</v>
      </c>
      <c r="V187" s="1361"/>
      <c r="W187" s="3180"/>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3122"/>
      <c r="M188" s="3122"/>
      <c r="N188" s="3510"/>
      <c r="O188" s="3177"/>
      <c r="P188" s="3122"/>
      <c r="Q188" s="3122"/>
      <c r="R188" s="3499"/>
      <c r="S188" s="3399"/>
      <c r="T188" s="1362"/>
      <c r="U188" s="1363"/>
      <c r="V188" s="1363"/>
      <c r="W188" s="3180"/>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3145"/>
      <c r="M189" s="3145"/>
      <c r="N189" s="3511"/>
      <c r="O189" s="3126"/>
      <c r="P189" s="255"/>
      <c r="Q189" s="256"/>
      <c r="R189" s="256" t="s">
        <v>167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3122"/>
      <c r="Q191" s="3122" t="s">
        <v>107</v>
      </c>
      <c r="R191" s="3499" t="s">
        <v>28</v>
      </c>
      <c r="S191" s="3399" t="s">
        <v>19</v>
      </c>
      <c r="T191" s="1728"/>
      <c r="U191" s="1728" t="s">
        <v>107</v>
      </c>
      <c r="V191" s="1361"/>
      <c r="W191" s="3180"/>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3122"/>
      <c r="Q192" s="3122"/>
      <c r="R192" s="3499"/>
      <c r="S192" s="3399"/>
      <c r="T192" s="1362"/>
      <c r="U192" s="1363"/>
      <c r="V192" s="1363"/>
      <c r="W192" s="318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3182"/>
      <c r="E194" s="3194"/>
      <c r="F194" s="3194"/>
      <c r="G194" s="3111"/>
      <c r="H194" s="3135"/>
      <c r="I194" s="3137"/>
      <c r="J194" s="3139"/>
      <c r="K194" s="3131"/>
      <c r="L194" s="3131"/>
      <c r="M194" s="3131"/>
      <c r="N194" s="3142"/>
      <c r="O194" s="3131"/>
      <c r="P194" s="3131"/>
      <c r="Q194" s="3131"/>
      <c r="R194" s="3129"/>
      <c r="S194" s="3131"/>
      <c r="T194" s="1709"/>
      <c r="U194" s="1709"/>
      <c r="V194" s="1777"/>
      <c r="W194" s="1223"/>
    </row>
    <row r="195" spans="1:63" ht="16.5" customHeight="1">
      <c r="A195" s="1765"/>
      <c r="B195" s="1766"/>
      <c r="C195" s="1770"/>
      <c r="D195" s="3182"/>
      <c r="E195" s="3194"/>
      <c r="F195" s="3194"/>
      <c r="G195" s="3111"/>
      <c r="H195" s="3136"/>
      <c r="I195" s="3138"/>
      <c r="J195" s="3140"/>
      <c r="K195" s="3132"/>
      <c r="L195" s="3132"/>
      <c r="M195" s="3132"/>
      <c r="N195" s="3143"/>
      <c r="O195" s="3132"/>
      <c r="P195" s="3132"/>
      <c r="Q195" s="3132"/>
      <c r="R195" s="3130"/>
      <c r="S195" s="3132"/>
      <c r="T195" s="1224"/>
      <c r="U195" s="1224"/>
      <c r="V195" s="1224"/>
      <c r="W195" s="1225"/>
    </row>
    <row r="196" spans="1:63" ht="17.25" customHeight="1">
      <c r="A196" s="1765"/>
      <c r="B196" s="1766"/>
      <c r="C196" s="1770"/>
      <c r="D196" s="3182"/>
      <c r="E196" s="3194"/>
      <c r="F196" s="3194"/>
      <c r="G196" s="3111"/>
      <c r="H196" s="3136"/>
      <c r="I196" s="3138"/>
      <c r="J196" s="3141"/>
      <c r="K196" s="3132"/>
      <c r="L196" s="3132"/>
      <c r="M196" s="3132"/>
      <c r="N196" s="3130"/>
      <c r="O196" s="3132"/>
      <c r="P196" s="1712"/>
      <c r="Q196" s="1224"/>
      <c r="R196" s="1224"/>
      <c r="S196" s="1778"/>
      <c r="T196" s="1778"/>
      <c r="U196" s="1778"/>
      <c r="V196" s="1778"/>
      <c r="W196" s="1225"/>
    </row>
    <row r="197" spans="1:63" ht="17.25" customHeight="1">
      <c r="A197" s="1765"/>
      <c r="B197" s="1766"/>
      <c r="C197" s="1770"/>
      <c r="D197" s="3182"/>
      <c r="E197" s="3194"/>
      <c r="F197" s="3194"/>
      <c r="G197" s="3111"/>
      <c r="H197" s="3136"/>
      <c r="I197" s="3138"/>
      <c r="J197" s="3141"/>
      <c r="K197" s="3132"/>
      <c r="L197" s="1224"/>
      <c r="M197" s="1224"/>
      <c r="N197" s="1224"/>
      <c r="O197" s="1224"/>
      <c r="P197" s="1224"/>
      <c r="Q197" s="1224"/>
      <c r="R197" s="1224"/>
      <c r="S197" s="1778"/>
      <c r="T197" s="1778"/>
      <c r="U197" s="1778"/>
      <c r="V197" s="1778"/>
      <c r="W197" s="1225"/>
    </row>
    <row r="198" spans="1:63" ht="17.25" customHeight="1">
      <c r="A198" s="1765"/>
      <c r="B198" s="1766"/>
      <c r="C198" s="1770"/>
      <c r="D198" s="3182"/>
      <c r="E198" s="3194"/>
      <c r="F198" s="3194"/>
      <c r="G198" s="311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1953</v>
      </c>
    </row>
    <row r="201" spans="1:63" ht="17.25" customHeight="1">
      <c r="G201" s="1764"/>
      <c r="H201" s="1764"/>
      <c r="I201" s="1764"/>
      <c r="M201" s="1760"/>
    </row>
    <row r="202" spans="1:63" s="1775" customFormat="1" ht="15" customHeight="1">
      <c r="D202" s="3534"/>
      <c r="E202" s="3189"/>
      <c r="F202" s="3189"/>
      <c r="G202" s="3176"/>
      <c r="H202" s="1491"/>
      <c r="I202" s="3535">
        <v>1</v>
      </c>
      <c r="J202" s="3180"/>
      <c r="K202" s="1506"/>
      <c r="L202" s="3176" t="s">
        <v>67</v>
      </c>
      <c r="M202" s="3176" t="s">
        <v>67</v>
      </c>
      <c r="N202" s="1491"/>
      <c r="O202" s="3122" t="s">
        <v>107</v>
      </c>
      <c r="P202" s="3541"/>
      <c r="Q202" s="1507"/>
      <c r="R202" s="3176" t="s">
        <v>67</v>
      </c>
      <c r="S202" s="3176" t="s">
        <v>67</v>
      </c>
      <c r="T202" s="1780"/>
      <c r="U202" s="3122" t="s">
        <v>107</v>
      </c>
      <c r="V202" s="3531" t="str">
        <f>IF(AK202="","",INDEX(TERRITORY_MR_LIST,MATCH(AK202,TERRITORY_LIST_ID,0)))</f>
        <v/>
      </c>
      <c r="W202" s="1508"/>
      <c r="X202" s="3176" t="s">
        <v>67</v>
      </c>
      <c r="Y202" s="3176" t="s">
        <v>19</v>
      </c>
      <c r="Z202" s="1491"/>
      <c r="AA202" s="3122" t="s">
        <v>107</v>
      </c>
      <c r="AB202" s="3533"/>
      <c r="AC202" s="1509"/>
      <c r="AD202" s="3176" t="s">
        <v>67</v>
      </c>
      <c r="AE202" s="3176" t="s">
        <v>19</v>
      </c>
      <c r="AF202" s="1489"/>
      <c r="AG202" s="1737" t="s">
        <v>107</v>
      </c>
      <c r="AH202" s="1499"/>
      <c r="AI202" s="1727"/>
    </row>
    <row r="203" spans="1:63" s="1775" customFormat="1" ht="15" customHeight="1">
      <c r="D203" s="3534"/>
      <c r="E203" s="3189"/>
      <c r="F203" s="3189"/>
      <c r="G203" s="3177"/>
      <c r="H203" s="1491"/>
      <c r="I203" s="3535"/>
      <c r="J203" s="3180"/>
      <c r="K203" s="1490"/>
      <c r="L203" s="3177"/>
      <c r="M203" s="3177"/>
      <c r="N203" s="1491"/>
      <c r="O203" s="3122"/>
      <c r="P203" s="3541"/>
      <c r="Q203" s="1487"/>
      <c r="R203" s="3177"/>
      <c r="S203" s="3177"/>
      <c r="T203" s="1780"/>
      <c r="U203" s="3122"/>
      <c r="V203" s="3532"/>
      <c r="W203" s="1488"/>
      <c r="X203" s="3177"/>
      <c r="Y203" s="3177"/>
      <c r="Z203" s="1491"/>
      <c r="AA203" s="3122"/>
      <c r="AB203" s="3468"/>
      <c r="AC203" s="1492"/>
      <c r="AD203" s="3126"/>
      <c r="AE203" s="3126"/>
      <c r="AF203" s="1493"/>
      <c r="AG203" s="1494"/>
      <c r="AH203" s="3537" t="s">
        <v>1954</v>
      </c>
      <c r="AI203" s="3538"/>
    </row>
    <row r="204" spans="1:63" s="1775" customFormat="1" ht="15" customHeight="1">
      <c r="D204" s="3534"/>
      <c r="E204" s="3189"/>
      <c r="F204" s="3189"/>
      <c r="G204" s="3177"/>
      <c r="H204" s="1491"/>
      <c r="I204" s="3535"/>
      <c r="J204" s="3180"/>
      <c r="K204" s="1490"/>
      <c r="L204" s="3177"/>
      <c r="M204" s="3177"/>
      <c r="N204" s="1491"/>
      <c r="O204" s="3122"/>
      <c r="P204" s="3541"/>
      <c r="Q204" s="1487"/>
      <c r="R204" s="3177"/>
      <c r="S204" s="3177"/>
      <c r="T204" s="1780"/>
      <c r="U204" s="3122"/>
      <c r="V204" s="3532"/>
      <c r="W204" s="1488"/>
      <c r="X204" s="3177"/>
      <c r="Y204" s="3177"/>
      <c r="Z204" s="1530"/>
      <c r="AA204" s="1496"/>
      <c r="AB204" s="3539" t="s">
        <v>1955</v>
      </c>
      <c r="AC204" s="3539"/>
      <c r="AD204" s="3539"/>
      <c r="AE204" s="3539"/>
      <c r="AF204" s="3539"/>
      <c r="AG204" s="3539"/>
      <c r="AH204" s="3539"/>
      <c r="AI204" s="3540"/>
    </row>
    <row r="205" spans="1:63" s="1775" customFormat="1" ht="15" customHeight="1">
      <c r="D205" s="3534"/>
      <c r="E205" s="3189"/>
      <c r="F205" s="3189"/>
      <c r="G205" s="3177"/>
      <c r="H205" s="1491"/>
      <c r="I205" s="3535"/>
      <c r="J205" s="3180"/>
      <c r="K205" s="1490"/>
      <c r="L205" s="3177"/>
      <c r="M205" s="3177"/>
      <c r="N205" s="1491"/>
      <c r="O205" s="3122"/>
      <c r="P205" s="3542"/>
      <c r="Q205" s="1487"/>
      <c r="R205" s="3177"/>
      <c r="S205" s="3177"/>
      <c r="T205" s="1781"/>
      <c r="U205" s="1531"/>
      <c r="V205" s="3537" t="s">
        <v>101</v>
      </c>
      <c r="W205" s="3537"/>
      <c r="X205" s="3537"/>
      <c r="Y205" s="3537"/>
      <c r="Z205" s="3537"/>
      <c r="AA205" s="3537"/>
      <c r="AB205" s="3537"/>
      <c r="AC205" s="3537"/>
      <c r="AD205" s="3537"/>
      <c r="AE205" s="3537"/>
      <c r="AF205" s="3537"/>
      <c r="AG205" s="3537"/>
      <c r="AH205" s="3537"/>
      <c r="AI205" s="3538"/>
    </row>
    <row r="206" spans="1:63" s="1775" customFormat="1" ht="11.25" customHeight="1">
      <c r="D206" s="3534"/>
      <c r="E206" s="3189"/>
      <c r="F206" s="3189"/>
      <c r="G206" s="3177"/>
      <c r="H206" s="1495"/>
      <c r="I206" s="3535"/>
      <c r="J206" s="3536"/>
      <c r="K206" s="1490"/>
      <c r="L206" s="3177"/>
      <c r="M206" s="3177"/>
      <c r="N206" s="1495"/>
      <c r="O206" s="1496"/>
      <c r="P206" s="3537" t="s">
        <v>1956</v>
      </c>
      <c r="Q206" s="3537"/>
      <c r="R206" s="3537"/>
      <c r="S206" s="3537"/>
      <c r="T206" s="3537"/>
      <c r="U206" s="3537"/>
      <c r="V206" s="3537"/>
      <c r="W206" s="3537"/>
      <c r="X206" s="3537"/>
      <c r="Y206" s="3537"/>
      <c r="Z206" s="3537"/>
      <c r="AA206" s="3537"/>
      <c r="AB206" s="3537"/>
      <c r="AC206" s="3537"/>
      <c r="AD206" s="3537"/>
      <c r="AE206" s="3537"/>
      <c r="AF206" s="3537"/>
      <c r="AG206" s="3537"/>
      <c r="AH206" s="3537"/>
      <c r="AI206" s="3538"/>
    </row>
    <row r="207" spans="1:63" s="1481" customFormat="1" ht="11.25" customHeight="1">
      <c r="D207" s="3534"/>
      <c r="E207" s="3189"/>
      <c r="F207" s="3189"/>
      <c r="G207" s="3126"/>
      <c r="H207" s="1497"/>
      <c r="I207" s="1498"/>
      <c r="J207" s="3537" t="s">
        <v>175</v>
      </c>
      <c r="K207" s="3537"/>
      <c r="L207" s="3537"/>
      <c r="M207" s="3537"/>
      <c r="N207" s="3537"/>
      <c r="O207" s="3537"/>
      <c r="P207" s="3537"/>
      <c r="Q207" s="3537"/>
      <c r="R207" s="3537"/>
      <c r="S207" s="3537"/>
      <c r="T207" s="3537"/>
      <c r="U207" s="3537"/>
      <c r="V207" s="3537"/>
      <c r="W207" s="3537"/>
      <c r="X207" s="3537"/>
      <c r="Y207" s="3537"/>
      <c r="Z207" s="3537"/>
      <c r="AA207" s="3537"/>
      <c r="AB207" s="3537"/>
      <c r="AC207" s="3537"/>
      <c r="AD207" s="3537"/>
      <c r="AE207" s="3537"/>
      <c r="AF207" s="3537"/>
      <c r="AG207" s="3537"/>
      <c r="AH207" s="3537"/>
      <c r="AI207" s="3538"/>
      <c r="BK207" s="1501"/>
    </row>
    <row r="208" spans="1:63" ht="17.25" customHeight="1">
      <c r="G208" s="1764"/>
      <c r="I208" s="1764"/>
      <c r="J208" s="1764"/>
      <c r="N208" s="1760"/>
    </row>
    <row r="209" spans="4:63" s="1775" customFormat="1" ht="15" customHeight="1">
      <c r="D209" s="3534"/>
      <c r="E209" s="3189"/>
      <c r="F209" s="3189"/>
      <c r="G209" s="3194"/>
      <c r="H209" s="1526"/>
      <c r="I209" s="3197"/>
      <c r="J209" s="3139"/>
      <c r="K209" s="1711"/>
      <c r="L209" s="3131"/>
      <c r="M209" s="3131"/>
      <c r="N209" s="1511"/>
      <c r="O209" s="3131"/>
      <c r="P209" s="3139"/>
      <c r="Q209" s="1715"/>
      <c r="R209" s="3131"/>
      <c r="S209" s="3131"/>
      <c r="T209" s="1782"/>
      <c r="U209" s="3131"/>
      <c r="V209" s="3139"/>
      <c r="W209" s="1514"/>
      <c r="X209" s="3131"/>
      <c r="Y209" s="3131"/>
      <c r="Z209" s="1511"/>
      <c r="AA209" s="3131"/>
      <c r="AB209" s="3139"/>
      <c r="AC209" s="1515"/>
      <c r="AD209" s="3131"/>
      <c r="AE209" s="3131"/>
      <c r="AF209" s="1709"/>
      <c r="AG209" s="1709"/>
      <c r="AH209" s="1516"/>
      <c r="AI209" s="1223"/>
    </row>
    <row r="210" spans="4:63" s="1775" customFormat="1" ht="15" customHeight="1">
      <c r="D210" s="3534"/>
      <c r="E210" s="3189"/>
      <c r="F210" s="3189"/>
      <c r="G210" s="3194"/>
      <c r="H210" s="1527"/>
      <c r="I210" s="3198"/>
      <c r="J210" s="3140"/>
      <c r="K210" s="1537"/>
      <c r="L210" s="3132"/>
      <c r="M210" s="3132"/>
      <c r="N210" s="1517"/>
      <c r="O210" s="3132"/>
      <c r="P210" s="3140"/>
      <c r="Q210" s="1716"/>
      <c r="R210" s="3132"/>
      <c r="S210" s="3132"/>
      <c r="T210" s="1783"/>
      <c r="U210" s="3132"/>
      <c r="V210" s="3140"/>
      <c r="W210" s="1520"/>
      <c r="X210" s="3132"/>
      <c r="Y210" s="3132"/>
      <c r="Z210" s="1517"/>
      <c r="AA210" s="3132"/>
      <c r="AB210" s="3140"/>
      <c r="AC210" s="1521"/>
      <c r="AD210" s="3132"/>
      <c r="AE210" s="3132"/>
      <c r="AF210" s="1714"/>
      <c r="AG210" s="1714"/>
      <c r="AH210" s="3201"/>
      <c r="AI210" s="3202"/>
    </row>
    <row r="211" spans="4:63" s="1775" customFormat="1" ht="15" customHeight="1">
      <c r="D211" s="3534"/>
      <c r="E211" s="3189"/>
      <c r="F211" s="3189"/>
      <c r="G211" s="3194"/>
      <c r="H211" s="1527"/>
      <c r="I211" s="3198"/>
      <c r="J211" s="3140"/>
      <c r="K211" s="1537"/>
      <c r="L211" s="3132"/>
      <c r="M211" s="3132"/>
      <c r="N211" s="1517"/>
      <c r="O211" s="3132"/>
      <c r="P211" s="3140"/>
      <c r="Q211" s="1716"/>
      <c r="R211" s="3132"/>
      <c r="S211" s="3132"/>
      <c r="T211" s="1783"/>
      <c r="U211" s="3132"/>
      <c r="V211" s="3140"/>
      <c r="W211" s="1520"/>
      <c r="X211" s="3132"/>
      <c r="Y211" s="3132"/>
      <c r="Z211" s="1712"/>
      <c r="AA211" s="1714"/>
      <c r="AB211" s="3201"/>
      <c r="AC211" s="3201"/>
      <c r="AD211" s="3201"/>
      <c r="AE211" s="3201"/>
      <c r="AF211" s="3201"/>
      <c r="AG211" s="3201"/>
      <c r="AH211" s="3201"/>
      <c r="AI211" s="3202"/>
    </row>
    <row r="212" spans="4:63" s="1775" customFormat="1" ht="15" customHeight="1">
      <c r="D212" s="3534"/>
      <c r="E212" s="3189"/>
      <c r="F212" s="3189"/>
      <c r="G212" s="3194"/>
      <c r="H212" s="1527"/>
      <c r="I212" s="3198"/>
      <c r="J212" s="3140"/>
      <c r="K212" s="1537"/>
      <c r="L212" s="3132"/>
      <c r="M212" s="3132"/>
      <c r="N212" s="1517"/>
      <c r="O212" s="3132"/>
      <c r="P212" s="3140"/>
      <c r="Q212" s="1716"/>
      <c r="R212" s="3132"/>
      <c r="S212" s="3132"/>
      <c r="T212" s="1784"/>
      <c r="U212" s="1524"/>
      <c r="V212" s="3201"/>
      <c r="W212" s="3201"/>
      <c r="X212" s="3201"/>
      <c r="Y212" s="3201"/>
      <c r="Z212" s="3201"/>
      <c r="AA212" s="3201"/>
      <c r="AB212" s="3201"/>
      <c r="AC212" s="3201"/>
      <c r="AD212" s="3201"/>
      <c r="AE212" s="3201"/>
      <c r="AF212" s="3201"/>
      <c r="AG212" s="3201"/>
      <c r="AH212" s="3201"/>
      <c r="AI212" s="3202"/>
    </row>
    <row r="213" spans="4:63" s="1775" customFormat="1" ht="11.25" customHeight="1">
      <c r="D213" s="3534"/>
      <c r="E213" s="3189"/>
      <c r="F213" s="3189"/>
      <c r="G213" s="3194"/>
      <c r="H213" s="1528"/>
      <c r="I213" s="3198"/>
      <c r="J213" s="3140"/>
      <c r="K213" s="1537"/>
      <c r="L213" s="3132"/>
      <c r="M213" s="3132"/>
      <c r="N213" s="1714"/>
      <c r="O213" s="1714"/>
      <c r="P213" s="3201"/>
      <c r="Q213" s="3201"/>
      <c r="R213" s="3201"/>
      <c r="S213" s="3201"/>
      <c r="T213" s="3201"/>
      <c r="U213" s="3201"/>
      <c r="V213" s="3201"/>
      <c r="W213" s="3201"/>
      <c r="X213" s="3201"/>
      <c r="Y213" s="3201"/>
      <c r="Z213" s="3201"/>
      <c r="AA213" s="3201"/>
      <c r="AB213" s="3201"/>
      <c r="AC213" s="3201"/>
      <c r="AD213" s="3201"/>
      <c r="AE213" s="3201"/>
      <c r="AF213" s="3201"/>
      <c r="AG213" s="3201"/>
      <c r="AH213" s="3201"/>
      <c r="AI213" s="3202"/>
    </row>
    <row r="214" spans="4:63" s="1481" customFormat="1" ht="11.25" customHeight="1">
      <c r="D214" s="3534"/>
      <c r="E214" s="3189"/>
      <c r="F214" s="3189"/>
      <c r="G214" s="3203"/>
      <c r="H214" s="1525"/>
      <c r="I214" s="1529"/>
      <c r="J214" s="3199"/>
      <c r="K214" s="3199"/>
      <c r="L214" s="3199"/>
      <c r="M214" s="3199"/>
      <c r="N214" s="3199"/>
      <c r="O214" s="3199"/>
      <c r="P214" s="3199"/>
      <c r="Q214" s="3199"/>
      <c r="R214" s="3199"/>
      <c r="S214" s="3199"/>
      <c r="T214" s="3199"/>
      <c r="U214" s="3199"/>
      <c r="V214" s="3199"/>
      <c r="W214" s="3199"/>
      <c r="X214" s="3199"/>
      <c r="Y214" s="3199"/>
      <c r="Z214" s="3199"/>
      <c r="AA214" s="3199"/>
      <c r="AB214" s="3199"/>
      <c r="AC214" s="3199"/>
      <c r="AD214" s="3199"/>
      <c r="AE214" s="3199"/>
      <c r="AF214" s="3199"/>
      <c r="AG214" s="3199"/>
      <c r="AH214" s="3199"/>
      <c r="AI214" s="320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958A-CEAB-3AC2-70FD-48D3246D80E2}">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1957</v>
      </c>
      <c r="B1" s="777"/>
      <c r="C1" s="912" t="s">
        <v>1958</v>
      </c>
      <c r="D1" s="910" t="s">
        <v>814</v>
      </c>
      <c r="E1" s="910" t="s">
        <v>860</v>
      </c>
      <c r="F1" s="910" t="s">
        <v>913</v>
      </c>
      <c r="G1" s="910" t="s">
        <v>900</v>
      </c>
      <c r="H1" s="910" t="s">
        <v>1631</v>
      </c>
    </row>
    <row r="2" spans="1:8" ht="9" customHeight="1">
      <c r="A2" s="913" t="s">
        <v>1959</v>
      </c>
      <c r="B2" s="913"/>
      <c r="C2" s="914" t="str">
        <f>INDEX(TEMPLATE_NUMBER_FORM_LIST,MATCH(TEMPLATE_SPHERE,TEMPLATE_SPHERE_LIST,0))</f>
        <v>16</v>
      </c>
      <c r="D2" s="913" t="s">
        <v>1480</v>
      </c>
      <c r="E2" s="913" t="s">
        <v>147</v>
      </c>
      <c r="F2" s="915" t="s">
        <v>147</v>
      </c>
      <c r="G2" s="913" t="s">
        <v>147</v>
      </c>
      <c r="H2" s="916"/>
    </row>
    <row r="3" spans="1:8" ht="63" customHeight="1">
      <c r="A3" s="777"/>
      <c r="B3" s="777" t="s">
        <v>107</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1961</v>
      </c>
      <c r="B4" s="777" t="s">
        <v>108</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1962</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1963</v>
      </c>
    </row>
    <row r="5" spans="1:8" ht="117" customHeight="1">
      <c r="A5" s="777" t="s">
        <v>1964</v>
      </c>
      <c r="B5" s="777" t="s">
        <v>87</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1966</v>
      </c>
    </row>
    <row r="6" spans="1:8" ht="90" customHeight="1">
      <c r="A6" s="777" t="s">
        <v>1967</v>
      </c>
      <c r="B6" s="777" t="s">
        <v>88</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1968</v>
      </c>
      <c r="B7" s="777" t="s">
        <v>109</v>
      </c>
      <c r="C7" s="914" t="str">
        <f>IF(TEMPLATE_SPHERE="HEAT",D7,E7)</f>
        <v>Форма 11. Информация о расходах на капитальный и текущий ремонт основных средств</v>
      </c>
      <c r="D7" s="777" t="s">
        <v>1969</v>
      </c>
      <c r="E7" s="777" t="s">
        <v>1970</v>
      </c>
      <c r="F7" s="916"/>
      <c r="G7" s="916"/>
      <c r="H7" s="916"/>
    </row>
    <row r="8" spans="1:8" ht="108" customHeight="1">
      <c r="A8" s="777" t="s">
        <v>1971</v>
      </c>
      <c r="B8" s="777" t="s">
        <v>89</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1972</v>
      </c>
      <c r="F8" s="916"/>
      <c r="G8" s="916"/>
      <c r="H8" s="916"/>
    </row>
    <row r="9" spans="1:8" ht="99" customHeight="1">
      <c r="A9" s="777" t="s">
        <v>1973</v>
      </c>
      <c r="B9" s="777"/>
      <c r="C9" s="777" t="s">
        <v>1974</v>
      </c>
      <c r="D9" s="777"/>
      <c r="E9" s="777"/>
      <c r="F9" s="916"/>
      <c r="G9" s="916"/>
      <c r="H9" s="916"/>
    </row>
    <row r="10" spans="1:8" ht="126" customHeight="1">
      <c r="A10" s="777" t="s">
        <v>1975</v>
      </c>
      <c r="B10" s="777"/>
      <c r="C10" s="777" t="s">
        <v>1976</v>
      </c>
      <c r="D10" s="777"/>
      <c r="E10" s="777"/>
      <c r="F10" s="916"/>
      <c r="G10" s="916"/>
      <c r="H10" s="916"/>
    </row>
    <row r="11" spans="1:8" ht="108" customHeight="1">
      <c r="A11" s="777" t="s">
        <v>1977</v>
      </c>
      <c r="B11" s="777"/>
      <c r="C11" s="777" t="s">
        <v>1978</v>
      </c>
      <c r="D11" s="777"/>
      <c r="E11" s="777"/>
      <c r="F11" s="916"/>
      <c r="G11" s="916"/>
      <c r="H11" s="916"/>
    </row>
    <row r="12" spans="1:8" ht="54" customHeight="1">
      <c r="A12" s="777" t="s">
        <v>1979</v>
      </c>
      <c r="B12" s="777"/>
      <c r="C12" s="777" t="s">
        <v>1980</v>
      </c>
      <c r="D12" s="777"/>
      <c r="E12" s="777"/>
      <c r="F12" s="916"/>
      <c r="G12" s="916"/>
      <c r="H12" s="916"/>
    </row>
    <row r="13" spans="1:8" ht="45" customHeight="1">
      <c r="A13" s="777" t="s">
        <v>1981</v>
      </c>
      <c r="B13" s="777"/>
      <c r="C13" s="777" t="s">
        <v>1982</v>
      </c>
      <c r="D13" s="777"/>
      <c r="E13" s="777"/>
      <c r="F13" s="916"/>
      <c r="G13" s="916"/>
      <c r="H13" s="916"/>
    </row>
    <row r="14" spans="1:8" ht="117" customHeight="1">
      <c r="A14" s="777" t="s">
        <v>1983</v>
      </c>
      <c r="B14" s="777"/>
      <c r="C14" s="777" t="s">
        <v>1984</v>
      </c>
      <c r="D14" s="777"/>
      <c r="E14" s="777"/>
      <c r="F14" s="916"/>
      <c r="G14" s="916"/>
      <c r="H14" s="916"/>
    </row>
    <row r="15" spans="1:8" ht="117" customHeight="1">
      <c r="A15" s="777" t="s">
        <v>1985</v>
      </c>
      <c r="B15" s="777"/>
      <c r="C15" s="777" t="s">
        <v>1986</v>
      </c>
      <c r="D15" s="777"/>
      <c r="E15" s="777"/>
      <c r="F15" s="916"/>
      <c r="G15" s="916"/>
      <c r="H15" s="916"/>
    </row>
    <row r="16" spans="1:8" ht="63" customHeight="1">
      <c r="A16" s="777" t="s">
        <v>1987</v>
      </c>
      <c r="B16" s="777"/>
      <c r="C16" s="777" t="s">
        <v>1988</v>
      </c>
      <c r="D16" s="777"/>
      <c r="E16" s="777"/>
      <c r="F16" s="916"/>
      <c r="G16" s="916"/>
      <c r="H16" s="916"/>
    </row>
    <row r="17" spans="1:8" ht="54" customHeight="1">
      <c r="A17" s="777" t="s">
        <v>1989</v>
      </c>
      <c r="B17" s="777"/>
      <c r="C17" s="914" t="s">
        <v>1990</v>
      </c>
      <c r="D17" s="777"/>
      <c r="E17" s="777"/>
      <c r="F17" s="916"/>
      <c r="G17" s="916"/>
      <c r="H17" s="916"/>
    </row>
    <row r="18" spans="1:8" ht="27" customHeight="1">
      <c r="A18" s="777" t="s">
        <v>1991</v>
      </c>
      <c r="B18" s="777"/>
      <c r="C18" s="914" t="s">
        <v>1992</v>
      </c>
      <c r="D18" s="777"/>
      <c r="E18" s="777"/>
      <c r="F18" s="916"/>
      <c r="G18" s="916"/>
      <c r="H18" s="916"/>
    </row>
    <row r="19" spans="1:8" ht="54" customHeight="1">
      <c r="A19" s="777" t="s">
        <v>1993</v>
      </c>
      <c r="B19" s="777"/>
      <c r="C19" s="914" t="s">
        <v>1994</v>
      </c>
      <c r="D19" s="777"/>
      <c r="E19" s="777"/>
      <c r="F19" s="916"/>
      <c r="G19" s="916"/>
      <c r="H19" s="916"/>
    </row>
    <row r="20" spans="1:8" ht="36" customHeight="1">
      <c r="A20" s="777" t="s">
        <v>1995</v>
      </c>
      <c r="B20" s="777"/>
      <c r="C20" s="914" t="s">
        <v>1996</v>
      </c>
      <c r="D20" s="777"/>
      <c r="E20" s="777"/>
      <c r="F20" s="916"/>
      <c r="G20" s="916"/>
      <c r="H20" s="916"/>
    </row>
    <row r="21" spans="1:8" ht="36" customHeight="1">
      <c r="A21" s="777" t="s">
        <v>1997</v>
      </c>
      <c r="B21" s="777"/>
      <c r="C21" s="914" t="s">
        <v>1998</v>
      </c>
      <c r="D21" s="777"/>
      <c r="E21" s="777"/>
      <c r="F21" s="916"/>
      <c r="G21" s="916"/>
      <c r="H21" s="916"/>
    </row>
    <row r="22" spans="1:8" ht="27" customHeight="1">
      <c r="A22" s="777" t="s">
        <v>1999</v>
      </c>
      <c r="B22" s="777"/>
      <c r="C22" s="914" t="s">
        <v>2000</v>
      </c>
      <c r="D22" s="777"/>
      <c r="E22" s="777"/>
      <c r="F22" s="916"/>
      <c r="G22" s="916"/>
      <c r="H22" s="916"/>
    </row>
    <row r="23" spans="1:8" ht="36" customHeight="1">
      <c r="A23" s="777" t="s">
        <v>2001</v>
      </c>
      <c r="B23" s="777"/>
      <c r="C23" s="914" t="s">
        <v>2002</v>
      </c>
      <c r="D23" s="777"/>
      <c r="E23" s="777"/>
      <c r="F23" s="916"/>
      <c r="G23" s="916"/>
      <c r="H23" s="916"/>
    </row>
    <row r="24" spans="1:8" ht="28.5" customHeight="1">
      <c r="A24" s="777" t="s">
        <v>2003</v>
      </c>
      <c r="B24" s="777"/>
      <c r="C24" s="914" t="s">
        <v>2004</v>
      </c>
      <c r="D24" s="777"/>
      <c r="E24" s="777"/>
      <c r="F24" s="916"/>
      <c r="G24" s="916"/>
      <c r="H24" s="916"/>
    </row>
    <row r="25" spans="1:8" ht="36" customHeight="1">
      <c r="A25" s="777" t="s">
        <v>2005</v>
      </c>
      <c r="B25" s="777"/>
      <c r="C25" s="914" t="s">
        <v>2006</v>
      </c>
      <c r="D25" s="777"/>
      <c r="E25" s="777"/>
      <c r="F25" s="916"/>
      <c r="G25" s="916"/>
      <c r="H25" s="916"/>
    </row>
    <row r="26" spans="1:8" ht="27" customHeight="1">
      <c r="A26" s="777" t="s">
        <v>2007</v>
      </c>
      <c r="B26" s="777"/>
      <c r="C26" s="914" t="s">
        <v>2008</v>
      </c>
      <c r="D26" s="777"/>
      <c r="E26" s="777"/>
      <c r="F26" s="916"/>
      <c r="G26" s="916"/>
      <c r="H26" s="916"/>
    </row>
    <row r="27" spans="1:8" ht="36" customHeight="1">
      <c r="A27" s="777" t="s">
        <v>2009</v>
      </c>
      <c r="B27" s="777"/>
      <c r="C27" s="914" t="s">
        <v>2010</v>
      </c>
      <c r="D27" s="777"/>
      <c r="E27" s="777"/>
      <c r="F27" s="916"/>
      <c r="G27" s="916"/>
      <c r="H27" s="916"/>
    </row>
    <row r="28" spans="1:8" ht="28.5" customHeight="1">
      <c r="A28" s="777" t="s">
        <v>2011</v>
      </c>
      <c r="B28" s="777"/>
      <c r="C28" s="914" t="s">
        <v>2012</v>
      </c>
      <c r="D28" s="777"/>
      <c r="E28" s="777"/>
      <c r="F28" s="916"/>
      <c r="G28" s="916"/>
      <c r="H28" s="916"/>
    </row>
    <row r="29" spans="1:8" ht="126" customHeight="1">
      <c r="A29" s="777" t="s">
        <v>2013</v>
      </c>
      <c r="B29" s="777" t="s">
        <v>1582</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2015</v>
      </c>
    </row>
    <row r="30" spans="1:8" ht="36" customHeight="1">
      <c r="A30" s="777" t="s">
        <v>2016</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2018</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2019</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2020</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2022</v>
      </c>
    </row>
    <row r="33" spans="1:8" ht="9" customHeight="1">
      <c r="A33" s="777"/>
      <c r="B33" s="777"/>
      <c r="C33" s="914"/>
      <c r="D33" s="777"/>
      <c r="E33" s="777"/>
      <c r="F33" s="916"/>
      <c r="G33" s="916"/>
      <c r="H33" s="916"/>
    </row>
    <row r="34" spans="1:8" ht="9" customHeight="1">
      <c r="A34" s="777"/>
      <c r="B34" s="777" t="s">
        <v>1518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58EFF-7A95-8DAB-BD26-F0FD46FAF5D1}">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2023</v>
      </c>
      <c r="D1" s="828"/>
      <c r="E1" s="828"/>
      <c r="F1" s="828"/>
      <c r="G1" s="828"/>
      <c r="H1" s="828" t="s">
        <v>2024</v>
      </c>
      <c r="I1" s="828"/>
      <c r="J1" s="828"/>
      <c r="K1" s="828"/>
      <c r="L1" s="828"/>
      <c r="M1" s="828" t="s">
        <v>2025</v>
      </c>
      <c r="N1" s="828" t="s">
        <v>2026</v>
      </c>
      <c r="O1" s="3547" t="s">
        <v>2027</v>
      </c>
      <c r="P1" s="3547"/>
      <c r="Q1" s="3547"/>
      <c r="R1" s="3547"/>
      <c r="S1" s="3547"/>
      <c r="T1" s="3547" t="s">
        <v>2025</v>
      </c>
      <c r="U1" s="3547"/>
      <c r="V1" s="3547"/>
      <c r="W1" s="3547"/>
      <c r="X1" s="3547"/>
      <c r="Y1" s="929"/>
      <c r="Z1" s="3547" t="s">
        <v>2028</v>
      </c>
      <c r="AA1" s="3547"/>
      <c r="AB1" s="3547"/>
      <c r="AC1" s="3547"/>
      <c r="AD1" s="3547"/>
    </row>
    <row r="2" spans="1:34" ht="18" customHeight="1">
      <c r="A2" s="777"/>
      <c r="B2" s="777"/>
      <c r="C2" s="772" t="s">
        <v>814</v>
      </c>
      <c r="D2" s="772" t="s">
        <v>860</v>
      </c>
      <c r="E2" s="772" t="s">
        <v>913</v>
      </c>
      <c r="F2" s="772" t="s">
        <v>900</v>
      </c>
      <c r="G2" s="772" t="s">
        <v>1631</v>
      </c>
      <c r="H2" s="774"/>
      <c r="I2" s="774"/>
      <c r="J2" s="774"/>
      <c r="K2" s="774"/>
      <c r="L2" s="774"/>
      <c r="M2" s="774"/>
      <c r="N2" s="774"/>
      <c r="O2" s="772" t="s">
        <v>814</v>
      </c>
      <c r="P2" s="772" t="s">
        <v>860</v>
      </c>
      <c r="Q2" s="772" t="s">
        <v>900</v>
      </c>
      <c r="R2" s="772" t="s">
        <v>913</v>
      </c>
      <c r="S2" s="772" t="s">
        <v>1631</v>
      </c>
      <c r="T2" s="772" t="s">
        <v>814</v>
      </c>
      <c r="U2" s="772" t="s">
        <v>860</v>
      </c>
      <c r="V2" s="772" t="s">
        <v>900</v>
      </c>
      <c r="W2" s="772" t="s">
        <v>913</v>
      </c>
      <c r="X2" s="772" t="s">
        <v>1631</v>
      </c>
      <c r="Y2" s="772"/>
      <c r="Z2" s="772" t="s">
        <v>814</v>
      </c>
      <c r="AA2" s="781" t="s">
        <v>860</v>
      </c>
      <c r="AB2" s="772" t="s">
        <v>900</v>
      </c>
      <c r="AC2" s="772" t="s">
        <v>913</v>
      </c>
      <c r="AD2" s="772" t="s">
        <v>1631</v>
      </c>
    </row>
    <row r="3" spans="1:34" ht="162" customHeight="1">
      <c r="A3" s="776" t="s">
        <v>26</v>
      </c>
      <c r="B3" s="776"/>
      <c r="C3" s="3551" t="s">
        <v>2029</v>
      </c>
      <c r="D3" s="3552"/>
      <c r="E3" s="3552"/>
      <c r="F3" s="3553"/>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2030</v>
      </c>
      <c r="AA3" s="774" t="s">
        <v>2031</v>
      </c>
      <c r="AB3" s="777" t="s">
        <v>2032</v>
      </c>
      <c r="AC3" s="777" t="s">
        <v>2033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548" t="s">
        <v>33</v>
      </c>
      <c r="B11" s="829">
        <v>1</v>
      </c>
      <c r="C11" s="3554" t="s">
        <v>1569</v>
      </c>
      <c r="D11" s="3554" t="s">
        <v>1565</v>
      </c>
      <c r="E11" s="3554" t="s">
        <v>96</v>
      </c>
      <c r="F11" s="3554" t="s">
        <v>2034</v>
      </c>
      <c r="G11" s="3554"/>
      <c r="H11" s="828" t="s">
        <v>2035</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2036</v>
      </c>
      <c r="U11" s="774" t="s">
        <v>2037</v>
      </c>
      <c r="V11" s="774"/>
      <c r="W11" s="774"/>
      <c r="X11" s="774"/>
      <c r="Y11" s="930"/>
      <c r="Z11" s="777" t="s">
        <v>2038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3548"/>
      <c r="B12" s="829">
        <v>2</v>
      </c>
      <c r="C12" s="3555"/>
      <c r="D12" s="3555"/>
      <c r="E12" s="3555"/>
      <c r="F12" s="3555"/>
      <c r="G12" s="3555"/>
      <c r="H12" s="828" t="s">
        <v>2039</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2040</v>
      </c>
      <c r="U12" s="774" t="s">
        <v>2041</v>
      </c>
      <c r="V12" s="774"/>
      <c r="W12" s="774"/>
      <c r="X12" s="774"/>
      <c r="Y12" s="930"/>
      <c r="Z12" s="777" t="s">
        <v>2042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3548"/>
      <c r="B13" s="829">
        <v>3</v>
      </c>
      <c r="C13" s="3555"/>
      <c r="D13" s="3555"/>
      <c r="E13" s="3555"/>
      <c r="F13" s="3555"/>
      <c r="G13" s="3555"/>
      <c r="H13" s="3547" t="s">
        <v>2043</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2044</v>
      </c>
      <c r="U13" s="775" t="s">
        <v>2045</v>
      </c>
      <c r="V13" s="775"/>
      <c r="W13" s="775"/>
      <c r="X13" s="774"/>
      <c r="Y13" s="930"/>
      <c r="Z13" s="777" t="s">
        <v>2046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3548"/>
      <c r="B14" s="829">
        <v>4</v>
      </c>
      <c r="C14" s="3555"/>
      <c r="D14" s="3555"/>
      <c r="E14" s="3555"/>
      <c r="F14" s="3555"/>
      <c r="G14" s="3555"/>
      <c r="H14" s="3547"/>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2048</v>
      </c>
      <c r="AA14" s="780" t="s">
        <v>2048</v>
      </c>
      <c r="AB14" s="777"/>
      <c r="AC14" s="777"/>
      <c r="AD14" s="777"/>
    </row>
    <row r="15" spans="1:34" ht="108" customHeight="1">
      <c r="A15" s="3548"/>
      <c r="B15" s="829">
        <v>5</v>
      </c>
      <c r="C15" s="3555"/>
      <c r="D15" s="3555"/>
      <c r="E15" s="3555"/>
      <c r="F15" s="3555"/>
      <c r="G15" s="3555"/>
      <c r="H15" s="3549" t="s">
        <v>2049</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3556"/>
      <c r="D16" s="3556"/>
      <c r="E16" s="3556"/>
      <c r="F16" s="3556"/>
      <c r="G16" s="3556"/>
      <c r="H16" s="3550"/>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1666</v>
      </c>
      <c r="B18" s="829">
        <v>1</v>
      </c>
      <c r="C18" s="774" t="s">
        <v>2035</v>
      </c>
      <c r="D18" s="897" t="s">
        <v>2035</v>
      </c>
      <c r="E18" s="774" t="s">
        <v>2035</v>
      </c>
      <c r="F18" s="774" t="s">
        <v>2035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2052</v>
      </c>
      <c r="U18" s="777" t="s">
        <v>2053</v>
      </c>
      <c r="V18" s="777" t="s">
        <v>2054</v>
      </c>
      <c r="W18" s="777" t="s">
        <v>2055</v>
      </c>
      <c r="X18" s="774"/>
      <c r="Y18" s="930"/>
      <c r="Z18" s="777" t="s">
        <v>2056</v>
      </c>
      <c r="AA18" s="780" t="s">
        <v>2057</v>
      </c>
      <c r="AB18" s="780" t="s">
        <v>2057</v>
      </c>
      <c r="AC18" s="780" t="s">
        <v>2057</v>
      </c>
      <c r="AD18" s="777"/>
    </row>
    <row r="19" spans="1:30" ht="36" customHeight="1">
      <c r="A19" s="776"/>
      <c r="B19" s="829">
        <v>2</v>
      </c>
      <c r="C19" s="774" t="s">
        <v>2039</v>
      </c>
      <c r="D19" s="897" t="s">
        <v>2039</v>
      </c>
      <c r="E19" s="774" t="s">
        <v>2039</v>
      </c>
      <c r="F19" s="774" t="s">
        <v>2039</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2058</v>
      </c>
      <c r="U19" s="777" t="s">
        <v>2059</v>
      </c>
      <c r="V19" s="777" t="s">
        <v>2060</v>
      </c>
      <c r="W19" s="777" t="s">
        <v>2061</v>
      </c>
      <c r="X19" s="774"/>
      <c r="Y19" s="930"/>
      <c r="Z19" s="777" t="s">
        <v>2062</v>
      </c>
      <c r="AA19" s="780" t="s">
        <v>2062</v>
      </c>
      <c r="AB19" s="780" t="s">
        <v>2062</v>
      </c>
      <c r="AC19" s="780" t="s">
        <v>2062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715</v>
      </c>
      <c r="P20" s="887" t="s">
        <v>715</v>
      </c>
      <c r="Q20" s="887" t="s">
        <v>715</v>
      </c>
      <c r="R20" s="887" t="s">
        <v>715</v>
      </c>
      <c r="S20" s="887"/>
      <c r="T20" s="894" t="s">
        <v>2063</v>
      </c>
      <c r="U20" s="777" t="s">
        <v>2064</v>
      </c>
      <c r="V20" s="777" t="s">
        <v>2065</v>
      </c>
      <c r="W20" s="777" t="s">
        <v>2066</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315</v>
      </c>
      <c r="P21" s="887"/>
      <c r="Q21" s="887"/>
      <c r="R21" s="887"/>
      <c r="S21" s="887"/>
      <c r="T21" s="894" t="s">
        <v>2067</v>
      </c>
      <c r="U21" s="777"/>
      <c r="V21" s="777"/>
      <c r="W21" s="777"/>
      <c r="X21" s="774"/>
      <c r="Y21" s="930"/>
      <c r="Z21" s="777" t="s">
        <v>2068</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315</v>
      </c>
      <c r="R22" s="887"/>
      <c r="S22" s="887"/>
      <c r="T22" s="894"/>
      <c r="U22" s="777"/>
      <c r="V22" s="777" t="s">
        <v>2069</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318</v>
      </c>
      <c r="R23" s="887"/>
      <c r="S23" s="887"/>
      <c r="T23" s="894"/>
      <c r="U23" s="777"/>
      <c r="V23" s="777" t="s">
        <v>2070</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2071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318</v>
      </c>
      <c r="P25" s="887" t="s">
        <v>315</v>
      </c>
      <c r="Q25" s="887" t="s">
        <v>742</v>
      </c>
      <c r="R25" s="887" t="s">
        <v>315</v>
      </c>
      <c r="S25" s="887"/>
      <c r="T25" s="894" t="s">
        <v>2072</v>
      </c>
      <c r="U25" s="777" t="s">
        <v>2072</v>
      </c>
      <c r="V25" s="777" t="s">
        <v>2072</v>
      </c>
      <c r="W25" s="777" t="s">
        <v>2072</v>
      </c>
      <c r="X25" s="774"/>
      <c r="Y25" s="930"/>
      <c r="Z25" s="777"/>
      <c r="AA25" s="780"/>
      <c r="AB25" s="777"/>
      <c r="AC25" s="777"/>
      <c r="AD25" s="777"/>
    </row>
    <row r="26" spans="1:30" ht="18" customHeight="1">
      <c r="A26" s="776"/>
      <c r="B26" s="829">
        <v>9</v>
      </c>
      <c r="C26" s="774" t="s">
        <v>659</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731</v>
      </c>
      <c r="P26" s="887" t="s">
        <v>725</v>
      </c>
      <c r="Q26" s="887" t="s">
        <v>2073</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2074</v>
      </c>
      <c r="V26" s="894" t="s">
        <v>2074</v>
      </c>
      <c r="W26" s="894" t="s">
        <v>2074</v>
      </c>
      <c r="X26" s="774"/>
      <c r="Y26" s="930"/>
      <c r="Z26" s="777"/>
      <c r="AA26" s="780"/>
      <c r="AB26" s="777"/>
      <c r="AC26" s="777"/>
      <c r="AD26" s="777"/>
    </row>
    <row r="27" spans="1:30" ht="18" customHeight="1">
      <c r="A27" s="776"/>
      <c r="B27" s="829">
        <v>10</v>
      </c>
      <c r="C27" s="774" t="s">
        <v>663</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733</v>
      </c>
      <c r="P27" s="887" t="s">
        <v>727</v>
      </c>
      <c r="Q27" s="887" t="s">
        <v>2075</v>
      </c>
      <c r="R27" s="887" t="s">
        <v>727</v>
      </c>
      <c r="S27" s="887"/>
      <c r="T27" s="894" t="s">
        <v>2076</v>
      </c>
      <c r="U27" s="894" t="s">
        <v>2076</v>
      </c>
      <c r="V27" s="894" t="s">
        <v>2076</v>
      </c>
      <c r="W27" s="894" t="s">
        <v>2076</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735</v>
      </c>
      <c r="P28" s="887"/>
      <c r="Q28" s="887"/>
      <c r="R28" s="887"/>
      <c r="S28" s="887"/>
      <c r="T28" s="894" t="s">
        <v>2077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742</v>
      </c>
      <c r="P29" s="887" t="s">
        <v>318</v>
      </c>
      <c r="Q29" s="887"/>
      <c r="R29" s="887" t="s">
        <v>318</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2078</v>
      </c>
      <c r="V29" s="777"/>
      <c r="W29" s="777" t="s">
        <v>2078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744</v>
      </c>
      <c r="P30" s="887" t="s">
        <v>735</v>
      </c>
      <c r="Q30" s="887" t="s">
        <v>744</v>
      </c>
      <c r="R30" s="887" t="s">
        <v>735</v>
      </c>
      <c r="S30" s="887"/>
      <c r="T30" s="894" t="s">
        <v>2079</v>
      </c>
      <c r="U30" s="777" t="s">
        <v>2079</v>
      </c>
      <c r="V30" s="777" t="s">
        <v>2079</v>
      </c>
      <c r="W30" s="777" t="s">
        <v>2079</v>
      </c>
      <c r="X30" s="774"/>
      <c r="Y30" s="930"/>
      <c r="Z30" s="777"/>
      <c r="AA30" s="780" t="s">
        <v>2080</v>
      </c>
      <c r="AB30" s="780" t="s">
        <v>2080</v>
      </c>
      <c r="AC30" s="780" t="s">
        <v>2080</v>
      </c>
      <c r="AD30" s="777"/>
    </row>
    <row r="31" spans="1:30" ht="18" customHeight="1">
      <c r="A31" s="776"/>
      <c r="B31" s="829">
        <v>14</v>
      </c>
      <c r="C31" s="774" t="s">
        <v>2081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2082</v>
      </c>
      <c r="P31" s="887" t="s">
        <v>738</v>
      </c>
      <c r="Q31" s="887" t="s">
        <v>2082</v>
      </c>
      <c r="R31" s="887" t="s">
        <v>738</v>
      </c>
      <c r="S31" s="887"/>
      <c r="T31" s="895" t="s">
        <v>2083</v>
      </c>
      <c r="U31" s="777" t="s">
        <v>2083</v>
      </c>
      <c r="V31" s="777" t="s">
        <v>2083</v>
      </c>
      <c r="W31" s="777" t="s">
        <v>2083</v>
      </c>
      <c r="X31" s="774"/>
      <c r="Y31" s="930"/>
      <c r="Z31" s="777"/>
      <c r="AA31" s="780"/>
      <c r="AB31" s="780"/>
      <c r="AC31" s="780"/>
      <c r="AD31" s="777"/>
    </row>
    <row r="32" spans="1:30" ht="36" customHeight="1">
      <c r="A32" s="776"/>
      <c r="B32" s="829">
        <v>15</v>
      </c>
      <c r="C32" s="774" t="s">
        <v>2084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2085</v>
      </c>
      <c r="P32" s="887" t="s">
        <v>740</v>
      </c>
      <c r="Q32" s="887" t="s">
        <v>2085</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2086</v>
      </c>
      <c r="V32" s="777" t="s">
        <v>2086</v>
      </c>
      <c r="W32" s="777" t="s">
        <v>2086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2087</v>
      </c>
      <c r="V33" s="777" t="s">
        <v>2087</v>
      </c>
      <c r="W33" s="777" t="s">
        <v>2088</v>
      </c>
      <c r="X33" s="774"/>
      <c r="Y33" s="930"/>
      <c r="Z33" s="777"/>
      <c r="AA33" s="780" t="s">
        <v>2089</v>
      </c>
      <c r="AB33" s="780" t="s">
        <v>2089</v>
      </c>
      <c r="AC33" s="780" t="s">
        <v>2089</v>
      </c>
      <c r="AD33" s="777"/>
    </row>
    <row r="34" spans="1:30" ht="27" customHeight="1">
      <c r="A34" s="776"/>
      <c r="B34" s="829">
        <v>17</v>
      </c>
      <c r="C34" s="774" t="s">
        <v>2090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2091</v>
      </c>
      <c r="P34" s="887" t="s">
        <v>2073</v>
      </c>
      <c r="Q34" s="887" t="s">
        <v>2091</v>
      </c>
      <c r="R34" s="887" t="s">
        <v>2073</v>
      </c>
      <c r="S34" s="887"/>
      <c r="T34" s="896" t="s">
        <v>2092</v>
      </c>
      <c r="U34" s="777" t="s">
        <v>2092</v>
      </c>
      <c r="V34" s="777" t="s">
        <v>2092</v>
      </c>
      <c r="W34" s="777" t="s">
        <v>2093</v>
      </c>
      <c r="X34" s="774"/>
      <c r="Y34" s="930"/>
      <c r="Z34" s="777"/>
      <c r="AA34" s="780"/>
      <c r="AB34" s="777"/>
      <c r="AC34" s="777"/>
      <c r="AD34" s="777"/>
    </row>
    <row r="35" spans="1:30" ht="45" customHeight="1">
      <c r="A35" s="776"/>
      <c r="B35" s="829">
        <v>18</v>
      </c>
      <c r="C35" s="774" t="s">
        <v>2094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2095</v>
      </c>
      <c r="P35" s="887" t="s">
        <v>2075</v>
      </c>
      <c r="Q35" s="887" t="s">
        <v>2095</v>
      </c>
      <c r="R35" s="887" t="s">
        <v>2075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2096</v>
      </c>
      <c r="V35" s="777" t="s">
        <v>2096</v>
      </c>
      <c r="W35" s="777" t="s">
        <v>2096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2097</v>
      </c>
      <c r="U36" s="777" t="s">
        <v>2097</v>
      </c>
      <c r="V36" s="777" t="s">
        <v>2097</v>
      </c>
      <c r="W36" s="777" t="s">
        <v>2097</v>
      </c>
      <c r="X36" s="774"/>
      <c r="Y36" s="930"/>
      <c r="Z36" s="777"/>
      <c r="AA36" s="780"/>
      <c r="AB36" s="777"/>
      <c r="AC36" s="777"/>
      <c r="AD36" s="777"/>
    </row>
    <row r="37" spans="1:30" ht="18" customHeight="1">
      <c r="A37" s="776"/>
      <c r="B37" s="829">
        <v>20</v>
      </c>
      <c r="C37" s="774" t="s">
        <v>2098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2099</v>
      </c>
      <c r="P37" s="887" t="s">
        <v>2082</v>
      </c>
      <c r="Q37" s="887" t="s">
        <v>2099</v>
      </c>
      <c r="R37" s="887" t="s">
        <v>2082</v>
      </c>
      <c r="S37" s="887"/>
      <c r="T37" s="894" t="s">
        <v>2100</v>
      </c>
      <c r="U37" s="777" t="s">
        <v>2100</v>
      </c>
      <c r="V37" s="777" t="s">
        <v>2100</v>
      </c>
      <c r="W37" s="777" t="s">
        <v>2100</v>
      </c>
      <c r="X37" s="774"/>
      <c r="Y37" s="930"/>
      <c r="Z37" s="777"/>
      <c r="AA37" s="780"/>
      <c r="AB37" s="777"/>
      <c r="AC37" s="777"/>
      <c r="AD37" s="777"/>
    </row>
    <row r="38" spans="1:30" ht="18" customHeight="1">
      <c r="A38" s="776"/>
      <c r="B38" s="829">
        <v>21</v>
      </c>
      <c r="C38" s="774" t="s">
        <v>2101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2102</v>
      </c>
      <c r="P38" s="887" t="s">
        <v>2085</v>
      </c>
      <c r="Q38" s="887" t="s">
        <v>2102</v>
      </c>
      <c r="R38" s="887" t="s">
        <v>2085</v>
      </c>
      <c r="S38" s="887"/>
      <c r="T38" s="894" t="s">
        <v>2103</v>
      </c>
      <c r="U38" s="777" t="s">
        <v>2103</v>
      </c>
      <c r="V38" s="777" t="s">
        <v>2103</v>
      </c>
      <c r="W38" s="777" t="s">
        <v>2103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752</v>
      </c>
      <c r="P39" s="887" t="s">
        <v>746</v>
      </c>
      <c r="Q39" s="887" t="s">
        <v>752</v>
      </c>
      <c r="R39" s="887" t="s">
        <v>746</v>
      </c>
      <c r="S39" s="887"/>
      <c r="T39" s="894" t="s">
        <v>2104</v>
      </c>
      <c r="U39" s="777" t="s">
        <v>2105</v>
      </c>
      <c r="V39" s="777" t="s">
        <v>2106</v>
      </c>
      <c r="W39" s="777" t="s">
        <v>2107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2108</v>
      </c>
      <c r="P40" s="887" t="s">
        <v>748</v>
      </c>
      <c r="Q40" s="887" t="s">
        <v>2108</v>
      </c>
      <c r="R40" s="887" t="s">
        <v>748</v>
      </c>
      <c r="S40" s="887"/>
      <c r="T40" s="774" t="s">
        <v>2109</v>
      </c>
      <c r="U40" s="774" t="s">
        <v>2109</v>
      </c>
      <c r="V40" s="774" t="s">
        <v>2109</v>
      </c>
      <c r="W40" s="774" t="s">
        <v>2109</v>
      </c>
      <c r="X40" s="774"/>
      <c r="Y40" s="930"/>
      <c r="Z40" s="777" t="s">
        <v>2110</v>
      </c>
      <c r="AA40" s="780" t="s">
        <v>2110</v>
      </c>
      <c r="AB40" s="780" t="s">
        <v>2110</v>
      </c>
      <c r="AC40" s="780" t="s">
        <v>2110</v>
      </c>
      <c r="AD40" s="777"/>
    </row>
    <row r="41" spans="1:30" ht="27" customHeight="1">
      <c r="A41" s="776"/>
      <c r="B41" s="829">
        <v>24</v>
      </c>
      <c r="C41" s="774" t="s">
        <v>2111</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2112</v>
      </c>
      <c r="P41" s="887" t="s">
        <v>2099</v>
      </c>
      <c r="Q41" s="887" t="s">
        <v>2112</v>
      </c>
      <c r="R41" s="887" t="s">
        <v>2099</v>
      </c>
      <c r="S41" s="887"/>
      <c r="T41" s="774" t="s">
        <v>2113</v>
      </c>
      <c r="U41" s="774" t="s">
        <v>2113</v>
      </c>
      <c r="V41" s="774" t="s">
        <v>2113</v>
      </c>
      <c r="W41" s="774" t="s">
        <v>2113</v>
      </c>
      <c r="X41" s="774"/>
      <c r="Y41" s="930"/>
      <c r="Z41" s="777" t="s">
        <v>2114</v>
      </c>
      <c r="AA41" s="777" t="s">
        <v>2114</v>
      </c>
      <c r="AB41" s="777" t="s">
        <v>2114</v>
      </c>
      <c r="AC41" s="777" t="s">
        <v>2114</v>
      </c>
      <c r="AD41" s="777"/>
    </row>
    <row r="42" spans="1:30" ht="27" customHeight="1">
      <c r="A42" s="776"/>
      <c r="B42" s="829">
        <v>25</v>
      </c>
      <c r="C42" s="774" t="s">
        <v>2115</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2116</v>
      </c>
      <c r="P42" s="887" t="s">
        <v>2102</v>
      </c>
      <c r="Q42" s="887" t="s">
        <v>2116</v>
      </c>
      <c r="R42" s="887" t="s">
        <v>2102</v>
      </c>
      <c r="S42" s="887"/>
      <c r="T42" s="774" t="s">
        <v>2117</v>
      </c>
      <c r="U42" s="774" t="s">
        <v>2117</v>
      </c>
      <c r="V42" s="774" t="s">
        <v>2117</v>
      </c>
      <c r="W42" s="774" t="s">
        <v>2117</v>
      </c>
      <c r="X42" s="774"/>
      <c r="Y42" s="930"/>
      <c r="Z42" s="777" t="s">
        <v>2118</v>
      </c>
      <c r="AA42" s="777" t="s">
        <v>2118</v>
      </c>
      <c r="AB42" s="777" t="s">
        <v>2118</v>
      </c>
      <c r="AC42" s="777" t="s">
        <v>2118</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2119</v>
      </c>
      <c r="P43" s="887" t="s">
        <v>752</v>
      </c>
      <c r="Q43" s="887" t="s">
        <v>2119</v>
      </c>
      <c r="R43" s="887" t="s">
        <v>752</v>
      </c>
      <c r="S43" s="887"/>
      <c r="T43" s="774" t="s">
        <v>2120</v>
      </c>
      <c r="U43" s="774" t="s">
        <v>2120</v>
      </c>
      <c r="V43" s="774" t="s">
        <v>2120</v>
      </c>
      <c r="W43" s="774" t="s">
        <v>2120</v>
      </c>
      <c r="X43" s="774"/>
      <c r="Y43" s="930"/>
      <c r="Z43" s="777" t="s">
        <v>2121</v>
      </c>
      <c r="AA43" s="777" t="s">
        <v>2121</v>
      </c>
      <c r="AB43" s="777" t="s">
        <v>2121</v>
      </c>
      <c r="AC43" s="777" t="s">
        <v>2121</v>
      </c>
      <c r="AD43" s="777"/>
    </row>
    <row r="44" spans="1:30" ht="27" customHeight="1">
      <c r="A44" s="776"/>
      <c r="B44" s="829">
        <v>27</v>
      </c>
      <c r="C44" s="774" t="s">
        <v>2122</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2123</v>
      </c>
      <c r="P44" s="887" t="s">
        <v>2124</v>
      </c>
      <c r="Q44" s="887" t="s">
        <v>2123</v>
      </c>
      <c r="R44" s="887" t="s">
        <v>2124</v>
      </c>
      <c r="S44" s="887"/>
      <c r="T44" s="774" t="s">
        <v>2113</v>
      </c>
      <c r="U44" s="774" t="s">
        <v>2113</v>
      </c>
      <c r="V44" s="774" t="s">
        <v>2113</v>
      </c>
      <c r="W44" s="774" t="s">
        <v>2113</v>
      </c>
      <c r="X44" s="774"/>
      <c r="Y44" s="930"/>
      <c r="Z44" s="777" t="s">
        <v>2125</v>
      </c>
      <c r="AA44" s="777" t="s">
        <v>2125</v>
      </c>
      <c r="AB44" s="777" t="s">
        <v>2125</v>
      </c>
      <c r="AC44" s="777" t="s">
        <v>2125</v>
      </c>
      <c r="AD44" s="777"/>
    </row>
    <row r="45" spans="1:30" ht="27" customHeight="1">
      <c r="A45" s="776"/>
      <c r="B45" s="829">
        <v>28</v>
      </c>
      <c r="C45" s="774" t="s">
        <v>2126</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2127</v>
      </c>
      <c r="P45" s="887" t="s">
        <v>2128</v>
      </c>
      <c r="Q45" s="887" t="s">
        <v>2127</v>
      </c>
      <c r="R45" s="887" t="s">
        <v>2128</v>
      </c>
      <c r="S45" s="887"/>
      <c r="T45" s="774" t="s">
        <v>2117</v>
      </c>
      <c r="U45" s="774" t="s">
        <v>2117</v>
      </c>
      <c r="V45" s="774" t="s">
        <v>2117</v>
      </c>
      <c r="W45" s="774" t="s">
        <v>2117</v>
      </c>
      <c r="X45" s="774"/>
      <c r="Y45" s="930"/>
      <c r="Z45" s="777" t="s">
        <v>2129</v>
      </c>
      <c r="AA45" s="777" t="s">
        <v>2129</v>
      </c>
      <c r="AB45" s="777" t="s">
        <v>2129</v>
      </c>
      <c r="AC45" s="777" t="s">
        <v>2129</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2130</v>
      </c>
      <c r="P46" s="887" t="s">
        <v>2108</v>
      </c>
      <c r="Q46" s="887" t="s">
        <v>2130</v>
      </c>
      <c r="R46" s="887" t="s">
        <v>2108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2131</v>
      </c>
      <c r="V46" s="774" t="s">
        <v>2131</v>
      </c>
      <c r="W46" s="774" t="s">
        <v>2131</v>
      </c>
      <c r="X46" s="774"/>
      <c r="Y46" s="930"/>
      <c r="Z46" s="777" t="s">
        <v>2132</v>
      </c>
      <c r="AA46" s="777" t="s">
        <v>2133</v>
      </c>
      <c r="AB46" s="777" t="s">
        <v>2133</v>
      </c>
      <c r="AC46" s="777" t="s">
        <v>2133</v>
      </c>
      <c r="AD46" s="777"/>
    </row>
    <row r="47" spans="1:30" ht="54" customHeight="1">
      <c r="A47" s="776"/>
      <c r="B47" s="829">
        <v>30</v>
      </c>
      <c r="C47" s="774" t="s">
        <v>2134</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2135</v>
      </c>
      <c r="P47" s="887" t="s">
        <v>2112</v>
      </c>
      <c r="Q47" s="887" t="s">
        <v>2135</v>
      </c>
      <c r="R47" s="887" t="s">
        <v>2112</v>
      </c>
      <c r="S47" s="887"/>
      <c r="T47" s="774" t="s">
        <v>2136</v>
      </c>
      <c r="U47" s="774" t="s">
        <v>2136</v>
      </c>
      <c r="V47" s="774" t="s">
        <v>2136</v>
      </c>
      <c r="W47" s="774" t="s">
        <v>2136</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2119</v>
      </c>
      <c r="Q48" s="887" t="s">
        <v>2137</v>
      </c>
      <c r="R48" s="887" t="s">
        <v>2119</v>
      </c>
      <c r="S48" s="887"/>
      <c r="T48" s="774"/>
      <c r="U48" s="774" t="s">
        <v>2138</v>
      </c>
      <c r="V48" s="774" t="s">
        <v>2139</v>
      </c>
      <c r="W48" s="774" t="s">
        <v>2139</v>
      </c>
      <c r="X48" s="774"/>
      <c r="Y48" s="930"/>
      <c r="Z48" s="777"/>
      <c r="AA48" s="780" t="s">
        <v>2133</v>
      </c>
      <c r="AB48" s="780" t="s">
        <v>2133</v>
      </c>
      <c r="AC48" s="780" t="s">
        <v>2133</v>
      </c>
      <c r="AD48" s="777"/>
    </row>
    <row r="49" spans="1:30" ht="54" customHeight="1">
      <c r="A49" s="776"/>
      <c r="B49" s="829">
        <v>32</v>
      </c>
      <c r="C49" s="774" t="s">
        <v>2140</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2123</v>
      </c>
      <c r="Q49" s="887" t="s">
        <v>2141</v>
      </c>
      <c r="R49" s="887" t="s">
        <v>2123</v>
      </c>
      <c r="S49" s="887"/>
      <c r="T49" s="774"/>
      <c r="U49" s="774" t="s">
        <v>2136</v>
      </c>
      <c r="V49" s="774" t="s">
        <v>2136</v>
      </c>
      <c r="W49" s="774" t="s">
        <v>2136</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2137</v>
      </c>
      <c r="P50" s="887" t="s">
        <v>2130</v>
      </c>
      <c r="Q50" s="887" t="s">
        <v>2142</v>
      </c>
      <c r="R50" s="887" t="s">
        <v>2130</v>
      </c>
      <c r="S50" s="887"/>
      <c r="T50" s="774" t="s">
        <v>2143</v>
      </c>
      <c r="U50" s="774" t="s">
        <v>2144</v>
      </c>
      <c r="V50" s="774" t="s">
        <v>2145</v>
      </c>
      <c r="W50" s="774" t="s">
        <v>2146</v>
      </c>
      <c r="X50" s="774"/>
      <c r="Y50" s="930"/>
      <c r="Z50" s="777" t="s">
        <v>2147</v>
      </c>
      <c r="AA50" s="780" t="s">
        <v>2148</v>
      </c>
      <c r="AB50" s="780" t="s">
        <v>2148</v>
      </c>
      <c r="AC50" s="780" t="s">
        <v>2148</v>
      </c>
      <c r="AD50" s="777"/>
    </row>
    <row r="51" spans="1:30" ht="27" customHeight="1">
      <c r="A51" s="776"/>
      <c r="B51" s="829">
        <v>34</v>
      </c>
      <c r="C51" s="774" t="s">
        <v>2149</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87</v>
      </c>
      <c r="P51" s="887"/>
      <c r="Q51" s="887"/>
      <c r="R51" s="887"/>
      <c r="S51" s="887"/>
      <c r="T51" s="774" t="s">
        <v>2150</v>
      </c>
      <c r="U51" s="774"/>
      <c r="V51" s="774"/>
      <c r="W51" s="774"/>
      <c r="X51" s="774"/>
      <c r="Y51" s="930"/>
      <c r="Z51" s="777"/>
      <c r="AA51" s="780"/>
      <c r="AB51" s="780"/>
      <c r="AC51" s="780"/>
      <c r="AD51" s="777"/>
    </row>
    <row r="52" spans="1:30" ht="36" customHeight="1">
      <c r="A52" s="776"/>
      <c r="B52" s="829">
        <v>35</v>
      </c>
      <c r="C52" s="774" t="s">
        <v>2043</v>
      </c>
      <c r="D52" s="897" t="s">
        <v>2043</v>
      </c>
      <c r="E52" s="774" t="s">
        <v>2043</v>
      </c>
      <c r="F52" s="774" t="s">
        <v>2043</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88</v>
      </c>
      <c r="P52" s="887" t="s">
        <v>87</v>
      </c>
      <c r="Q52" s="887" t="s">
        <v>87</v>
      </c>
      <c r="R52" s="887" t="s">
        <v>87</v>
      </c>
      <c r="S52" s="887"/>
      <c r="T52" s="774" t="s">
        <v>2151</v>
      </c>
      <c r="U52" s="774" t="s">
        <v>2152</v>
      </c>
      <c r="V52" s="774" t="s">
        <v>2153</v>
      </c>
      <c r="W52" s="774" t="s">
        <v>2154</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332</v>
      </c>
      <c r="Q53" s="887" t="s">
        <v>332</v>
      </c>
      <c r="R53" s="887" t="s">
        <v>332</v>
      </c>
      <c r="S53" s="887"/>
      <c r="T53" s="774" t="s">
        <v>2155</v>
      </c>
      <c r="U53" s="774" t="s">
        <v>2155</v>
      </c>
      <c r="V53" s="774" t="s">
        <v>2155</v>
      </c>
      <c r="W53" s="774" t="s">
        <v>2155</v>
      </c>
      <c r="X53" s="774"/>
      <c r="Y53" s="930"/>
      <c r="Z53" s="777"/>
      <c r="AA53" s="780"/>
      <c r="AB53" s="777"/>
      <c r="AC53" s="777"/>
      <c r="AD53" s="777"/>
    </row>
    <row r="54" spans="1:30" ht="18" customHeight="1">
      <c r="A54" s="776"/>
      <c r="B54" s="829">
        <v>37</v>
      </c>
      <c r="C54" s="774" t="s">
        <v>2049</v>
      </c>
      <c r="D54" s="897" t="s">
        <v>2049</v>
      </c>
      <c r="E54" s="774" t="s">
        <v>2049</v>
      </c>
      <c r="F54" s="774" t="s">
        <v>2049</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88</v>
      </c>
      <c r="Q54" s="887" t="s">
        <v>88</v>
      </c>
      <c r="R54" s="887" t="s">
        <v>88</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321</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2156</v>
      </c>
      <c r="V55" s="774" t="s">
        <v>2156</v>
      </c>
      <c r="W55" s="774" t="s">
        <v>2156</v>
      </c>
      <c r="X55" s="774"/>
      <c r="Y55" s="930"/>
      <c r="Z55" s="777" t="s">
        <v>2157</v>
      </c>
      <c r="AA55" s="777" t="s">
        <v>2157</v>
      </c>
      <c r="AB55" s="777" t="s">
        <v>2157</v>
      </c>
      <c r="AC55" s="777" t="s">
        <v>2157</v>
      </c>
      <c r="AD55" s="777"/>
    </row>
    <row r="56" spans="1:30" ht="27" customHeight="1">
      <c r="A56" s="776"/>
      <c r="B56" s="829">
        <v>39</v>
      </c>
      <c r="C56" s="774" t="s">
        <v>1028</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2158</v>
      </c>
      <c r="V56" s="774" t="s">
        <v>2158</v>
      </c>
      <c r="W56" s="774" t="s">
        <v>2158</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2159</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2149</v>
      </c>
      <c r="E59" s="774" t="s">
        <v>2149</v>
      </c>
      <c r="F59" s="774" t="s">
        <v>2149</v>
      </c>
      <c r="G59" s="774"/>
      <c r="H59" s="821"/>
      <c r="I59" s="935">
        <f t="shared" si="7"/>
        <v>0</v>
      </c>
      <c r="J59" s="935">
        <f t="shared" si="8"/>
        <v>0</v>
      </c>
      <c r="K59" s="935">
        <f t="shared" si="9"/>
        <v>0</v>
      </c>
      <c r="L59" s="775" t="str">
        <f t="shared" si="10"/>
        <v/>
      </c>
      <c r="M59" s="775" t="str">
        <f t="shared" si="11"/>
        <v/>
      </c>
      <c r="N59" s="775" t="str">
        <f t="shared" si="12"/>
        <v/>
      </c>
      <c r="O59" s="887"/>
      <c r="P59" s="887" t="s">
        <v>109</v>
      </c>
      <c r="Q59" s="887" t="s">
        <v>109</v>
      </c>
      <c r="R59" s="887" t="s">
        <v>109</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89</v>
      </c>
      <c r="P60" s="887" t="s">
        <v>89</v>
      </c>
      <c r="Q60" s="887" t="s">
        <v>89</v>
      </c>
      <c r="R60" s="887" t="s">
        <v>89</v>
      </c>
      <c r="S60" s="887"/>
      <c r="T60" s="774" t="s">
        <v>636</v>
      </c>
      <c r="U60" s="774" t="s">
        <v>636</v>
      </c>
      <c r="V60" s="774" t="s">
        <v>636</v>
      </c>
      <c r="W60" s="774" t="s">
        <v>636</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90</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146</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147</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2090</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2094</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148</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90</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146</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147</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148</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90</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146</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90</v>
      </c>
      <c r="P78" s="887"/>
      <c r="Q78" s="887"/>
      <c r="R78" s="887"/>
      <c r="S78" s="887"/>
      <c r="T78" s="774" t="s">
        <v>641</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110</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146</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2081</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147</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2090</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2094</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148</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149</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150</v>
      </c>
      <c r="P89" s="887" t="s">
        <v>149</v>
      </c>
      <c r="Q89" s="887" t="s">
        <v>149</v>
      </c>
      <c r="R89" s="887" t="s">
        <v>147</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151</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150</v>
      </c>
      <c r="Q91" s="887" t="s">
        <v>150</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151</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2122</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1474</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1474</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1480</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1492</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1506</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1518</v>
      </c>
      <c r="P99" s="887"/>
      <c r="Q99" s="887"/>
      <c r="R99" s="887"/>
      <c r="S99" s="887"/>
      <c r="T99" s="774" t="s">
        <v>2231</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1672</v>
      </c>
      <c r="B148" s="776"/>
      <c r="C148" s="774" t="s">
        <v>2236</v>
      </c>
      <c r="D148" s="774" t="s">
        <v>1574</v>
      </c>
      <c r="E148" s="774" t="s">
        <v>1674</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94154-519C-3DDC-F271-39023967B314}">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5" customWidth="1"/>
    <col min="10" max="11" width="3" style="282" customWidth="1"/>
    <col min="12" max="12" width="12" style="2016"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559" t="s">
        <v>2240</v>
      </c>
      <c r="M5" s="3559"/>
      <c r="N5" s="3559"/>
      <c r="O5" s="3559"/>
      <c r="P5" s="3559"/>
      <c r="Q5" s="3559"/>
      <c r="R5" s="3559"/>
      <c r="S5" s="3559"/>
      <c r="T5" s="3559"/>
      <c r="U5" s="3559"/>
      <c r="V5" s="1170"/>
      <c r="AD5" s="1082">
        <v>64</v>
      </c>
    </row>
    <row r="6" spans="1:30" ht="14.65" customHeight="1">
      <c r="J6" s="313"/>
      <c r="K6" s="313"/>
      <c r="L6" s="3560" t="str">
        <f>IF(org=0,"Не определено",org)</f>
        <v>АО Нижневартовская ГРЭС</v>
      </c>
      <c r="M6" s="3560"/>
      <c r="N6" s="3560"/>
      <c r="O6" s="3560"/>
      <c r="P6" s="3560"/>
      <c r="Q6" s="3560"/>
      <c r="R6" s="3560"/>
      <c r="S6" s="3560"/>
      <c r="T6" s="3560"/>
      <c r="U6" s="3560"/>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3245" t="str">
        <f>IF(TITLE_NAME_OR_PR_CHANGE="",IF(TITLE_NAME_OR_PR="","",TITLE_NAME_OR_PR),TITLE_NAME_OR_PR_CHANGE)</f>
        <v/>
      </c>
      <c r="P8" s="3245"/>
      <c r="Q8" s="3245"/>
      <c r="R8" s="3245"/>
      <c r="S8" s="3245"/>
      <c r="T8" s="3245"/>
      <c r="U8" s="3245"/>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428</v>
      </c>
      <c r="N9" s="242"/>
      <c r="O9" s="3245">
        <f>IF(TITLE_DATE_CHANGE_PERIOD="",IF(TITLE_DATE_PR="","",TITLE_DATE_PR),TITLE_DATE_CHANGE_PERIOD)</f>
        <v>45658.546203703707</v>
      </c>
      <c r="P9" s="3245"/>
      <c r="Q9" s="3245"/>
      <c r="R9" s="3245"/>
      <c r="S9" s="3245"/>
      <c r="T9" s="3245"/>
      <c r="U9" s="3245"/>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429</v>
      </c>
      <c r="N10" s="242"/>
      <c r="O10" s="3245" t="str">
        <f>IF(TITLE_NUMBER_PR_CHANGE="",IF(TITLE_NUMBER_PR="","",TITLE_NUMBER_PR),TITLE_NUMBER_PR_CHANGE)</f>
        <v>03/3636</v>
      </c>
      <c r="P10" s="3245"/>
      <c r="Q10" s="3245"/>
      <c r="R10" s="3245"/>
      <c r="S10" s="3245"/>
      <c r="T10" s="3245"/>
      <c r="U10" s="3245"/>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3245" t="str">
        <f>IF(TITLE_IST_PUB_CHANGE="",IF(TITLE_IST_PUB="","",TITLE_IST_PUB),TITLE_IST_PUB_CHANGE)</f>
        <v/>
      </c>
      <c r="P11" s="3245"/>
      <c r="Q11" s="3245"/>
      <c r="R11" s="3245"/>
      <c r="S11" s="3245"/>
      <c r="T11" s="3245"/>
      <c r="U11" s="3245"/>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3558"/>
      <c r="M12" s="3558"/>
      <c r="N12" s="1214"/>
      <c r="O12" s="264"/>
      <c r="P12" s="264"/>
      <c r="Q12" s="264"/>
      <c r="R12" s="264"/>
      <c r="S12" s="264"/>
      <c r="T12" s="264"/>
      <c r="U12" s="264"/>
      <c r="V12" s="216" t="s">
        <v>432</v>
      </c>
      <c r="Y12" s="305"/>
      <c r="Z12" s="305"/>
      <c r="AA12" s="305"/>
      <c r="AB12" s="305"/>
      <c r="AC12" s="305"/>
      <c r="AD12" s="355">
        <v>0</v>
      </c>
    </row>
    <row r="13" spans="1:30" ht="14.65" customHeight="1">
      <c r="J13" s="313"/>
      <c r="K13" s="313"/>
      <c r="L13" s="1202"/>
      <c r="M13" s="300"/>
      <c r="N13" s="1171"/>
      <c r="O13" s="3266"/>
      <c r="P13" s="3266"/>
      <c r="Q13" s="3266"/>
      <c r="R13" s="3266"/>
      <c r="S13" s="3266"/>
      <c r="T13" s="3266"/>
      <c r="U13" s="3266"/>
      <c r="V13" s="3266"/>
      <c r="AD13" s="1082">
        <v>14</v>
      </c>
    </row>
    <row r="14" spans="1:30" ht="14.65" customHeight="1">
      <c r="J14" s="313"/>
      <c r="K14" s="313"/>
      <c r="L14" s="3111" t="s">
        <v>308</v>
      </c>
      <c r="M14" s="3111"/>
      <c r="N14" s="3111"/>
      <c r="O14" s="3111"/>
      <c r="P14" s="3111"/>
      <c r="Q14" s="3111"/>
      <c r="R14" s="3111"/>
      <c r="S14" s="3111"/>
      <c r="T14" s="3111"/>
      <c r="U14" s="3111"/>
      <c r="V14" s="3111"/>
      <c r="W14" s="3111"/>
      <c r="X14" s="3111" t="s">
        <v>309</v>
      </c>
      <c r="AD14" s="1082">
        <v>14</v>
      </c>
    </row>
    <row r="15" spans="1:30" ht="14.65" customHeight="1">
      <c r="J15" s="313"/>
      <c r="K15" s="313"/>
      <c r="L15" s="3268" t="s">
        <v>85</v>
      </c>
      <c r="M15" s="3212" t="s">
        <v>433</v>
      </c>
      <c r="N15" s="239"/>
      <c r="O15" s="3269" t="s">
        <v>2241</v>
      </c>
      <c r="P15" s="3270"/>
      <c r="Q15" s="3270"/>
      <c r="R15" s="3270"/>
      <c r="S15" s="3270"/>
      <c r="T15" s="3270"/>
      <c r="U15" s="3271"/>
      <c r="V15" s="3272" t="s">
        <v>435</v>
      </c>
      <c r="W15" s="3275" t="s">
        <v>1151</v>
      </c>
      <c r="X15" s="3111"/>
      <c r="AD15" s="1082">
        <v>14</v>
      </c>
    </row>
    <row r="16" spans="1:30" ht="35.65" customHeight="1">
      <c r="J16" s="313"/>
      <c r="K16" s="313"/>
      <c r="L16" s="3268"/>
      <c r="M16" s="3212"/>
      <c r="N16" s="961"/>
      <c r="O16" s="3184" t="s">
        <v>438</v>
      </c>
      <c r="P16" s="3184" t="s">
        <v>439</v>
      </c>
      <c r="Q16" s="3093" t="s">
        <v>440</v>
      </c>
      <c r="R16" s="3092"/>
      <c r="S16" s="3093" t="s">
        <v>456</v>
      </c>
      <c r="T16" s="3098"/>
      <c r="U16" s="3092"/>
      <c r="V16" s="3273"/>
      <c r="W16" s="3276"/>
      <c r="X16" s="3111"/>
      <c r="AD16" s="1082">
        <v>34</v>
      </c>
    </row>
    <row r="17" spans="1:30" ht="35.65" customHeight="1">
      <c r="A17" s="1297" t="s">
        <v>132</v>
      </c>
      <c r="B17" s="1297" t="s">
        <v>133</v>
      </c>
      <c r="C17" s="1297" t="s">
        <v>134</v>
      </c>
      <c r="D17" s="1297" t="s">
        <v>135</v>
      </c>
      <c r="E17" s="1297"/>
      <c r="J17" s="313"/>
      <c r="K17" s="313"/>
      <c r="L17" s="3268"/>
      <c r="M17" s="3212"/>
      <c r="N17" s="240"/>
      <c r="O17" s="3237"/>
      <c r="P17" s="3237"/>
      <c r="Q17" s="1149" t="s">
        <v>449</v>
      </c>
      <c r="R17" s="1149" t="s">
        <v>450</v>
      </c>
      <c r="S17" s="1219" t="s">
        <v>451</v>
      </c>
      <c r="T17" s="3217" t="s">
        <v>452</v>
      </c>
      <c r="U17" s="3231"/>
      <c r="V17" s="3274"/>
      <c r="W17" s="3277"/>
      <c r="X17" s="3111"/>
      <c r="AD17" s="1082">
        <v>34</v>
      </c>
    </row>
    <row r="18" spans="1:30" s="1568" customFormat="1" ht="11.45" customHeight="1">
      <c r="A18" s="1297"/>
      <c r="B18" s="1297"/>
      <c r="C18" s="1297"/>
      <c r="D18" s="1297"/>
      <c r="E18" s="1297"/>
      <c r="F18" s="1289"/>
      <c r="G18" s="1289"/>
      <c r="H18" s="1289"/>
      <c r="I18" s="1173"/>
      <c r="J18" s="1174"/>
      <c r="K18" s="1181">
        <v>1</v>
      </c>
      <c r="L18" s="1204" t="s">
        <v>107</v>
      </c>
      <c r="M18" s="1182" t="s">
        <v>108</v>
      </c>
      <c r="N18" s="1172" t="str">
        <f ca="1">OFFSET(N18,0,-1)</f>
        <v>2</v>
      </c>
      <c r="O18" s="1216">
        <f ca="1">OFFSET(O18,0,-1)+1</f>
        <v>3</v>
      </c>
      <c r="P18" s="1216"/>
      <c r="Q18" s="1216">
        <f ca="1">OFFSET(Q18,0,-1)+1</f>
        <v>1</v>
      </c>
      <c r="R18" s="1216">
        <f ca="1">OFFSET(R18,0,-1)+1</f>
        <v>2</v>
      </c>
      <c r="S18" s="1216">
        <f ca="1">OFFSET(S18,0,-1)+1</f>
        <v>3</v>
      </c>
      <c r="T18" s="3265">
        <f ca="1">OFFSET(T18,0,-1)+1</f>
        <v>4</v>
      </c>
      <c r="U18" s="3265"/>
      <c r="V18" s="1216">
        <f ca="1">OFFSET(V18,0,-2)+1</f>
        <v>5</v>
      </c>
      <c r="W18" s="1172">
        <f ca="1">OFFSET(W18,0,-1)</f>
        <v>5</v>
      </c>
      <c r="X18" s="1216">
        <f ca="1">OFFSET(X18,0,-1)+1</f>
        <v>6</v>
      </c>
      <c r="Y18" s="448"/>
      <c r="Z18" s="448"/>
      <c r="AA18" s="448"/>
      <c r="AB18" s="448"/>
      <c r="AC18" s="448"/>
      <c r="AD18" s="433">
        <v>11</v>
      </c>
    </row>
    <row r="19" spans="1:30" ht="21" customHeight="1">
      <c r="A19" s="1290" t="s">
        <v>178</v>
      </c>
      <c r="B19" s="1290" t="s">
        <v>179</v>
      </c>
      <c r="C19" s="1290" t="s">
        <v>180</v>
      </c>
      <c r="D19" s="1290" t="s">
        <v>181</v>
      </c>
      <c r="E19" s="1290"/>
      <c r="F19" s="1292"/>
      <c r="G19" s="1292"/>
      <c r="H19" s="1292"/>
      <c r="I19" s="298"/>
      <c r="J19" s="297"/>
      <c r="K19" s="292"/>
      <c r="L19" s="1220">
        <f>INDEX(PT_DIFFERENTIATION_NUM_NTAR,MATCH(A19,PT_DIFFERENTIATION_NTAR_ID,0))</f>
        <v>0</v>
      </c>
      <c r="M19" s="236" t="s">
        <v>121</v>
      </c>
      <c r="N19" s="238"/>
      <c r="O19" s="3557" t="str">
        <f>INDEX(PT_DIFFERENTIATION_NTAR,MATCH(A19,PT_DIFFERENTIATION_NTAR_ID,0))</f>
        <v/>
      </c>
      <c r="P19" s="3557"/>
      <c r="Q19" s="3557"/>
      <c r="R19" s="3557"/>
      <c r="S19" s="3557"/>
      <c r="T19" s="3557"/>
      <c r="U19" s="3557"/>
      <c r="V19" s="3557"/>
      <c r="W19" s="3557"/>
      <c r="X19" s="1185" t="s">
        <v>404</v>
      </c>
      <c r="Z19" s="437"/>
      <c r="AA19" s="437" t="str">
        <f t="shared" ref="AA19:AA32" si="0">IF(M19="","",M19)</f>
        <v>Наименование тарифа</v>
      </c>
      <c r="AB19" s="437"/>
      <c r="AC19" s="437"/>
      <c r="AD19" s="1082">
        <v>20</v>
      </c>
    </row>
    <row r="20" spans="1:30" ht="21" customHeight="1">
      <c r="A20" s="1290" t="s">
        <v>178</v>
      </c>
      <c r="B20" s="1290" t="s">
        <v>179</v>
      </c>
      <c r="C20" s="1290" t="s">
        <v>180</v>
      </c>
      <c r="D20" s="1290" t="s">
        <v>181</v>
      </c>
      <c r="E20" s="1290"/>
      <c r="F20" s="1292"/>
      <c r="G20" s="1292"/>
      <c r="H20" s="1292"/>
      <c r="I20" s="1217"/>
      <c r="J20" s="289"/>
      <c r="K20" s="290"/>
      <c r="L20" s="1220" t="str">
        <f>INDEX(PT_DIFFERENTIATION_NUM_TER,MATCH(B19,PT_DIFFERENTIATION_TER_ID,0))</f>
        <v>.</v>
      </c>
      <c r="M20" s="246" t="s">
        <v>405</v>
      </c>
      <c r="N20" s="238"/>
      <c r="O20" s="3557" t="str">
        <f>INDEX(PT_DIFFERENTIATION_TER,MATCH(B19,PT_DIFFERENTIATION_TER_ID,0))</f>
        <v/>
      </c>
      <c r="P20" s="3557"/>
      <c r="Q20" s="3557"/>
      <c r="R20" s="3557"/>
      <c r="S20" s="3557"/>
      <c r="T20" s="3557"/>
      <c r="U20" s="3557"/>
      <c r="V20" s="3557"/>
      <c r="W20" s="3557"/>
      <c r="X20" s="1185" t="s">
        <v>406</v>
      </c>
      <c r="Z20" s="437"/>
      <c r="AA20" s="437" t="str">
        <f t="shared" si="0"/>
        <v>Территория действия тарифа</v>
      </c>
      <c r="AB20" s="437"/>
      <c r="AC20" s="437"/>
      <c r="AD20" s="1082">
        <v>20</v>
      </c>
    </row>
    <row r="21" spans="1:30" ht="24" customHeight="1">
      <c r="A21" s="1290" t="s">
        <v>178</v>
      </c>
      <c r="B21" s="1290" t="s">
        <v>179</v>
      </c>
      <c r="C21" s="1290" t="s">
        <v>180</v>
      </c>
      <c r="D21" s="1290" t="s">
        <v>181</v>
      </c>
      <c r="E21" s="1290"/>
      <c r="F21" s="1292"/>
      <c r="G21" s="1292"/>
      <c r="H21" s="1292"/>
      <c r="I21" s="291"/>
      <c r="J21" s="289"/>
      <c r="K21" s="290"/>
      <c r="L21" s="1220" t="str">
        <f>INDEX(PT_DIFFERENTIATION_NUM_CS,MATCH(C19,PT_DIFFERENTIATION_CS_ID,0))</f>
        <v>..</v>
      </c>
      <c r="M21" s="247" t="s">
        <v>407</v>
      </c>
      <c r="N21" s="238"/>
      <c r="O21" s="3557" t="str">
        <f>INDEX(PT_DIFFERENTIATION_CS,MATCH(C19,PT_DIFFERENTIATION_CS_ID,0))</f>
        <v/>
      </c>
      <c r="P21" s="3557"/>
      <c r="Q21" s="3557"/>
      <c r="R21" s="3557"/>
      <c r="S21" s="3557"/>
      <c r="T21" s="3557"/>
      <c r="U21" s="3557"/>
      <c r="V21" s="3557"/>
      <c r="W21" s="3557"/>
      <c r="X21" s="1185" t="s">
        <v>408</v>
      </c>
      <c r="Z21" s="437"/>
      <c r="AA21" s="437" t="str">
        <f t="shared" si="0"/>
        <v xml:space="preserve">Наименование системы теплоснабжения </v>
      </c>
      <c r="AB21" s="437"/>
      <c r="AC21" s="437"/>
      <c r="AD21" s="1082">
        <v>23</v>
      </c>
    </row>
    <row r="22" spans="1:30" ht="21" customHeight="1">
      <c r="A22" s="1290" t="s">
        <v>178</v>
      </c>
      <c r="B22" s="1290" t="s">
        <v>179</v>
      </c>
      <c r="C22" s="1290" t="s">
        <v>180</v>
      </c>
      <c r="D22" s="1290" t="s">
        <v>181</v>
      </c>
      <c r="E22" s="1290"/>
      <c r="F22" s="1292"/>
      <c r="G22" s="1292"/>
      <c r="H22" s="1292"/>
      <c r="I22" s="291"/>
      <c r="J22" s="289"/>
      <c r="K22" s="290"/>
      <c r="L22" s="1220" t="str">
        <f>INDEX(PT_DIFFERENTIATION_NUM_IST_TE,MATCH(D19,PT_DIFFERENTIATION_IST_TE_ID,0))</f>
        <v>...</v>
      </c>
      <c r="M22" s="248" t="s">
        <v>409</v>
      </c>
      <c r="N22" s="238"/>
      <c r="O22" s="3557" t="str">
        <f>INDEX(PT_DIFFERENTIATION_IST_TE,MATCH(D19,PT_DIFFERENTIATION_IST_TE_ID,0))</f>
        <v/>
      </c>
      <c r="P22" s="3557"/>
      <c r="Q22" s="3557"/>
      <c r="R22" s="3557"/>
      <c r="S22" s="3557"/>
      <c r="T22" s="3557"/>
      <c r="U22" s="3557"/>
      <c r="V22" s="3557"/>
      <c r="W22" s="3557"/>
      <c r="X22" s="1185" t="s">
        <v>410</v>
      </c>
      <c r="Z22" s="437"/>
      <c r="AA22" s="437" t="str">
        <f t="shared" si="0"/>
        <v xml:space="preserve">Источник тепловой энергии  </v>
      </c>
      <c r="AB22" s="437"/>
      <c r="AC22" s="437"/>
      <c r="AD22" s="1082">
        <v>20</v>
      </c>
    </row>
    <row r="23" spans="1:30" ht="96.75" customHeight="1">
      <c r="A23" s="1290" t="s">
        <v>178</v>
      </c>
      <c r="B23" s="1290" t="s">
        <v>179</v>
      </c>
      <c r="C23" s="1290" t="s">
        <v>180</v>
      </c>
      <c r="D23" s="1290" t="s">
        <v>181</v>
      </c>
      <c r="E23" s="1290"/>
      <c r="F23" s="3229" t="str">
        <f>L22&amp;".1"</f>
        <v>....1</v>
      </c>
      <c r="I23" s="3258">
        <v>1</v>
      </c>
      <c r="J23" s="1218"/>
      <c r="K23" s="293"/>
      <c r="L23" s="1220" t="str">
        <f>$F$23</f>
        <v>....1</v>
      </c>
      <c r="M23" s="223" t="s">
        <v>412</v>
      </c>
      <c r="N23" s="238"/>
      <c r="O23" s="3317"/>
      <c r="P23" s="3317"/>
      <c r="Q23" s="3317"/>
      <c r="R23" s="3317"/>
      <c r="S23" s="3317"/>
      <c r="T23" s="3317"/>
      <c r="U23" s="3317"/>
      <c r="V23" s="3317"/>
      <c r="W23" s="3317"/>
      <c r="X23" s="1185" t="s">
        <v>413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178</v>
      </c>
      <c r="B24" s="1290" t="s">
        <v>179</v>
      </c>
      <c r="C24" s="1290" t="s">
        <v>180</v>
      </c>
      <c r="D24" s="1290" t="s">
        <v>181</v>
      </c>
      <c r="E24" s="1290"/>
      <c r="F24" s="3229"/>
      <c r="G24" s="3229" t="str">
        <f>F23&amp;".1"</f>
        <v>....1.1</v>
      </c>
      <c r="I24" s="3258"/>
      <c r="J24" s="3258">
        <v>1</v>
      </c>
      <c r="K24" s="294"/>
      <c r="L24" s="1220" t="str">
        <f>$G$24</f>
        <v>....1.1</v>
      </c>
      <c r="M24" s="224" t="s">
        <v>415</v>
      </c>
      <c r="N24" s="238"/>
      <c r="O24" s="3239"/>
      <c r="P24" s="3240"/>
      <c r="Q24" s="3240"/>
      <c r="R24" s="3240"/>
      <c r="S24" s="3240"/>
      <c r="T24" s="3240"/>
      <c r="U24" s="3240"/>
      <c r="V24" s="3240"/>
      <c r="W24" s="3241"/>
      <c r="X24" s="1185" t="s">
        <v>416</v>
      </c>
      <c r="Z24" s="437"/>
      <c r="AA24" s="437" t="str">
        <f t="shared" si="0"/>
        <v>Группа потребителей</v>
      </c>
      <c r="AB24" s="437"/>
      <c r="AC24" s="437"/>
      <c r="AD24" s="1082">
        <v>82</v>
      </c>
    </row>
    <row r="25" spans="1:30" ht="11.45" customHeight="1">
      <c r="A25" s="1290" t="s">
        <v>178</v>
      </c>
      <c r="B25" s="1290" t="s">
        <v>179</v>
      </c>
      <c r="C25" s="1290" t="s">
        <v>180</v>
      </c>
      <c r="D25" s="1290" t="s">
        <v>181</v>
      </c>
      <c r="E25" s="1290"/>
      <c r="F25" s="3229"/>
      <c r="G25" s="3229"/>
      <c r="H25" s="3229" t="str">
        <f>G24&amp;".1"</f>
        <v>....1.1.1</v>
      </c>
      <c r="I25" s="3258"/>
      <c r="J25" s="3258"/>
      <c r="K25" s="294">
        <v>1</v>
      </c>
      <c r="L25" s="1220" t="str">
        <f>$H$25</f>
        <v>....1.1.1</v>
      </c>
      <c r="M25" s="1274"/>
      <c r="N25" s="238"/>
      <c r="O25" s="688"/>
      <c r="P25" s="263"/>
      <c r="Q25" s="688"/>
      <c r="R25" s="1184"/>
      <c r="S25" s="3259"/>
      <c r="T25" s="3121" t="s">
        <v>67</v>
      </c>
      <c r="U25" s="3259"/>
      <c r="V25" s="3121" t="s">
        <v>19</v>
      </c>
      <c r="W25" s="263"/>
      <c r="X25" s="3278" t="s">
        <v>418</v>
      </c>
      <c r="Y25" s="448" t="e">
        <f ca="1">STRCHECKDATE(O26:W26)</f>
        <v>#NAME?</v>
      </c>
      <c r="Z25" s="437"/>
      <c r="AA25" s="437" t="str">
        <f t="shared" si="0"/>
        <v/>
      </c>
      <c r="AB25" s="437"/>
      <c r="AC25" s="437"/>
      <c r="AD25" s="1082">
        <v>11</v>
      </c>
    </row>
    <row r="26" spans="1:30" ht="11.45" customHeight="1">
      <c r="A26" s="1290" t="s">
        <v>178</v>
      </c>
      <c r="B26" s="1290" t="s">
        <v>179</v>
      </c>
      <c r="C26" s="1290" t="s">
        <v>180</v>
      </c>
      <c r="D26" s="1290" t="s">
        <v>181</v>
      </c>
      <c r="E26" s="1290"/>
      <c r="F26" s="3229"/>
      <c r="G26" s="3229"/>
      <c r="H26" s="3229"/>
      <c r="I26" s="3258"/>
      <c r="J26" s="3258"/>
      <c r="K26" s="294"/>
      <c r="L26" s="1221"/>
      <c r="M26" s="238"/>
      <c r="N26" s="238"/>
      <c r="O26" s="263"/>
      <c r="P26" s="263"/>
      <c r="Q26" s="263"/>
      <c r="R26" s="266" t="str">
        <f>S25&amp;"-"&amp;U25</f>
        <v>-</v>
      </c>
      <c r="S26" s="3260"/>
      <c r="T26" s="3121"/>
      <c r="U26" s="3260"/>
      <c r="V26" s="3121"/>
      <c r="W26" s="263"/>
      <c r="X26" s="3279"/>
      <c r="Z26" s="437"/>
      <c r="AA26" s="437" t="str">
        <f t="shared" si="0"/>
        <v/>
      </c>
      <c r="AB26" s="437"/>
      <c r="AC26" s="437"/>
      <c r="AD26" s="1082">
        <v>11</v>
      </c>
    </row>
    <row r="27" spans="1:30" ht="15.75" customHeight="1">
      <c r="A27" s="1290" t="s">
        <v>178</v>
      </c>
      <c r="B27" s="1290" t="s">
        <v>179</v>
      </c>
      <c r="C27" s="1290" t="s">
        <v>180</v>
      </c>
      <c r="D27" s="1290" t="s">
        <v>181</v>
      </c>
      <c r="E27" s="1290"/>
      <c r="F27" s="3229"/>
      <c r="G27" s="3229"/>
      <c r="I27" s="3258"/>
      <c r="J27" s="3258"/>
      <c r="K27" s="293"/>
      <c r="L27" s="1205"/>
      <c r="M27" s="226" t="s">
        <v>419</v>
      </c>
      <c r="N27" s="304"/>
      <c r="O27" s="304"/>
      <c r="P27" s="304"/>
      <c r="Q27" s="304"/>
      <c r="R27" s="304"/>
      <c r="S27" s="304"/>
      <c r="T27" s="304"/>
      <c r="U27" s="304"/>
      <c r="V27" s="304"/>
      <c r="W27" s="262"/>
      <c r="X27" s="3280"/>
      <c r="Z27" s="437"/>
      <c r="AA27" s="437" t="str">
        <f t="shared" si="0"/>
        <v>Добавить вид теплоносителя (параметры теплоносителя)</v>
      </c>
      <c r="AB27" s="437"/>
      <c r="AC27" s="437"/>
      <c r="AD27" s="1082">
        <v>15</v>
      </c>
    </row>
    <row r="28" spans="1:30" ht="15.75" customHeight="1">
      <c r="A28" s="1290" t="s">
        <v>178</v>
      </c>
      <c r="B28" s="1290" t="s">
        <v>179</v>
      </c>
      <c r="C28" s="1290" t="s">
        <v>180</v>
      </c>
      <c r="D28" s="1290" t="s">
        <v>181</v>
      </c>
      <c r="E28" s="1290"/>
      <c r="F28" s="3229"/>
      <c r="I28" s="3258"/>
      <c r="J28" s="1218"/>
      <c r="K28" s="293"/>
      <c r="L28" s="1205"/>
      <c r="M28" s="225" t="s">
        <v>420</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178</v>
      </c>
      <c r="B29" s="1290" t="s">
        <v>179</v>
      </c>
      <c r="C29" s="1290" t="s">
        <v>180</v>
      </c>
      <c r="D29" s="1290" t="s">
        <v>181</v>
      </c>
      <c r="E29" s="1290"/>
      <c r="F29" s="1292"/>
      <c r="G29" s="1292"/>
      <c r="H29" s="474"/>
      <c r="I29" s="297"/>
      <c r="J29" s="312"/>
      <c r="K29" s="292"/>
      <c r="L29" s="1205"/>
      <c r="M29" s="302" t="s">
        <v>421</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178</v>
      </c>
      <c r="B30" s="1290" t="s">
        <v>179</v>
      </c>
      <c r="C30" s="1290" t="s">
        <v>180</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178</v>
      </c>
      <c r="B31" s="1290" t="s">
        <v>179</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3252" t="s">
        <v>2244</v>
      </c>
      <c r="N35" s="3252"/>
      <c r="O35" s="3252"/>
      <c r="P35" s="3252"/>
      <c r="Q35" s="3252"/>
      <c r="R35" s="3252"/>
      <c r="S35" s="3252"/>
      <c r="T35" s="3252"/>
      <c r="U35" s="3252"/>
      <c r="V35" s="3252"/>
      <c r="W35" s="3252"/>
      <c r="X35" s="3252"/>
      <c r="AD35" s="1082">
        <v>27</v>
      </c>
    </row>
    <row r="36" spans="1:30" ht="109.15" customHeight="1">
      <c r="H36" s="474"/>
      <c r="I36" s="1230"/>
      <c r="M36" s="3252" t="s">
        <v>2245</v>
      </c>
      <c r="N36" s="3252"/>
      <c r="O36" s="3252"/>
      <c r="P36" s="3252"/>
      <c r="Q36" s="3252"/>
      <c r="R36" s="3252"/>
      <c r="S36" s="3252"/>
      <c r="T36" s="3252"/>
      <c r="U36" s="3252"/>
      <c r="V36" s="3252"/>
      <c r="W36" s="3252"/>
      <c r="X36" s="325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79</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5EDC2-F929-5342-439B-0BC4AEB5FD8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B0DD1-7FB3-C3AA-03D9-98997D78923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562B4-816A-50B8-DBE8-9EDBC258C3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5A7B6-4FE9-043A-A296-4A915012C4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278C1-220C-95DF-26AC-54A1E34D20B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98ED8-CCFF-1B3B-618E-1B3D1F1A30B5}">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307</v>
      </c>
      <c r="J1" s="392" t="s">
        <v>14</v>
      </c>
    </row>
    <row r="2" spans="1:10" ht="11.25" hidden="1" customHeight="1">
      <c r="J2" s="392">
        <v>0</v>
      </c>
    </row>
    <row r="3" spans="1:10" s="414" customFormat="1" ht="11.45" customHeight="1">
      <c r="A3" s="1613"/>
      <c r="B3" s="438"/>
      <c r="D3" s="415"/>
      <c r="J3" s="414">
        <v>11</v>
      </c>
    </row>
    <row r="4" spans="1:10" ht="27.4" customHeight="1">
      <c r="D4" s="316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164"/>
      <c r="F4" s="3165"/>
      <c r="I4" s="652"/>
      <c r="J4" s="392">
        <v>26</v>
      </c>
    </row>
    <row r="5" spans="1:10" ht="18" customHeight="1">
      <c r="D5" s="3204" t="str">
        <f>IF(org=0,"Не определено",org)</f>
        <v>АО Нижневартовская ГРЭС</v>
      </c>
      <c r="E5" s="3204"/>
      <c r="F5" s="3204"/>
      <c r="I5" s="652"/>
      <c r="J5" s="392">
        <v>17</v>
      </c>
    </row>
    <row r="6" spans="1:10" s="414" customFormat="1" ht="11.45" customHeight="1">
      <c r="A6" s="1613"/>
      <c r="B6" s="438"/>
      <c r="D6" s="651"/>
      <c r="E6" s="651"/>
      <c r="F6" s="689"/>
      <c r="G6" s="651"/>
      <c r="J6" s="414">
        <v>11</v>
      </c>
    </row>
    <row r="7" spans="1:10" ht="11.25" hidden="1" customHeight="1">
      <c r="A7" s="394"/>
      <c r="B7" s="439"/>
      <c r="C7" s="394"/>
      <c r="D7" s="400"/>
      <c r="E7" s="3210"/>
      <c r="F7" s="3210"/>
      <c r="J7" s="392">
        <v>0</v>
      </c>
    </row>
    <row r="8" spans="1:10" ht="11.45" customHeight="1">
      <c r="A8" s="394"/>
      <c r="B8" s="439"/>
      <c r="C8" s="394"/>
      <c r="D8" s="3207" t="s">
        <v>308</v>
      </c>
      <c r="E8" s="3208"/>
      <c r="F8" s="3208"/>
      <c r="G8" s="3211" t="s">
        <v>309</v>
      </c>
      <c r="J8" s="392">
        <v>11</v>
      </c>
    </row>
    <row r="9" spans="1:10" ht="11.45" customHeight="1">
      <c r="A9" s="394"/>
      <c r="B9" s="439"/>
      <c r="C9" s="394"/>
      <c r="D9" s="409" t="s">
        <v>85</v>
      </c>
      <c r="E9" s="383" t="s">
        <v>310</v>
      </c>
      <c r="F9" s="383" t="s">
        <v>311</v>
      </c>
      <c r="G9" s="3212"/>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312</v>
      </c>
      <c r="F11" s="941" t="str">
        <f>IF(region_name="","",region_name)</f>
        <v>Ханты-Мансийский автономный округ</v>
      </c>
      <c r="G11" s="942" t="s">
        <v>313</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314</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315</v>
      </c>
      <c r="E14" s="940" t="s">
        <v>316</v>
      </c>
      <c r="F14" s="941" t="str">
        <f>IF(inn="","",inn)</f>
        <v>8620018330</v>
      </c>
      <c r="G14" s="942" t="s">
        <v>317</v>
      </c>
      <c r="H14" s="412"/>
      <c r="J14" s="392">
        <v>0</v>
      </c>
    </row>
    <row r="15" spans="1:10" ht="22.5" hidden="1" customHeight="1">
      <c r="A15" s="394"/>
      <c r="B15" s="439"/>
      <c r="C15" s="394"/>
      <c r="D15" s="939" t="s">
        <v>318</v>
      </c>
      <c r="E15" s="940" t="s">
        <v>319</v>
      </c>
      <c r="F15" s="941" t="str">
        <f>IF(kpp="","",kpp)</f>
        <v>785150001</v>
      </c>
      <c r="G15" s="942" t="s">
        <v>320</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87</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88</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3205" t="s">
        <v>321</v>
      </c>
      <c r="B19" s="439"/>
      <c r="C19" s="3216"/>
      <c r="D19" s="382" t="str">
        <f>A19</f>
        <v>5.1</v>
      </c>
      <c r="E19" s="379" t="s">
        <v>322</v>
      </c>
      <c r="F19" s="380" t="s">
        <v>314</v>
      </c>
      <c r="G19" s="381" t="s">
        <v>323</v>
      </c>
      <c r="H19" s="412"/>
      <c r="I19" s="783"/>
      <c r="J19" s="392">
        <v>0</v>
      </c>
    </row>
    <row r="20" spans="1:10" ht="24" hidden="1" customHeight="1">
      <c r="A20" s="3205"/>
      <c r="B20" s="439"/>
      <c r="C20" s="3216"/>
      <c r="D20" s="377" t="str">
        <f>D19&amp;".1"</f>
        <v>5.1.1</v>
      </c>
      <c r="E20" s="376" t="s">
        <v>324</v>
      </c>
      <c r="F20" s="811" t="s">
        <v>28</v>
      </c>
      <c r="G20" s="411"/>
      <c r="H20" s="412"/>
      <c r="I20" s="783"/>
      <c r="J20" s="392">
        <v>0</v>
      </c>
    </row>
    <row r="21" spans="1:10" ht="22.5" hidden="1" customHeight="1">
      <c r="A21" s="3205"/>
      <c r="B21" s="439"/>
      <c r="C21" s="3216"/>
      <c r="D21" s="377" t="str">
        <f>D19&amp;".2"</f>
        <v>5.1.2</v>
      </c>
      <c r="E21" s="376" t="s">
        <v>325</v>
      </c>
      <c r="F21" s="1659" t="s">
        <v>28</v>
      </c>
      <c r="G21" s="381" t="s">
        <v>326</v>
      </c>
      <c r="H21" s="412"/>
      <c r="I21" s="783"/>
      <c r="J21" s="392">
        <v>0</v>
      </c>
    </row>
    <row r="22" spans="1:10" ht="22.5" hidden="1" customHeight="1">
      <c r="A22" s="3205"/>
      <c r="B22" s="439"/>
      <c r="C22" s="3216"/>
      <c r="D22" s="377" t="str">
        <f>D19&amp;".3"</f>
        <v>5.1.3</v>
      </c>
      <c r="E22" s="376" t="s">
        <v>327</v>
      </c>
      <c r="F22" s="811" t="s">
        <v>28</v>
      </c>
      <c r="G22" s="411"/>
      <c r="H22" s="412"/>
      <c r="I22" s="783"/>
      <c r="J22" s="392">
        <v>0</v>
      </c>
    </row>
    <row r="23" spans="1:10" ht="22.5" hidden="1" customHeight="1">
      <c r="A23" s="3205"/>
      <c r="B23" s="439"/>
      <c r="C23" s="3216"/>
      <c r="D23" s="377" t="str">
        <f>D19&amp;".4"</f>
        <v>5.1.4</v>
      </c>
      <c r="E23" s="376" t="s">
        <v>328</v>
      </c>
      <c r="F23" s="811" t="s">
        <v>28</v>
      </c>
      <c r="G23" s="381" t="s">
        <v>329</v>
      </c>
      <c r="H23" s="412"/>
      <c r="I23" s="783"/>
      <c r="J23" s="392">
        <v>0</v>
      </c>
    </row>
    <row r="24" spans="1:10" ht="22.5" hidden="1" customHeight="1">
      <c r="A24" s="1900"/>
      <c r="B24" s="439"/>
      <c r="C24" s="429"/>
      <c r="D24" s="404"/>
      <c r="E24" s="1095" t="s">
        <v>330</v>
      </c>
      <c r="F24" s="405"/>
      <c r="G24" s="406"/>
      <c r="H24" s="412"/>
      <c r="I24" s="783"/>
      <c r="J24" s="392">
        <v>0</v>
      </c>
    </row>
    <row r="25" spans="1:10" s="438" customFormat="1" ht="24.75" hidden="1" customHeight="1">
      <c r="A25" s="394"/>
      <c r="B25" s="439"/>
      <c r="C25" s="439"/>
      <c r="D25" s="936" t="s">
        <v>87</v>
      </c>
      <c r="E25" s="938" t="s">
        <v>331</v>
      </c>
      <c r="F25" s="943" t="s">
        <v>314</v>
      </c>
      <c r="G25" s="938"/>
      <c r="J25" s="438">
        <v>0</v>
      </c>
    </row>
    <row r="26" spans="1:10" s="438" customFormat="1" ht="11.25" hidden="1" customHeight="1">
      <c r="A26" s="394"/>
      <c r="B26" s="439"/>
      <c r="C26" s="439"/>
      <c r="D26" s="936" t="s">
        <v>332</v>
      </c>
      <c r="E26" s="937" t="s">
        <v>333</v>
      </c>
      <c r="F26" s="943" t="s">
        <v>314</v>
      </c>
      <c r="G26" s="938"/>
      <c r="J26" s="438">
        <v>0</v>
      </c>
    </row>
    <row r="27" spans="1:10" s="438" customFormat="1" ht="11.25" hidden="1" customHeight="1">
      <c r="A27" s="394"/>
      <c r="B27" s="439"/>
      <c r="C27" s="439"/>
      <c r="D27" s="936" t="s">
        <v>334</v>
      </c>
      <c r="E27" s="944" t="s">
        <v>335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336</v>
      </c>
      <c r="E28" s="944" t="s">
        <v>337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338</v>
      </c>
      <c r="E29" s="944" t="s">
        <v>339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340</v>
      </c>
      <c r="E30" s="937" t="s">
        <v>341</v>
      </c>
      <c r="F30" s="945"/>
      <c r="G30" s="938"/>
      <c r="J30" s="438">
        <v>0</v>
      </c>
    </row>
    <row r="31" spans="1:10" s="438" customFormat="1" ht="11.25" hidden="1" customHeight="1">
      <c r="A31" s="394"/>
      <c r="B31" s="439"/>
      <c r="C31" s="439"/>
      <c r="D31" s="936" t="s">
        <v>342</v>
      </c>
      <c r="E31" s="937" t="s">
        <v>343</v>
      </c>
      <c r="F31" s="945"/>
      <c r="G31" s="938"/>
      <c r="J31" s="438">
        <v>0</v>
      </c>
    </row>
    <row r="32" spans="1:10" s="438" customFormat="1" ht="11.25" hidden="1" customHeight="1">
      <c r="A32" s="394"/>
      <c r="B32" s="439"/>
      <c r="C32" s="439"/>
      <c r="D32" s="936" t="s">
        <v>344</v>
      </c>
      <c r="E32" s="937" t="s">
        <v>345</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314</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346</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346</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314</v>
      </c>
      <c r="G39" s="3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3214"/>
      <c r="H40" s="412"/>
      <c r="J40" s="392">
        <v>0</v>
      </c>
    </row>
    <row r="41" spans="1:10" ht="23.25" customHeight="1">
      <c r="A41" s="394"/>
      <c r="B41" s="394"/>
      <c r="C41" s="1615"/>
      <c r="D41" s="377" t="str">
        <f>D39&amp;".1"</f>
        <v>9.1</v>
      </c>
      <c r="E41" s="791"/>
      <c r="F41" s="792"/>
      <c r="G41" s="3214"/>
      <c r="H41" s="412"/>
      <c r="J41" s="392">
        <v>22</v>
      </c>
    </row>
    <row r="42" spans="1:10" ht="15.75" customHeight="1">
      <c r="A42" s="394"/>
      <c r="B42" s="439"/>
      <c r="C42" s="394"/>
      <c r="D42" s="404"/>
      <c r="E42" s="352" t="s">
        <v>347</v>
      </c>
      <c r="F42" s="406"/>
      <c r="G42" s="3215"/>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348</v>
      </c>
      <c r="H44" s="412"/>
      <c r="J44" s="392">
        <v>22</v>
      </c>
    </row>
    <row r="45" spans="1:10" ht="23.25" customHeight="1">
      <c r="A45" s="394"/>
      <c r="B45" s="439"/>
      <c r="C45" s="394"/>
      <c r="D45" s="377">
        <f>D44+1</f>
        <v>12</v>
      </c>
      <c r="E45" s="375" t="s">
        <v>349</v>
      </c>
      <c r="F45" s="380" t="s">
        <v>314</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350</v>
      </c>
      <c r="H46" s="412"/>
      <c r="J46" s="392">
        <v>23</v>
      </c>
    </row>
    <row r="47" spans="1:10" ht="24" customHeight="1">
      <c r="A47" s="3205"/>
      <c r="B47" s="439"/>
      <c r="C47" s="429"/>
      <c r="D47" s="377" t="str">
        <f>D45&amp;".2"</f>
        <v>12.2</v>
      </c>
      <c r="E47" s="379" t="s">
        <v>351</v>
      </c>
      <c r="F47" s="427"/>
      <c r="G47" s="374" t="s">
        <v>352</v>
      </c>
      <c r="H47" s="412"/>
      <c r="J47" s="392">
        <v>23</v>
      </c>
    </row>
    <row r="48" spans="1:10" ht="24" customHeight="1">
      <c r="A48" s="3205"/>
      <c r="B48" s="439"/>
      <c r="C48" s="429"/>
      <c r="D48" s="377" t="str">
        <f>D45&amp;".3"</f>
        <v>12.3</v>
      </c>
      <c r="E48" s="379" t="s">
        <v>353</v>
      </c>
      <c r="F48" s="427"/>
      <c r="G48" s="374" t="s">
        <v>354</v>
      </c>
      <c r="H48" s="412"/>
      <c r="J48" s="392">
        <v>23</v>
      </c>
    </row>
    <row r="49" spans="1:10" ht="24" customHeight="1">
      <c r="A49" s="3205"/>
      <c r="B49" s="439"/>
      <c r="C49" s="429"/>
      <c r="D49" s="377" t="str">
        <f>IF(TEMPLATE_SPHERE="TKO",D45&amp;".0",D45&amp;".4")</f>
        <v>12.4</v>
      </c>
      <c r="E49" s="373" t="s">
        <v>355</v>
      </c>
      <c r="F49" s="1612"/>
      <c r="G49" s="1688" t="s">
        <v>356</v>
      </c>
      <c r="H49" s="412"/>
      <c r="J49" s="392">
        <v>23</v>
      </c>
    </row>
    <row r="50" spans="1:10" ht="24" customHeight="1">
      <c r="A50" s="394"/>
      <c r="B50" s="439"/>
      <c r="C50" s="394"/>
      <c r="D50" s="404"/>
      <c r="E50" s="352" t="s">
        <v>357</v>
      </c>
      <c r="F50" s="405"/>
      <c r="G50" s="1688" t="s">
        <v>358</v>
      </c>
      <c r="H50" s="413"/>
      <c r="J50" s="392">
        <v>23</v>
      </c>
    </row>
    <row r="51" spans="1:10" ht="24" customHeight="1">
      <c r="A51" s="789"/>
      <c r="B51" s="439"/>
      <c r="C51" s="429"/>
      <c r="D51" s="377">
        <f>D45+1</f>
        <v>13</v>
      </c>
      <c r="E51" s="465" t="s">
        <v>359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3206"/>
      <c r="D53" s="3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209"/>
      <c r="F53" s="3209"/>
      <c r="G53" s="3209"/>
      <c r="H53" s="391"/>
      <c r="I53" s="391"/>
      <c r="J53" s="397">
        <v>30</v>
      </c>
    </row>
    <row r="54" spans="1:10" s="397" customFormat="1" ht="42" customHeight="1">
      <c r="A54" s="394"/>
      <c r="B54" s="439"/>
      <c r="C54" s="3206"/>
      <c r="D54" s="3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209"/>
      <c r="F54" s="3209"/>
      <c r="G54" s="320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79</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3DEF1-B069-F27E-89B6-16569299B9C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F272-8FB5-E65D-4659-49941E4C0F1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1F30C-1D63-5BFA-0B2E-DF3281F765C3}">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B5208-A8EB-A4F1-E781-2E346AFA2FA7}">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2246</v>
      </c>
      <c r="B1" s="2025" t="s">
        <v>2247</v>
      </c>
      <c r="C1" s="3561" t="s">
        <v>2248</v>
      </c>
      <c r="D1" s="3562"/>
      <c r="E1" s="767" t="s">
        <v>2249</v>
      </c>
    </row>
    <row r="2" spans="1:5" ht="11.25" customHeight="1">
      <c r="A2" s="2026"/>
      <c r="B2" s="700" t="s">
        <v>26</v>
      </c>
      <c r="C2" s="690"/>
      <c r="D2" s="699"/>
      <c r="E2" s="767"/>
    </row>
    <row r="3" spans="1:5" ht="11.25" customHeight="1">
      <c r="A3" s="2027"/>
      <c r="B3" s="2028" t="s">
        <v>33</v>
      </c>
      <c r="C3" s="690"/>
      <c r="D3" s="699"/>
      <c r="E3" s="767"/>
    </row>
    <row r="4" spans="1:5" ht="11.25" customHeight="1">
      <c r="A4" s="2029"/>
      <c r="B4" s="701" t="s">
        <v>1672</v>
      </c>
      <c r="C4" s="690"/>
      <c r="D4" s="699"/>
      <c r="E4" s="767"/>
    </row>
    <row r="5" spans="1:5" ht="11.25" customHeight="1">
      <c r="A5" s="2030"/>
      <c r="B5" s="701" t="s">
        <v>1666</v>
      </c>
      <c r="C5" s="2031" t="s">
        <v>2013</v>
      </c>
      <c r="D5" s="2032" t="s">
        <v>2250</v>
      </c>
      <c r="E5" s="767"/>
    </row>
    <row r="6" spans="1:5" s="1775" customFormat="1" ht="11.25" customHeight="1">
      <c r="A6" s="2033"/>
      <c r="B6" s="701" t="s">
        <v>1676</v>
      </c>
      <c r="C6" s="690"/>
      <c r="D6" s="699"/>
      <c r="E6" s="767"/>
    </row>
    <row r="7" spans="1:5" ht="11.25" customHeight="1">
      <c r="A7" s="2034"/>
      <c r="B7" s="701" t="s">
        <v>1683</v>
      </c>
      <c r="C7" s="690"/>
      <c r="D7" s="699"/>
      <c r="E7" s="767"/>
    </row>
    <row r="8" spans="1:5" ht="11.25" customHeight="1">
      <c r="A8" s="692"/>
      <c r="B8" s="701" t="s">
        <v>1679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C952-5EDA-30F3-F7C8-022F9C25AE3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9F88-01D6-C535-CC71-147FD7B6B90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D337-5CC2-FCB3-D75C-F20EBFDA983E}">
  <sheetPr>
    <tabColor rgb="FFFFCC99"/>
  </sheetPr>
  <dimension ref="A1:I54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28</v>
      </c>
      <c r="H2" s="1775" t="s">
        <v>28</v>
      </c>
      <c r="I2" s="1775" t="s">
        <v>814</v>
      </c>
    </row>
    <row r="3" spans="1:9" ht="11.25" customHeight="1">
      <c r="A3" s="1775" t="s">
        <v>2260</v>
      </c>
      <c r="B3" s="1775" t="s">
        <v>16</v>
      </c>
      <c r="C3" s="1775" t="s">
        <v>2265</v>
      </c>
      <c r="D3" s="1775" t="s">
        <v>2266</v>
      </c>
      <c r="E3" s="1775" t="s">
        <v>2267</v>
      </c>
      <c r="F3" s="1775" t="s">
        <v>2268</v>
      </c>
      <c r="G3" s="1775" t="s">
        <v>28</v>
      </c>
      <c r="H3" s="1775" t="s">
        <v>28</v>
      </c>
      <c r="I3" s="1775" t="s">
        <v>814</v>
      </c>
    </row>
    <row r="4" spans="1:9" ht="11.25" customHeight="1">
      <c r="A4" s="1775" t="s">
        <v>2260</v>
      </c>
      <c r="B4" s="1775" t="s">
        <v>16</v>
      </c>
      <c r="C4" s="1775" t="s">
        <v>2269</v>
      </c>
      <c r="D4" s="1775" t="s">
        <v>2270</v>
      </c>
      <c r="E4" s="1775" t="s">
        <v>2271</v>
      </c>
      <c r="F4" s="1775" t="s">
        <v>2272</v>
      </c>
      <c r="G4" s="1775" t="s">
        <v>28</v>
      </c>
      <c r="H4" s="1775" t="s">
        <v>28</v>
      </c>
      <c r="I4" s="1775" t="s">
        <v>814</v>
      </c>
    </row>
    <row r="5" spans="1:9" ht="11.25" customHeight="1">
      <c r="A5" s="1775" t="s">
        <v>2260</v>
      </c>
      <c r="B5" s="1775" t="s">
        <v>16</v>
      </c>
      <c r="C5" s="1775" t="s">
        <v>2273</v>
      </c>
      <c r="D5" s="1775" t="s">
        <v>2274</v>
      </c>
      <c r="E5" s="1775" t="s">
        <v>2263</v>
      </c>
      <c r="F5" s="1775" t="s">
        <v>2268</v>
      </c>
      <c r="G5" s="1775" t="s">
        <v>28</v>
      </c>
      <c r="H5" s="1775" t="s">
        <v>28</v>
      </c>
      <c r="I5" s="1775" t="s">
        <v>814</v>
      </c>
    </row>
    <row r="6" spans="1:9" ht="11.25" customHeight="1">
      <c r="A6" s="1775" t="s">
        <v>2260</v>
      </c>
      <c r="B6" s="1775" t="s">
        <v>16</v>
      </c>
      <c r="C6" s="1775" t="s">
        <v>2275</v>
      </c>
      <c r="D6" s="1775" t="s">
        <v>2276</v>
      </c>
      <c r="E6" s="1775" t="s">
        <v>2277</v>
      </c>
      <c r="F6" s="1775" t="s">
        <v>2278</v>
      </c>
      <c r="G6" s="1775" t="s">
        <v>2279</v>
      </c>
      <c r="H6" s="1775" t="s">
        <v>28</v>
      </c>
      <c r="I6" s="1775" t="s">
        <v>814</v>
      </c>
    </row>
    <row r="7" spans="1:9" ht="11.25" customHeight="1">
      <c r="A7" s="1775" t="s">
        <v>2260</v>
      </c>
      <c r="B7" s="1775" t="s">
        <v>16</v>
      </c>
      <c r="C7" s="1775" t="s">
        <v>2280</v>
      </c>
      <c r="D7" s="1775" t="s">
        <v>2281</v>
      </c>
      <c r="E7" s="1775" t="s">
        <v>2282</v>
      </c>
      <c r="F7" s="1775" t="s">
        <v>2283</v>
      </c>
      <c r="G7" s="1775" t="s">
        <v>2284</v>
      </c>
      <c r="H7" s="1775" t="s">
        <v>28</v>
      </c>
      <c r="I7" s="1775" t="s">
        <v>814</v>
      </c>
    </row>
    <row r="8" spans="1:9" ht="11.25" customHeight="1">
      <c r="A8" s="1775" t="s">
        <v>2260</v>
      </c>
      <c r="B8" s="1775" t="s">
        <v>16</v>
      </c>
      <c r="C8" s="1775" t="s">
        <v>2285</v>
      </c>
      <c r="D8" s="1775" t="s">
        <v>2286</v>
      </c>
      <c r="E8" s="1775" t="s">
        <v>2287</v>
      </c>
      <c r="F8" s="1775" t="s">
        <v>2288</v>
      </c>
      <c r="G8" s="1775" t="s">
        <v>28</v>
      </c>
      <c r="H8" s="1775" t="s">
        <v>28</v>
      </c>
      <c r="I8" s="1775" t="s">
        <v>814</v>
      </c>
    </row>
    <row r="9" spans="1:9" ht="11.25" customHeight="1">
      <c r="A9" s="1775" t="s">
        <v>2260</v>
      </c>
      <c r="B9" s="1775" t="s">
        <v>16</v>
      </c>
      <c r="C9" s="1775" t="s">
        <v>2289</v>
      </c>
      <c r="D9" s="1775" t="s">
        <v>2290</v>
      </c>
      <c r="E9" s="1775" t="s">
        <v>2291</v>
      </c>
      <c r="F9" s="1775" t="s">
        <v>2292</v>
      </c>
      <c r="G9" s="1775" t="s">
        <v>2293</v>
      </c>
      <c r="H9" s="1775" t="s">
        <v>28</v>
      </c>
      <c r="I9" s="1775" t="s">
        <v>814</v>
      </c>
    </row>
    <row r="10" spans="1:9" ht="11.25" customHeight="1">
      <c r="A10" s="1775" t="s">
        <v>2260</v>
      </c>
      <c r="B10" s="1775" t="s">
        <v>16</v>
      </c>
      <c r="C10" s="1775" t="s">
        <v>2294</v>
      </c>
      <c r="D10" s="1775" t="s">
        <v>2295</v>
      </c>
      <c r="E10" s="1775" t="s">
        <v>2296</v>
      </c>
      <c r="F10" s="1775" t="s">
        <v>2297</v>
      </c>
      <c r="G10" s="1775" t="s">
        <v>28</v>
      </c>
      <c r="H10" s="1775" t="s">
        <v>28</v>
      </c>
      <c r="I10" s="1775" t="s">
        <v>814</v>
      </c>
    </row>
    <row r="11" spans="1:9" ht="11.25" customHeight="1">
      <c r="A11" s="1775" t="s">
        <v>2260</v>
      </c>
      <c r="B11" s="1775" t="s">
        <v>16</v>
      </c>
      <c r="C11" s="1775" t="s">
        <v>2298</v>
      </c>
      <c r="D11" s="1775" t="s">
        <v>2299</v>
      </c>
      <c r="E11" s="1775" t="s">
        <v>2300</v>
      </c>
      <c r="F11" s="1775" t="s">
        <v>2301</v>
      </c>
      <c r="G11" s="1775" t="s">
        <v>2302</v>
      </c>
      <c r="H11" s="1775" t="s">
        <v>28</v>
      </c>
      <c r="I11" s="1775" t="s">
        <v>814</v>
      </c>
    </row>
    <row r="12" spans="1:9" ht="11.25" customHeight="1">
      <c r="A12" s="1775" t="s">
        <v>2260</v>
      </c>
      <c r="B12" s="1775" t="s">
        <v>16</v>
      </c>
      <c r="C12" s="1775" t="s">
        <v>2303</v>
      </c>
      <c r="D12" s="1775" t="s">
        <v>2304</v>
      </c>
      <c r="E12" s="1775" t="s">
        <v>2305</v>
      </c>
      <c r="F12" s="1775" t="s">
        <v>2292</v>
      </c>
      <c r="G12" s="1775" t="s">
        <v>28</v>
      </c>
      <c r="H12" s="1775" t="s">
        <v>28</v>
      </c>
      <c r="I12" s="1775" t="s">
        <v>814</v>
      </c>
    </row>
    <row r="13" spans="1:9" ht="11.25" customHeight="1">
      <c r="A13" s="1775" t="s">
        <v>2260</v>
      </c>
      <c r="B13" s="1775" t="s">
        <v>16</v>
      </c>
      <c r="C13" s="1775" t="s">
        <v>2306</v>
      </c>
      <c r="D13" s="1775" t="s">
        <v>2307</v>
      </c>
      <c r="E13" s="1775" t="s">
        <v>2308</v>
      </c>
      <c r="F13" s="1775" t="s">
        <v>2309</v>
      </c>
      <c r="G13" s="1775" t="s">
        <v>28</v>
      </c>
      <c r="H13" s="1775" t="s">
        <v>28</v>
      </c>
      <c r="I13" s="1775" t="s">
        <v>814</v>
      </c>
    </row>
    <row r="14" spans="1:9" ht="11.25" customHeight="1">
      <c r="A14" s="1775" t="s">
        <v>2260</v>
      </c>
      <c r="B14" s="1775" t="s">
        <v>16</v>
      </c>
      <c r="C14" s="1775" t="s">
        <v>2310</v>
      </c>
      <c r="D14" s="1775" t="s">
        <v>2307</v>
      </c>
      <c r="E14" s="1775" t="s">
        <v>2308</v>
      </c>
      <c r="F14" s="1775" t="s">
        <v>2311</v>
      </c>
      <c r="G14" s="1775" t="s">
        <v>28</v>
      </c>
      <c r="H14" s="1775" t="s">
        <v>28</v>
      </c>
      <c r="I14" s="1775" t="s">
        <v>814</v>
      </c>
    </row>
    <row r="15" spans="1:9" ht="11.25" customHeight="1">
      <c r="A15" s="1775" t="s">
        <v>2260</v>
      </c>
      <c r="B15" s="1775" t="s">
        <v>16</v>
      </c>
      <c r="C15" s="1775" t="s">
        <v>2312</v>
      </c>
      <c r="D15" s="1775" t="s">
        <v>2313</v>
      </c>
      <c r="E15" s="1775" t="s">
        <v>2314</v>
      </c>
      <c r="F15" s="1775" t="s">
        <v>2315</v>
      </c>
      <c r="G15" s="1775" t="s">
        <v>2316</v>
      </c>
      <c r="H15" s="1775" t="s">
        <v>28</v>
      </c>
      <c r="I15" s="1775" t="s">
        <v>814</v>
      </c>
    </row>
    <row r="16" spans="1:9" ht="11.25" customHeight="1">
      <c r="A16" s="1775" t="s">
        <v>2260</v>
      </c>
      <c r="B16" s="1775" t="s">
        <v>16</v>
      </c>
      <c r="C16" s="1775" t="s">
        <v>2317</v>
      </c>
      <c r="D16" s="1775" t="s">
        <v>2318</v>
      </c>
      <c r="E16" s="1775" t="s">
        <v>2319</v>
      </c>
      <c r="F16" s="1775" t="s">
        <v>2320</v>
      </c>
      <c r="G16" s="1775" t="s">
        <v>28</v>
      </c>
      <c r="H16" s="1775" t="s">
        <v>28</v>
      </c>
      <c r="I16" s="1775" t="s">
        <v>814</v>
      </c>
    </row>
    <row r="17" spans="1:9" ht="11.25" customHeight="1">
      <c r="A17" s="1775" t="s">
        <v>2260</v>
      </c>
      <c r="B17" s="1775" t="s">
        <v>16</v>
      </c>
      <c r="C17" s="1775" t="s">
        <v>2321</v>
      </c>
      <c r="D17" s="1775" t="s">
        <v>2322</v>
      </c>
      <c r="E17" s="1775" t="s">
        <v>2323</v>
      </c>
      <c r="F17" s="1775" t="s">
        <v>2301</v>
      </c>
      <c r="G17" s="1775" t="s">
        <v>28</v>
      </c>
      <c r="H17" s="1775" t="s">
        <v>28</v>
      </c>
      <c r="I17" s="1775" t="s">
        <v>814</v>
      </c>
    </row>
    <row r="18" spans="1:9" ht="11.25" customHeight="1">
      <c r="A18" s="1775" t="s">
        <v>2260</v>
      </c>
      <c r="B18" s="1775" t="s">
        <v>16</v>
      </c>
      <c r="C18" s="1775" t="s">
        <v>2324</v>
      </c>
      <c r="D18" s="1775" t="s">
        <v>2325</v>
      </c>
      <c r="E18" s="1775" t="s">
        <v>2326</v>
      </c>
      <c r="F18" s="1775" t="s">
        <v>2327</v>
      </c>
      <c r="G18" s="1775" t="s">
        <v>28</v>
      </c>
      <c r="H18" s="1775" t="s">
        <v>28</v>
      </c>
      <c r="I18" s="1775" t="s">
        <v>814</v>
      </c>
    </row>
    <row r="19" spans="1:9" ht="11.25" customHeight="1">
      <c r="A19" s="1775" t="s">
        <v>2260</v>
      </c>
      <c r="B19" s="1775" t="s">
        <v>16</v>
      </c>
      <c r="C19" s="1775" t="s">
        <v>2328</v>
      </c>
      <c r="D19" s="1775" t="s">
        <v>2329</v>
      </c>
      <c r="E19" s="1775" t="s">
        <v>2330</v>
      </c>
      <c r="F19" s="1775" t="s">
        <v>2331</v>
      </c>
      <c r="G19" s="1775" t="s">
        <v>28</v>
      </c>
      <c r="H19" s="1775" t="s">
        <v>28</v>
      </c>
      <c r="I19" s="1775" t="s">
        <v>814</v>
      </c>
    </row>
    <row r="20" spans="1:9" ht="11.25" customHeight="1">
      <c r="A20" s="1775" t="s">
        <v>2260</v>
      </c>
      <c r="B20" s="1775" t="s">
        <v>16</v>
      </c>
      <c r="C20" s="1775" t="s">
        <v>2332</v>
      </c>
      <c r="D20" s="1775" t="s">
        <v>2333</v>
      </c>
      <c r="E20" s="1775" t="s">
        <v>2334</v>
      </c>
      <c r="F20" s="1775" t="s">
        <v>2335</v>
      </c>
      <c r="G20" s="1775" t="s">
        <v>28</v>
      </c>
      <c r="H20" s="1775" t="s">
        <v>28</v>
      </c>
      <c r="I20" s="1775" t="s">
        <v>814</v>
      </c>
    </row>
    <row r="21" spans="1:9" ht="11.25" customHeight="1">
      <c r="A21" s="1775" t="s">
        <v>2260</v>
      </c>
      <c r="B21" s="1775" t="s">
        <v>16</v>
      </c>
      <c r="C21" s="1775" t="s">
        <v>2336</v>
      </c>
      <c r="D21" s="1775" t="s">
        <v>2337</v>
      </c>
      <c r="E21" s="1775" t="s">
        <v>2338</v>
      </c>
      <c r="F21" s="1775" t="s">
        <v>2339</v>
      </c>
      <c r="G21" s="1775" t="s">
        <v>28</v>
      </c>
      <c r="H21" s="1775" t="s">
        <v>28</v>
      </c>
      <c r="I21" s="1775" t="s">
        <v>814</v>
      </c>
    </row>
    <row r="22" spans="1:9" ht="11.25" customHeight="1">
      <c r="A22" s="1775" t="s">
        <v>2260</v>
      </c>
      <c r="B22" s="1775" t="s">
        <v>16</v>
      </c>
      <c r="C22" s="1775" t="s">
        <v>2340</v>
      </c>
      <c r="D22" s="1775" t="s">
        <v>2341</v>
      </c>
      <c r="E22" s="1775" t="s">
        <v>2342</v>
      </c>
      <c r="F22" s="1775" t="s">
        <v>2343</v>
      </c>
      <c r="G22" s="1775" t="s">
        <v>2344</v>
      </c>
      <c r="H22" s="1775" t="s">
        <v>28</v>
      </c>
      <c r="I22" s="1775" t="s">
        <v>814</v>
      </c>
    </row>
    <row r="23" spans="1:9" ht="11.25" customHeight="1">
      <c r="A23" s="1775" t="s">
        <v>2260</v>
      </c>
      <c r="B23" s="1775" t="s">
        <v>16</v>
      </c>
      <c r="C23" s="1775" t="s">
        <v>2345</v>
      </c>
      <c r="D23" s="1775" t="s">
        <v>2346</v>
      </c>
      <c r="E23" s="1775" t="s">
        <v>2347</v>
      </c>
      <c r="F23" s="1775" t="s">
        <v>2348</v>
      </c>
      <c r="G23" s="1775" t="s">
        <v>28</v>
      </c>
      <c r="H23" s="1775" t="s">
        <v>28</v>
      </c>
      <c r="I23" s="1775" t="s">
        <v>814</v>
      </c>
    </row>
    <row r="24" spans="1:9" ht="11.25" customHeight="1">
      <c r="A24" s="1775" t="s">
        <v>2260</v>
      </c>
      <c r="B24" s="1775" t="s">
        <v>16</v>
      </c>
      <c r="C24" s="1775" t="s">
        <v>2349</v>
      </c>
      <c r="D24" s="1775" t="s">
        <v>2350</v>
      </c>
      <c r="E24" s="1775" t="s">
        <v>2351</v>
      </c>
      <c r="F24" s="1775" t="s">
        <v>2288</v>
      </c>
      <c r="G24" s="1775" t="s">
        <v>2352</v>
      </c>
      <c r="H24" s="1775" t="s">
        <v>28</v>
      </c>
      <c r="I24" s="1775" t="s">
        <v>814</v>
      </c>
    </row>
    <row r="25" spans="1:9" ht="11.25" customHeight="1">
      <c r="A25" s="1775" t="s">
        <v>2260</v>
      </c>
      <c r="B25" s="1775" t="s">
        <v>16</v>
      </c>
      <c r="C25" s="1775" t="s">
        <v>2353</v>
      </c>
      <c r="D25" s="1775" t="s">
        <v>2354</v>
      </c>
      <c r="E25" s="1775" t="s">
        <v>2355</v>
      </c>
      <c r="F25" s="1775" t="s">
        <v>2343</v>
      </c>
      <c r="G25" s="1775" t="s">
        <v>2356</v>
      </c>
      <c r="H25" s="1775" t="s">
        <v>28</v>
      </c>
      <c r="I25" s="1775" t="s">
        <v>814</v>
      </c>
    </row>
    <row r="26" spans="1:9" ht="11.25" customHeight="1">
      <c r="A26" s="1775" t="s">
        <v>2260</v>
      </c>
      <c r="B26" s="1775" t="s">
        <v>16</v>
      </c>
      <c r="C26" s="1775" t="s">
        <v>2357</v>
      </c>
      <c r="D26" s="1775" t="s">
        <v>2358</v>
      </c>
      <c r="E26" s="1775" t="s">
        <v>2359</v>
      </c>
      <c r="F26" s="1775" t="s">
        <v>2343</v>
      </c>
      <c r="G26" s="1775" t="s">
        <v>28</v>
      </c>
      <c r="H26" s="1775" t="s">
        <v>28</v>
      </c>
      <c r="I26" s="1775" t="s">
        <v>814</v>
      </c>
    </row>
    <row r="27" spans="1:9" ht="11.25" customHeight="1">
      <c r="A27" s="1775" t="s">
        <v>2260</v>
      </c>
      <c r="B27" s="1775" t="s">
        <v>16</v>
      </c>
      <c r="C27" s="1775" t="s">
        <v>2360</v>
      </c>
      <c r="D27" s="1775" t="s">
        <v>2361</v>
      </c>
      <c r="E27" s="1775" t="s">
        <v>2362</v>
      </c>
      <c r="F27" s="1775" t="s">
        <v>2363</v>
      </c>
      <c r="G27" s="1775" t="s">
        <v>2364</v>
      </c>
      <c r="H27" s="1775" t="s">
        <v>28</v>
      </c>
      <c r="I27" s="1775" t="s">
        <v>814</v>
      </c>
    </row>
    <row r="28" spans="1:9" ht="11.25" customHeight="1">
      <c r="A28" s="1775" t="s">
        <v>2260</v>
      </c>
      <c r="B28" s="1775" t="s">
        <v>16</v>
      </c>
      <c r="C28" s="1775" t="s">
        <v>13</v>
      </c>
      <c r="D28" s="1775" t="s">
        <v>47</v>
      </c>
      <c r="E28" s="1775" t="s">
        <v>50</v>
      </c>
      <c r="F28" s="1775" t="s">
        <v>52</v>
      </c>
      <c r="G28" s="1775" t="s">
        <v>2365</v>
      </c>
      <c r="H28" s="1775" t="s">
        <v>28</v>
      </c>
      <c r="I28" s="1775" t="s">
        <v>814</v>
      </c>
    </row>
    <row r="29" spans="1:9" ht="11.25" customHeight="1">
      <c r="A29" s="1775" t="s">
        <v>2260</v>
      </c>
      <c r="B29" s="1775" t="s">
        <v>16</v>
      </c>
      <c r="C29" s="1775" t="s">
        <v>2366</v>
      </c>
      <c r="D29" s="1775" t="s">
        <v>2367</v>
      </c>
      <c r="E29" s="1775" t="s">
        <v>2368</v>
      </c>
      <c r="F29" s="1775" t="s">
        <v>2343</v>
      </c>
      <c r="G29" s="1775" t="s">
        <v>28</v>
      </c>
      <c r="H29" s="1775" t="s">
        <v>28</v>
      </c>
      <c r="I29" s="1775" t="s">
        <v>814</v>
      </c>
    </row>
    <row r="30" spans="1:9" ht="11.25" customHeight="1">
      <c r="A30" s="1775" t="s">
        <v>2260</v>
      </c>
      <c r="B30" s="1775" t="s">
        <v>16</v>
      </c>
      <c r="C30" s="1775" t="s">
        <v>2369</v>
      </c>
      <c r="D30" s="1775" t="s">
        <v>2370</v>
      </c>
      <c r="E30" s="1775" t="s">
        <v>2371</v>
      </c>
      <c r="F30" s="1775" t="s">
        <v>2372</v>
      </c>
      <c r="G30" s="1775" t="s">
        <v>28</v>
      </c>
      <c r="H30" s="1775" t="s">
        <v>28</v>
      </c>
      <c r="I30" s="1775" t="s">
        <v>814</v>
      </c>
    </row>
    <row r="31" spans="1:9" ht="11.25" customHeight="1">
      <c r="A31" s="1775" t="s">
        <v>2260</v>
      </c>
      <c r="B31" s="1775" t="s">
        <v>16</v>
      </c>
      <c r="C31" s="1775" t="s">
        <v>2373</v>
      </c>
      <c r="D31" s="1775" t="s">
        <v>2374</v>
      </c>
      <c r="E31" s="1775" t="s">
        <v>2375</v>
      </c>
      <c r="F31" s="1775" t="s">
        <v>2376</v>
      </c>
      <c r="G31" s="1775" t="s">
        <v>28</v>
      </c>
      <c r="H31" s="1775" t="s">
        <v>28</v>
      </c>
      <c r="I31" s="1775" t="s">
        <v>814</v>
      </c>
    </row>
    <row r="32" spans="1:9" ht="11.25" customHeight="1">
      <c r="A32" s="1775" t="s">
        <v>2260</v>
      </c>
      <c r="B32" s="1775" t="s">
        <v>16</v>
      </c>
      <c r="C32" s="1775" t="s">
        <v>2377</v>
      </c>
      <c r="D32" s="1775" t="s">
        <v>2378</v>
      </c>
      <c r="E32" s="1775" t="s">
        <v>2379</v>
      </c>
      <c r="F32" s="1775" t="s">
        <v>2380</v>
      </c>
      <c r="G32" s="1775" t="s">
        <v>28</v>
      </c>
      <c r="H32" s="1775" t="s">
        <v>28</v>
      </c>
      <c r="I32" s="1775" t="s">
        <v>814</v>
      </c>
    </row>
    <row r="33" spans="1:9" ht="11.25" customHeight="1">
      <c r="A33" s="1775" t="s">
        <v>2260</v>
      </c>
      <c r="B33" s="1775" t="s">
        <v>16</v>
      </c>
      <c r="C33" s="1775" t="s">
        <v>2381</v>
      </c>
      <c r="D33" s="1775" t="s">
        <v>2382</v>
      </c>
      <c r="E33" s="1775" t="s">
        <v>2383</v>
      </c>
      <c r="F33" s="1775" t="s">
        <v>2384</v>
      </c>
      <c r="G33" s="1775" t="s">
        <v>2385</v>
      </c>
      <c r="H33" s="1775" t="s">
        <v>28</v>
      </c>
      <c r="I33" s="1775" t="s">
        <v>814</v>
      </c>
    </row>
    <row r="34" spans="1:9" ht="11.25" customHeight="1">
      <c r="A34" s="1775" t="s">
        <v>2260</v>
      </c>
      <c r="B34" s="1775" t="s">
        <v>16</v>
      </c>
      <c r="C34" s="1775" t="s">
        <v>2386</v>
      </c>
      <c r="D34" s="1775" t="s">
        <v>2387</v>
      </c>
      <c r="E34" s="1775" t="s">
        <v>2388</v>
      </c>
      <c r="F34" s="1775" t="s">
        <v>2292</v>
      </c>
      <c r="G34" s="1775" t="s">
        <v>2389</v>
      </c>
      <c r="H34" s="1775" t="s">
        <v>28</v>
      </c>
      <c r="I34" s="1775" t="s">
        <v>814</v>
      </c>
    </row>
    <row r="35" spans="1:9" ht="11.25" customHeight="1">
      <c r="A35" s="1775" t="s">
        <v>2260</v>
      </c>
      <c r="B35" s="1775" t="s">
        <v>16</v>
      </c>
      <c r="C35" s="1775" t="s">
        <v>2390</v>
      </c>
      <c r="D35" s="1775" t="s">
        <v>2391</v>
      </c>
      <c r="E35" s="1775" t="s">
        <v>2392</v>
      </c>
      <c r="F35" s="1775" t="s">
        <v>2343</v>
      </c>
      <c r="G35" s="1775" t="s">
        <v>28</v>
      </c>
      <c r="H35" s="1775" t="s">
        <v>28</v>
      </c>
      <c r="I35" s="1775" t="s">
        <v>814</v>
      </c>
    </row>
    <row r="36" spans="1:9" ht="11.25" customHeight="1">
      <c r="A36" s="1775" t="s">
        <v>2260</v>
      </c>
      <c r="B36" s="1775" t="s">
        <v>16</v>
      </c>
      <c r="C36" s="1775" t="s">
        <v>2393</v>
      </c>
      <c r="D36" s="1775" t="s">
        <v>2394</v>
      </c>
      <c r="E36" s="1775" t="s">
        <v>2395</v>
      </c>
      <c r="F36" s="1775" t="s">
        <v>2343</v>
      </c>
      <c r="G36" s="1775" t="s">
        <v>2279</v>
      </c>
      <c r="H36" s="1775" t="s">
        <v>28</v>
      </c>
      <c r="I36" s="1775" t="s">
        <v>814</v>
      </c>
    </row>
    <row r="37" spans="1:9" ht="11.25" customHeight="1">
      <c r="A37" s="1775" t="s">
        <v>2260</v>
      </c>
      <c r="B37" s="1775" t="s">
        <v>16</v>
      </c>
      <c r="C37" s="1775" t="s">
        <v>2396</v>
      </c>
      <c r="D37" s="1775" t="s">
        <v>2397</v>
      </c>
      <c r="E37" s="1775" t="s">
        <v>2398</v>
      </c>
      <c r="F37" s="1775" t="s">
        <v>2311</v>
      </c>
      <c r="G37" s="1775" t="s">
        <v>28</v>
      </c>
      <c r="H37" s="1775" t="s">
        <v>28</v>
      </c>
      <c r="I37" s="1775" t="s">
        <v>814</v>
      </c>
    </row>
    <row r="38" spans="1:9" ht="11.25" customHeight="1">
      <c r="A38" s="1775" t="s">
        <v>2260</v>
      </c>
      <c r="B38" s="1775" t="s">
        <v>16</v>
      </c>
      <c r="C38" s="1775" t="s">
        <v>2399</v>
      </c>
      <c r="D38" s="1775" t="s">
        <v>2400</v>
      </c>
      <c r="E38" s="1775" t="s">
        <v>2401</v>
      </c>
      <c r="F38" s="1775" t="s">
        <v>2301</v>
      </c>
      <c r="G38" s="1775" t="s">
        <v>28</v>
      </c>
      <c r="H38" s="1775" t="s">
        <v>28</v>
      </c>
      <c r="I38" s="1775" t="s">
        <v>814</v>
      </c>
    </row>
    <row r="39" spans="1:9" ht="11.25" customHeight="1">
      <c r="A39" s="1775" t="s">
        <v>2260</v>
      </c>
      <c r="B39" s="1775" t="s">
        <v>16</v>
      </c>
      <c r="C39" s="1775" t="s">
        <v>2402</v>
      </c>
      <c r="D39" s="1775" t="s">
        <v>2403</v>
      </c>
      <c r="E39" s="1775" t="s">
        <v>2404</v>
      </c>
      <c r="F39" s="1775" t="s">
        <v>2405</v>
      </c>
      <c r="G39" s="1775" t="s">
        <v>28</v>
      </c>
      <c r="H39" s="1775" t="s">
        <v>28</v>
      </c>
      <c r="I39" s="1775" t="s">
        <v>814</v>
      </c>
    </row>
    <row r="40" spans="1:9" ht="11.25" customHeight="1">
      <c r="A40" s="1775" t="s">
        <v>2260</v>
      </c>
      <c r="B40" s="1775" t="s">
        <v>16</v>
      </c>
      <c r="C40" s="1775" t="s">
        <v>2406</v>
      </c>
      <c r="D40" s="1775" t="s">
        <v>2407</v>
      </c>
      <c r="E40" s="1775" t="s">
        <v>2408</v>
      </c>
      <c r="F40" s="1775" t="s">
        <v>582</v>
      </c>
      <c r="G40" s="1775" t="s">
        <v>2409</v>
      </c>
      <c r="H40" s="1775" t="s">
        <v>28</v>
      </c>
      <c r="I40" s="1775" t="s">
        <v>814</v>
      </c>
    </row>
    <row r="41" spans="1:9" ht="11.25" customHeight="1">
      <c r="A41" s="1775" t="s">
        <v>2260</v>
      </c>
      <c r="B41" s="1775" t="s">
        <v>16</v>
      </c>
      <c r="C41" s="1775" t="s">
        <v>2410</v>
      </c>
      <c r="D41" s="1775" t="s">
        <v>2411</v>
      </c>
      <c r="E41" s="1775" t="s">
        <v>2412</v>
      </c>
      <c r="F41" s="1775" t="s">
        <v>582</v>
      </c>
      <c r="G41" s="1775" t="s">
        <v>2413</v>
      </c>
      <c r="H41" s="1775" t="s">
        <v>28</v>
      </c>
      <c r="I41" s="1775" t="s">
        <v>814</v>
      </c>
    </row>
    <row r="42" spans="1:9" ht="11.25" customHeight="1">
      <c r="A42" s="1775" t="s">
        <v>2260</v>
      </c>
      <c r="B42" s="1775" t="s">
        <v>16</v>
      </c>
      <c r="C42" s="1775" t="s">
        <v>2414</v>
      </c>
      <c r="D42" s="1775" t="s">
        <v>2415</v>
      </c>
      <c r="E42" s="1775" t="s">
        <v>2416</v>
      </c>
      <c r="F42" s="1775" t="s">
        <v>2417</v>
      </c>
      <c r="G42" s="1775" t="s">
        <v>2418</v>
      </c>
      <c r="H42" s="1775" t="s">
        <v>28</v>
      </c>
      <c r="I42" s="1775" t="s">
        <v>814</v>
      </c>
    </row>
    <row r="43" spans="1:9" ht="11.25" customHeight="1">
      <c r="A43" s="1775" t="s">
        <v>2260</v>
      </c>
      <c r="B43" s="1775" t="s">
        <v>16</v>
      </c>
      <c r="C43" s="1775" t="s">
        <v>2419</v>
      </c>
      <c r="D43" s="1775" t="s">
        <v>2420</v>
      </c>
      <c r="E43" s="1775" t="s">
        <v>2421</v>
      </c>
      <c r="F43" s="1775" t="s">
        <v>2422</v>
      </c>
      <c r="G43" s="1775" t="s">
        <v>28</v>
      </c>
      <c r="H43" s="1775" t="s">
        <v>28</v>
      </c>
      <c r="I43" s="1775" t="s">
        <v>814</v>
      </c>
    </row>
    <row r="44" spans="1:9" ht="11.25" customHeight="1">
      <c r="A44" s="1775" t="s">
        <v>2260</v>
      </c>
      <c r="B44" s="1775" t="s">
        <v>16</v>
      </c>
      <c r="C44" s="1775" t="s">
        <v>2423</v>
      </c>
      <c r="D44" s="1775" t="s">
        <v>2424</v>
      </c>
      <c r="E44" s="1775" t="s">
        <v>2425</v>
      </c>
      <c r="F44" s="1775" t="s">
        <v>2417</v>
      </c>
      <c r="G44" s="1775" t="s">
        <v>2426</v>
      </c>
      <c r="H44" s="1775" t="s">
        <v>28</v>
      </c>
      <c r="I44" s="1775" t="s">
        <v>814</v>
      </c>
    </row>
    <row r="45" spans="1:9" ht="11.25" customHeight="1">
      <c r="A45" s="1775" t="s">
        <v>2260</v>
      </c>
      <c r="B45" s="1775" t="s">
        <v>16</v>
      </c>
      <c r="C45" s="1775" t="s">
        <v>2427</v>
      </c>
      <c r="D45" s="1775" t="s">
        <v>2428</v>
      </c>
      <c r="E45" s="1775" t="s">
        <v>2429</v>
      </c>
      <c r="F45" s="1775" t="s">
        <v>2283</v>
      </c>
      <c r="G45" s="1775" t="s">
        <v>28</v>
      </c>
      <c r="H45" s="1775" t="s">
        <v>28</v>
      </c>
      <c r="I45" s="1775" t="s">
        <v>814</v>
      </c>
    </row>
    <row r="46" spans="1:9" ht="11.25" customHeight="1">
      <c r="A46" s="1775" t="s">
        <v>2260</v>
      </c>
      <c r="B46" s="1775" t="s">
        <v>16</v>
      </c>
      <c r="C46" s="1775" t="s">
        <v>2430</v>
      </c>
      <c r="D46" s="1775" t="s">
        <v>2431</v>
      </c>
      <c r="E46" s="1775" t="s">
        <v>2432</v>
      </c>
      <c r="F46" s="1775" t="s">
        <v>2283</v>
      </c>
      <c r="G46" s="1775" t="s">
        <v>28</v>
      </c>
      <c r="H46" s="1775" t="s">
        <v>28</v>
      </c>
      <c r="I46" s="1775" t="s">
        <v>814</v>
      </c>
    </row>
    <row r="47" spans="1:9" ht="11.25" customHeight="1">
      <c r="A47" s="1775" t="s">
        <v>2260</v>
      </c>
      <c r="B47" s="1775" t="s">
        <v>16</v>
      </c>
      <c r="C47" s="1775" t="s">
        <v>2433</v>
      </c>
      <c r="D47" s="1775" t="s">
        <v>2434</v>
      </c>
      <c r="E47" s="1775" t="s">
        <v>2435</v>
      </c>
      <c r="F47" s="1775" t="s">
        <v>2315</v>
      </c>
      <c r="G47" s="1775" t="s">
        <v>28</v>
      </c>
      <c r="H47" s="1775" t="s">
        <v>28</v>
      </c>
      <c r="I47" s="1775" t="s">
        <v>814</v>
      </c>
    </row>
    <row r="48" spans="1:9" ht="11.25" customHeight="1">
      <c r="A48" s="1775" t="s">
        <v>2260</v>
      </c>
      <c r="B48" s="1775" t="s">
        <v>16</v>
      </c>
      <c r="C48" s="1775" t="s">
        <v>2436</v>
      </c>
      <c r="D48" s="1775" t="s">
        <v>2437</v>
      </c>
      <c r="E48" s="1775" t="s">
        <v>2438</v>
      </c>
      <c r="F48" s="1775" t="s">
        <v>2439</v>
      </c>
      <c r="G48" s="1775" t="s">
        <v>2440</v>
      </c>
      <c r="H48" s="1775" t="s">
        <v>28</v>
      </c>
      <c r="I48" s="1775" t="s">
        <v>814</v>
      </c>
    </row>
    <row r="49" spans="1:9" ht="11.25" customHeight="1">
      <c r="A49" s="1775" t="s">
        <v>2260</v>
      </c>
      <c r="B49" s="1775" t="s">
        <v>16</v>
      </c>
      <c r="C49" s="1775" t="s">
        <v>2441</v>
      </c>
      <c r="D49" s="1775" t="s">
        <v>2442</v>
      </c>
      <c r="E49" s="1775" t="s">
        <v>2443</v>
      </c>
      <c r="F49" s="1775" t="s">
        <v>2439</v>
      </c>
      <c r="G49" s="1775" t="s">
        <v>2444</v>
      </c>
      <c r="H49" s="1775" t="s">
        <v>28</v>
      </c>
      <c r="I49" s="1775" t="s">
        <v>814</v>
      </c>
    </row>
    <row r="50" spans="1:9" ht="11.25" customHeight="1">
      <c r="A50" s="1775" t="s">
        <v>2260</v>
      </c>
      <c r="B50" s="1775" t="s">
        <v>16</v>
      </c>
      <c r="C50" s="1775" t="s">
        <v>2445</v>
      </c>
      <c r="D50" s="1775" t="s">
        <v>2446</v>
      </c>
      <c r="E50" s="1775" t="s">
        <v>2447</v>
      </c>
      <c r="F50" s="1775" t="s">
        <v>2343</v>
      </c>
      <c r="G50" s="1775" t="s">
        <v>28</v>
      </c>
      <c r="H50" s="1775" t="s">
        <v>28</v>
      </c>
      <c r="I50" s="1775" t="s">
        <v>814</v>
      </c>
    </row>
    <row r="51" spans="1:9" ht="11.25" customHeight="1">
      <c r="A51" s="1775" t="s">
        <v>2260</v>
      </c>
      <c r="B51" s="1775" t="s">
        <v>16</v>
      </c>
      <c r="C51" s="1775" t="s">
        <v>2448</v>
      </c>
      <c r="D51" s="1775" t="s">
        <v>2449</v>
      </c>
      <c r="E51" s="1775" t="s">
        <v>2450</v>
      </c>
      <c r="F51" s="1775" t="s">
        <v>2327</v>
      </c>
      <c r="G51" s="1775" t="s">
        <v>28</v>
      </c>
      <c r="H51" s="1775" t="s">
        <v>28</v>
      </c>
      <c r="I51" s="1775" t="s">
        <v>814</v>
      </c>
    </row>
    <row r="52" spans="1:9" ht="11.25" customHeight="1">
      <c r="A52" s="1775" t="s">
        <v>2260</v>
      </c>
      <c r="B52" s="1775" t="s">
        <v>16</v>
      </c>
      <c r="C52" s="1775" t="s">
        <v>2451</v>
      </c>
      <c r="D52" s="1775" t="s">
        <v>2452</v>
      </c>
      <c r="E52" s="1775" t="s">
        <v>2453</v>
      </c>
      <c r="F52" s="1775" t="s">
        <v>2315</v>
      </c>
      <c r="G52" s="1775" t="s">
        <v>2454</v>
      </c>
      <c r="H52" s="1775" t="s">
        <v>28</v>
      </c>
      <c r="I52" s="1775" t="s">
        <v>814</v>
      </c>
    </row>
    <row r="53" spans="1:9" ht="11.25" customHeight="1">
      <c r="A53" s="1775" t="s">
        <v>2260</v>
      </c>
      <c r="B53" s="1775" t="s">
        <v>16</v>
      </c>
      <c r="C53" s="1775" t="s">
        <v>2455</v>
      </c>
      <c r="D53" s="1775" t="s">
        <v>2456</v>
      </c>
      <c r="E53" s="1775" t="s">
        <v>2457</v>
      </c>
      <c r="F53" s="1775" t="s">
        <v>2268</v>
      </c>
      <c r="G53" s="1775" t="s">
        <v>28</v>
      </c>
      <c r="H53" s="1775" t="s">
        <v>28</v>
      </c>
      <c r="I53" s="1775" t="s">
        <v>814</v>
      </c>
    </row>
    <row r="54" spans="1:9" ht="11.25" customHeight="1">
      <c r="A54" s="1775" t="s">
        <v>2260</v>
      </c>
      <c r="B54" s="1775" t="s">
        <v>16</v>
      </c>
      <c r="C54" s="1775" t="s">
        <v>2458</v>
      </c>
      <c r="D54" s="1775" t="s">
        <v>2459</v>
      </c>
      <c r="E54" s="1775" t="s">
        <v>2460</v>
      </c>
      <c r="F54" s="1775" t="s">
        <v>2461</v>
      </c>
      <c r="G54" s="1775" t="s">
        <v>28</v>
      </c>
      <c r="H54" s="1775" t="s">
        <v>28</v>
      </c>
      <c r="I54" s="1775" t="s">
        <v>814</v>
      </c>
    </row>
    <row r="55" spans="1:9" ht="11.25" customHeight="1">
      <c r="A55" s="1775" t="s">
        <v>2260</v>
      </c>
      <c r="B55" s="1775" t="s">
        <v>16</v>
      </c>
      <c r="C55" s="1775" t="s">
        <v>2462</v>
      </c>
      <c r="D55" s="1775" t="s">
        <v>2463</v>
      </c>
      <c r="E55" s="1775" t="s">
        <v>2464</v>
      </c>
      <c r="F55" s="1775" t="s">
        <v>2301</v>
      </c>
      <c r="G55" s="1775" t="s">
        <v>2465</v>
      </c>
      <c r="H55" s="1775" t="s">
        <v>28</v>
      </c>
      <c r="I55" s="1775" t="s">
        <v>814</v>
      </c>
    </row>
    <row r="56" spans="1:9" ht="11.25" customHeight="1">
      <c r="A56" s="1775" t="s">
        <v>2260</v>
      </c>
      <c r="B56" s="1775" t="s">
        <v>16</v>
      </c>
      <c r="C56" s="1775" t="s">
        <v>2466</v>
      </c>
      <c r="D56" s="1775" t="s">
        <v>2467</v>
      </c>
      <c r="E56" s="1775" t="s">
        <v>2468</v>
      </c>
      <c r="F56" s="1775" t="s">
        <v>2469</v>
      </c>
      <c r="G56" s="1775" t="s">
        <v>28</v>
      </c>
      <c r="H56" s="1775" t="s">
        <v>28</v>
      </c>
      <c r="I56" s="1775" t="s">
        <v>814</v>
      </c>
    </row>
    <row r="57" spans="1:9" ht="11.25" customHeight="1">
      <c r="A57" s="1775" t="s">
        <v>2260</v>
      </c>
      <c r="B57" s="1775" t="s">
        <v>16</v>
      </c>
      <c r="C57" s="1775" t="s">
        <v>2470</v>
      </c>
      <c r="D57" s="1775" t="s">
        <v>2471</v>
      </c>
      <c r="E57" s="1775" t="s">
        <v>2472</v>
      </c>
      <c r="F57" s="1775" t="s">
        <v>2417</v>
      </c>
      <c r="G57" s="1775" t="s">
        <v>28</v>
      </c>
      <c r="H57" s="1775" t="s">
        <v>28</v>
      </c>
      <c r="I57" s="1775" t="s">
        <v>814</v>
      </c>
    </row>
    <row r="58" spans="1:9" ht="11.25" customHeight="1">
      <c r="A58" s="1775" t="s">
        <v>2260</v>
      </c>
      <c r="B58" s="1775" t="s">
        <v>16</v>
      </c>
      <c r="C58" s="1775" t="s">
        <v>2473</v>
      </c>
      <c r="D58" s="1775" t="s">
        <v>2474</v>
      </c>
      <c r="E58" s="1775" t="s">
        <v>2475</v>
      </c>
      <c r="F58" s="1775" t="s">
        <v>2476</v>
      </c>
      <c r="G58" s="1775" t="s">
        <v>28</v>
      </c>
      <c r="H58" s="1775" t="s">
        <v>28</v>
      </c>
      <c r="I58" s="1775" t="s">
        <v>814</v>
      </c>
    </row>
    <row r="59" spans="1:9" ht="11.25" customHeight="1">
      <c r="A59" s="1775" t="s">
        <v>2260</v>
      </c>
      <c r="B59" s="1775" t="s">
        <v>16</v>
      </c>
      <c r="C59" s="1775" t="s">
        <v>2477</v>
      </c>
      <c r="D59" s="1775" t="s">
        <v>2478</v>
      </c>
      <c r="E59" s="1775" t="s">
        <v>2479</v>
      </c>
      <c r="F59" s="1775" t="s">
        <v>2417</v>
      </c>
      <c r="G59" s="1775" t="s">
        <v>28</v>
      </c>
      <c r="H59" s="1775" t="s">
        <v>28</v>
      </c>
      <c r="I59" s="1775" t="s">
        <v>814</v>
      </c>
    </row>
    <row r="60" spans="1:9" ht="11.25" customHeight="1">
      <c r="A60" s="1775" t="s">
        <v>2260</v>
      </c>
      <c r="B60" s="1775" t="s">
        <v>16</v>
      </c>
      <c r="C60" s="1775" t="s">
        <v>2480</v>
      </c>
      <c r="D60" s="1775" t="s">
        <v>2481</v>
      </c>
      <c r="E60" s="1775" t="s">
        <v>2482</v>
      </c>
      <c r="F60" s="1775" t="s">
        <v>2483</v>
      </c>
      <c r="G60" s="1775" t="s">
        <v>28</v>
      </c>
      <c r="H60" s="1775" t="s">
        <v>28</v>
      </c>
      <c r="I60" s="1775" t="s">
        <v>814</v>
      </c>
    </row>
    <row r="61" spans="1:9" ht="11.25" customHeight="1">
      <c r="A61" s="1775" t="s">
        <v>2260</v>
      </c>
      <c r="B61" s="1775" t="s">
        <v>16</v>
      </c>
      <c r="C61" s="1775" t="s">
        <v>2484</v>
      </c>
      <c r="D61" s="1775" t="s">
        <v>2485</v>
      </c>
      <c r="E61" s="1775" t="s">
        <v>2486</v>
      </c>
      <c r="F61" s="1775" t="s">
        <v>2268</v>
      </c>
      <c r="G61" s="1775" t="s">
        <v>28</v>
      </c>
      <c r="H61" s="1775" t="s">
        <v>28</v>
      </c>
      <c r="I61" s="1775" t="s">
        <v>814</v>
      </c>
    </row>
    <row r="62" spans="1:9" ht="11.25" customHeight="1">
      <c r="A62" s="1775" t="s">
        <v>2260</v>
      </c>
      <c r="B62" s="1775" t="s">
        <v>16</v>
      </c>
      <c r="C62" s="1775" t="s">
        <v>2487</v>
      </c>
      <c r="D62" s="1775" t="s">
        <v>2488</v>
      </c>
      <c r="E62" s="1775" t="s">
        <v>2489</v>
      </c>
      <c r="F62" s="1775" t="s">
        <v>2490</v>
      </c>
      <c r="G62" s="1775" t="s">
        <v>28</v>
      </c>
      <c r="H62" s="1775" t="s">
        <v>28</v>
      </c>
      <c r="I62" s="1775" t="s">
        <v>814</v>
      </c>
    </row>
    <row r="63" spans="1:9" ht="11.25" customHeight="1">
      <c r="A63" s="1775" t="s">
        <v>2260</v>
      </c>
      <c r="B63" s="1775" t="s">
        <v>16</v>
      </c>
      <c r="C63" s="1775" t="s">
        <v>2491</v>
      </c>
      <c r="D63" s="1775" t="s">
        <v>2492</v>
      </c>
      <c r="E63" s="1775" t="s">
        <v>2493</v>
      </c>
      <c r="F63" s="1775" t="s">
        <v>2268</v>
      </c>
      <c r="G63" s="1775" t="s">
        <v>2494</v>
      </c>
      <c r="H63" s="1775" t="s">
        <v>28</v>
      </c>
      <c r="I63" s="1775" t="s">
        <v>814</v>
      </c>
    </row>
    <row r="64" spans="1:9" ht="11.25" customHeight="1">
      <c r="A64" s="1775" t="s">
        <v>2260</v>
      </c>
      <c r="B64" s="1775" t="s">
        <v>16</v>
      </c>
      <c r="C64" s="1775" t="s">
        <v>2495</v>
      </c>
      <c r="D64" s="1775" t="s">
        <v>2496</v>
      </c>
      <c r="E64" s="1775" t="s">
        <v>2497</v>
      </c>
      <c r="F64" s="1775" t="s">
        <v>2268</v>
      </c>
      <c r="G64" s="1775" t="s">
        <v>2498</v>
      </c>
      <c r="H64" s="1775" t="s">
        <v>28</v>
      </c>
      <c r="I64" s="1775" t="s">
        <v>814</v>
      </c>
    </row>
    <row r="65" spans="1:9" ht="11.25" customHeight="1">
      <c r="A65" s="1775" t="s">
        <v>2260</v>
      </c>
      <c r="B65" s="1775" t="s">
        <v>16</v>
      </c>
      <c r="C65" s="1775" t="s">
        <v>2499</v>
      </c>
      <c r="D65" s="1775" t="s">
        <v>2500</v>
      </c>
      <c r="E65" s="1775" t="s">
        <v>2501</v>
      </c>
      <c r="F65" s="1775" t="s">
        <v>2268</v>
      </c>
      <c r="G65" s="1775" t="s">
        <v>2494</v>
      </c>
      <c r="H65" s="1775" t="s">
        <v>28</v>
      </c>
      <c r="I65" s="1775" t="s">
        <v>814</v>
      </c>
    </row>
    <row r="66" spans="1:9" ht="11.25" customHeight="1">
      <c r="A66" s="1775" t="s">
        <v>2260</v>
      </c>
      <c r="B66" s="1775" t="s">
        <v>16</v>
      </c>
      <c r="C66" s="1775" t="s">
        <v>2502</v>
      </c>
      <c r="D66" s="1775" t="s">
        <v>2503</v>
      </c>
      <c r="E66" s="1775" t="s">
        <v>2504</v>
      </c>
      <c r="F66" s="1775" t="s">
        <v>2327</v>
      </c>
      <c r="G66" s="1775" t="s">
        <v>28</v>
      </c>
      <c r="H66" s="1775" t="s">
        <v>28</v>
      </c>
      <c r="I66" s="1775" t="s">
        <v>814</v>
      </c>
    </row>
    <row r="67" spans="1:9" ht="11.25" customHeight="1">
      <c r="A67" s="1775" t="s">
        <v>2260</v>
      </c>
      <c r="B67" s="1775" t="s">
        <v>16</v>
      </c>
      <c r="C67" s="1775" t="s">
        <v>2505</v>
      </c>
      <c r="D67" s="1775" t="s">
        <v>2506</v>
      </c>
      <c r="E67" s="1775" t="s">
        <v>2507</v>
      </c>
      <c r="F67" s="1775" t="s">
        <v>2288</v>
      </c>
      <c r="G67" s="1775" t="s">
        <v>2508</v>
      </c>
      <c r="H67" s="1775" t="s">
        <v>28</v>
      </c>
      <c r="I67" s="1775" t="s">
        <v>814</v>
      </c>
    </row>
    <row r="68" spans="1:9" ht="11.25" customHeight="1">
      <c r="A68" s="1775" t="s">
        <v>2260</v>
      </c>
      <c r="B68" s="1775" t="s">
        <v>16</v>
      </c>
      <c r="C68" s="1775" t="s">
        <v>2509</v>
      </c>
      <c r="D68" s="1775" t="s">
        <v>2510</v>
      </c>
      <c r="E68" s="1775" t="s">
        <v>2511</v>
      </c>
      <c r="F68" s="1775" t="s">
        <v>2301</v>
      </c>
      <c r="G68" s="1775" t="s">
        <v>28</v>
      </c>
      <c r="H68" s="1775" t="s">
        <v>2512</v>
      </c>
      <c r="I68" s="1775" t="s">
        <v>814</v>
      </c>
    </row>
    <row r="69" spans="1:9" ht="11.25" customHeight="1">
      <c r="A69" s="1775" t="s">
        <v>2260</v>
      </c>
      <c r="B69" s="1775" t="s">
        <v>16</v>
      </c>
      <c r="C69" s="1775" t="s">
        <v>2513</v>
      </c>
      <c r="D69" s="1775" t="s">
        <v>2514</v>
      </c>
      <c r="E69" s="1775" t="s">
        <v>2515</v>
      </c>
      <c r="F69" s="1775" t="s">
        <v>2268</v>
      </c>
      <c r="G69" s="1775" t="s">
        <v>2516</v>
      </c>
      <c r="H69" s="1775" t="s">
        <v>28</v>
      </c>
      <c r="I69" s="1775" t="s">
        <v>814</v>
      </c>
    </row>
    <row r="70" spans="1:9" ht="11.25" customHeight="1">
      <c r="A70" s="1775" t="s">
        <v>2260</v>
      </c>
      <c r="B70" s="1775" t="s">
        <v>16</v>
      </c>
      <c r="C70" s="1775" t="s">
        <v>2517</v>
      </c>
      <c r="D70" s="1775" t="s">
        <v>2518</v>
      </c>
      <c r="E70" s="1775" t="s">
        <v>2519</v>
      </c>
      <c r="F70" s="1775" t="s">
        <v>2476</v>
      </c>
      <c r="G70" s="1775" t="s">
        <v>28</v>
      </c>
      <c r="H70" s="1775" t="s">
        <v>28</v>
      </c>
      <c r="I70" s="1775" t="s">
        <v>814</v>
      </c>
    </row>
    <row r="71" spans="1:9" ht="11.25" customHeight="1">
      <c r="A71" s="1775" t="s">
        <v>2260</v>
      </c>
      <c r="B71" s="1775" t="s">
        <v>16</v>
      </c>
      <c r="C71" s="1775" t="s">
        <v>2520</v>
      </c>
      <c r="D71" s="1775" t="s">
        <v>2521</v>
      </c>
      <c r="E71" s="1775" t="s">
        <v>2291</v>
      </c>
      <c r="F71" s="1775" t="s">
        <v>2522</v>
      </c>
      <c r="G71" s="1775" t="s">
        <v>28</v>
      </c>
      <c r="H71" s="1775" t="s">
        <v>28</v>
      </c>
      <c r="I71" s="1775" t="s">
        <v>814</v>
      </c>
    </row>
    <row r="72" spans="1:9" ht="11.25" customHeight="1">
      <c r="A72" s="1775" t="s">
        <v>2260</v>
      </c>
      <c r="B72" s="1775" t="s">
        <v>16</v>
      </c>
      <c r="C72" s="1775" t="s">
        <v>2523</v>
      </c>
      <c r="D72" s="1775" t="s">
        <v>2524</v>
      </c>
      <c r="E72" s="1775" t="s">
        <v>2525</v>
      </c>
      <c r="F72" s="1775" t="s">
        <v>2292</v>
      </c>
      <c r="G72" s="1775" t="s">
        <v>28</v>
      </c>
      <c r="H72" s="1775" t="s">
        <v>28</v>
      </c>
      <c r="I72" s="1775" t="s">
        <v>814</v>
      </c>
    </row>
    <row r="73" spans="1:9" ht="11.25" customHeight="1">
      <c r="A73" s="1775" t="s">
        <v>2260</v>
      </c>
      <c r="B73" s="1775" t="s">
        <v>16</v>
      </c>
      <c r="C73" s="1775" t="s">
        <v>2526</v>
      </c>
      <c r="D73" s="1775" t="s">
        <v>2527</v>
      </c>
      <c r="E73" s="1775" t="s">
        <v>2528</v>
      </c>
      <c r="F73" s="1775" t="s">
        <v>2268</v>
      </c>
      <c r="G73" s="1775" t="s">
        <v>28</v>
      </c>
      <c r="H73" s="1775" t="s">
        <v>28</v>
      </c>
      <c r="I73" s="1775" t="s">
        <v>814</v>
      </c>
    </row>
    <row r="74" spans="1:9" ht="11.25" customHeight="1">
      <c r="A74" s="1775" t="s">
        <v>2260</v>
      </c>
      <c r="B74" s="1775" t="s">
        <v>16</v>
      </c>
      <c r="C74" s="1775" t="s">
        <v>2529</v>
      </c>
      <c r="D74" s="1775" t="s">
        <v>2530</v>
      </c>
      <c r="E74" s="1775" t="s">
        <v>2531</v>
      </c>
      <c r="F74" s="1775" t="s">
        <v>2343</v>
      </c>
      <c r="G74" s="1775" t="s">
        <v>2532</v>
      </c>
      <c r="H74" s="1775" t="s">
        <v>28</v>
      </c>
      <c r="I74" s="1775" t="s">
        <v>814</v>
      </c>
    </row>
    <row r="75" spans="1:9" ht="11.25" customHeight="1">
      <c r="A75" s="1775" t="s">
        <v>2260</v>
      </c>
      <c r="B75" s="1775" t="s">
        <v>16</v>
      </c>
      <c r="C75" s="1775" t="s">
        <v>2533</v>
      </c>
      <c r="D75" s="1775" t="s">
        <v>2534</v>
      </c>
      <c r="E75" s="1775" t="s">
        <v>2535</v>
      </c>
      <c r="F75" s="1775" t="s">
        <v>2536</v>
      </c>
      <c r="G75" s="1775" t="s">
        <v>28</v>
      </c>
      <c r="H75" s="1775" t="s">
        <v>28</v>
      </c>
      <c r="I75" s="1775" t="s">
        <v>814</v>
      </c>
    </row>
    <row r="76" spans="1:9" ht="11.25" customHeight="1">
      <c r="A76" s="1775" t="s">
        <v>2260</v>
      </c>
      <c r="B76" s="1775" t="s">
        <v>16</v>
      </c>
      <c r="C76" s="1775" t="s">
        <v>2537</v>
      </c>
      <c r="D76" s="1775" t="s">
        <v>2538</v>
      </c>
      <c r="E76" s="1775" t="s">
        <v>2539</v>
      </c>
      <c r="F76" s="1775" t="s">
        <v>2422</v>
      </c>
      <c r="G76" s="1775" t="s">
        <v>28</v>
      </c>
      <c r="H76" s="1775" t="s">
        <v>28</v>
      </c>
      <c r="I76" s="1775" t="s">
        <v>814</v>
      </c>
    </row>
    <row r="77" spans="1:9" ht="11.25" customHeight="1">
      <c r="A77" s="1775" t="s">
        <v>2260</v>
      </c>
      <c r="B77" s="1775" t="s">
        <v>16</v>
      </c>
      <c r="C77" s="1775" t="s">
        <v>2540</v>
      </c>
      <c r="D77" s="1775" t="s">
        <v>2541</v>
      </c>
      <c r="E77" s="1775" t="s">
        <v>2542</v>
      </c>
      <c r="F77" s="1775" t="s">
        <v>2292</v>
      </c>
      <c r="G77" s="1775" t="s">
        <v>28</v>
      </c>
      <c r="H77" s="1775" t="s">
        <v>28</v>
      </c>
      <c r="I77" s="1775" t="s">
        <v>814</v>
      </c>
    </row>
    <row r="78" spans="1:9" ht="11.25" customHeight="1">
      <c r="A78" s="1775" t="s">
        <v>2260</v>
      </c>
      <c r="B78" s="1775" t="s">
        <v>16</v>
      </c>
      <c r="C78" s="1775" t="s">
        <v>2543</v>
      </c>
      <c r="D78" s="1775" t="s">
        <v>2544</v>
      </c>
      <c r="E78" s="1775" t="s">
        <v>2338</v>
      </c>
      <c r="F78" s="1775" t="s">
        <v>2545</v>
      </c>
      <c r="G78" s="1775" t="s">
        <v>28</v>
      </c>
      <c r="H78" s="1775" t="s">
        <v>28</v>
      </c>
      <c r="I78" s="1775" t="s">
        <v>814</v>
      </c>
    </row>
    <row r="79" spans="1:9" ht="11.25" customHeight="1">
      <c r="A79" s="1775" t="s">
        <v>2260</v>
      </c>
      <c r="B79" s="1775" t="s">
        <v>16</v>
      </c>
      <c r="C79" s="1775" t="s">
        <v>2546</v>
      </c>
      <c r="D79" s="1775" t="s">
        <v>2547</v>
      </c>
      <c r="E79" s="1775" t="s">
        <v>2548</v>
      </c>
      <c r="F79" s="1775" t="s">
        <v>2315</v>
      </c>
      <c r="G79" s="1775" t="s">
        <v>28</v>
      </c>
      <c r="H79" s="1775" t="s">
        <v>28</v>
      </c>
      <c r="I79" s="1775" t="s">
        <v>814</v>
      </c>
    </row>
    <row r="80" spans="1:9" ht="11.25" customHeight="1">
      <c r="A80" s="1775" t="s">
        <v>2260</v>
      </c>
      <c r="B80" s="1775" t="s">
        <v>16</v>
      </c>
      <c r="C80" s="1775" t="s">
        <v>2549</v>
      </c>
      <c r="D80" s="1775" t="s">
        <v>2550</v>
      </c>
      <c r="E80" s="1775" t="s">
        <v>2551</v>
      </c>
      <c r="F80" s="1775" t="s">
        <v>2552</v>
      </c>
      <c r="G80" s="1775" t="s">
        <v>28</v>
      </c>
      <c r="H80" s="1775" t="s">
        <v>28</v>
      </c>
      <c r="I80" s="1775" t="s">
        <v>814</v>
      </c>
    </row>
    <row r="81" spans="1:9" ht="11.25" customHeight="1">
      <c r="A81" s="1775" t="s">
        <v>2260</v>
      </c>
      <c r="B81" s="1775" t="s">
        <v>16</v>
      </c>
      <c r="C81" s="1775" t="s">
        <v>2553</v>
      </c>
      <c r="D81" s="1775" t="s">
        <v>2554</v>
      </c>
      <c r="E81" s="1775" t="s">
        <v>2555</v>
      </c>
      <c r="F81" s="1775" t="s">
        <v>2490</v>
      </c>
      <c r="G81" s="1775" t="s">
        <v>2556</v>
      </c>
      <c r="H81" s="1775" t="s">
        <v>28</v>
      </c>
      <c r="I81" s="1775" t="s">
        <v>814</v>
      </c>
    </row>
    <row r="82" spans="1:9" ht="11.25" customHeight="1">
      <c r="A82" s="1775" t="s">
        <v>2260</v>
      </c>
      <c r="B82" s="1775" t="s">
        <v>16</v>
      </c>
      <c r="C82" s="1775" t="s">
        <v>2557</v>
      </c>
      <c r="D82" s="1775" t="s">
        <v>2558</v>
      </c>
      <c r="E82" s="1775" t="s">
        <v>2559</v>
      </c>
      <c r="F82" s="1775" t="s">
        <v>2560</v>
      </c>
      <c r="G82" s="1775" t="s">
        <v>2561</v>
      </c>
      <c r="H82" s="1775" t="s">
        <v>28</v>
      </c>
      <c r="I82" s="1775" t="s">
        <v>814</v>
      </c>
    </row>
    <row r="83" spans="1:9" ht="11.25" customHeight="1">
      <c r="A83" s="1775" t="s">
        <v>2260</v>
      </c>
      <c r="B83" s="1775" t="s">
        <v>16</v>
      </c>
      <c r="C83" s="1775" t="s">
        <v>2562</v>
      </c>
      <c r="D83" s="1775" t="s">
        <v>2558</v>
      </c>
      <c r="E83" s="1775" t="s">
        <v>2559</v>
      </c>
      <c r="F83" s="1775" t="s">
        <v>2563</v>
      </c>
      <c r="G83" s="1775" t="s">
        <v>28</v>
      </c>
      <c r="H83" s="1775" t="s">
        <v>28</v>
      </c>
      <c r="I83" s="1775" t="s">
        <v>814</v>
      </c>
    </row>
    <row r="84" spans="1:9" ht="11.25" customHeight="1">
      <c r="A84" s="1775" t="s">
        <v>2260</v>
      </c>
      <c r="B84" s="1775" t="s">
        <v>16</v>
      </c>
      <c r="C84" s="1775" t="s">
        <v>2564</v>
      </c>
      <c r="D84" s="1775" t="s">
        <v>2565</v>
      </c>
      <c r="E84" s="1775" t="s">
        <v>2263</v>
      </c>
      <c r="F84" s="1775" t="s">
        <v>2566</v>
      </c>
      <c r="G84" s="1775" t="s">
        <v>28</v>
      </c>
      <c r="H84" s="1775" t="s">
        <v>28</v>
      </c>
      <c r="I84" s="1775" t="s">
        <v>814</v>
      </c>
    </row>
    <row r="85" spans="1:9" ht="11.25" customHeight="1">
      <c r="A85" s="1775" t="s">
        <v>2260</v>
      </c>
      <c r="B85" s="1775" t="s">
        <v>16</v>
      </c>
      <c r="C85" s="1775" t="s">
        <v>2567</v>
      </c>
      <c r="D85" s="1775" t="s">
        <v>2568</v>
      </c>
      <c r="E85" s="1775" t="s">
        <v>2263</v>
      </c>
      <c r="F85" s="1775" t="s">
        <v>2569</v>
      </c>
      <c r="G85" s="1775" t="s">
        <v>28</v>
      </c>
      <c r="H85" s="1775" t="s">
        <v>28</v>
      </c>
      <c r="I85" s="1775" t="s">
        <v>814</v>
      </c>
    </row>
    <row r="86" spans="1:9" ht="11.25" customHeight="1">
      <c r="A86" s="1775" t="s">
        <v>2260</v>
      </c>
      <c r="B86" s="1775" t="s">
        <v>16</v>
      </c>
      <c r="C86" s="1775" t="s">
        <v>2570</v>
      </c>
      <c r="D86" s="1775" t="s">
        <v>2571</v>
      </c>
      <c r="E86" s="1775" t="s">
        <v>2263</v>
      </c>
      <c r="F86" s="1775" t="s">
        <v>2572</v>
      </c>
      <c r="G86" s="1775" t="s">
        <v>28</v>
      </c>
      <c r="H86" s="1775" t="s">
        <v>28</v>
      </c>
      <c r="I86" s="1775" t="s">
        <v>814</v>
      </c>
    </row>
    <row r="87" spans="1:9" ht="11.25" customHeight="1">
      <c r="A87" s="1775" t="s">
        <v>2260</v>
      </c>
      <c r="B87" s="1775" t="s">
        <v>16</v>
      </c>
      <c r="C87" s="1775" t="s">
        <v>2573</v>
      </c>
      <c r="D87" s="1775" t="s">
        <v>2574</v>
      </c>
      <c r="E87" s="1775" t="s">
        <v>2263</v>
      </c>
      <c r="F87" s="1775" t="s">
        <v>2575</v>
      </c>
      <c r="G87" s="1775" t="s">
        <v>28</v>
      </c>
      <c r="H87" s="1775" t="s">
        <v>28</v>
      </c>
      <c r="I87" s="1775" t="s">
        <v>814</v>
      </c>
    </row>
    <row r="88" spans="1:9" ht="11.25" customHeight="1">
      <c r="A88" s="1775" t="s">
        <v>2260</v>
      </c>
      <c r="B88" s="1775" t="s">
        <v>16</v>
      </c>
      <c r="C88" s="1775" t="s">
        <v>2576</v>
      </c>
      <c r="D88" s="1775" t="s">
        <v>2577</v>
      </c>
      <c r="E88" s="1775" t="s">
        <v>2263</v>
      </c>
      <c r="F88" s="1775" t="s">
        <v>2578</v>
      </c>
      <c r="G88" s="1775" t="s">
        <v>28</v>
      </c>
      <c r="H88" s="1775" t="s">
        <v>28</v>
      </c>
      <c r="I88" s="1775" t="s">
        <v>814</v>
      </c>
    </row>
    <row r="89" spans="1:9" ht="11.25" customHeight="1">
      <c r="A89" s="1775" t="s">
        <v>2260</v>
      </c>
      <c r="B89" s="1775" t="s">
        <v>16</v>
      </c>
      <c r="C89" s="1775" t="s">
        <v>2579</v>
      </c>
      <c r="D89" s="1775" t="s">
        <v>2580</v>
      </c>
      <c r="E89" s="1775" t="s">
        <v>2263</v>
      </c>
      <c r="F89" s="1775" t="s">
        <v>2581</v>
      </c>
      <c r="G89" s="1775" t="s">
        <v>28</v>
      </c>
      <c r="H89" s="1775" t="s">
        <v>28</v>
      </c>
      <c r="I89" s="1775" t="s">
        <v>814</v>
      </c>
    </row>
    <row r="90" spans="1:9" ht="11.25" customHeight="1">
      <c r="A90" s="1775" t="s">
        <v>2260</v>
      </c>
      <c r="B90" s="1775" t="s">
        <v>16</v>
      </c>
      <c r="C90" s="1775" t="s">
        <v>2582</v>
      </c>
      <c r="D90" s="1775" t="s">
        <v>2583</v>
      </c>
      <c r="E90" s="1775" t="s">
        <v>2263</v>
      </c>
      <c r="F90" s="1775" t="s">
        <v>2584</v>
      </c>
      <c r="G90" s="1775" t="s">
        <v>28</v>
      </c>
      <c r="H90" s="1775" t="s">
        <v>28</v>
      </c>
      <c r="I90" s="1775" t="s">
        <v>814</v>
      </c>
    </row>
    <row r="91" spans="1:9" ht="11.25" customHeight="1">
      <c r="A91" s="1775" t="s">
        <v>2260</v>
      </c>
      <c r="B91" s="1775" t="s">
        <v>16</v>
      </c>
      <c r="C91" s="1775" t="s">
        <v>2585</v>
      </c>
      <c r="D91" s="1775" t="s">
        <v>2586</v>
      </c>
      <c r="E91" s="1775" t="s">
        <v>2263</v>
      </c>
      <c r="F91" s="1775" t="s">
        <v>2587</v>
      </c>
      <c r="G91" s="1775" t="s">
        <v>28</v>
      </c>
      <c r="H91" s="1775" t="s">
        <v>28</v>
      </c>
      <c r="I91" s="1775" t="s">
        <v>814</v>
      </c>
    </row>
    <row r="92" spans="1:9" ht="11.25" customHeight="1">
      <c r="A92" s="1775" t="s">
        <v>2260</v>
      </c>
      <c r="B92" s="1775" t="s">
        <v>16</v>
      </c>
      <c r="C92" s="1775" t="s">
        <v>2588</v>
      </c>
      <c r="D92" s="1775" t="s">
        <v>2589</v>
      </c>
      <c r="E92" s="1775" t="s">
        <v>2263</v>
      </c>
      <c r="F92" s="1775" t="s">
        <v>2590</v>
      </c>
      <c r="G92" s="1775" t="s">
        <v>28</v>
      </c>
      <c r="H92" s="1775" t="s">
        <v>28</v>
      </c>
      <c r="I92" s="1775" t="s">
        <v>814</v>
      </c>
    </row>
    <row r="93" spans="1:9" ht="11.25" customHeight="1">
      <c r="A93" s="1775" t="s">
        <v>2260</v>
      </c>
      <c r="B93" s="1775" t="s">
        <v>16</v>
      </c>
      <c r="C93" s="1775" t="s">
        <v>2591</v>
      </c>
      <c r="D93" s="1775" t="s">
        <v>2592</v>
      </c>
      <c r="E93" s="1775" t="s">
        <v>2263</v>
      </c>
      <c r="F93" s="1775" t="s">
        <v>2593</v>
      </c>
      <c r="G93" s="1775" t="s">
        <v>28</v>
      </c>
      <c r="H93" s="1775" t="s">
        <v>28</v>
      </c>
      <c r="I93" s="1775" t="s">
        <v>814</v>
      </c>
    </row>
    <row r="94" spans="1:9" ht="11.25" customHeight="1">
      <c r="A94" s="1775" t="s">
        <v>2260</v>
      </c>
      <c r="B94" s="1775" t="s">
        <v>16</v>
      </c>
      <c r="C94" s="1775" t="s">
        <v>2594</v>
      </c>
      <c r="D94" s="1775" t="s">
        <v>2595</v>
      </c>
      <c r="E94" s="1775" t="s">
        <v>2263</v>
      </c>
      <c r="F94" s="1775" t="s">
        <v>2596</v>
      </c>
      <c r="G94" s="1775" t="s">
        <v>28</v>
      </c>
      <c r="H94" s="1775" t="s">
        <v>28</v>
      </c>
      <c r="I94" s="1775" t="s">
        <v>814</v>
      </c>
    </row>
    <row r="95" spans="1:9" ht="11.25" customHeight="1">
      <c r="A95" s="1775" t="s">
        <v>2260</v>
      </c>
      <c r="B95" s="1775" t="s">
        <v>16</v>
      </c>
      <c r="C95" s="1775" t="s">
        <v>2597</v>
      </c>
      <c r="D95" s="1775" t="s">
        <v>2598</v>
      </c>
      <c r="E95" s="1775" t="s">
        <v>2599</v>
      </c>
      <c r="F95" s="1775" t="s">
        <v>2600</v>
      </c>
      <c r="G95" s="1775" t="s">
        <v>28</v>
      </c>
      <c r="H95" s="1775" t="s">
        <v>28</v>
      </c>
      <c r="I95" s="1775" t="s">
        <v>814</v>
      </c>
    </row>
    <row r="96" spans="1:9" ht="11.25" customHeight="1">
      <c r="A96" s="1775" t="s">
        <v>2260</v>
      </c>
      <c r="B96" s="1775" t="s">
        <v>16</v>
      </c>
      <c r="C96" s="1775" t="s">
        <v>2601</v>
      </c>
      <c r="D96" s="1775" t="s">
        <v>2602</v>
      </c>
      <c r="E96" s="1775" t="s">
        <v>2599</v>
      </c>
      <c r="F96" s="1775" t="s">
        <v>2603</v>
      </c>
      <c r="G96" s="1775" t="s">
        <v>28</v>
      </c>
      <c r="H96" s="1775" t="s">
        <v>28</v>
      </c>
      <c r="I96" s="1775" t="s">
        <v>814</v>
      </c>
    </row>
    <row r="97" spans="1:9" ht="11.25" customHeight="1">
      <c r="A97" s="1775" t="s">
        <v>2260</v>
      </c>
      <c r="B97" s="1775" t="s">
        <v>16</v>
      </c>
      <c r="C97" s="1775" t="s">
        <v>2604</v>
      </c>
      <c r="D97" s="1775" t="s">
        <v>2605</v>
      </c>
      <c r="E97" s="1775" t="s">
        <v>2599</v>
      </c>
      <c r="F97" s="1775" t="s">
        <v>2606</v>
      </c>
      <c r="G97" s="1775" t="s">
        <v>28</v>
      </c>
      <c r="H97" s="1775" t="s">
        <v>28</v>
      </c>
      <c r="I97" s="1775" t="s">
        <v>814</v>
      </c>
    </row>
    <row r="98" spans="1:9" ht="11.25" customHeight="1">
      <c r="A98" s="1775" t="s">
        <v>2260</v>
      </c>
      <c r="B98" s="1775" t="s">
        <v>16</v>
      </c>
      <c r="C98" s="1775" t="s">
        <v>2607</v>
      </c>
      <c r="D98" s="1775" t="s">
        <v>2608</v>
      </c>
      <c r="E98" s="1775" t="s">
        <v>2599</v>
      </c>
      <c r="F98" s="1775" t="s">
        <v>2609</v>
      </c>
      <c r="G98" s="1775" t="s">
        <v>28</v>
      </c>
      <c r="H98" s="1775" t="s">
        <v>28</v>
      </c>
      <c r="I98" s="1775" t="s">
        <v>814</v>
      </c>
    </row>
    <row r="99" spans="1:9" ht="11.25" customHeight="1">
      <c r="A99" s="1775" t="s">
        <v>2260</v>
      </c>
      <c r="B99" s="1775" t="s">
        <v>16</v>
      </c>
      <c r="C99" s="1775" t="s">
        <v>2610</v>
      </c>
      <c r="D99" s="1775" t="s">
        <v>2611</v>
      </c>
      <c r="E99" s="1775" t="s">
        <v>2612</v>
      </c>
      <c r="F99" s="1775" t="s">
        <v>2613</v>
      </c>
      <c r="G99" s="1775" t="s">
        <v>2614</v>
      </c>
      <c r="H99" s="1775" t="s">
        <v>28</v>
      </c>
      <c r="I99" s="1775" t="s">
        <v>814</v>
      </c>
    </row>
    <row r="100" spans="1:9" ht="11.25" customHeight="1">
      <c r="A100" s="1775" t="s">
        <v>2260</v>
      </c>
      <c r="B100" s="1775" t="s">
        <v>16</v>
      </c>
      <c r="C100" s="1775" t="s">
        <v>2615</v>
      </c>
      <c r="D100" s="1775" t="s">
        <v>2616</v>
      </c>
      <c r="E100" s="1775" t="s">
        <v>2617</v>
      </c>
      <c r="F100" s="1775" t="s">
        <v>2301</v>
      </c>
      <c r="G100" s="1775" t="s">
        <v>28</v>
      </c>
      <c r="H100" s="1775" t="s">
        <v>28</v>
      </c>
      <c r="I100" s="1775" t="s">
        <v>814</v>
      </c>
    </row>
    <row r="101" spans="1:9" ht="11.25" customHeight="1">
      <c r="A101" s="1775" t="s">
        <v>2260</v>
      </c>
      <c r="B101" s="1775" t="s">
        <v>16</v>
      </c>
      <c r="C101" s="1775" t="s">
        <v>2618</v>
      </c>
      <c r="D101" s="1775" t="s">
        <v>2619</v>
      </c>
      <c r="E101" s="1775" t="s">
        <v>2620</v>
      </c>
      <c r="F101" s="1775" t="s">
        <v>2301</v>
      </c>
      <c r="G101" s="1775" t="s">
        <v>28</v>
      </c>
      <c r="H101" s="1775" t="s">
        <v>28</v>
      </c>
      <c r="I101" s="1775" t="s">
        <v>814</v>
      </c>
    </row>
    <row r="102" spans="1:9" ht="11.25" customHeight="1">
      <c r="A102" s="1775" t="s">
        <v>2260</v>
      </c>
      <c r="B102" s="1775" t="s">
        <v>16</v>
      </c>
      <c r="C102" s="1775" t="s">
        <v>2621</v>
      </c>
      <c r="D102" s="1775" t="s">
        <v>2622</v>
      </c>
      <c r="E102" s="1775" t="s">
        <v>2623</v>
      </c>
      <c r="F102" s="1775" t="s">
        <v>2613</v>
      </c>
      <c r="G102" s="1775" t="s">
        <v>2614</v>
      </c>
      <c r="H102" s="1775" t="s">
        <v>28</v>
      </c>
      <c r="I102" s="1775" t="s">
        <v>814</v>
      </c>
    </row>
    <row r="103" spans="1:9" ht="11.25" customHeight="1">
      <c r="A103" s="1775" t="s">
        <v>2260</v>
      </c>
      <c r="B103" s="1775" t="s">
        <v>16</v>
      </c>
      <c r="C103" s="1775" t="s">
        <v>2624</v>
      </c>
      <c r="D103" s="1775" t="s">
        <v>2625</v>
      </c>
      <c r="E103" s="1775" t="s">
        <v>2271</v>
      </c>
      <c r="F103" s="1775" t="s">
        <v>2626</v>
      </c>
      <c r="G103" s="1775" t="s">
        <v>28</v>
      </c>
      <c r="H103" s="1775" t="s">
        <v>28</v>
      </c>
      <c r="I103" s="1775" t="s">
        <v>814</v>
      </c>
    </row>
    <row r="104" spans="1:9" ht="11.25" customHeight="1">
      <c r="A104" s="1775" t="s">
        <v>2260</v>
      </c>
      <c r="B104" s="1775" t="s">
        <v>16</v>
      </c>
      <c r="C104" s="1775" t="s">
        <v>2627</v>
      </c>
      <c r="D104" s="1775" t="s">
        <v>2628</v>
      </c>
      <c r="E104" s="1775" t="s">
        <v>2271</v>
      </c>
      <c r="F104" s="1775" t="s">
        <v>2422</v>
      </c>
      <c r="G104" s="1775" t="s">
        <v>28</v>
      </c>
      <c r="H104" s="1775" t="s">
        <v>28</v>
      </c>
      <c r="I104" s="1775" t="s">
        <v>814</v>
      </c>
    </row>
    <row r="105" spans="1:9" ht="11.25" customHeight="1">
      <c r="A105" s="1775" t="s">
        <v>2260</v>
      </c>
      <c r="B105" s="1775" t="s">
        <v>16</v>
      </c>
      <c r="C105" s="1775" t="s">
        <v>2629</v>
      </c>
      <c r="D105" s="1775" t="s">
        <v>2630</v>
      </c>
      <c r="E105" s="1775" t="s">
        <v>2631</v>
      </c>
      <c r="F105" s="1775" t="s">
        <v>2632</v>
      </c>
      <c r="G105" s="1775" t="s">
        <v>28</v>
      </c>
      <c r="H105" s="1775" t="s">
        <v>28</v>
      </c>
      <c r="I105" s="1775" t="s">
        <v>814</v>
      </c>
    </row>
    <row r="106" spans="1:9" ht="11.25" customHeight="1">
      <c r="A106" s="1775" t="s">
        <v>2260</v>
      </c>
      <c r="B106" s="1775" t="s">
        <v>16</v>
      </c>
      <c r="C106" s="1775" t="s">
        <v>2633</v>
      </c>
      <c r="D106" s="1775" t="s">
        <v>2630</v>
      </c>
      <c r="E106" s="1775" t="s">
        <v>2631</v>
      </c>
      <c r="F106" s="1775" t="s">
        <v>2634</v>
      </c>
      <c r="G106" s="1775" t="s">
        <v>2635</v>
      </c>
      <c r="H106" s="1775" t="s">
        <v>28</v>
      </c>
      <c r="I106" s="1775" t="s">
        <v>814</v>
      </c>
    </row>
    <row r="107" spans="1:9" ht="11.25" customHeight="1">
      <c r="A107" s="1775" t="s">
        <v>2260</v>
      </c>
      <c r="B107" s="1775" t="s">
        <v>16</v>
      </c>
      <c r="C107" s="1775" t="s">
        <v>2636</v>
      </c>
      <c r="D107" s="1775" t="s">
        <v>2637</v>
      </c>
      <c r="E107" s="1775" t="s">
        <v>2638</v>
      </c>
      <c r="F107" s="1775" t="s">
        <v>2301</v>
      </c>
      <c r="G107" s="1775" t="s">
        <v>2639</v>
      </c>
      <c r="H107" s="1775" t="s">
        <v>28</v>
      </c>
      <c r="I107" s="1775" t="s">
        <v>814</v>
      </c>
    </row>
    <row r="108" spans="1:9" ht="11.25" customHeight="1">
      <c r="A108" s="1775" t="s">
        <v>2260</v>
      </c>
      <c r="B108" s="1775" t="s">
        <v>16</v>
      </c>
      <c r="C108" s="1775" t="s">
        <v>2640</v>
      </c>
      <c r="D108" s="1775" t="s">
        <v>2641</v>
      </c>
      <c r="E108" s="1775" t="s">
        <v>2642</v>
      </c>
      <c r="F108" s="1775" t="s">
        <v>2315</v>
      </c>
      <c r="G108" s="1775" t="s">
        <v>2643</v>
      </c>
      <c r="H108" s="1775" t="s">
        <v>28</v>
      </c>
      <c r="I108" s="1775" t="s">
        <v>814</v>
      </c>
    </row>
    <row r="109" spans="1:9" ht="11.25" customHeight="1">
      <c r="A109" s="1775" t="s">
        <v>2260</v>
      </c>
      <c r="B109" s="1775" t="s">
        <v>16</v>
      </c>
      <c r="C109" s="1775" t="s">
        <v>2644</v>
      </c>
      <c r="D109" s="1775" t="s">
        <v>2645</v>
      </c>
      <c r="E109" s="1775" t="s">
        <v>2646</v>
      </c>
      <c r="F109" s="1775" t="s">
        <v>2327</v>
      </c>
      <c r="G109" s="1775" t="s">
        <v>28</v>
      </c>
      <c r="H109" s="1775" t="s">
        <v>28</v>
      </c>
      <c r="I109" s="1775" t="s">
        <v>814</v>
      </c>
    </row>
    <row r="110" spans="1:9" ht="11.25" customHeight="1">
      <c r="A110" s="1775" t="s">
        <v>2260</v>
      </c>
      <c r="B110" s="1775" t="s">
        <v>16</v>
      </c>
      <c r="C110" s="1775" t="s">
        <v>2647</v>
      </c>
      <c r="D110" s="1775" t="s">
        <v>2648</v>
      </c>
      <c r="E110" s="1775" t="s">
        <v>2649</v>
      </c>
      <c r="F110" s="1775" t="s">
        <v>2311</v>
      </c>
      <c r="G110" s="1775" t="s">
        <v>28</v>
      </c>
      <c r="H110" s="1775" t="s">
        <v>28</v>
      </c>
      <c r="I110" s="1775" t="s">
        <v>814</v>
      </c>
    </row>
    <row r="111" spans="1:9" ht="11.25" customHeight="1">
      <c r="A111" s="1775" t="s">
        <v>2260</v>
      </c>
      <c r="B111" s="1775" t="s">
        <v>16</v>
      </c>
      <c r="C111" s="1775" t="s">
        <v>2650</v>
      </c>
      <c r="D111" s="1775" t="s">
        <v>2651</v>
      </c>
      <c r="E111" s="1775" t="s">
        <v>2652</v>
      </c>
      <c r="F111" s="1775" t="s">
        <v>2320</v>
      </c>
      <c r="G111" s="1775" t="s">
        <v>28</v>
      </c>
      <c r="H111" s="1775" t="s">
        <v>28</v>
      </c>
      <c r="I111" s="1775" t="s">
        <v>814</v>
      </c>
    </row>
    <row r="112" spans="1:9" ht="11.25" customHeight="1">
      <c r="A112" s="1775" t="s">
        <v>2260</v>
      </c>
      <c r="B112" s="1775" t="s">
        <v>16</v>
      </c>
      <c r="C112" s="1775" t="s">
        <v>2653</v>
      </c>
      <c r="D112" s="1775" t="s">
        <v>2654</v>
      </c>
      <c r="E112" s="1775" t="s">
        <v>2655</v>
      </c>
      <c r="F112" s="1775" t="s">
        <v>2461</v>
      </c>
      <c r="G112" s="1775" t="s">
        <v>28</v>
      </c>
      <c r="H112" s="1775" t="s">
        <v>28</v>
      </c>
      <c r="I112" s="1775" t="s">
        <v>814</v>
      </c>
    </row>
    <row r="113" spans="1:9" ht="11.25" customHeight="1">
      <c r="A113" s="1775" t="s">
        <v>2260</v>
      </c>
      <c r="B113" s="1775" t="s">
        <v>16</v>
      </c>
      <c r="C113" s="1775" t="s">
        <v>2656</v>
      </c>
      <c r="D113" s="1775" t="s">
        <v>2657</v>
      </c>
      <c r="E113" s="1775" t="s">
        <v>2658</v>
      </c>
      <c r="F113" s="1775" t="s">
        <v>2363</v>
      </c>
      <c r="G113" s="1775" t="s">
        <v>28</v>
      </c>
      <c r="H113" s="1775" t="s">
        <v>28</v>
      </c>
      <c r="I113" s="1775" t="s">
        <v>814</v>
      </c>
    </row>
    <row r="114" spans="1:9" ht="11.25" customHeight="1">
      <c r="A114" s="1775" t="s">
        <v>2260</v>
      </c>
      <c r="B114" s="1775" t="s">
        <v>16</v>
      </c>
      <c r="C114" s="1775" t="s">
        <v>2659</v>
      </c>
      <c r="D114" s="1775" t="s">
        <v>2660</v>
      </c>
      <c r="E114" s="1775" t="s">
        <v>2661</v>
      </c>
      <c r="F114" s="1775" t="s">
        <v>2268</v>
      </c>
      <c r="G114" s="1775" t="s">
        <v>2662</v>
      </c>
      <c r="H114" s="1775" t="s">
        <v>28</v>
      </c>
      <c r="I114" s="1775" t="s">
        <v>814</v>
      </c>
    </row>
    <row r="115" spans="1:9" ht="11.25" customHeight="1">
      <c r="A115" s="1775" t="s">
        <v>2260</v>
      </c>
      <c r="B115" s="1775" t="s">
        <v>16</v>
      </c>
      <c r="C115" s="1775" t="s">
        <v>2663</v>
      </c>
      <c r="D115" s="1775" t="s">
        <v>2664</v>
      </c>
      <c r="E115" s="1775" t="s">
        <v>2665</v>
      </c>
      <c r="F115" s="1775" t="s">
        <v>2666</v>
      </c>
      <c r="G115" s="1775" t="s">
        <v>28</v>
      </c>
      <c r="H115" s="1775" t="s">
        <v>28</v>
      </c>
      <c r="I115" s="1775" t="s">
        <v>814</v>
      </c>
    </row>
    <row r="116" spans="1:9" ht="11.25" customHeight="1">
      <c r="A116" s="1775" t="s">
        <v>2260</v>
      </c>
      <c r="B116" s="1775" t="s">
        <v>16</v>
      </c>
      <c r="C116" s="1775" t="s">
        <v>2667</v>
      </c>
      <c r="D116" s="1775" t="s">
        <v>2668</v>
      </c>
      <c r="E116" s="1775" t="s">
        <v>2669</v>
      </c>
      <c r="F116" s="1775" t="s">
        <v>2292</v>
      </c>
      <c r="G116" s="1775" t="s">
        <v>2670</v>
      </c>
      <c r="H116" s="1775" t="s">
        <v>28</v>
      </c>
      <c r="I116" s="1775" t="s">
        <v>814</v>
      </c>
    </row>
    <row r="117" spans="1:9" ht="11.25" customHeight="1">
      <c r="A117" s="1775" t="s">
        <v>2260</v>
      </c>
      <c r="B117" s="1775" t="s">
        <v>16</v>
      </c>
      <c r="C117" s="1775" t="s">
        <v>2671</v>
      </c>
      <c r="D117" s="1775" t="s">
        <v>2672</v>
      </c>
      <c r="E117" s="1775" t="s">
        <v>2673</v>
      </c>
      <c r="F117" s="1775" t="s">
        <v>2469</v>
      </c>
      <c r="G117" s="1775" t="s">
        <v>28</v>
      </c>
      <c r="H117" s="1775" t="s">
        <v>28</v>
      </c>
      <c r="I117" s="1775" t="s">
        <v>814</v>
      </c>
    </row>
    <row r="118" spans="1:9" ht="11.25" customHeight="1">
      <c r="A118" s="1775" t="s">
        <v>2260</v>
      </c>
      <c r="B118" s="1775" t="s">
        <v>16</v>
      </c>
      <c r="C118" s="1775" t="s">
        <v>2674</v>
      </c>
      <c r="D118" s="1775" t="s">
        <v>2675</v>
      </c>
      <c r="E118" s="1775" t="s">
        <v>2676</v>
      </c>
      <c r="F118" s="1775" t="s">
        <v>2417</v>
      </c>
      <c r="G118" s="1775" t="s">
        <v>28</v>
      </c>
      <c r="H118" s="1775" t="s">
        <v>28</v>
      </c>
      <c r="I118" s="1775" t="s">
        <v>814</v>
      </c>
    </row>
    <row r="119" spans="1:9" ht="11.25" customHeight="1">
      <c r="A119" s="1775" t="s">
        <v>2260</v>
      </c>
      <c r="B119" s="1775" t="s">
        <v>16</v>
      </c>
      <c r="C119" s="1775" t="s">
        <v>2677</v>
      </c>
      <c r="D119" s="1775" t="s">
        <v>2678</v>
      </c>
      <c r="E119" s="1775" t="s">
        <v>2679</v>
      </c>
      <c r="F119" s="1775" t="s">
        <v>2292</v>
      </c>
      <c r="G119" s="1775" t="s">
        <v>2680</v>
      </c>
      <c r="H119" s="1775" t="s">
        <v>28</v>
      </c>
      <c r="I119" s="1775" t="s">
        <v>814</v>
      </c>
    </row>
    <row r="120" spans="1:9" ht="11.25" customHeight="1">
      <c r="A120" s="1775" t="s">
        <v>2260</v>
      </c>
      <c r="B120" s="1775" t="s">
        <v>16</v>
      </c>
      <c r="C120" s="1775" t="s">
        <v>2681</v>
      </c>
      <c r="D120" s="1775" t="s">
        <v>2682</v>
      </c>
      <c r="E120" s="1775" t="s">
        <v>2683</v>
      </c>
      <c r="F120" s="1775" t="s">
        <v>2292</v>
      </c>
      <c r="G120" s="1775" t="s">
        <v>28</v>
      </c>
      <c r="H120" s="1775" t="s">
        <v>28</v>
      </c>
      <c r="I120" s="1775" t="s">
        <v>814</v>
      </c>
    </row>
    <row r="121" spans="1:9" ht="11.25" customHeight="1">
      <c r="A121" s="1775" t="s">
        <v>2260</v>
      </c>
      <c r="B121" s="1775" t="s">
        <v>16</v>
      </c>
      <c r="C121" s="1775" t="s">
        <v>2684</v>
      </c>
      <c r="D121" s="1775" t="s">
        <v>2685</v>
      </c>
      <c r="E121" s="1775" t="s">
        <v>2686</v>
      </c>
      <c r="F121" s="1775" t="s">
        <v>2469</v>
      </c>
      <c r="G121" s="1775" t="s">
        <v>28</v>
      </c>
      <c r="H121" s="1775" t="s">
        <v>28</v>
      </c>
      <c r="I121" s="1775" t="s">
        <v>814</v>
      </c>
    </row>
    <row r="122" spans="1:9" ht="11.25" customHeight="1">
      <c r="A122" s="1775" t="s">
        <v>2260</v>
      </c>
      <c r="B122" s="1775" t="s">
        <v>16</v>
      </c>
      <c r="C122" s="1775" t="s">
        <v>2687</v>
      </c>
      <c r="D122" s="1775" t="s">
        <v>2688</v>
      </c>
      <c r="E122" s="1775" t="s">
        <v>2689</v>
      </c>
      <c r="F122" s="1775" t="s">
        <v>2666</v>
      </c>
      <c r="G122" s="1775" t="s">
        <v>28</v>
      </c>
      <c r="H122" s="1775" t="s">
        <v>28</v>
      </c>
      <c r="I122" s="1775" t="s">
        <v>814</v>
      </c>
    </row>
    <row r="123" spans="1:9" ht="11.25" customHeight="1">
      <c r="A123" s="1775" t="s">
        <v>2260</v>
      </c>
      <c r="B123" s="1775" t="s">
        <v>16</v>
      </c>
      <c r="C123" s="1775" t="s">
        <v>2690</v>
      </c>
      <c r="D123" s="1775" t="s">
        <v>2691</v>
      </c>
      <c r="E123" s="1775" t="s">
        <v>2692</v>
      </c>
      <c r="F123" s="1775" t="s">
        <v>2292</v>
      </c>
      <c r="G123" s="1775" t="s">
        <v>28</v>
      </c>
      <c r="H123" s="1775" t="s">
        <v>28</v>
      </c>
      <c r="I123" s="1775" t="s">
        <v>814</v>
      </c>
    </row>
    <row r="124" spans="1:9" ht="11.25" customHeight="1">
      <c r="A124" s="1775" t="s">
        <v>2260</v>
      </c>
      <c r="B124" s="1775" t="s">
        <v>16</v>
      </c>
      <c r="C124" s="1775" t="s">
        <v>2693</v>
      </c>
      <c r="D124" s="1775" t="s">
        <v>2694</v>
      </c>
      <c r="E124" s="1775" t="s">
        <v>2695</v>
      </c>
      <c r="F124" s="1775" t="s">
        <v>2363</v>
      </c>
      <c r="G124" s="1775" t="s">
        <v>2696</v>
      </c>
      <c r="H124" s="1775" t="s">
        <v>28</v>
      </c>
      <c r="I124" s="1775" t="s">
        <v>814</v>
      </c>
    </row>
    <row r="125" spans="1:9" ht="11.25" customHeight="1">
      <c r="A125" s="1775" t="s">
        <v>2260</v>
      </c>
      <c r="B125" s="1775" t="s">
        <v>16</v>
      </c>
      <c r="C125" s="1775" t="s">
        <v>2697</v>
      </c>
      <c r="D125" s="1775" t="s">
        <v>2698</v>
      </c>
      <c r="E125" s="1775" t="s">
        <v>2699</v>
      </c>
      <c r="F125" s="1775" t="s">
        <v>2292</v>
      </c>
      <c r="G125" s="1775" t="s">
        <v>28</v>
      </c>
      <c r="H125" s="1775" t="s">
        <v>28</v>
      </c>
      <c r="I125" s="1775" t="s">
        <v>814</v>
      </c>
    </row>
    <row r="126" spans="1:9" ht="11.25" customHeight="1">
      <c r="A126" s="1775" t="s">
        <v>2260</v>
      </c>
      <c r="B126" s="1775" t="s">
        <v>16</v>
      </c>
      <c r="C126" s="1775" t="s">
        <v>2700</v>
      </c>
      <c r="D126" s="1775" t="s">
        <v>2701</v>
      </c>
      <c r="E126" s="1775" t="s">
        <v>2702</v>
      </c>
      <c r="F126" s="1775" t="s">
        <v>2348</v>
      </c>
      <c r="G126" s="1775" t="s">
        <v>28</v>
      </c>
      <c r="H126" s="1775" t="s">
        <v>28</v>
      </c>
      <c r="I126" s="1775" t="s">
        <v>814</v>
      </c>
    </row>
    <row r="127" spans="1:9" ht="11.25" customHeight="1">
      <c r="A127" s="1775" t="s">
        <v>2260</v>
      </c>
      <c r="B127" s="1775" t="s">
        <v>16</v>
      </c>
      <c r="C127" s="1775" t="s">
        <v>2703</v>
      </c>
      <c r="D127" s="1775" t="s">
        <v>2704</v>
      </c>
      <c r="E127" s="1775" t="s">
        <v>2705</v>
      </c>
      <c r="F127" s="1775" t="s">
        <v>2706</v>
      </c>
      <c r="G127" s="1775" t="s">
        <v>2707</v>
      </c>
      <c r="H127" s="1775" t="s">
        <v>28</v>
      </c>
      <c r="I127" s="1775" t="s">
        <v>814</v>
      </c>
    </row>
    <row r="128" spans="1:9" ht="11.25" customHeight="1">
      <c r="A128" s="1775" t="s">
        <v>2260</v>
      </c>
      <c r="B128" s="1775" t="s">
        <v>16</v>
      </c>
      <c r="C128" s="1775" t="s">
        <v>2708</v>
      </c>
      <c r="D128" s="1775" t="s">
        <v>2709</v>
      </c>
      <c r="E128" s="1775" t="s">
        <v>2710</v>
      </c>
      <c r="F128" s="1775" t="s">
        <v>2666</v>
      </c>
      <c r="G128" s="1775" t="s">
        <v>28</v>
      </c>
      <c r="H128" s="1775" t="s">
        <v>28</v>
      </c>
      <c r="I128" s="1775" t="s">
        <v>814</v>
      </c>
    </row>
    <row r="129" spans="1:9" ht="11.25" customHeight="1">
      <c r="A129" s="1775" t="s">
        <v>2260</v>
      </c>
      <c r="B129" s="1775" t="s">
        <v>16</v>
      </c>
      <c r="C129" s="1775" t="s">
        <v>2711</v>
      </c>
      <c r="D129" s="1775" t="s">
        <v>2712</v>
      </c>
      <c r="E129" s="1775" t="s">
        <v>2263</v>
      </c>
      <c r="F129" s="1775" t="s">
        <v>2713</v>
      </c>
      <c r="G129" s="1775" t="s">
        <v>2714</v>
      </c>
      <c r="H129" s="1775" t="s">
        <v>28</v>
      </c>
      <c r="I129" s="1775" t="s">
        <v>814</v>
      </c>
    </row>
    <row r="130" spans="1:9" ht="11.25" customHeight="1">
      <c r="A130" s="1775" t="s">
        <v>2260</v>
      </c>
      <c r="B130" s="1775" t="s">
        <v>16</v>
      </c>
      <c r="C130" s="1775" t="s">
        <v>2715</v>
      </c>
      <c r="D130" s="1775" t="s">
        <v>2716</v>
      </c>
      <c r="E130" s="1775" t="s">
        <v>2717</v>
      </c>
      <c r="F130" s="1775" t="s">
        <v>2718</v>
      </c>
      <c r="G130" s="1775" t="s">
        <v>2719</v>
      </c>
      <c r="H130" s="1775" t="s">
        <v>28</v>
      </c>
      <c r="I130" s="1775" t="s">
        <v>814</v>
      </c>
    </row>
    <row r="131" spans="1:9" ht="11.25" customHeight="1">
      <c r="A131" s="1775" t="s">
        <v>2260</v>
      </c>
      <c r="B131" s="1775" t="s">
        <v>16</v>
      </c>
      <c r="C131" s="1775" t="s">
        <v>2720</v>
      </c>
      <c r="D131" s="1775" t="s">
        <v>2721</v>
      </c>
      <c r="E131" s="1775" t="s">
        <v>2722</v>
      </c>
      <c r="F131" s="1775" t="s">
        <v>2292</v>
      </c>
      <c r="G131" s="1775" t="s">
        <v>28</v>
      </c>
      <c r="H131" s="1775" t="s">
        <v>28</v>
      </c>
      <c r="I131" s="1775" t="s">
        <v>814</v>
      </c>
    </row>
    <row r="132" spans="1:9" ht="11.25" customHeight="1">
      <c r="A132" s="1775" t="s">
        <v>2260</v>
      </c>
      <c r="B132" s="1775" t="s">
        <v>16</v>
      </c>
      <c r="C132" s="1775" t="s">
        <v>2723</v>
      </c>
      <c r="D132" s="1775" t="s">
        <v>2724</v>
      </c>
      <c r="E132" s="1775" t="s">
        <v>2725</v>
      </c>
      <c r="F132" s="1775" t="s">
        <v>2268</v>
      </c>
      <c r="G132" s="1775" t="s">
        <v>28</v>
      </c>
      <c r="H132" s="1775" t="s">
        <v>28</v>
      </c>
      <c r="I132" s="1775" t="s">
        <v>814</v>
      </c>
    </row>
    <row r="133" spans="1:9" ht="11.25" customHeight="1">
      <c r="A133" s="1775" t="s">
        <v>2260</v>
      </c>
      <c r="B133" s="1775" t="s">
        <v>16</v>
      </c>
      <c r="C133" s="1775" t="s">
        <v>2726</v>
      </c>
      <c r="D133" s="1775" t="s">
        <v>2727</v>
      </c>
      <c r="E133" s="1775" t="s">
        <v>2728</v>
      </c>
      <c r="F133" s="1775" t="s">
        <v>2268</v>
      </c>
      <c r="G133" s="1775" t="s">
        <v>28</v>
      </c>
      <c r="H133" s="1775" t="s">
        <v>28</v>
      </c>
      <c r="I133" s="1775" t="s">
        <v>814</v>
      </c>
    </row>
    <row r="134" spans="1:9" ht="11.25" customHeight="1">
      <c r="A134" s="1775" t="s">
        <v>2260</v>
      </c>
      <c r="B134" s="1775" t="s">
        <v>16</v>
      </c>
      <c r="C134" s="1775" t="s">
        <v>2729</v>
      </c>
      <c r="D134" s="1775" t="s">
        <v>2730</v>
      </c>
      <c r="E134" s="1775" t="s">
        <v>2731</v>
      </c>
      <c r="F134" s="1775" t="s">
        <v>2327</v>
      </c>
      <c r="G134" s="1775" t="s">
        <v>28</v>
      </c>
      <c r="H134" s="1775" t="s">
        <v>28</v>
      </c>
      <c r="I134" s="1775" t="s">
        <v>814</v>
      </c>
    </row>
    <row r="135" spans="1:9" ht="11.25" customHeight="1">
      <c r="A135" s="1775" t="s">
        <v>2260</v>
      </c>
      <c r="B135" s="1775" t="s">
        <v>16</v>
      </c>
      <c r="C135" s="1775" t="s">
        <v>2732</v>
      </c>
      <c r="D135" s="1775" t="s">
        <v>2733</v>
      </c>
      <c r="E135" s="1775" t="s">
        <v>2296</v>
      </c>
      <c r="F135" s="1775" t="s">
        <v>2734</v>
      </c>
      <c r="G135" s="1775" t="s">
        <v>28</v>
      </c>
      <c r="H135" s="1775" t="s">
        <v>28</v>
      </c>
      <c r="I135" s="1775" t="s">
        <v>814</v>
      </c>
    </row>
    <row r="136" spans="1:9" ht="11.25" customHeight="1">
      <c r="A136" s="1775" t="s">
        <v>2260</v>
      </c>
      <c r="B136" s="1775" t="s">
        <v>16</v>
      </c>
      <c r="C136" s="1775" t="s">
        <v>2735</v>
      </c>
      <c r="D136" s="1775" t="s">
        <v>2736</v>
      </c>
      <c r="E136" s="1775" t="s">
        <v>2737</v>
      </c>
      <c r="F136" s="1775" t="s">
        <v>2327</v>
      </c>
      <c r="G136" s="1775" t="s">
        <v>28</v>
      </c>
      <c r="H136" s="1775" t="s">
        <v>28</v>
      </c>
      <c r="I136" s="1775" t="s">
        <v>814</v>
      </c>
    </row>
    <row r="137" spans="1:9" ht="11.25" customHeight="1">
      <c r="A137" s="1775" t="s">
        <v>2260</v>
      </c>
      <c r="B137" s="1775" t="s">
        <v>16</v>
      </c>
      <c r="C137" s="1775" t="s">
        <v>2738</v>
      </c>
      <c r="D137" s="1775" t="s">
        <v>2739</v>
      </c>
      <c r="E137" s="1775" t="s">
        <v>2740</v>
      </c>
      <c r="F137" s="1775" t="s">
        <v>2327</v>
      </c>
      <c r="G137" s="1775" t="s">
        <v>28</v>
      </c>
      <c r="H137" s="1775" t="s">
        <v>28</v>
      </c>
      <c r="I137" s="1775" t="s">
        <v>814</v>
      </c>
    </row>
    <row r="138" spans="1:9" ht="11.25" customHeight="1">
      <c r="A138" s="1775" t="s">
        <v>2260</v>
      </c>
      <c r="B138" s="1775" t="s">
        <v>16</v>
      </c>
      <c r="C138" s="1775" t="s">
        <v>2741</v>
      </c>
      <c r="D138" s="1775" t="s">
        <v>2742</v>
      </c>
      <c r="E138" s="1775" t="s">
        <v>2743</v>
      </c>
      <c r="F138" s="1775" t="s">
        <v>2439</v>
      </c>
      <c r="G138" s="1775" t="s">
        <v>28</v>
      </c>
      <c r="H138" s="1775" t="s">
        <v>28</v>
      </c>
      <c r="I138" s="1775" t="s">
        <v>814</v>
      </c>
    </row>
    <row r="139" spans="1:9" ht="11.25" customHeight="1">
      <c r="A139" s="1775" t="s">
        <v>2260</v>
      </c>
      <c r="B139" s="1775" t="s">
        <v>16</v>
      </c>
      <c r="C139" s="1775" t="s">
        <v>2744</v>
      </c>
      <c r="D139" s="1775" t="s">
        <v>2745</v>
      </c>
      <c r="E139" s="1775" t="s">
        <v>2746</v>
      </c>
      <c r="F139" s="1775" t="s">
        <v>2327</v>
      </c>
      <c r="G139" s="1775" t="s">
        <v>28</v>
      </c>
      <c r="H139" s="1775" t="s">
        <v>28</v>
      </c>
      <c r="I139" s="1775" t="s">
        <v>814</v>
      </c>
    </row>
    <row r="140" spans="1:9" ht="11.25" customHeight="1">
      <c r="A140" s="1775" t="s">
        <v>2260</v>
      </c>
      <c r="B140" s="1775" t="s">
        <v>16</v>
      </c>
      <c r="C140" s="1775" t="s">
        <v>2747</v>
      </c>
      <c r="D140" s="1775" t="s">
        <v>2748</v>
      </c>
      <c r="E140" s="1775" t="s">
        <v>2749</v>
      </c>
      <c r="F140" s="1775" t="s">
        <v>2613</v>
      </c>
      <c r="G140" s="1775" t="s">
        <v>28</v>
      </c>
      <c r="H140" s="1775" t="s">
        <v>28</v>
      </c>
      <c r="I140" s="1775" t="s">
        <v>814</v>
      </c>
    </row>
    <row r="141" spans="1:9" ht="11.25" customHeight="1">
      <c r="A141" s="1775" t="s">
        <v>2260</v>
      </c>
      <c r="B141" s="1775" t="s">
        <v>16</v>
      </c>
      <c r="C141" s="1775" t="s">
        <v>2750</v>
      </c>
      <c r="D141" s="1775" t="s">
        <v>2751</v>
      </c>
      <c r="E141" s="1775" t="s">
        <v>2752</v>
      </c>
      <c r="F141" s="1775" t="s">
        <v>2363</v>
      </c>
      <c r="G141" s="1775" t="s">
        <v>2753</v>
      </c>
      <c r="H141" s="1775" t="s">
        <v>28</v>
      </c>
      <c r="I141" s="1775" t="s">
        <v>814</v>
      </c>
    </row>
    <row r="142" spans="1:9" ht="11.25" customHeight="1">
      <c r="A142" s="1775" t="s">
        <v>2260</v>
      </c>
      <c r="B142" s="1775" t="s">
        <v>16</v>
      </c>
      <c r="C142" s="1775" t="s">
        <v>2754</v>
      </c>
      <c r="D142" s="1775" t="s">
        <v>2755</v>
      </c>
      <c r="E142" s="1775" t="s">
        <v>2263</v>
      </c>
      <c r="F142" s="1775" t="s">
        <v>2483</v>
      </c>
      <c r="G142" s="1775" t="s">
        <v>2714</v>
      </c>
      <c r="H142" s="1775" t="s">
        <v>28</v>
      </c>
      <c r="I142" s="1775" t="s">
        <v>814</v>
      </c>
    </row>
    <row r="143" spans="1:9" ht="11.25" customHeight="1">
      <c r="A143" s="1775" t="s">
        <v>2260</v>
      </c>
      <c r="B143" s="1775" t="s">
        <v>16</v>
      </c>
      <c r="C143" s="1775" t="s">
        <v>2756</v>
      </c>
      <c r="D143" s="1775" t="s">
        <v>2757</v>
      </c>
      <c r="E143" s="1775" t="s">
        <v>2758</v>
      </c>
      <c r="F143" s="1775" t="s">
        <v>2363</v>
      </c>
      <c r="G143" s="1775" t="s">
        <v>28</v>
      </c>
      <c r="H143" s="1775" t="s">
        <v>28</v>
      </c>
      <c r="I143" s="1775" t="s">
        <v>814</v>
      </c>
    </row>
    <row r="144" spans="1:9" ht="11.25" customHeight="1">
      <c r="A144" s="1775" t="s">
        <v>2260</v>
      </c>
      <c r="B144" s="1775" t="s">
        <v>16</v>
      </c>
      <c r="C144" s="1775" t="s">
        <v>2759</v>
      </c>
      <c r="D144" s="1775" t="s">
        <v>2760</v>
      </c>
      <c r="E144" s="1775" t="s">
        <v>2761</v>
      </c>
      <c r="F144" s="1775" t="s">
        <v>2363</v>
      </c>
      <c r="G144" s="1775" t="s">
        <v>2762</v>
      </c>
      <c r="H144" s="1775" t="s">
        <v>28</v>
      </c>
      <c r="I144" s="1775" t="s">
        <v>814</v>
      </c>
    </row>
    <row r="145" spans="1:9" ht="11.25" customHeight="1">
      <c r="A145" s="1775" t="s">
        <v>2260</v>
      </c>
      <c r="B145" s="1775" t="s">
        <v>16</v>
      </c>
      <c r="C145" s="1775" t="s">
        <v>2763</v>
      </c>
      <c r="D145" s="1775" t="s">
        <v>2764</v>
      </c>
      <c r="E145" s="1775" t="s">
        <v>2765</v>
      </c>
      <c r="F145" s="1775" t="s">
        <v>2363</v>
      </c>
      <c r="G145" s="1775" t="s">
        <v>28</v>
      </c>
      <c r="H145" s="1775" t="s">
        <v>28</v>
      </c>
      <c r="I145" s="1775" t="s">
        <v>814</v>
      </c>
    </row>
    <row r="146" spans="1:9" ht="11.25" customHeight="1">
      <c r="A146" s="1775" t="s">
        <v>2260</v>
      </c>
      <c r="B146" s="1775" t="s">
        <v>16</v>
      </c>
      <c r="C146" s="1775" t="s">
        <v>2766</v>
      </c>
      <c r="D146" s="1775" t="s">
        <v>2767</v>
      </c>
      <c r="E146" s="1775" t="s">
        <v>2631</v>
      </c>
      <c r="F146" s="1775" t="s">
        <v>2768</v>
      </c>
      <c r="G146" s="1775" t="s">
        <v>28</v>
      </c>
      <c r="H146" s="1775" t="s">
        <v>28</v>
      </c>
      <c r="I146" s="1775" t="s">
        <v>814</v>
      </c>
    </row>
    <row r="147" spans="1:9" ht="11.25" customHeight="1">
      <c r="A147" s="1775" t="s">
        <v>2260</v>
      </c>
      <c r="B147" s="1775" t="s">
        <v>16</v>
      </c>
      <c r="C147" s="1775" t="s">
        <v>2769</v>
      </c>
      <c r="D147" s="1775" t="s">
        <v>2770</v>
      </c>
      <c r="E147" s="1775" t="s">
        <v>2771</v>
      </c>
      <c r="F147" s="1775" t="s">
        <v>2363</v>
      </c>
      <c r="G147" s="1775" t="s">
        <v>28</v>
      </c>
      <c r="H147" s="1775" t="s">
        <v>28</v>
      </c>
      <c r="I147" s="1775" t="s">
        <v>814</v>
      </c>
    </row>
    <row r="148" spans="1:9" ht="11.25" customHeight="1">
      <c r="A148" s="1775" t="s">
        <v>2260</v>
      </c>
      <c r="B148" s="1775" t="s">
        <v>16</v>
      </c>
      <c r="C148" s="1775" t="s">
        <v>2772</v>
      </c>
      <c r="D148" s="1775" t="s">
        <v>2773</v>
      </c>
      <c r="E148" s="1775" t="s">
        <v>2774</v>
      </c>
      <c r="F148" s="1775" t="s">
        <v>2339</v>
      </c>
      <c r="G148" s="1775" t="s">
        <v>28</v>
      </c>
      <c r="H148" s="1775" t="s">
        <v>28</v>
      </c>
      <c r="I148" s="1775" t="s">
        <v>814</v>
      </c>
    </row>
    <row r="149" spans="1:9" ht="11.25" customHeight="1">
      <c r="A149" s="1775" t="s">
        <v>2260</v>
      </c>
      <c r="B149" s="1775" t="s">
        <v>16</v>
      </c>
      <c r="C149" s="1775" t="s">
        <v>2775</v>
      </c>
      <c r="D149" s="1775" t="s">
        <v>2776</v>
      </c>
      <c r="E149" s="1775" t="s">
        <v>2777</v>
      </c>
      <c r="F149" s="1775" t="s">
        <v>2327</v>
      </c>
      <c r="G149" s="1775" t="s">
        <v>2778</v>
      </c>
      <c r="H149" s="1775" t="s">
        <v>28</v>
      </c>
      <c r="I149" s="1775" t="s">
        <v>814</v>
      </c>
    </row>
    <row r="150" spans="1:9" ht="11.25" customHeight="1">
      <c r="A150" s="1775" t="s">
        <v>2260</v>
      </c>
      <c r="B150" s="1775" t="s">
        <v>16</v>
      </c>
      <c r="C150" s="1775" t="s">
        <v>2779</v>
      </c>
      <c r="D150" s="1775" t="s">
        <v>2780</v>
      </c>
      <c r="E150" s="1775" t="s">
        <v>2781</v>
      </c>
      <c r="F150" s="1775" t="s">
        <v>2343</v>
      </c>
      <c r="G150" s="1775" t="s">
        <v>28</v>
      </c>
      <c r="H150" s="1775" t="s">
        <v>28</v>
      </c>
      <c r="I150" s="1775" t="s">
        <v>814</v>
      </c>
    </row>
    <row r="151" spans="1:9" ht="11.25" customHeight="1">
      <c r="A151" s="1775" t="s">
        <v>2260</v>
      </c>
      <c r="B151" s="1775" t="s">
        <v>16</v>
      </c>
      <c r="C151" s="1775" t="s">
        <v>2782</v>
      </c>
      <c r="D151" s="1775" t="s">
        <v>2783</v>
      </c>
      <c r="E151" s="1775" t="s">
        <v>2784</v>
      </c>
      <c r="F151" s="1775" t="s">
        <v>2613</v>
      </c>
      <c r="G151" s="1775" t="s">
        <v>28</v>
      </c>
      <c r="H151" s="1775" t="s">
        <v>28</v>
      </c>
      <c r="I151" s="1775" t="s">
        <v>814</v>
      </c>
    </row>
    <row r="152" spans="1:9" ht="11.25" customHeight="1">
      <c r="A152" s="1775" t="s">
        <v>2260</v>
      </c>
      <c r="B152" s="1775" t="s">
        <v>16</v>
      </c>
      <c r="C152" s="1775" t="s">
        <v>2785</v>
      </c>
      <c r="D152" s="1775" t="s">
        <v>2786</v>
      </c>
      <c r="E152" s="1775" t="s">
        <v>2787</v>
      </c>
      <c r="F152" s="1775" t="s">
        <v>2417</v>
      </c>
      <c r="G152" s="1775" t="s">
        <v>28</v>
      </c>
      <c r="H152" s="1775" t="s">
        <v>28</v>
      </c>
      <c r="I152" s="1775" t="s">
        <v>814</v>
      </c>
    </row>
    <row r="153" spans="1:9" ht="11.25" customHeight="1">
      <c r="A153" s="1775" t="s">
        <v>2260</v>
      </c>
      <c r="B153" s="1775" t="s">
        <v>16</v>
      </c>
      <c r="C153" s="1775" t="s">
        <v>2788</v>
      </c>
      <c r="D153" s="1775" t="s">
        <v>2789</v>
      </c>
      <c r="E153" s="1775" t="s">
        <v>2790</v>
      </c>
      <c r="F153" s="1775" t="s">
        <v>2363</v>
      </c>
      <c r="G153" s="1775" t="s">
        <v>28</v>
      </c>
      <c r="H153" s="1775" t="s">
        <v>28</v>
      </c>
      <c r="I153" s="1775" t="s">
        <v>814</v>
      </c>
    </row>
    <row r="154" spans="1:9" ht="11.25" customHeight="1">
      <c r="A154" s="1775" t="s">
        <v>2260</v>
      </c>
      <c r="B154" s="1775" t="s">
        <v>16</v>
      </c>
      <c r="C154" s="1775" t="s">
        <v>2791</v>
      </c>
      <c r="D154" s="1775" t="s">
        <v>2792</v>
      </c>
      <c r="E154" s="1775" t="s">
        <v>2793</v>
      </c>
      <c r="F154" s="1775" t="s">
        <v>2301</v>
      </c>
      <c r="G154" s="1775" t="s">
        <v>28</v>
      </c>
      <c r="H154" s="1775" t="s">
        <v>28</v>
      </c>
      <c r="I154" s="1775" t="s">
        <v>814</v>
      </c>
    </row>
    <row r="155" spans="1:9" ht="11.25" customHeight="1">
      <c r="A155" s="1775" t="s">
        <v>2260</v>
      </c>
      <c r="B155" s="1775" t="s">
        <v>16</v>
      </c>
      <c r="C155" s="1775" t="s">
        <v>2794</v>
      </c>
      <c r="D155" s="1775" t="s">
        <v>2795</v>
      </c>
      <c r="E155" s="1775" t="s">
        <v>2796</v>
      </c>
      <c r="F155" s="1775" t="s">
        <v>2292</v>
      </c>
      <c r="G155" s="1775" t="s">
        <v>2797</v>
      </c>
      <c r="H155" s="1775" t="s">
        <v>28</v>
      </c>
      <c r="I155" s="1775" t="s">
        <v>814</v>
      </c>
    </row>
    <row r="156" spans="1:9" ht="11.25" customHeight="1">
      <c r="A156" s="1775" t="s">
        <v>2260</v>
      </c>
      <c r="B156" s="1775" t="s">
        <v>16</v>
      </c>
      <c r="C156" s="1775" t="s">
        <v>2798</v>
      </c>
      <c r="D156" s="1775" t="s">
        <v>2799</v>
      </c>
      <c r="E156" s="1775" t="s">
        <v>2800</v>
      </c>
      <c r="F156" s="1775" t="s">
        <v>2327</v>
      </c>
      <c r="G156" s="1775" t="s">
        <v>28</v>
      </c>
      <c r="H156" s="1775" t="s">
        <v>28</v>
      </c>
      <c r="I156" s="1775" t="s">
        <v>814</v>
      </c>
    </row>
    <row r="157" spans="1:9" ht="11.25" customHeight="1">
      <c r="A157" s="1775" t="s">
        <v>2260</v>
      </c>
      <c r="B157" s="1775" t="s">
        <v>16</v>
      </c>
      <c r="C157" s="1775" t="s">
        <v>2801</v>
      </c>
      <c r="D157" s="1775" t="s">
        <v>2802</v>
      </c>
      <c r="E157" s="1775" t="s">
        <v>2803</v>
      </c>
      <c r="F157" s="1775" t="s">
        <v>2804</v>
      </c>
      <c r="G157" s="1775" t="s">
        <v>28</v>
      </c>
      <c r="H157" s="1775" t="s">
        <v>28</v>
      </c>
      <c r="I157" s="1775" t="s">
        <v>814</v>
      </c>
    </row>
    <row r="158" spans="1:9" ht="11.25" customHeight="1">
      <c r="A158" s="1775" t="s">
        <v>2260</v>
      </c>
      <c r="B158" s="1775" t="s">
        <v>16</v>
      </c>
      <c r="C158" s="1775" t="s">
        <v>2805</v>
      </c>
      <c r="D158" s="1775" t="s">
        <v>2806</v>
      </c>
      <c r="E158" s="1775" t="s">
        <v>2807</v>
      </c>
      <c r="F158" s="1775" t="s">
        <v>2292</v>
      </c>
      <c r="G158" s="1775" t="s">
        <v>28</v>
      </c>
      <c r="H158" s="1775" t="s">
        <v>28</v>
      </c>
      <c r="I158" s="1775" t="s">
        <v>814</v>
      </c>
    </row>
    <row r="159" spans="1:9" ht="11.25" customHeight="1">
      <c r="A159" s="1775" t="s">
        <v>2260</v>
      </c>
      <c r="B159" s="1775" t="s">
        <v>16</v>
      </c>
      <c r="C159" s="1775" t="s">
        <v>2808</v>
      </c>
      <c r="D159" s="1775" t="s">
        <v>2809</v>
      </c>
      <c r="E159" s="1775" t="s">
        <v>2810</v>
      </c>
      <c r="F159" s="1775" t="s">
        <v>2292</v>
      </c>
      <c r="G159" s="1775" t="s">
        <v>28</v>
      </c>
      <c r="H159" s="1775" t="s">
        <v>28</v>
      </c>
      <c r="I159" s="1775" t="s">
        <v>814</v>
      </c>
    </row>
    <row r="160" spans="1:9" ht="11.25" customHeight="1">
      <c r="A160" s="1775" t="s">
        <v>2260</v>
      </c>
      <c r="B160" s="1775" t="s">
        <v>16</v>
      </c>
      <c r="C160" s="1775" t="s">
        <v>2811</v>
      </c>
      <c r="D160" s="1775" t="s">
        <v>2812</v>
      </c>
      <c r="E160" s="1775" t="s">
        <v>2813</v>
      </c>
      <c r="F160" s="1775" t="s">
        <v>2320</v>
      </c>
      <c r="G160" s="1775" t="s">
        <v>2814</v>
      </c>
      <c r="H160" s="1775" t="s">
        <v>28</v>
      </c>
      <c r="I160" s="1775" t="s">
        <v>814</v>
      </c>
    </row>
    <row r="161" spans="1:9" ht="11.25" customHeight="1">
      <c r="A161" s="1775" t="s">
        <v>2260</v>
      </c>
      <c r="B161" s="1775" t="s">
        <v>16</v>
      </c>
      <c r="C161" s="1775" t="s">
        <v>2815</v>
      </c>
      <c r="D161" s="1775" t="s">
        <v>2816</v>
      </c>
      <c r="E161" s="1775" t="s">
        <v>2817</v>
      </c>
      <c r="F161" s="1775" t="s">
        <v>2818</v>
      </c>
      <c r="G161" s="1775" t="s">
        <v>2819</v>
      </c>
      <c r="H161" s="1775" t="s">
        <v>28</v>
      </c>
      <c r="I161" s="1775" t="s">
        <v>814</v>
      </c>
    </row>
    <row r="162" spans="1:9" ht="11.25" customHeight="1">
      <c r="A162" s="1775" t="s">
        <v>2260</v>
      </c>
      <c r="B162" s="1775" t="s">
        <v>16</v>
      </c>
      <c r="C162" s="1775" t="s">
        <v>2820</v>
      </c>
      <c r="D162" s="1775" t="s">
        <v>2821</v>
      </c>
      <c r="E162" s="1775" t="s">
        <v>2822</v>
      </c>
      <c r="F162" s="1775" t="s">
        <v>2292</v>
      </c>
      <c r="G162" s="1775" t="s">
        <v>28</v>
      </c>
      <c r="H162" s="1775" t="s">
        <v>28</v>
      </c>
      <c r="I162" s="1775" t="s">
        <v>814</v>
      </c>
    </row>
    <row r="163" spans="1:9" ht="11.25" customHeight="1">
      <c r="A163" s="1775" t="s">
        <v>2260</v>
      </c>
      <c r="B163" s="1775" t="s">
        <v>16</v>
      </c>
      <c r="C163" s="1775" t="s">
        <v>2823</v>
      </c>
      <c r="D163" s="1775" t="s">
        <v>2824</v>
      </c>
      <c r="E163" s="1775" t="s">
        <v>2825</v>
      </c>
      <c r="F163" s="1775" t="s">
        <v>2666</v>
      </c>
      <c r="G163" s="1775" t="s">
        <v>2826</v>
      </c>
      <c r="H163" s="1775" t="s">
        <v>28</v>
      </c>
      <c r="I163" s="1775" t="s">
        <v>814</v>
      </c>
    </row>
    <row r="164" spans="1:9" ht="11.25" customHeight="1">
      <c r="A164" s="1775" t="s">
        <v>2260</v>
      </c>
      <c r="B164" s="1775" t="s">
        <v>16</v>
      </c>
      <c r="C164" s="1775" t="s">
        <v>2827</v>
      </c>
      <c r="D164" s="1775" t="s">
        <v>2828</v>
      </c>
      <c r="E164" s="1775" t="s">
        <v>2829</v>
      </c>
      <c r="F164" s="1775" t="s">
        <v>2461</v>
      </c>
      <c r="G164" s="1775" t="s">
        <v>28</v>
      </c>
      <c r="H164" s="1775" t="s">
        <v>28</v>
      </c>
      <c r="I164" s="1775" t="s">
        <v>814</v>
      </c>
    </row>
    <row r="165" spans="1:9" ht="11.25" customHeight="1">
      <c r="A165" s="1775" t="s">
        <v>2260</v>
      </c>
      <c r="B165" s="1775" t="s">
        <v>16</v>
      </c>
      <c r="C165" s="1775" t="s">
        <v>2830</v>
      </c>
      <c r="D165" s="1775" t="s">
        <v>2831</v>
      </c>
      <c r="E165" s="1775" t="s">
        <v>2832</v>
      </c>
      <c r="F165" s="1775" t="s">
        <v>2833</v>
      </c>
      <c r="G165" s="1775" t="s">
        <v>28</v>
      </c>
      <c r="H165" s="1775" t="s">
        <v>28</v>
      </c>
      <c r="I165" s="1775" t="s">
        <v>814</v>
      </c>
    </row>
    <row r="166" spans="1:9" ht="11.25" customHeight="1">
      <c r="A166" s="1775" t="s">
        <v>2260</v>
      </c>
      <c r="B166" s="1775" t="s">
        <v>16</v>
      </c>
      <c r="C166" s="1775" t="s">
        <v>28</v>
      </c>
      <c r="D166" s="1775" t="s">
        <v>2834</v>
      </c>
      <c r="E166" s="1775" t="s">
        <v>2835</v>
      </c>
      <c r="F166" s="1775" t="s">
        <v>2343</v>
      </c>
      <c r="G166" s="1775" t="s">
        <v>28</v>
      </c>
      <c r="H166" s="1775" t="s">
        <v>28</v>
      </c>
      <c r="I166" s="1775" t="s">
        <v>814</v>
      </c>
    </row>
    <row r="167" spans="1:9" ht="11.25" customHeight="1">
      <c r="A167" s="1775" t="s">
        <v>2260</v>
      </c>
      <c r="B167" s="1775" t="s">
        <v>16</v>
      </c>
      <c r="C167" s="1775" t="s">
        <v>2836</v>
      </c>
      <c r="D167" s="1775" t="s">
        <v>2837</v>
      </c>
      <c r="E167" s="1775" t="s">
        <v>2838</v>
      </c>
      <c r="F167" s="1775" t="s">
        <v>2292</v>
      </c>
      <c r="G167" s="1775" t="s">
        <v>28</v>
      </c>
      <c r="H167" s="1775" t="s">
        <v>28</v>
      </c>
      <c r="I167" s="1775" t="s">
        <v>814</v>
      </c>
    </row>
    <row r="168" spans="1:9" ht="11.25" customHeight="1">
      <c r="A168" s="1775" t="s">
        <v>2260</v>
      </c>
      <c r="B168" s="1775" t="s">
        <v>16</v>
      </c>
      <c r="C168" s="1775" t="s">
        <v>2839</v>
      </c>
      <c r="D168" s="1775" t="s">
        <v>2840</v>
      </c>
      <c r="E168" s="1775" t="s">
        <v>2841</v>
      </c>
      <c r="F168" s="1775" t="s">
        <v>2268</v>
      </c>
      <c r="G168" s="1775" t="s">
        <v>28</v>
      </c>
      <c r="H168" s="1775" t="s">
        <v>28</v>
      </c>
      <c r="I168" s="1775" t="s">
        <v>814</v>
      </c>
    </row>
    <row r="169" spans="1:9" ht="11.25" customHeight="1">
      <c r="A169" s="1775" t="s">
        <v>2260</v>
      </c>
      <c r="B169" s="1775" t="s">
        <v>16</v>
      </c>
      <c r="C169" s="1775" t="s">
        <v>2842</v>
      </c>
      <c r="D169" s="1775" t="s">
        <v>2843</v>
      </c>
      <c r="E169" s="1775" t="s">
        <v>2379</v>
      </c>
      <c r="F169" s="1775" t="s">
        <v>2844</v>
      </c>
      <c r="G169" s="1775" t="s">
        <v>28</v>
      </c>
      <c r="H169" s="1775" t="s">
        <v>28</v>
      </c>
      <c r="I169" s="1775" t="s">
        <v>814</v>
      </c>
    </row>
    <row r="170" spans="1:9" ht="11.25" customHeight="1">
      <c r="A170" s="1775" t="s">
        <v>2260</v>
      </c>
      <c r="B170" s="1775" t="s">
        <v>16</v>
      </c>
      <c r="C170" s="1775" t="s">
        <v>2845</v>
      </c>
      <c r="D170" s="1775" t="s">
        <v>2846</v>
      </c>
      <c r="E170" s="1775" t="s">
        <v>2847</v>
      </c>
      <c r="F170" s="1775" t="s">
        <v>2292</v>
      </c>
      <c r="G170" s="1775" t="s">
        <v>28</v>
      </c>
      <c r="H170" s="1775" t="s">
        <v>28</v>
      </c>
      <c r="I170" s="1775" t="s">
        <v>814</v>
      </c>
    </row>
    <row r="171" spans="1:9" ht="11.25" customHeight="1">
      <c r="A171" s="1775" t="s">
        <v>2260</v>
      </c>
      <c r="B171" s="1775" t="s">
        <v>16</v>
      </c>
      <c r="C171" s="1775" t="s">
        <v>2848</v>
      </c>
      <c r="D171" s="1775" t="s">
        <v>2849</v>
      </c>
      <c r="E171" s="1775" t="s">
        <v>2263</v>
      </c>
      <c r="F171" s="1775" t="s">
        <v>2850</v>
      </c>
      <c r="G171" s="1775" t="s">
        <v>28</v>
      </c>
      <c r="H171" s="1775" t="s">
        <v>28</v>
      </c>
      <c r="I171" s="1775" t="s">
        <v>814</v>
      </c>
    </row>
    <row r="172" spans="1:9" ht="11.25" customHeight="1">
      <c r="A172" s="1775" t="s">
        <v>2260</v>
      </c>
      <c r="B172" s="1775" t="s">
        <v>16</v>
      </c>
      <c r="C172" s="1775" t="s">
        <v>2851</v>
      </c>
      <c r="D172" s="1775" t="s">
        <v>2852</v>
      </c>
      <c r="E172" s="1775" t="s">
        <v>2599</v>
      </c>
      <c r="F172" s="1775" t="s">
        <v>2853</v>
      </c>
      <c r="G172" s="1775" t="s">
        <v>28</v>
      </c>
      <c r="H172" s="1775" t="s">
        <v>28</v>
      </c>
      <c r="I172" s="1775" t="s">
        <v>814</v>
      </c>
    </row>
    <row r="173" spans="1:9" ht="11.25" customHeight="1">
      <c r="A173" s="1775" t="s">
        <v>2260</v>
      </c>
      <c r="B173" s="1775" t="s">
        <v>16</v>
      </c>
      <c r="C173" s="1775" t="s">
        <v>2854</v>
      </c>
      <c r="D173" s="1775" t="s">
        <v>2855</v>
      </c>
      <c r="E173" s="1775" t="s">
        <v>2539</v>
      </c>
      <c r="F173" s="1775" t="s">
        <v>2626</v>
      </c>
      <c r="G173" s="1775" t="s">
        <v>28</v>
      </c>
      <c r="H173" s="1775" t="s">
        <v>28</v>
      </c>
      <c r="I173" s="1775" t="s">
        <v>814</v>
      </c>
    </row>
    <row r="174" spans="1:9" ht="11.25" customHeight="1">
      <c r="A174" s="1775" t="s">
        <v>2260</v>
      </c>
      <c r="B174" s="1775" t="s">
        <v>16</v>
      </c>
      <c r="C174" s="1775" t="s">
        <v>2856</v>
      </c>
      <c r="D174" s="1775" t="s">
        <v>2857</v>
      </c>
      <c r="E174" s="1775" t="s">
        <v>2539</v>
      </c>
      <c r="F174" s="1775" t="s">
        <v>2858</v>
      </c>
      <c r="G174" s="1775" t="s">
        <v>28</v>
      </c>
      <c r="H174" s="1775" t="s">
        <v>28</v>
      </c>
      <c r="I174" s="1775" t="s">
        <v>814</v>
      </c>
    </row>
    <row r="175" spans="1:9" ht="11.25" customHeight="1">
      <c r="A175" s="1775" t="s">
        <v>2260</v>
      </c>
      <c r="B175" s="1775" t="s">
        <v>16</v>
      </c>
      <c r="C175" s="1775" t="s">
        <v>2859</v>
      </c>
      <c r="D175" s="1775" t="s">
        <v>2860</v>
      </c>
      <c r="E175" s="1775" t="s">
        <v>2323</v>
      </c>
      <c r="F175" s="1775" t="s">
        <v>2861</v>
      </c>
      <c r="G175" s="1775" t="s">
        <v>28</v>
      </c>
      <c r="H175" s="1775" t="s">
        <v>28</v>
      </c>
      <c r="I175" s="1775" t="s">
        <v>814</v>
      </c>
    </row>
    <row r="176" spans="1:9" ht="11.25" customHeight="1">
      <c r="A176" s="1775" t="s">
        <v>2260</v>
      </c>
      <c r="B176" s="1775" t="s">
        <v>16</v>
      </c>
      <c r="C176" s="1775" t="s">
        <v>2862</v>
      </c>
      <c r="D176" s="1775" t="s">
        <v>2863</v>
      </c>
      <c r="E176" s="1775" t="s">
        <v>2323</v>
      </c>
      <c r="F176" s="1775" t="s">
        <v>2864</v>
      </c>
      <c r="G176" s="1775" t="s">
        <v>28</v>
      </c>
      <c r="H176" s="1775" t="s">
        <v>28</v>
      </c>
      <c r="I176" s="1775" t="s">
        <v>814</v>
      </c>
    </row>
    <row r="177" spans="1:9" ht="11.25" customHeight="1">
      <c r="A177" s="1775" t="s">
        <v>2260</v>
      </c>
      <c r="B177" s="1775" t="s">
        <v>16</v>
      </c>
      <c r="C177" s="1775" t="s">
        <v>2865</v>
      </c>
      <c r="D177" s="1775" t="s">
        <v>2866</v>
      </c>
      <c r="E177" s="1775" t="s">
        <v>2323</v>
      </c>
      <c r="F177" s="1775" t="s">
        <v>2867</v>
      </c>
      <c r="G177" s="1775" t="s">
        <v>28</v>
      </c>
      <c r="H177" s="1775" t="s">
        <v>28</v>
      </c>
      <c r="I177" s="1775" t="s">
        <v>814</v>
      </c>
    </row>
    <row r="178" spans="1:9" ht="11.25" customHeight="1">
      <c r="A178" s="1775" t="s">
        <v>2260</v>
      </c>
      <c r="B178" s="1775" t="s">
        <v>16</v>
      </c>
      <c r="C178" s="1775" t="s">
        <v>2868</v>
      </c>
      <c r="D178" s="1775" t="s">
        <v>2869</v>
      </c>
      <c r="E178" s="1775" t="s">
        <v>2623</v>
      </c>
      <c r="F178" s="1775" t="s">
        <v>2870</v>
      </c>
      <c r="G178" s="1775" t="s">
        <v>28</v>
      </c>
      <c r="H178" s="1775" t="s">
        <v>28</v>
      </c>
      <c r="I178" s="1775" t="s">
        <v>814</v>
      </c>
    </row>
    <row r="179" spans="1:9" ht="11.25" customHeight="1">
      <c r="A179" s="1775" t="s">
        <v>2260</v>
      </c>
      <c r="B179" s="1775" t="s">
        <v>16</v>
      </c>
      <c r="C179" s="1775" t="s">
        <v>2871</v>
      </c>
      <c r="D179" s="1775" t="s">
        <v>2872</v>
      </c>
      <c r="E179" s="1775" t="s">
        <v>2623</v>
      </c>
      <c r="F179" s="1775" t="s">
        <v>2873</v>
      </c>
      <c r="G179" s="1775" t="s">
        <v>2874</v>
      </c>
      <c r="H179" s="1775" t="s">
        <v>28</v>
      </c>
      <c r="I179" s="1775" t="s">
        <v>814</v>
      </c>
    </row>
    <row r="180" spans="1:9" ht="11.25" customHeight="1">
      <c r="A180" s="1775" t="s">
        <v>2260</v>
      </c>
      <c r="B180" s="1775" t="s">
        <v>16</v>
      </c>
      <c r="C180" s="1775" t="s">
        <v>2875</v>
      </c>
      <c r="D180" s="1775" t="s">
        <v>2876</v>
      </c>
      <c r="E180" s="1775" t="s">
        <v>2877</v>
      </c>
      <c r="F180" s="1775" t="s">
        <v>2718</v>
      </c>
      <c r="G180" s="1775" t="s">
        <v>28</v>
      </c>
      <c r="H180" s="1775" t="s">
        <v>28</v>
      </c>
      <c r="I180" s="1775" t="s">
        <v>814</v>
      </c>
    </row>
    <row r="181" spans="1:9" ht="11.25" customHeight="1">
      <c r="A181" s="1775" t="s">
        <v>2260</v>
      </c>
      <c r="B181" s="1775" t="s">
        <v>16</v>
      </c>
      <c r="C181" s="1775" t="s">
        <v>2878</v>
      </c>
      <c r="D181" s="1775" t="s">
        <v>2879</v>
      </c>
      <c r="E181" s="1775" t="s">
        <v>2880</v>
      </c>
      <c r="F181" s="1775" t="s">
        <v>2327</v>
      </c>
      <c r="G181" s="1775" t="s">
        <v>28</v>
      </c>
      <c r="H181" s="1775" t="s">
        <v>28</v>
      </c>
      <c r="I181" s="1775" t="s">
        <v>814</v>
      </c>
    </row>
    <row r="182" spans="1:9" ht="11.25" customHeight="1">
      <c r="A182" s="1775" t="s">
        <v>2260</v>
      </c>
      <c r="B182" s="1775" t="s">
        <v>16</v>
      </c>
      <c r="C182" s="1775" t="s">
        <v>2881</v>
      </c>
      <c r="D182" s="1775" t="s">
        <v>2882</v>
      </c>
      <c r="E182" s="1775" t="s">
        <v>2883</v>
      </c>
      <c r="F182" s="1775" t="s">
        <v>2490</v>
      </c>
      <c r="G182" s="1775" t="s">
        <v>28</v>
      </c>
      <c r="H182" s="1775" t="s">
        <v>28</v>
      </c>
      <c r="I182" s="1775" t="s">
        <v>814</v>
      </c>
    </row>
    <row r="183" spans="1:9" ht="11.25" customHeight="1">
      <c r="A183" s="1775" t="s">
        <v>2260</v>
      </c>
      <c r="B183" s="1775" t="s">
        <v>16</v>
      </c>
      <c r="C183" s="1775" t="s">
        <v>2884</v>
      </c>
      <c r="D183" s="1775" t="s">
        <v>2885</v>
      </c>
      <c r="E183" s="1775" t="s">
        <v>2886</v>
      </c>
      <c r="F183" s="1775" t="s">
        <v>2343</v>
      </c>
      <c r="G183" s="1775" t="s">
        <v>28</v>
      </c>
      <c r="H183" s="1775" t="s">
        <v>28</v>
      </c>
      <c r="I183" s="1775" t="s">
        <v>814</v>
      </c>
    </row>
    <row r="184" spans="1:9" ht="11.25" customHeight="1">
      <c r="A184" s="1775" t="s">
        <v>2260</v>
      </c>
      <c r="B184" s="1775" t="s">
        <v>16</v>
      </c>
      <c r="C184" s="1775" t="s">
        <v>2887</v>
      </c>
      <c r="D184" s="1775" t="s">
        <v>2888</v>
      </c>
      <c r="E184" s="1775" t="s">
        <v>2822</v>
      </c>
      <c r="F184" s="1775" t="s">
        <v>2718</v>
      </c>
      <c r="G184" s="1775" t="s">
        <v>2889</v>
      </c>
      <c r="H184" s="1775" t="s">
        <v>28</v>
      </c>
      <c r="I184" s="1775" t="s">
        <v>814</v>
      </c>
    </row>
    <row r="185" spans="1:9" ht="11.25" customHeight="1">
      <c r="A185" s="1775" t="s">
        <v>2260</v>
      </c>
      <c r="B185" s="1775" t="s">
        <v>16</v>
      </c>
      <c r="C185" s="1775" t="s">
        <v>2890</v>
      </c>
      <c r="D185" s="1775" t="s">
        <v>2891</v>
      </c>
      <c r="E185" s="1775" t="s">
        <v>2375</v>
      </c>
      <c r="F185" s="1775" t="s">
        <v>2892</v>
      </c>
      <c r="G185" s="1775" t="s">
        <v>28</v>
      </c>
      <c r="H185" s="1775" t="s">
        <v>28</v>
      </c>
      <c r="I185" s="1775" t="s">
        <v>814</v>
      </c>
    </row>
    <row r="186" spans="1:9" ht="11.25" customHeight="1">
      <c r="A186" s="1775" t="s">
        <v>2260</v>
      </c>
      <c r="B186" s="1775" t="s">
        <v>16</v>
      </c>
      <c r="C186" s="1775" t="s">
        <v>2265</v>
      </c>
      <c r="D186" s="1775" t="s">
        <v>2266</v>
      </c>
      <c r="E186" s="1775" t="s">
        <v>2267</v>
      </c>
      <c r="F186" s="1775" t="s">
        <v>2268</v>
      </c>
      <c r="G186" s="1775" t="s">
        <v>28</v>
      </c>
      <c r="H186" s="1775" t="s">
        <v>28</v>
      </c>
      <c r="I186" s="1775" t="s">
        <v>900</v>
      </c>
    </row>
    <row r="187" spans="1:9" ht="11.25" customHeight="1">
      <c r="A187" s="1775" t="s">
        <v>2260</v>
      </c>
      <c r="B187" s="1775" t="s">
        <v>16</v>
      </c>
      <c r="C187" s="1775" t="s">
        <v>2294</v>
      </c>
      <c r="D187" s="1775" t="s">
        <v>2295</v>
      </c>
      <c r="E187" s="1775" t="s">
        <v>2296</v>
      </c>
      <c r="F187" s="1775" t="s">
        <v>2297</v>
      </c>
      <c r="G187" s="1775" t="s">
        <v>28</v>
      </c>
      <c r="H187" s="1775" t="s">
        <v>28</v>
      </c>
      <c r="I187" s="1775" t="s">
        <v>900</v>
      </c>
    </row>
    <row r="188" spans="1:9" ht="11.25" customHeight="1">
      <c r="A188" s="1775" t="s">
        <v>2260</v>
      </c>
      <c r="B188" s="1775" t="s">
        <v>16</v>
      </c>
      <c r="C188" s="1775" t="s">
        <v>2298</v>
      </c>
      <c r="D188" s="1775" t="s">
        <v>2299</v>
      </c>
      <c r="E188" s="1775" t="s">
        <v>2300</v>
      </c>
      <c r="F188" s="1775" t="s">
        <v>2301</v>
      </c>
      <c r="G188" s="1775" t="s">
        <v>2302</v>
      </c>
      <c r="H188" s="1775" t="s">
        <v>28</v>
      </c>
      <c r="I188" s="1775" t="s">
        <v>900</v>
      </c>
    </row>
    <row r="189" spans="1:9" ht="11.25" customHeight="1">
      <c r="A189" s="1775" t="s">
        <v>2260</v>
      </c>
      <c r="B189" s="1775" t="s">
        <v>16</v>
      </c>
      <c r="C189" s="1775" t="s">
        <v>2312</v>
      </c>
      <c r="D189" s="1775" t="s">
        <v>2313</v>
      </c>
      <c r="E189" s="1775" t="s">
        <v>2314</v>
      </c>
      <c r="F189" s="1775" t="s">
        <v>2315</v>
      </c>
      <c r="G189" s="1775" t="s">
        <v>2316</v>
      </c>
      <c r="H189" s="1775" t="s">
        <v>28</v>
      </c>
      <c r="I189" s="1775" t="s">
        <v>900</v>
      </c>
    </row>
    <row r="190" spans="1:9" ht="11.25" customHeight="1">
      <c r="A190" s="1775" t="s">
        <v>2260</v>
      </c>
      <c r="B190" s="1775" t="s">
        <v>16</v>
      </c>
      <c r="C190" s="1775" t="s">
        <v>2321</v>
      </c>
      <c r="D190" s="1775" t="s">
        <v>2322</v>
      </c>
      <c r="E190" s="1775" t="s">
        <v>2323</v>
      </c>
      <c r="F190" s="1775" t="s">
        <v>2301</v>
      </c>
      <c r="G190" s="1775" t="s">
        <v>28</v>
      </c>
      <c r="H190" s="1775" t="s">
        <v>28</v>
      </c>
      <c r="I190" s="1775" t="s">
        <v>900</v>
      </c>
    </row>
    <row r="191" spans="1:9" ht="11.25" customHeight="1">
      <c r="A191" s="1775" t="s">
        <v>2260</v>
      </c>
      <c r="B191" s="1775" t="s">
        <v>16</v>
      </c>
      <c r="C191" s="1775" t="s">
        <v>2324</v>
      </c>
      <c r="D191" s="1775" t="s">
        <v>2325</v>
      </c>
      <c r="E191" s="1775" t="s">
        <v>2326</v>
      </c>
      <c r="F191" s="1775" t="s">
        <v>2327</v>
      </c>
      <c r="G191" s="1775" t="s">
        <v>28</v>
      </c>
      <c r="H191" s="1775" t="s">
        <v>28</v>
      </c>
      <c r="I191" s="1775" t="s">
        <v>900</v>
      </c>
    </row>
    <row r="192" spans="1:9" ht="11.25" customHeight="1">
      <c r="A192" s="1775" t="s">
        <v>2260</v>
      </c>
      <c r="B192" s="1775" t="s">
        <v>16</v>
      </c>
      <c r="C192" s="1775" t="s">
        <v>2328</v>
      </c>
      <c r="D192" s="1775" t="s">
        <v>2329</v>
      </c>
      <c r="E192" s="1775" t="s">
        <v>2330</v>
      </c>
      <c r="F192" s="1775" t="s">
        <v>2331</v>
      </c>
      <c r="G192" s="1775" t="s">
        <v>28</v>
      </c>
      <c r="H192" s="1775" t="s">
        <v>28</v>
      </c>
      <c r="I192" s="1775" t="s">
        <v>900</v>
      </c>
    </row>
    <row r="193" spans="1:9" ht="11.25" customHeight="1">
      <c r="A193" s="1775" t="s">
        <v>2260</v>
      </c>
      <c r="B193" s="1775" t="s">
        <v>16</v>
      </c>
      <c r="C193" s="1775" t="s">
        <v>2332</v>
      </c>
      <c r="D193" s="1775" t="s">
        <v>2333</v>
      </c>
      <c r="E193" s="1775" t="s">
        <v>2334</v>
      </c>
      <c r="F193" s="1775" t="s">
        <v>2335</v>
      </c>
      <c r="G193" s="1775" t="s">
        <v>28</v>
      </c>
      <c r="H193" s="1775" t="s">
        <v>28</v>
      </c>
      <c r="I193" s="1775" t="s">
        <v>900</v>
      </c>
    </row>
    <row r="194" spans="1:9" ht="11.25" customHeight="1">
      <c r="A194" s="1775" t="s">
        <v>2260</v>
      </c>
      <c r="B194" s="1775" t="s">
        <v>16</v>
      </c>
      <c r="C194" s="1775" t="s">
        <v>2345</v>
      </c>
      <c r="D194" s="1775" t="s">
        <v>2346</v>
      </c>
      <c r="E194" s="1775" t="s">
        <v>2347</v>
      </c>
      <c r="F194" s="1775" t="s">
        <v>2348</v>
      </c>
      <c r="G194" s="1775" t="s">
        <v>28</v>
      </c>
      <c r="H194" s="1775" t="s">
        <v>28</v>
      </c>
      <c r="I194" s="1775" t="s">
        <v>900</v>
      </c>
    </row>
    <row r="195" spans="1:9" ht="11.25" customHeight="1">
      <c r="A195" s="1775" t="s">
        <v>2260</v>
      </c>
      <c r="B195" s="1775" t="s">
        <v>16</v>
      </c>
      <c r="C195" s="1775" t="s">
        <v>2349</v>
      </c>
      <c r="D195" s="1775" t="s">
        <v>2350</v>
      </c>
      <c r="E195" s="1775" t="s">
        <v>2351</v>
      </c>
      <c r="F195" s="1775" t="s">
        <v>2288</v>
      </c>
      <c r="G195" s="1775" t="s">
        <v>2352</v>
      </c>
      <c r="H195" s="1775" t="s">
        <v>28</v>
      </c>
      <c r="I195" s="1775" t="s">
        <v>900</v>
      </c>
    </row>
    <row r="196" spans="1:9" ht="11.25" customHeight="1">
      <c r="A196" s="1775" t="s">
        <v>2260</v>
      </c>
      <c r="B196" s="1775" t="s">
        <v>16</v>
      </c>
      <c r="C196" s="1775" t="s">
        <v>2381</v>
      </c>
      <c r="D196" s="1775" t="s">
        <v>2382</v>
      </c>
      <c r="E196" s="1775" t="s">
        <v>2383</v>
      </c>
      <c r="F196" s="1775" t="s">
        <v>2384</v>
      </c>
      <c r="G196" s="1775" t="s">
        <v>2385</v>
      </c>
      <c r="H196" s="1775" t="s">
        <v>28</v>
      </c>
      <c r="I196" s="1775" t="s">
        <v>900</v>
      </c>
    </row>
    <row r="197" spans="1:9" ht="11.25" customHeight="1">
      <c r="A197" s="1775" t="s">
        <v>2260</v>
      </c>
      <c r="B197" s="1775" t="s">
        <v>16</v>
      </c>
      <c r="C197" s="1775" t="s">
        <v>2414</v>
      </c>
      <c r="D197" s="1775" t="s">
        <v>2415</v>
      </c>
      <c r="E197" s="1775" t="s">
        <v>2416</v>
      </c>
      <c r="F197" s="1775" t="s">
        <v>2417</v>
      </c>
      <c r="G197" s="1775" t="s">
        <v>2418</v>
      </c>
      <c r="H197" s="1775" t="s">
        <v>28</v>
      </c>
      <c r="I197" s="1775" t="s">
        <v>900</v>
      </c>
    </row>
    <row r="198" spans="1:9" ht="11.25" customHeight="1">
      <c r="A198" s="1775" t="s">
        <v>2260</v>
      </c>
      <c r="B198" s="1775" t="s">
        <v>16</v>
      </c>
      <c r="C198" s="1775" t="s">
        <v>2423</v>
      </c>
      <c r="D198" s="1775" t="s">
        <v>2424</v>
      </c>
      <c r="E198" s="1775" t="s">
        <v>2425</v>
      </c>
      <c r="F198" s="1775" t="s">
        <v>2417</v>
      </c>
      <c r="G198" s="1775" t="s">
        <v>2426</v>
      </c>
      <c r="H198" s="1775" t="s">
        <v>28</v>
      </c>
      <c r="I198" s="1775" t="s">
        <v>900</v>
      </c>
    </row>
    <row r="199" spans="1:9" ht="11.25" customHeight="1">
      <c r="A199" s="1775" t="s">
        <v>2260</v>
      </c>
      <c r="B199" s="1775" t="s">
        <v>16</v>
      </c>
      <c r="C199" s="1775" t="s">
        <v>2430</v>
      </c>
      <c r="D199" s="1775" t="s">
        <v>2431</v>
      </c>
      <c r="E199" s="1775" t="s">
        <v>2432</v>
      </c>
      <c r="F199" s="1775" t="s">
        <v>2283</v>
      </c>
      <c r="G199" s="1775" t="s">
        <v>28</v>
      </c>
      <c r="H199" s="1775" t="s">
        <v>28</v>
      </c>
      <c r="I199" s="1775" t="s">
        <v>900</v>
      </c>
    </row>
    <row r="200" spans="1:9" ht="11.25" customHeight="1">
      <c r="A200" s="1775" t="s">
        <v>2260</v>
      </c>
      <c r="B200" s="1775" t="s">
        <v>16</v>
      </c>
      <c r="C200" s="1775" t="s">
        <v>2433</v>
      </c>
      <c r="D200" s="1775" t="s">
        <v>2434</v>
      </c>
      <c r="E200" s="1775" t="s">
        <v>2435</v>
      </c>
      <c r="F200" s="1775" t="s">
        <v>2315</v>
      </c>
      <c r="G200" s="1775" t="s">
        <v>28</v>
      </c>
      <c r="H200" s="1775" t="s">
        <v>28</v>
      </c>
      <c r="I200" s="1775" t="s">
        <v>900</v>
      </c>
    </row>
    <row r="201" spans="1:9" ht="11.25" customHeight="1">
      <c r="A201" s="1775" t="s">
        <v>2260</v>
      </c>
      <c r="B201" s="1775" t="s">
        <v>16</v>
      </c>
      <c r="C201" s="1775" t="s">
        <v>2436</v>
      </c>
      <c r="D201" s="1775" t="s">
        <v>2437</v>
      </c>
      <c r="E201" s="1775" t="s">
        <v>2438</v>
      </c>
      <c r="F201" s="1775" t="s">
        <v>2439</v>
      </c>
      <c r="G201" s="1775" t="s">
        <v>2440</v>
      </c>
      <c r="H201" s="1775" t="s">
        <v>28</v>
      </c>
      <c r="I201" s="1775" t="s">
        <v>900</v>
      </c>
    </row>
    <row r="202" spans="1:9" ht="11.25" customHeight="1">
      <c r="A202" s="1775" t="s">
        <v>2260</v>
      </c>
      <c r="B202" s="1775" t="s">
        <v>16</v>
      </c>
      <c r="C202" s="1775" t="s">
        <v>2441</v>
      </c>
      <c r="D202" s="1775" t="s">
        <v>2442</v>
      </c>
      <c r="E202" s="1775" t="s">
        <v>2443</v>
      </c>
      <c r="F202" s="1775" t="s">
        <v>2439</v>
      </c>
      <c r="G202" s="1775" t="s">
        <v>2444</v>
      </c>
      <c r="H202" s="1775" t="s">
        <v>28</v>
      </c>
      <c r="I202" s="1775" t="s">
        <v>900</v>
      </c>
    </row>
    <row r="203" spans="1:9" ht="11.25" customHeight="1">
      <c r="A203" s="1775" t="s">
        <v>2260</v>
      </c>
      <c r="B203" s="1775" t="s">
        <v>16</v>
      </c>
      <c r="C203" s="1775" t="s">
        <v>2445</v>
      </c>
      <c r="D203" s="1775" t="s">
        <v>2446</v>
      </c>
      <c r="E203" s="1775" t="s">
        <v>2447</v>
      </c>
      <c r="F203" s="1775" t="s">
        <v>2343</v>
      </c>
      <c r="G203" s="1775" t="s">
        <v>28</v>
      </c>
      <c r="H203" s="1775" t="s">
        <v>28</v>
      </c>
      <c r="I203" s="1775" t="s">
        <v>900</v>
      </c>
    </row>
    <row r="204" spans="1:9" ht="11.25" customHeight="1">
      <c r="A204" s="1775" t="s">
        <v>2260</v>
      </c>
      <c r="B204" s="1775" t="s">
        <v>16</v>
      </c>
      <c r="C204" s="1775" t="s">
        <v>2448</v>
      </c>
      <c r="D204" s="1775" t="s">
        <v>2449</v>
      </c>
      <c r="E204" s="1775" t="s">
        <v>2450</v>
      </c>
      <c r="F204" s="1775" t="s">
        <v>2327</v>
      </c>
      <c r="G204" s="1775" t="s">
        <v>28</v>
      </c>
      <c r="H204" s="1775" t="s">
        <v>28</v>
      </c>
      <c r="I204" s="1775" t="s">
        <v>900</v>
      </c>
    </row>
    <row r="205" spans="1:9" ht="11.25" customHeight="1">
      <c r="A205" s="1775" t="s">
        <v>2260</v>
      </c>
      <c r="B205" s="1775" t="s">
        <v>16</v>
      </c>
      <c r="C205" s="1775" t="s">
        <v>2451</v>
      </c>
      <c r="D205" s="1775" t="s">
        <v>2452</v>
      </c>
      <c r="E205" s="1775" t="s">
        <v>2453</v>
      </c>
      <c r="F205" s="1775" t="s">
        <v>2315</v>
      </c>
      <c r="G205" s="1775" t="s">
        <v>2454</v>
      </c>
      <c r="H205" s="1775" t="s">
        <v>28</v>
      </c>
      <c r="I205" s="1775" t="s">
        <v>900</v>
      </c>
    </row>
    <row r="206" spans="1:9" ht="11.25" customHeight="1">
      <c r="A206" s="1775" t="s">
        <v>2260</v>
      </c>
      <c r="B206" s="1775" t="s">
        <v>16</v>
      </c>
      <c r="C206" s="1775" t="s">
        <v>2458</v>
      </c>
      <c r="D206" s="1775" t="s">
        <v>2459</v>
      </c>
      <c r="E206" s="1775" t="s">
        <v>2460</v>
      </c>
      <c r="F206" s="1775" t="s">
        <v>2461</v>
      </c>
      <c r="G206" s="1775" t="s">
        <v>28</v>
      </c>
      <c r="H206" s="1775" t="s">
        <v>28</v>
      </c>
      <c r="I206" s="1775" t="s">
        <v>900</v>
      </c>
    </row>
    <row r="207" spans="1:9" ht="11.25" customHeight="1">
      <c r="A207" s="1775" t="s">
        <v>2260</v>
      </c>
      <c r="B207" s="1775" t="s">
        <v>16</v>
      </c>
      <c r="C207" s="1775" t="s">
        <v>2466</v>
      </c>
      <c r="D207" s="1775" t="s">
        <v>2467</v>
      </c>
      <c r="E207" s="1775" t="s">
        <v>2468</v>
      </c>
      <c r="F207" s="1775" t="s">
        <v>2469</v>
      </c>
      <c r="G207" s="1775" t="s">
        <v>28</v>
      </c>
      <c r="H207" s="1775" t="s">
        <v>28</v>
      </c>
      <c r="I207" s="1775" t="s">
        <v>900</v>
      </c>
    </row>
    <row r="208" spans="1:9" ht="11.25" customHeight="1">
      <c r="A208" s="1775" t="s">
        <v>2260</v>
      </c>
      <c r="B208" s="1775" t="s">
        <v>16</v>
      </c>
      <c r="C208" s="1775" t="s">
        <v>2470</v>
      </c>
      <c r="D208" s="1775" t="s">
        <v>2471</v>
      </c>
      <c r="E208" s="1775" t="s">
        <v>2472</v>
      </c>
      <c r="F208" s="1775" t="s">
        <v>2417</v>
      </c>
      <c r="G208" s="1775" t="s">
        <v>28</v>
      </c>
      <c r="H208" s="1775" t="s">
        <v>28</v>
      </c>
      <c r="I208" s="1775" t="s">
        <v>900</v>
      </c>
    </row>
    <row r="209" spans="1:9" ht="11.25" customHeight="1">
      <c r="A209" s="1775" t="s">
        <v>2260</v>
      </c>
      <c r="B209" s="1775" t="s">
        <v>16</v>
      </c>
      <c r="C209" s="1775" t="s">
        <v>2473</v>
      </c>
      <c r="D209" s="1775" t="s">
        <v>2474</v>
      </c>
      <c r="E209" s="1775" t="s">
        <v>2475</v>
      </c>
      <c r="F209" s="1775" t="s">
        <v>2476</v>
      </c>
      <c r="G209" s="1775" t="s">
        <v>28</v>
      </c>
      <c r="H209" s="1775" t="s">
        <v>28</v>
      </c>
      <c r="I209" s="1775" t="s">
        <v>900</v>
      </c>
    </row>
    <row r="210" spans="1:9" ht="11.25" customHeight="1">
      <c r="A210" s="1775" t="s">
        <v>2260</v>
      </c>
      <c r="B210" s="1775" t="s">
        <v>16</v>
      </c>
      <c r="C210" s="1775" t="s">
        <v>2477</v>
      </c>
      <c r="D210" s="1775" t="s">
        <v>2478</v>
      </c>
      <c r="E210" s="1775" t="s">
        <v>2479</v>
      </c>
      <c r="F210" s="1775" t="s">
        <v>2417</v>
      </c>
      <c r="G210" s="1775" t="s">
        <v>28</v>
      </c>
      <c r="H210" s="1775" t="s">
        <v>28</v>
      </c>
      <c r="I210" s="1775" t="s">
        <v>900</v>
      </c>
    </row>
    <row r="211" spans="1:9" ht="11.25" customHeight="1">
      <c r="A211" s="1775" t="s">
        <v>2260</v>
      </c>
      <c r="B211" s="1775" t="s">
        <v>16</v>
      </c>
      <c r="C211" s="1775" t="s">
        <v>2480</v>
      </c>
      <c r="D211" s="1775" t="s">
        <v>2481</v>
      </c>
      <c r="E211" s="1775" t="s">
        <v>2482</v>
      </c>
      <c r="F211" s="1775" t="s">
        <v>2483</v>
      </c>
      <c r="G211" s="1775" t="s">
        <v>28</v>
      </c>
      <c r="H211" s="1775" t="s">
        <v>28</v>
      </c>
      <c r="I211" s="1775" t="s">
        <v>900</v>
      </c>
    </row>
    <row r="212" spans="1:9" ht="11.25" customHeight="1">
      <c r="A212" s="1775" t="s">
        <v>2260</v>
      </c>
      <c r="B212" s="1775" t="s">
        <v>16</v>
      </c>
      <c r="C212" s="1775" t="s">
        <v>2484</v>
      </c>
      <c r="D212" s="1775" t="s">
        <v>2485</v>
      </c>
      <c r="E212" s="1775" t="s">
        <v>2486</v>
      </c>
      <c r="F212" s="1775" t="s">
        <v>2268</v>
      </c>
      <c r="G212" s="1775" t="s">
        <v>28</v>
      </c>
      <c r="H212" s="1775" t="s">
        <v>28</v>
      </c>
      <c r="I212" s="1775" t="s">
        <v>900</v>
      </c>
    </row>
    <row r="213" spans="1:9" ht="11.25" customHeight="1">
      <c r="A213" s="1775" t="s">
        <v>2260</v>
      </c>
      <c r="B213" s="1775" t="s">
        <v>16</v>
      </c>
      <c r="C213" s="1775" t="s">
        <v>2487</v>
      </c>
      <c r="D213" s="1775" t="s">
        <v>2488</v>
      </c>
      <c r="E213" s="1775" t="s">
        <v>2489</v>
      </c>
      <c r="F213" s="1775" t="s">
        <v>2490</v>
      </c>
      <c r="G213" s="1775" t="s">
        <v>28</v>
      </c>
      <c r="H213" s="1775" t="s">
        <v>28</v>
      </c>
      <c r="I213" s="1775" t="s">
        <v>900</v>
      </c>
    </row>
    <row r="214" spans="1:9" ht="11.25" customHeight="1">
      <c r="A214" s="1775" t="s">
        <v>2260</v>
      </c>
      <c r="B214" s="1775" t="s">
        <v>16</v>
      </c>
      <c r="C214" s="1775" t="s">
        <v>2495</v>
      </c>
      <c r="D214" s="1775" t="s">
        <v>2496</v>
      </c>
      <c r="E214" s="1775" t="s">
        <v>2497</v>
      </c>
      <c r="F214" s="1775" t="s">
        <v>2268</v>
      </c>
      <c r="G214" s="1775" t="s">
        <v>2498</v>
      </c>
      <c r="H214" s="1775" t="s">
        <v>28</v>
      </c>
      <c r="I214" s="1775" t="s">
        <v>900</v>
      </c>
    </row>
    <row r="215" spans="1:9" ht="11.25" customHeight="1">
      <c r="A215" s="1775" t="s">
        <v>2260</v>
      </c>
      <c r="B215" s="1775" t="s">
        <v>16</v>
      </c>
      <c r="C215" s="1775" t="s">
        <v>2502</v>
      </c>
      <c r="D215" s="1775" t="s">
        <v>2503</v>
      </c>
      <c r="E215" s="1775" t="s">
        <v>2504</v>
      </c>
      <c r="F215" s="1775" t="s">
        <v>2327</v>
      </c>
      <c r="G215" s="1775" t="s">
        <v>28</v>
      </c>
      <c r="H215" s="1775" t="s">
        <v>28</v>
      </c>
      <c r="I215" s="1775" t="s">
        <v>900</v>
      </c>
    </row>
    <row r="216" spans="1:9" ht="11.25" customHeight="1">
      <c r="A216" s="1775" t="s">
        <v>2260</v>
      </c>
      <c r="B216" s="1775" t="s">
        <v>16</v>
      </c>
      <c r="C216" s="1775" t="s">
        <v>2505</v>
      </c>
      <c r="D216" s="1775" t="s">
        <v>2506</v>
      </c>
      <c r="E216" s="1775" t="s">
        <v>2507</v>
      </c>
      <c r="F216" s="1775" t="s">
        <v>2288</v>
      </c>
      <c r="G216" s="1775" t="s">
        <v>2508</v>
      </c>
      <c r="H216" s="1775" t="s">
        <v>28</v>
      </c>
      <c r="I216" s="1775" t="s">
        <v>900</v>
      </c>
    </row>
    <row r="217" spans="1:9" ht="11.25" customHeight="1">
      <c r="A217" s="1775" t="s">
        <v>2260</v>
      </c>
      <c r="B217" s="1775" t="s">
        <v>16</v>
      </c>
      <c r="C217" s="1775" t="s">
        <v>2509</v>
      </c>
      <c r="D217" s="1775" t="s">
        <v>2510</v>
      </c>
      <c r="E217" s="1775" t="s">
        <v>2511</v>
      </c>
      <c r="F217" s="1775" t="s">
        <v>2301</v>
      </c>
      <c r="G217" s="1775" t="s">
        <v>28</v>
      </c>
      <c r="H217" s="1775" t="s">
        <v>2512</v>
      </c>
      <c r="I217" s="1775" t="s">
        <v>900</v>
      </c>
    </row>
    <row r="218" spans="1:9" ht="11.25" customHeight="1">
      <c r="A218" s="1775" t="s">
        <v>2260</v>
      </c>
      <c r="B218" s="1775" t="s">
        <v>16</v>
      </c>
      <c r="C218" s="1775" t="s">
        <v>2517</v>
      </c>
      <c r="D218" s="1775" t="s">
        <v>2518</v>
      </c>
      <c r="E218" s="1775" t="s">
        <v>2519</v>
      </c>
      <c r="F218" s="1775" t="s">
        <v>2476</v>
      </c>
      <c r="G218" s="1775" t="s">
        <v>28</v>
      </c>
      <c r="H218" s="1775" t="s">
        <v>28</v>
      </c>
      <c r="I218" s="1775" t="s">
        <v>900</v>
      </c>
    </row>
    <row r="219" spans="1:9" ht="11.25" customHeight="1">
      <c r="A219" s="1775" t="s">
        <v>2260</v>
      </c>
      <c r="B219" s="1775" t="s">
        <v>16</v>
      </c>
      <c r="C219" s="1775" t="s">
        <v>2567</v>
      </c>
      <c r="D219" s="1775" t="s">
        <v>2568</v>
      </c>
      <c r="E219" s="1775" t="s">
        <v>2263</v>
      </c>
      <c r="F219" s="1775" t="s">
        <v>2569</v>
      </c>
      <c r="G219" s="1775" t="s">
        <v>28</v>
      </c>
      <c r="H219" s="1775" t="s">
        <v>28</v>
      </c>
      <c r="I219" s="1775" t="s">
        <v>900</v>
      </c>
    </row>
    <row r="220" spans="1:9" ht="11.25" customHeight="1">
      <c r="A220" s="1775" t="s">
        <v>2260</v>
      </c>
      <c r="B220" s="1775" t="s">
        <v>16</v>
      </c>
      <c r="C220" s="1775" t="s">
        <v>2570</v>
      </c>
      <c r="D220" s="1775" t="s">
        <v>2571</v>
      </c>
      <c r="E220" s="1775" t="s">
        <v>2263</v>
      </c>
      <c r="F220" s="1775" t="s">
        <v>2572</v>
      </c>
      <c r="G220" s="1775" t="s">
        <v>28</v>
      </c>
      <c r="H220" s="1775" t="s">
        <v>28</v>
      </c>
      <c r="I220" s="1775" t="s">
        <v>900</v>
      </c>
    </row>
    <row r="221" spans="1:9" ht="11.25" customHeight="1">
      <c r="A221" s="1775" t="s">
        <v>2260</v>
      </c>
      <c r="B221" s="1775" t="s">
        <v>16</v>
      </c>
      <c r="C221" s="1775" t="s">
        <v>2573</v>
      </c>
      <c r="D221" s="1775" t="s">
        <v>2574</v>
      </c>
      <c r="E221" s="1775" t="s">
        <v>2263</v>
      </c>
      <c r="F221" s="1775" t="s">
        <v>2575</v>
      </c>
      <c r="G221" s="1775" t="s">
        <v>28</v>
      </c>
      <c r="H221" s="1775" t="s">
        <v>28</v>
      </c>
      <c r="I221" s="1775" t="s">
        <v>900</v>
      </c>
    </row>
    <row r="222" spans="1:9" ht="11.25" customHeight="1">
      <c r="A222" s="1775" t="s">
        <v>2260</v>
      </c>
      <c r="B222" s="1775" t="s">
        <v>16</v>
      </c>
      <c r="C222" s="1775" t="s">
        <v>2576</v>
      </c>
      <c r="D222" s="1775" t="s">
        <v>2577</v>
      </c>
      <c r="E222" s="1775" t="s">
        <v>2263</v>
      </c>
      <c r="F222" s="1775" t="s">
        <v>2578</v>
      </c>
      <c r="G222" s="1775" t="s">
        <v>28</v>
      </c>
      <c r="H222" s="1775" t="s">
        <v>28</v>
      </c>
      <c r="I222" s="1775" t="s">
        <v>900</v>
      </c>
    </row>
    <row r="223" spans="1:9" ht="11.25" customHeight="1">
      <c r="A223" s="1775" t="s">
        <v>2260</v>
      </c>
      <c r="B223" s="1775" t="s">
        <v>16</v>
      </c>
      <c r="C223" s="1775" t="s">
        <v>2579</v>
      </c>
      <c r="D223" s="1775" t="s">
        <v>2580</v>
      </c>
      <c r="E223" s="1775" t="s">
        <v>2263</v>
      </c>
      <c r="F223" s="1775" t="s">
        <v>2581</v>
      </c>
      <c r="G223" s="1775" t="s">
        <v>28</v>
      </c>
      <c r="H223" s="1775" t="s">
        <v>28</v>
      </c>
      <c r="I223" s="1775" t="s">
        <v>900</v>
      </c>
    </row>
    <row r="224" spans="1:9" ht="11.25" customHeight="1">
      <c r="A224" s="1775" t="s">
        <v>2260</v>
      </c>
      <c r="B224" s="1775" t="s">
        <v>16</v>
      </c>
      <c r="C224" s="1775" t="s">
        <v>2582</v>
      </c>
      <c r="D224" s="1775" t="s">
        <v>2583</v>
      </c>
      <c r="E224" s="1775" t="s">
        <v>2263</v>
      </c>
      <c r="F224" s="1775" t="s">
        <v>2584</v>
      </c>
      <c r="G224" s="1775" t="s">
        <v>28</v>
      </c>
      <c r="H224" s="1775" t="s">
        <v>28</v>
      </c>
      <c r="I224" s="1775" t="s">
        <v>900</v>
      </c>
    </row>
    <row r="225" spans="1:9" ht="11.25" customHeight="1">
      <c r="A225" s="1775" t="s">
        <v>2260</v>
      </c>
      <c r="B225" s="1775" t="s">
        <v>16</v>
      </c>
      <c r="C225" s="1775" t="s">
        <v>2585</v>
      </c>
      <c r="D225" s="1775" t="s">
        <v>2586</v>
      </c>
      <c r="E225" s="1775" t="s">
        <v>2263</v>
      </c>
      <c r="F225" s="1775" t="s">
        <v>2587</v>
      </c>
      <c r="G225" s="1775" t="s">
        <v>28</v>
      </c>
      <c r="H225" s="1775" t="s">
        <v>28</v>
      </c>
      <c r="I225" s="1775" t="s">
        <v>900</v>
      </c>
    </row>
    <row r="226" spans="1:9" ht="11.25" customHeight="1">
      <c r="A226" s="1775" t="s">
        <v>2260</v>
      </c>
      <c r="B226" s="1775" t="s">
        <v>16</v>
      </c>
      <c r="C226" s="1775" t="s">
        <v>2591</v>
      </c>
      <c r="D226" s="1775" t="s">
        <v>2592</v>
      </c>
      <c r="E226" s="1775" t="s">
        <v>2263</v>
      </c>
      <c r="F226" s="1775" t="s">
        <v>2593</v>
      </c>
      <c r="G226" s="1775" t="s">
        <v>28</v>
      </c>
      <c r="H226" s="1775" t="s">
        <v>28</v>
      </c>
      <c r="I226" s="1775" t="s">
        <v>900</v>
      </c>
    </row>
    <row r="227" spans="1:9" ht="11.25" customHeight="1">
      <c r="A227" s="1775" t="s">
        <v>2260</v>
      </c>
      <c r="B227" s="1775" t="s">
        <v>16</v>
      </c>
      <c r="C227" s="1775" t="s">
        <v>2594</v>
      </c>
      <c r="D227" s="1775" t="s">
        <v>2595</v>
      </c>
      <c r="E227" s="1775" t="s">
        <v>2263</v>
      </c>
      <c r="F227" s="1775" t="s">
        <v>2596</v>
      </c>
      <c r="G227" s="1775" t="s">
        <v>28</v>
      </c>
      <c r="H227" s="1775" t="s">
        <v>28</v>
      </c>
      <c r="I227" s="1775" t="s">
        <v>900</v>
      </c>
    </row>
    <row r="228" spans="1:9" ht="11.25" customHeight="1">
      <c r="A228" s="1775" t="s">
        <v>2260</v>
      </c>
      <c r="B228" s="1775" t="s">
        <v>16</v>
      </c>
      <c r="C228" s="1775" t="s">
        <v>2597</v>
      </c>
      <c r="D228" s="1775" t="s">
        <v>2598</v>
      </c>
      <c r="E228" s="1775" t="s">
        <v>2599</v>
      </c>
      <c r="F228" s="1775" t="s">
        <v>2600</v>
      </c>
      <c r="G228" s="1775" t="s">
        <v>28</v>
      </c>
      <c r="H228" s="1775" t="s">
        <v>28</v>
      </c>
      <c r="I228" s="1775" t="s">
        <v>900</v>
      </c>
    </row>
    <row r="229" spans="1:9" ht="11.25" customHeight="1">
      <c r="A229" s="1775" t="s">
        <v>2260</v>
      </c>
      <c r="B229" s="1775" t="s">
        <v>16</v>
      </c>
      <c r="C229" s="1775" t="s">
        <v>2601</v>
      </c>
      <c r="D229" s="1775" t="s">
        <v>2602</v>
      </c>
      <c r="E229" s="1775" t="s">
        <v>2599</v>
      </c>
      <c r="F229" s="1775" t="s">
        <v>2603</v>
      </c>
      <c r="G229" s="1775" t="s">
        <v>28</v>
      </c>
      <c r="H229" s="1775" t="s">
        <v>28</v>
      </c>
      <c r="I229" s="1775" t="s">
        <v>900</v>
      </c>
    </row>
    <row r="230" spans="1:9" ht="11.25" customHeight="1">
      <c r="A230" s="1775" t="s">
        <v>2260</v>
      </c>
      <c r="B230" s="1775" t="s">
        <v>16</v>
      </c>
      <c r="C230" s="1775" t="s">
        <v>2607</v>
      </c>
      <c r="D230" s="1775" t="s">
        <v>2608</v>
      </c>
      <c r="E230" s="1775" t="s">
        <v>2599</v>
      </c>
      <c r="F230" s="1775" t="s">
        <v>2609</v>
      </c>
      <c r="G230" s="1775" t="s">
        <v>28</v>
      </c>
      <c r="H230" s="1775" t="s">
        <v>28</v>
      </c>
      <c r="I230" s="1775" t="s">
        <v>900</v>
      </c>
    </row>
    <row r="231" spans="1:9" ht="11.25" customHeight="1">
      <c r="A231" s="1775" t="s">
        <v>2260</v>
      </c>
      <c r="B231" s="1775" t="s">
        <v>16</v>
      </c>
      <c r="C231" s="1775" t="s">
        <v>2621</v>
      </c>
      <c r="D231" s="1775" t="s">
        <v>2622</v>
      </c>
      <c r="E231" s="1775" t="s">
        <v>2623</v>
      </c>
      <c r="F231" s="1775" t="s">
        <v>2613</v>
      </c>
      <c r="G231" s="1775" t="s">
        <v>2614</v>
      </c>
      <c r="H231" s="1775" t="s">
        <v>28</v>
      </c>
      <c r="I231" s="1775" t="s">
        <v>900</v>
      </c>
    </row>
    <row r="232" spans="1:9" ht="11.25" customHeight="1">
      <c r="A232" s="1775" t="s">
        <v>2260</v>
      </c>
      <c r="B232" s="1775" t="s">
        <v>16</v>
      </c>
      <c r="C232" s="1775" t="s">
        <v>2629</v>
      </c>
      <c r="D232" s="1775" t="s">
        <v>2630</v>
      </c>
      <c r="E232" s="1775" t="s">
        <v>2631</v>
      </c>
      <c r="F232" s="1775" t="s">
        <v>2632</v>
      </c>
      <c r="G232" s="1775" t="s">
        <v>28</v>
      </c>
      <c r="H232" s="1775" t="s">
        <v>28</v>
      </c>
      <c r="I232" s="1775" t="s">
        <v>900</v>
      </c>
    </row>
    <row r="233" spans="1:9" ht="11.25" customHeight="1">
      <c r="A233" s="1775" t="s">
        <v>2260</v>
      </c>
      <c r="B233" s="1775" t="s">
        <v>16</v>
      </c>
      <c r="C233" s="1775" t="s">
        <v>2647</v>
      </c>
      <c r="D233" s="1775" t="s">
        <v>2648</v>
      </c>
      <c r="E233" s="1775" t="s">
        <v>2649</v>
      </c>
      <c r="F233" s="1775" t="s">
        <v>2311</v>
      </c>
      <c r="G233" s="1775" t="s">
        <v>28</v>
      </c>
      <c r="H233" s="1775" t="s">
        <v>28</v>
      </c>
      <c r="I233" s="1775" t="s">
        <v>900</v>
      </c>
    </row>
    <row r="234" spans="1:9" ht="11.25" customHeight="1">
      <c r="A234" s="1775" t="s">
        <v>2260</v>
      </c>
      <c r="B234" s="1775" t="s">
        <v>16</v>
      </c>
      <c r="C234" s="1775" t="s">
        <v>2659</v>
      </c>
      <c r="D234" s="1775" t="s">
        <v>2660</v>
      </c>
      <c r="E234" s="1775" t="s">
        <v>2661</v>
      </c>
      <c r="F234" s="1775" t="s">
        <v>2268</v>
      </c>
      <c r="G234" s="1775" t="s">
        <v>2662</v>
      </c>
      <c r="H234" s="1775" t="s">
        <v>28</v>
      </c>
      <c r="I234" s="1775" t="s">
        <v>900</v>
      </c>
    </row>
    <row r="235" spans="1:9" ht="11.25" customHeight="1">
      <c r="A235" s="1775" t="s">
        <v>2260</v>
      </c>
      <c r="B235" s="1775" t="s">
        <v>16</v>
      </c>
      <c r="C235" s="1775" t="s">
        <v>2687</v>
      </c>
      <c r="D235" s="1775" t="s">
        <v>2688</v>
      </c>
      <c r="E235" s="1775" t="s">
        <v>2689</v>
      </c>
      <c r="F235" s="1775" t="s">
        <v>2666</v>
      </c>
      <c r="G235" s="1775" t="s">
        <v>28</v>
      </c>
      <c r="H235" s="1775" t="s">
        <v>28</v>
      </c>
      <c r="I235" s="1775" t="s">
        <v>900</v>
      </c>
    </row>
    <row r="236" spans="1:9" ht="11.25" customHeight="1">
      <c r="A236" s="1775" t="s">
        <v>2260</v>
      </c>
      <c r="B236" s="1775" t="s">
        <v>16</v>
      </c>
      <c r="C236" s="1775" t="s">
        <v>2703</v>
      </c>
      <c r="D236" s="1775" t="s">
        <v>2704</v>
      </c>
      <c r="E236" s="1775" t="s">
        <v>2705</v>
      </c>
      <c r="F236" s="1775" t="s">
        <v>2706</v>
      </c>
      <c r="G236" s="1775" t="s">
        <v>2707</v>
      </c>
      <c r="H236" s="1775" t="s">
        <v>28</v>
      </c>
      <c r="I236" s="1775" t="s">
        <v>900</v>
      </c>
    </row>
    <row r="237" spans="1:9" ht="11.25" customHeight="1">
      <c r="A237" s="1775" t="s">
        <v>2260</v>
      </c>
      <c r="B237" s="1775" t="s">
        <v>16</v>
      </c>
      <c r="C237" s="1775" t="s">
        <v>2708</v>
      </c>
      <c r="D237" s="1775" t="s">
        <v>2709</v>
      </c>
      <c r="E237" s="1775" t="s">
        <v>2710</v>
      </c>
      <c r="F237" s="1775" t="s">
        <v>2666</v>
      </c>
      <c r="G237" s="1775" t="s">
        <v>28</v>
      </c>
      <c r="H237" s="1775" t="s">
        <v>28</v>
      </c>
      <c r="I237" s="1775" t="s">
        <v>900</v>
      </c>
    </row>
    <row r="238" spans="1:9" ht="11.25" customHeight="1">
      <c r="A238" s="1775" t="s">
        <v>2260</v>
      </c>
      <c r="B238" s="1775" t="s">
        <v>16</v>
      </c>
      <c r="C238" s="1775" t="s">
        <v>2726</v>
      </c>
      <c r="D238" s="1775" t="s">
        <v>2727</v>
      </c>
      <c r="E238" s="1775" t="s">
        <v>2728</v>
      </c>
      <c r="F238" s="1775" t="s">
        <v>2268</v>
      </c>
      <c r="G238" s="1775" t="s">
        <v>28</v>
      </c>
      <c r="H238" s="1775" t="s">
        <v>28</v>
      </c>
      <c r="I238" s="1775" t="s">
        <v>900</v>
      </c>
    </row>
    <row r="239" spans="1:9" ht="11.25" customHeight="1">
      <c r="A239" s="1775" t="s">
        <v>2260</v>
      </c>
      <c r="B239" s="1775" t="s">
        <v>16</v>
      </c>
      <c r="C239" s="1775" t="s">
        <v>2732</v>
      </c>
      <c r="D239" s="1775" t="s">
        <v>2733</v>
      </c>
      <c r="E239" s="1775" t="s">
        <v>2296</v>
      </c>
      <c r="F239" s="1775" t="s">
        <v>2734</v>
      </c>
      <c r="G239" s="1775" t="s">
        <v>28</v>
      </c>
      <c r="H239" s="1775" t="s">
        <v>28</v>
      </c>
      <c r="I239" s="1775" t="s">
        <v>900</v>
      </c>
    </row>
    <row r="240" spans="1:9" ht="11.25" customHeight="1">
      <c r="A240" s="1775" t="s">
        <v>2260</v>
      </c>
      <c r="B240" s="1775" t="s">
        <v>16</v>
      </c>
      <c r="C240" s="1775" t="s">
        <v>2735</v>
      </c>
      <c r="D240" s="1775" t="s">
        <v>2736</v>
      </c>
      <c r="E240" s="1775" t="s">
        <v>2737</v>
      </c>
      <c r="F240" s="1775" t="s">
        <v>2327</v>
      </c>
      <c r="G240" s="1775" t="s">
        <v>28</v>
      </c>
      <c r="H240" s="1775" t="s">
        <v>28</v>
      </c>
      <c r="I240" s="1775" t="s">
        <v>900</v>
      </c>
    </row>
    <row r="241" spans="1:9" ht="11.25" customHeight="1">
      <c r="A241" s="1775" t="s">
        <v>2260</v>
      </c>
      <c r="B241" s="1775" t="s">
        <v>16</v>
      </c>
      <c r="C241" s="1775" t="s">
        <v>2744</v>
      </c>
      <c r="D241" s="1775" t="s">
        <v>2745</v>
      </c>
      <c r="E241" s="1775" t="s">
        <v>2746</v>
      </c>
      <c r="F241" s="1775" t="s">
        <v>2327</v>
      </c>
      <c r="G241" s="1775" t="s">
        <v>28</v>
      </c>
      <c r="H241" s="1775" t="s">
        <v>28</v>
      </c>
      <c r="I241" s="1775" t="s">
        <v>900</v>
      </c>
    </row>
    <row r="242" spans="1:9" ht="11.25" customHeight="1">
      <c r="A242" s="1775" t="s">
        <v>2260</v>
      </c>
      <c r="B242" s="1775" t="s">
        <v>16</v>
      </c>
      <c r="C242" s="1775" t="s">
        <v>2775</v>
      </c>
      <c r="D242" s="1775" t="s">
        <v>2776</v>
      </c>
      <c r="E242" s="1775" t="s">
        <v>2777</v>
      </c>
      <c r="F242" s="1775" t="s">
        <v>2327</v>
      </c>
      <c r="G242" s="1775" t="s">
        <v>2778</v>
      </c>
      <c r="H242" s="1775" t="s">
        <v>28</v>
      </c>
      <c r="I242" s="1775" t="s">
        <v>900</v>
      </c>
    </row>
    <row r="243" spans="1:9" ht="11.25" customHeight="1">
      <c r="A243" s="1775" t="s">
        <v>2260</v>
      </c>
      <c r="B243" s="1775" t="s">
        <v>16</v>
      </c>
      <c r="C243" s="1775" t="s">
        <v>2811</v>
      </c>
      <c r="D243" s="1775" t="s">
        <v>2812</v>
      </c>
      <c r="E243" s="1775" t="s">
        <v>2813</v>
      </c>
      <c r="F243" s="1775" t="s">
        <v>2320</v>
      </c>
      <c r="G243" s="1775" t="s">
        <v>2814</v>
      </c>
      <c r="H243" s="1775" t="s">
        <v>28</v>
      </c>
      <c r="I243" s="1775" t="s">
        <v>900</v>
      </c>
    </row>
    <row r="244" spans="1:9" ht="11.25" customHeight="1">
      <c r="A244" s="1775" t="s">
        <v>2260</v>
      </c>
      <c r="B244" s="1775" t="s">
        <v>16</v>
      </c>
      <c r="C244" s="1775" t="s">
        <v>2823</v>
      </c>
      <c r="D244" s="1775" t="s">
        <v>2824</v>
      </c>
      <c r="E244" s="1775" t="s">
        <v>2825</v>
      </c>
      <c r="F244" s="1775" t="s">
        <v>2666</v>
      </c>
      <c r="G244" s="1775" t="s">
        <v>2826</v>
      </c>
      <c r="H244" s="1775" t="s">
        <v>28</v>
      </c>
      <c r="I244" s="1775" t="s">
        <v>900</v>
      </c>
    </row>
    <row r="245" spans="1:9" ht="11.25" customHeight="1">
      <c r="A245" s="1775" t="s">
        <v>2260</v>
      </c>
      <c r="B245" s="1775" t="s">
        <v>16</v>
      </c>
      <c r="C245" s="1775" t="s">
        <v>28</v>
      </c>
      <c r="D245" s="1775" t="s">
        <v>2834</v>
      </c>
      <c r="E245" s="1775" t="s">
        <v>2835</v>
      </c>
      <c r="F245" s="1775" t="s">
        <v>2343</v>
      </c>
      <c r="G245" s="1775" t="s">
        <v>28</v>
      </c>
      <c r="H245" s="1775" t="s">
        <v>28</v>
      </c>
      <c r="I245" s="1775" t="s">
        <v>900</v>
      </c>
    </row>
    <row r="246" spans="1:9" ht="11.25" customHeight="1">
      <c r="A246" s="1775" t="s">
        <v>2260</v>
      </c>
      <c r="B246" s="1775" t="s">
        <v>16</v>
      </c>
      <c r="C246" s="1775" t="s">
        <v>2836</v>
      </c>
      <c r="D246" s="1775" t="s">
        <v>2837</v>
      </c>
      <c r="E246" s="1775" t="s">
        <v>2838</v>
      </c>
      <c r="F246" s="1775" t="s">
        <v>2292</v>
      </c>
      <c r="G246" s="1775" t="s">
        <v>28</v>
      </c>
      <c r="H246" s="1775" t="s">
        <v>28</v>
      </c>
      <c r="I246" s="1775" t="s">
        <v>900</v>
      </c>
    </row>
    <row r="247" spans="1:9" ht="11.25" customHeight="1">
      <c r="A247" s="1775" t="s">
        <v>2260</v>
      </c>
      <c r="B247" s="1775" t="s">
        <v>16</v>
      </c>
      <c r="C247" s="1775" t="s">
        <v>2845</v>
      </c>
      <c r="D247" s="1775" t="s">
        <v>2846</v>
      </c>
      <c r="E247" s="1775" t="s">
        <v>2847</v>
      </c>
      <c r="F247" s="1775" t="s">
        <v>2292</v>
      </c>
      <c r="G247" s="1775" t="s">
        <v>28</v>
      </c>
      <c r="H247" s="1775" t="s">
        <v>28</v>
      </c>
      <c r="I247" s="1775" t="s">
        <v>900</v>
      </c>
    </row>
    <row r="248" spans="1:9" ht="11.25" customHeight="1">
      <c r="A248" s="1775" t="s">
        <v>2260</v>
      </c>
      <c r="B248" s="1775" t="s">
        <v>16</v>
      </c>
      <c r="C248" s="1775" t="s">
        <v>2865</v>
      </c>
      <c r="D248" s="1775" t="s">
        <v>2866</v>
      </c>
      <c r="E248" s="1775" t="s">
        <v>2323</v>
      </c>
      <c r="F248" s="1775" t="s">
        <v>2867</v>
      </c>
      <c r="G248" s="1775" t="s">
        <v>28</v>
      </c>
      <c r="H248" s="1775" t="s">
        <v>28</v>
      </c>
      <c r="I248" s="1775" t="s">
        <v>900</v>
      </c>
    </row>
    <row r="249" spans="1:9" ht="11.25" customHeight="1">
      <c r="A249" s="1775" t="s">
        <v>2260</v>
      </c>
      <c r="B249" s="1775" t="s">
        <v>16</v>
      </c>
      <c r="C249" s="1775" t="s">
        <v>2868</v>
      </c>
      <c r="D249" s="1775" t="s">
        <v>2869</v>
      </c>
      <c r="E249" s="1775" t="s">
        <v>2623</v>
      </c>
      <c r="F249" s="1775" t="s">
        <v>2870</v>
      </c>
      <c r="G249" s="1775" t="s">
        <v>28</v>
      </c>
      <c r="H249" s="1775" t="s">
        <v>28</v>
      </c>
      <c r="I249" s="1775" t="s">
        <v>900</v>
      </c>
    </row>
    <row r="250" spans="1:9" ht="11.25" customHeight="1">
      <c r="A250" s="1775" t="s">
        <v>2260</v>
      </c>
      <c r="B250" s="1775" t="s">
        <v>16</v>
      </c>
      <c r="C250" s="1775" t="s">
        <v>2881</v>
      </c>
      <c r="D250" s="1775" t="s">
        <v>2882</v>
      </c>
      <c r="E250" s="1775" t="s">
        <v>2883</v>
      </c>
      <c r="F250" s="1775" t="s">
        <v>2490</v>
      </c>
      <c r="G250" s="1775" t="s">
        <v>28</v>
      </c>
      <c r="H250" s="1775" t="s">
        <v>28</v>
      </c>
      <c r="I250" s="1775" t="s">
        <v>900</v>
      </c>
    </row>
    <row r="251" spans="1:9" ht="11.25" customHeight="1">
      <c r="A251" s="1775" t="s">
        <v>2260</v>
      </c>
      <c r="B251" s="1775" t="s">
        <v>16</v>
      </c>
      <c r="C251" s="1775" t="s">
        <v>2884</v>
      </c>
      <c r="D251" s="1775" t="s">
        <v>2885</v>
      </c>
      <c r="E251" s="1775" t="s">
        <v>2886</v>
      </c>
      <c r="F251" s="1775" t="s">
        <v>2343</v>
      </c>
      <c r="G251" s="1775" t="s">
        <v>28</v>
      </c>
      <c r="H251" s="1775" t="s">
        <v>28</v>
      </c>
      <c r="I251" s="1775" t="s">
        <v>900</v>
      </c>
    </row>
    <row r="252" spans="1:9" ht="11.25" customHeight="1">
      <c r="A252" s="1775" t="s">
        <v>2260</v>
      </c>
      <c r="B252" s="1775" t="s">
        <v>16</v>
      </c>
      <c r="C252" s="1775" t="s">
        <v>2265</v>
      </c>
      <c r="D252" s="1775" t="s">
        <v>2266</v>
      </c>
      <c r="E252" s="1775" t="s">
        <v>2267</v>
      </c>
      <c r="F252" s="1775" t="s">
        <v>2268</v>
      </c>
      <c r="G252" s="1775" t="s">
        <v>28</v>
      </c>
      <c r="H252" s="1775" t="s">
        <v>28</v>
      </c>
      <c r="I252" s="1775" t="s">
        <v>860</v>
      </c>
    </row>
    <row r="253" spans="1:9" ht="11.25" customHeight="1">
      <c r="A253" s="1775" t="s">
        <v>2260</v>
      </c>
      <c r="B253" s="1775" t="s">
        <v>16</v>
      </c>
      <c r="C253" s="1775" t="s">
        <v>2269</v>
      </c>
      <c r="D253" s="1775" t="s">
        <v>2270</v>
      </c>
      <c r="E253" s="1775" t="s">
        <v>2271</v>
      </c>
      <c r="F253" s="1775" t="s">
        <v>2272</v>
      </c>
      <c r="G253" s="1775" t="s">
        <v>28</v>
      </c>
      <c r="H253" s="1775" t="s">
        <v>28</v>
      </c>
      <c r="I253" s="1775" t="s">
        <v>860</v>
      </c>
    </row>
    <row r="254" spans="1:9" ht="11.25" customHeight="1">
      <c r="A254" s="1775" t="s">
        <v>2260</v>
      </c>
      <c r="B254" s="1775" t="s">
        <v>16</v>
      </c>
      <c r="C254" s="1775" t="s">
        <v>2280</v>
      </c>
      <c r="D254" s="1775" t="s">
        <v>2281</v>
      </c>
      <c r="E254" s="1775" t="s">
        <v>2282</v>
      </c>
      <c r="F254" s="1775" t="s">
        <v>2283</v>
      </c>
      <c r="G254" s="1775" t="s">
        <v>2284</v>
      </c>
      <c r="H254" s="1775" t="s">
        <v>28</v>
      </c>
      <c r="I254" s="1775" t="s">
        <v>860</v>
      </c>
    </row>
    <row r="255" spans="1:9" ht="11.25" customHeight="1">
      <c r="A255" s="1775" t="s">
        <v>2260</v>
      </c>
      <c r="B255" s="1775" t="s">
        <v>16</v>
      </c>
      <c r="C255" s="1775" t="s">
        <v>2289</v>
      </c>
      <c r="D255" s="1775" t="s">
        <v>2290</v>
      </c>
      <c r="E255" s="1775" t="s">
        <v>2291</v>
      </c>
      <c r="F255" s="1775" t="s">
        <v>2292</v>
      </c>
      <c r="G255" s="1775" t="s">
        <v>2293</v>
      </c>
      <c r="H255" s="1775" t="s">
        <v>28</v>
      </c>
      <c r="I255" s="1775" t="s">
        <v>860</v>
      </c>
    </row>
    <row r="256" spans="1:9" ht="11.25" customHeight="1">
      <c r="A256" s="1775" t="s">
        <v>2260</v>
      </c>
      <c r="B256" s="1775" t="s">
        <v>16</v>
      </c>
      <c r="C256" s="1775" t="s">
        <v>2893</v>
      </c>
      <c r="D256" s="1775" t="s">
        <v>2894</v>
      </c>
      <c r="E256" s="1775" t="s">
        <v>2895</v>
      </c>
      <c r="F256" s="1775" t="s">
        <v>2335</v>
      </c>
      <c r="G256" s="1775" t="s">
        <v>2896</v>
      </c>
      <c r="H256" s="1775" t="s">
        <v>28</v>
      </c>
      <c r="I256" s="1775" t="s">
        <v>860</v>
      </c>
    </row>
    <row r="257" spans="1:9" ht="11.25" customHeight="1">
      <c r="A257" s="1775" t="s">
        <v>2260</v>
      </c>
      <c r="B257" s="1775" t="s">
        <v>16</v>
      </c>
      <c r="C257" s="1775" t="s">
        <v>2897</v>
      </c>
      <c r="D257" s="1775" t="s">
        <v>2295</v>
      </c>
      <c r="E257" s="1775" t="s">
        <v>2296</v>
      </c>
      <c r="F257" s="1775" t="s">
        <v>2898</v>
      </c>
      <c r="G257" s="1775" t="s">
        <v>2899</v>
      </c>
      <c r="H257" s="1775" t="s">
        <v>28</v>
      </c>
      <c r="I257" s="1775" t="s">
        <v>860</v>
      </c>
    </row>
    <row r="258" spans="1:9" ht="11.25" customHeight="1">
      <c r="A258" s="1775" t="s">
        <v>2260</v>
      </c>
      <c r="B258" s="1775" t="s">
        <v>16</v>
      </c>
      <c r="C258" s="1775" t="s">
        <v>2294</v>
      </c>
      <c r="D258" s="1775" t="s">
        <v>2295</v>
      </c>
      <c r="E258" s="1775" t="s">
        <v>2296</v>
      </c>
      <c r="F258" s="1775" t="s">
        <v>2297</v>
      </c>
      <c r="G258" s="1775" t="s">
        <v>28</v>
      </c>
      <c r="H258" s="1775" t="s">
        <v>28</v>
      </c>
      <c r="I258" s="1775" t="s">
        <v>860</v>
      </c>
    </row>
    <row r="259" spans="1:9" ht="11.25" customHeight="1">
      <c r="A259" s="1775" t="s">
        <v>2260</v>
      </c>
      <c r="B259" s="1775" t="s">
        <v>16</v>
      </c>
      <c r="C259" s="1775" t="s">
        <v>2298</v>
      </c>
      <c r="D259" s="1775" t="s">
        <v>2299</v>
      </c>
      <c r="E259" s="1775" t="s">
        <v>2300</v>
      </c>
      <c r="F259" s="1775" t="s">
        <v>2301</v>
      </c>
      <c r="G259" s="1775" t="s">
        <v>2302</v>
      </c>
      <c r="H259" s="1775" t="s">
        <v>28</v>
      </c>
      <c r="I259" s="1775" t="s">
        <v>860</v>
      </c>
    </row>
    <row r="260" spans="1:9" ht="11.25" customHeight="1">
      <c r="A260" s="1775" t="s">
        <v>2260</v>
      </c>
      <c r="B260" s="1775" t="s">
        <v>16</v>
      </c>
      <c r="C260" s="1775" t="s">
        <v>2312</v>
      </c>
      <c r="D260" s="1775" t="s">
        <v>2313</v>
      </c>
      <c r="E260" s="1775" t="s">
        <v>2314</v>
      </c>
      <c r="F260" s="1775" t="s">
        <v>2315</v>
      </c>
      <c r="G260" s="1775" t="s">
        <v>2316</v>
      </c>
      <c r="H260" s="1775" t="s">
        <v>28</v>
      </c>
      <c r="I260" s="1775" t="s">
        <v>860</v>
      </c>
    </row>
    <row r="261" spans="1:9" ht="11.25" customHeight="1">
      <c r="A261" s="1775" t="s">
        <v>2260</v>
      </c>
      <c r="B261" s="1775" t="s">
        <v>16</v>
      </c>
      <c r="C261" s="1775" t="s">
        <v>2321</v>
      </c>
      <c r="D261" s="1775" t="s">
        <v>2322</v>
      </c>
      <c r="E261" s="1775" t="s">
        <v>2323</v>
      </c>
      <c r="F261" s="1775" t="s">
        <v>2301</v>
      </c>
      <c r="G261" s="1775" t="s">
        <v>28</v>
      </c>
      <c r="H261" s="1775" t="s">
        <v>28</v>
      </c>
      <c r="I261" s="1775" t="s">
        <v>860</v>
      </c>
    </row>
    <row r="262" spans="1:9" ht="11.25" customHeight="1">
      <c r="A262" s="1775" t="s">
        <v>2260</v>
      </c>
      <c r="B262" s="1775" t="s">
        <v>16</v>
      </c>
      <c r="C262" s="1775" t="s">
        <v>2324</v>
      </c>
      <c r="D262" s="1775" t="s">
        <v>2325</v>
      </c>
      <c r="E262" s="1775" t="s">
        <v>2326</v>
      </c>
      <c r="F262" s="1775" t="s">
        <v>2327</v>
      </c>
      <c r="G262" s="1775" t="s">
        <v>28</v>
      </c>
      <c r="H262" s="1775" t="s">
        <v>28</v>
      </c>
      <c r="I262" s="1775" t="s">
        <v>860</v>
      </c>
    </row>
    <row r="263" spans="1:9" ht="11.25" customHeight="1">
      <c r="A263" s="1775" t="s">
        <v>2260</v>
      </c>
      <c r="B263" s="1775" t="s">
        <v>16</v>
      </c>
      <c r="C263" s="1775" t="s">
        <v>2900</v>
      </c>
      <c r="D263" s="1775" t="s">
        <v>2901</v>
      </c>
      <c r="E263" s="1775" t="s">
        <v>2902</v>
      </c>
      <c r="F263" s="1775" t="s">
        <v>2422</v>
      </c>
      <c r="G263" s="1775" t="s">
        <v>2903</v>
      </c>
      <c r="H263" s="1775" t="s">
        <v>28</v>
      </c>
      <c r="I263" s="1775" t="s">
        <v>860</v>
      </c>
    </row>
    <row r="264" spans="1:9" ht="11.25" customHeight="1">
      <c r="A264" s="1775" t="s">
        <v>2260</v>
      </c>
      <c r="B264" s="1775" t="s">
        <v>16</v>
      </c>
      <c r="C264" s="1775" t="s">
        <v>2904</v>
      </c>
      <c r="D264" s="1775" t="s">
        <v>2905</v>
      </c>
      <c r="E264" s="1775" t="s">
        <v>2906</v>
      </c>
      <c r="F264" s="1775" t="s">
        <v>2348</v>
      </c>
      <c r="G264" s="1775" t="s">
        <v>28</v>
      </c>
      <c r="H264" s="1775" t="s">
        <v>28</v>
      </c>
      <c r="I264" s="1775" t="s">
        <v>860</v>
      </c>
    </row>
    <row r="265" spans="1:9" ht="11.25" customHeight="1">
      <c r="A265" s="1775" t="s">
        <v>2260</v>
      </c>
      <c r="B265" s="1775" t="s">
        <v>16</v>
      </c>
      <c r="C265" s="1775" t="s">
        <v>2349</v>
      </c>
      <c r="D265" s="1775" t="s">
        <v>2350</v>
      </c>
      <c r="E265" s="1775" t="s">
        <v>2351</v>
      </c>
      <c r="F265" s="1775" t="s">
        <v>2288</v>
      </c>
      <c r="G265" s="1775" t="s">
        <v>2352</v>
      </c>
      <c r="H265" s="1775" t="s">
        <v>28</v>
      </c>
      <c r="I265" s="1775" t="s">
        <v>860</v>
      </c>
    </row>
    <row r="266" spans="1:9" ht="11.25" customHeight="1">
      <c r="A266" s="1775" t="s">
        <v>2260</v>
      </c>
      <c r="B266" s="1775" t="s">
        <v>16</v>
      </c>
      <c r="C266" s="1775" t="s">
        <v>2357</v>
      </c>
      <c r="D266" s="1775" t="s">
        <v>2358</v>
      </c>
      <c r="E266" s="1775" t="s">
        <v>2359</v>
      </c>
      <c r="F266" s="1775" t="s">
        <v>2343</v>
      </c>
      <c r="G266" s="1775" t="s">
        <v>28</v>
      </c>
      <c r="H266" s="1775" t="s">
        <v>28</v>
      </c>
      <c r="I266" s="1775" t="s">
        <v>860</v>
      </c>
    </row>
    <row r="267" spans="1:9" ht="11.25" customHeight="1">
      <c r="A267" s="1775" t="s">
        <v>2260</v>
      </c>
      <c r="B267" s="1775" t="s">
        <v>16</v>
      </c>
      <c r="C267" s="1775" t="s">
        <v>13</v>
      </c>
      <c r="D267" s="1775" t="s">
        <v>47</v>
      </c>
      <c r="E267" s="1775" t="s">
        <v>50</v>
      </c>
      <c r="F267" s="1775" t="s">
        <v>52</v>
      </c>
      <c r="G267" s="1775" t="s">
        <v>2365</v>
      </c>
      <c r="H267" s="1775" t="s">
        <v>28</v>
      </c>
      <c r="I267" s="1775" t="s">
        <v>860</v>
      </c>
    </row>
    <row r="268" spans="1:9" ht="11.25" customHeight="1">
      <c r="A268" s="1775" t="s">
        <v>2260</v>
      </c>
      <c r="B268" s="1775" t="s">
        <v>16</v>
      </c>
      <c r="C268" s="1775" t="s">
        <v>2373</v>
      </c>
      <c r="D268" s="1775" t="s">
        <v>2374</v>
      </c>
      <c r="E268" s="1775" t="s">
        <v>2375</v>
      </c>
      <c r="F268" s="1775" t="s">
        <v>2376</v>
      </c>
      <c r="G268" s="1775" t="s">
        <v>28</v>
      </c>
      <c r="H268" s="1775" t="s">
        <v>28</v>
      </c>
      <c r="I268" s="1775" t="s">
        <v>860</v>
      </c>
    </row>
    <row r="269" spans="1:9" ht="11.25" customHeight="1">
      <c r="A269" s="1775" t="s">
        <v>2260</v>
      </c>
      <c r="B269" s="1775" t="s">
        <v>16</v>
      </c>
      <c r="C269" s="1775" t="s">
        <v>2381</v>
      </c>
      <c r="D269" s="1775" t="s">
        <v>2382</v>
      </c>
      <c r="E269" s="1775" t="s">
        <v>2383</v>
      </c>
      <c r="F269" s="1775" t="s">
        <v>2384</v>
      </c>
      <c r="G269" s="1775" t="s">
        <v>2385</v>
      </c>
      <c r="H269" s="1775" t="s">
        <v>28</v>
      </c>
      <c r="I269" s="1775" t="s">
        <v>860</v>
      </c>
    </row>
    <row r="270" spans="1:9" ht="11.25" customHeight="1">
      <c r="A270" s="1775" t="s">
        <v>2260</v>
      </c>
      <c r="B270" s="1775" t="s">
        <v>16</v>
      </c>
      <c r="C270" s="1775" t="s">
        <v>2907</v>
      </c>
      <c r="D270" s="1775" t="s">
        <v>2908</v>
      </c>
      <c r="E270" s="1775" t="s">
        <v>2319</v>
      </c>
      <c r="F270" s="1775" t="s">
        <v>2301</v>
      </c>
      <c r="G270" s="1775" t="s">
        <v>2909</v>
      </c>
      <c r="H270" s="1775" t="s">
        <v>28</v>
      </c>
      <c r="I270" s="1775" t="s">
        <v>860</v>
      </c>
    </row>
    <row r="271" spans="1:9" ht="11.25" customHeight="1">
      <c r="A271" s="1775" t="s">
        <v>2260</v>
      </c>
      <c r="B271" s="1775" t="s">
        <v>16</v>
      </c>
      <c r="C271" s="1775" t="s">
        <v>2402</v>
      </c>
      <c r="D271" s="1775" t="s">
        <v>2403</v>
      </c>
      <c r="E271" s="1775" t="s">
        <v>2404</v>
      </c>
      <c r="F271" s="1775" t="s">
        <v>2405</v>
      </c>
      <c r="G271" s="1775" t="s">
        <v>28</v>
      </c>
      <c r="H271" s="1775" t="s">
        <v>28</v>
      </c>
      <c r="I271" s="1775" t="s">
        <v>860</v>
      </c>
    </row>
    <row r="272" spans="1:9" ht="11.25" customHeight="1">
      <c r="A272" s="1775" t="s">
        <v>2260</v>
      </c>
      <c r="B272" s="1775" t="s">
        <v>16</v>
      </c>
      <c r="C272" s="1775" t="s">
        <v>2414</v>
      </c>
      <c r="D272" s="1775" t="s">
        <v>2415</v>
      </c>
      <c r="E272" s="1775" t="s">
        <v>2416</v>
      </c>
      <c r="F272" s="1775" t="s">
        <v>2417</v>
      </c>
      <c r="G272" s="1775" t="s">
        <v>2418</v>
      </c>
      <c r="H272" s="1775" t="s">
        <v>28</v>
      </c>
      <c r="I272" s="1775" t="s">
        <v>860</v>
      </c>
    </row>
    <row r="273" spans="1:9" ht="11.25" customHeight="1">
      <c r="A273" s="1775" t="s">
        <v>2260</v>
      </c>
      <c r="B273" s="1775" t="s">
        <v>16</v>
      </c>
      <c r="C273" s="1775" t="s">
        <v>2423</v>
      </c>
      <c r="D273" s="1775" t="s">
        <v>2424</v>
      </c>
      <c r="E273" s="1775" t="s">
        <v>2425</v>
      </c>
      <c r="F273" s="1775" t="s">
        <v>2417</v>
      </c>
      <c r="G273" s="1775" t="s">
        <v>2426</v>
      </c>
      <c r="H273" s="1775" t="s">
        <v>28</v>
      </c>
      <c r="I273" s="1775" t="s">
        <v>860</v>
      </c>
    </row>
    <row r="274" spans="1:9" ht="11.25" customHeight="1">
      <c r="A274" s="1775" t="s">
        <v>2260</v>
      </c>
      <c r="B274" s="1775" t="s">
        <v>16</v>
      </c>
      <c r="C274" s="1775" t="s">
        <v>2910</v>
      </c>
      <c r="D274" s="1775" t="s">
        <v>2911</v>
      </c>
      <c r="E274" s="1775" t="s">
        <v>2912</v>
      </c>
      <c r="F274" s="1775" t="s">
        <v>2343</v>
      </c>
      <c r="G274" s="1775" t="s">
        <v>28</v>
      </c>
      <c r="H274" s="1775" t="s">
        <v>28</v>
      </c>
      <c r="I274" s="1775" t="s">
        <v>860</v>
      </c>
    </row>
    <row r="275" spans="1:9" ht="11.25" customHeight="1">
      <c r="A275" s="1775" t="s">
        <v>2260</v>
      </c>
      <c r="B275" s="1775" t="s">
        <v>16</v>
      </c>
      <c r="C275" s="1775" t="s">
        <v>2427</v>
      </c>
      <c r="D275" s="1775" t="s">
        <v>2428</v>
      </c>
      <c r="E275" s="1775" t="s">
        <v>2429</v>
      </c>
      <c r="F275" s="1775" t="s">
        <v>2283</v>
      </c>
      <c r="G275" s="1775" t="s">
        <v>28</v>
      </c>
      <c r="H275" s="1775" t="s">
        <v>28</v>
      </c>
      <c r="I275" s="1775" t="s">
        <v>860</v>
      </c>
    </row>
    <row r="276" spans="1:9" ht="11.25" customHeight="1">
      <c r="A276" s="1775" t="s">
        <v>2260</v>
      </c>
      <c r="B276" s="1775" t="s">
        <v>16</v>
      </c>
      <c r="C276" s="1775" t="s">
        <v>2430</v>
      </c>
      <c r="D276" s="1775" t="s">
        <v>2431</v>
      </c>
      <c r="E276" s="1775" t="s">
        <v>2432</v>
      </c>
      <c r="F276" s="1775" t="s">
        <v>2283</v>
      </c>
      <c r="G276" s="1775" t="s">
        <v>28</v>
      </c>
      <c r="H276" s="1775" t="s">
        <v>28</v>
      </c>
      <c r="I276" s="1775" t="s">
        <v>860</v>
      </c>
    </row>
    <row r="277" spans="1:9" ht="11.25" customHeight="1">
      <c r="A277" s="1775" t="s">
        <v>2260</v>
      </c>
      <c r="B277" s="1775" t="s">
        <v>16</v>
      </c>
      <c r="C277" s="1775" t="s">
        <v>2433</v>
      </c>
      <c r="D277" s="1775" t="s">
        <v>2434</v>
      </c>
      <c r="E277" s="1775" t="s">
        <v>2435</v>
      </c>
      <c r="F277" s="1775" t="s">
        <v>2315</v>
      </c>
      <c r="G277" s="1775" t="s">
        <v>28</v>
      </c>
      <c r="H277" s="1775" t="s">
        <v>28</v>
      </c>
      <c r="I277" s="1775" t="s">
        <v>860</v>
      </c>
    </row>
    <row r="278" spans="1:9" ht="11.25" customHeight="1">
      <c r="A278" s="1775" t="s">
        <v>2260</v>
      </c>
      <c r="B278" s="1775" t="s">
        <v>16</v>
      </c>
      <c r="C278" s="1775" t="s">
        <v>2436</v>
      </c>
      <c r="D278" s="1775" t="s">
        <v>2437</v>
      </c>
      <c r="E278" s="1775" t="s">
        <v>2438</v>
      </c>
      <c r="F278" s="1775" t="s">
        <v>2439</v>
      </c>
      <c r="G278" s="1775" t="s">
        <v>2440</v>
      </c>
      <c r="H278" s="1775" t="s">
        <v>28</v>
      </c>
      <c r="I278" s="1775" t="s">
        <v>860</v>
      </c>
    </row>
    <row r="279" spans="1:9" ht="11.25" customHeight="1">
      <c r="A279" s="1775" t="s">
        <v>2260</v>
      </c>
      <c r="B279" s="1775" t="s">
        <v>16</v>
      </c>
      <c r="C279" s="1775" t="s">
        <v>2441</v>
      </c>
      <c r="D279" s="1775" t="s">
        <v>2442</v>
      </c>
      <c r="E279" s="1775" t="s">
        <v>2443</v>
      </c>
      <c r="F279" s="1775" t="s">
        <v>2439</v>
      </c>
      <c r="G279" s="1775" t="s">
        <v>2444</v>
      </c>
      <c r="H279" s="1775" t="s">
        <v>28</v>
      </c>
      <c r="I279" s="1775" t="s">
        <v>860</v>
      </c>
    </row>
    <row r="280" spans="1:9" ht="11.25" customHeight="1">
      <c r="A280" s="1775" t="s">
        <v>2260</v>
      </c>
      <c r="B280" s="1775" t="s">
        <v>16</v>
      </c>
      <c r="C280" s="1775" t="s">
        <v>2448</v>
      </c>
      <c r="D280" s="1775" t="s">
        <v>2449</v>
      </c>
      <c r="E280" s="1775" t="s">
        <v>2450</v>
      </c>
      <c r="F280" s="1775" t="s">
        <v>2327</v>
      </c>
      <c r="G280" s="1775" t="s">
        <v>28</v>
      </c>
      <c r="H280" s="1775" t="s">
        <v>28</v>
      </c>
      <c r="I280" s="1775" t="s">
        <v>860</v>
      </c>
    </row>
    <row r="281" spans="1:9" ht="11.25" customHeight="1">
      <c r="A281" s="1775" t="s">
        <v>2260</v>
      </c>
      <c r="B281" s="1775" t="s">
        <v>16</v>
      </c>
      <c r="C281" s="1775" t="s">
        <v>2451</v>
      </c>
      <c r="D281" s="1775" t="s">
        <v>2452</v>
      </c>
      <c r="E281" s="1775" t="s">
        <v>2453</v>
      </c>
      <c r="F281" s="1775" t="s">
        <v>2315</v>
      </c>
      <c r="G281" s="1775" t="s">
        <v>2454</v>
      </c>
      <c r="H281" s="1775" t="s">
        <v>28</v>
      </c>
      <c r="I281" s="1775" t="s">
        <v>860</v>
      </c>
    </row>
    <row r="282" spans="1:9" ht="11.25" customHeight="1">
      <c r="A282" s="1775" t="s">
        <v>2260</v>
      </c>
      <c r="B282" s="1775" t="s">
        <v>16</v>
      </c>
      <c r="C282" s="1775" t="s">
        <v>2462</v>
      </c>
      <c r="D282" s="1775" t="s">
        <v>2463</v>
      </c>
      <c r="E282" s="1775" t="s">
        <v>2464</v>
      </c>
      <c r="F282" s="1775" t="s">
        <v>2301</v>
      </c>
      <c r="G282" s="1775" t="s">
        <v>2465</v>
      </c>
      <c r="H282" s="1775" t="s">
        <v>28</v>
      </c>
      <c r="I282" s="1775" t="s">
        <v>860</v>
      </c>
    </row>
    <row r="283" spans="1:9" ht="11.25" customHeight="1">
      <c r="A283" s="1775" t="s">
        <v>2260</v>
      </c>
      <c r="B283" s="1775" t="s">
        <v>16</v>
      </c>
      <c r="C283" s="1775" t="s">
        <v>2466</v>
      </c>
      <c r="D283" s="1775" t="s">
        <v>2467</v>
      </c>
      <c r="E283" s="1775" t="s">
        <v>2468</v>
      </c>
      <c r="F283" s="1775" t="s">
        <v>2469</v>
      </c>
      <c r="G283" s="1775" t="s">
        <v>28</v>
      </c>
      <c r="H283" s="1775" t="s">
        <v>28</v>
      </c>
      <c r="I283" s="1775" t="s">
        <v>860</v>
      </c>
    </row>
    <row r="284" spans="1:9" ht="11.25" customHeight="1">
      <c r="A284" s="1775" t="s">
        <v>2260</v>
      </c>
      <c r="B284" s="1775" t="s">
        <v>16</v>
      </c>
      <c r="C284" s="1775" t="s">
        <v>2470</v>
      </c>
      <c r="D284" s="1775" t="s">
        <v>2471</v>
      </c>
      <c r="E284" s="1775" t="s">
        <v>2472</v>
      </c>
      <c r="F284" s="1775" t="s">
        <v>2417</v>
      </c>
      <c r="G284" s="1775" t="s">
        <v>28</v>
      </c>
      <c r="H284" s="1775" t="s">
        <v>28</v>
      </c>
      <c r="I284" s="1775" t="s">
        <v>860</v>
      </c>
    </row>
    <row r="285" spans="1:9" ht="11.25" customHeight="1">
      <c r="A285" s="1775" t="s">
        <v>2260</v>
      </c>
      <c r="B285" s="1775" t="s">
        <v>16</v>
      </c>
      <c r="C285" s="1775" t="s">
        <v>2473</v>
      </c>
      <c r="D285" s="1775" t="s">
        <v>2474</v>
      </c>
      <c r="E285" s="1775" t="s">
        <v>2475</v>
      </c>
      <c r="F285" s="1775" t="s">
        <v>2476</v>
      </c>
      <c r="G285" s="1775" t="s">
        <v>28</v>
      </c>
      <c r="H285" s="1775" t="s">
        <v>28</v>
      </c>
      <c r="I285" s="1775" t="s">
        <v>860</v>
      </c>
    </row>
    <row r="286" spans="1:9" ht="11.25" customHeight="1">
      <c r="A286" s="1775" t="s">
        <v>2260</v>
      </c>
      <c r="B286" s="1775" t="s">
        <v>16</v>
      </c>
      <c r="C286" s="1775" t="s">
        <v>2477</v>
      </c>
      <c r="D286" s="1775" t="s">
        <v>2478</v>
      </c>
      <c r="E286" s="1775" t="s">
        <v>2479</v>
      </c>
      <c r="F286" s="1775" t="s">
        <v>2417</v>
      </c>
      <c r="G286" s="1775" t="s">
        <v>28</v>
      </c>
      <c r="H286" s="1775" t="s">
        <v>28</v>
      </c>
      <c r="I286" s="1775" t="s">
        <v>860</v>
      </c>
    </row>
    <row r="287" spans="1:9" ht="11.25" customHeight="1">
      <c r="A287" s="1775" t="s">
        <v>2260</v>
      </c>
      <c r="B287" s="1775" t="s">
        <v>16</v>
      </c>
      <c r="C287" s="1775" t="s">
        <v>2480</v>
      </c>
      <c r="D287" s="1775" t="s">
        <v>2481</v>
      </c>
      <c r="E287" s="1775" t="s">
        <v>2482</v>
      </c>
      <c r="F287" s="1775" t="s">
        <v>2483</v>
      </c>
      <c r="G287" s="1775" t="s">
        <v>28</v>
      </c>
      <c r="H287" s="1775" t="s">
        <v>28</v>
      </c>
      <c r="I287" s="1775" t="s">
        <v>860</v>
      </c>
    </row>
    <row r="288" spans="1:9" ht="11.25" customHeight="1">
      <c r="A288" s="1775" t="s">
        <v>2260</v>
      </c>
      <c r="B288" s="1775" t="s">
        <v>16</v>
      </c>
      <c r="C288" s="1775" t="s">
        <v>2484</v>
      </c>
      <c r="D288" s="1775" t="s">
        <v>2485</v>
      </c>
      <c r="E288" s="1775" t="s">
        <v>2486</v>
      </c>
      <c r="F288" s="1775" t="s">
        <v>2268</v>
      </c>
      <c r="G288" s="1775" t="s">
        <v>28</v>
      </c>
      <c r="H288" s="1775" t="s">
        <v>28</v>
      </c>
      <c r="I288" s="1775" t="s">
        <v>860</v>
      </c>
    </row>
    <row r="289" spans="1:9" ht="11.25" customHeight="1">
      <c r="A289" s="1775" t="s">
        <v>2260</v>
      </c>
      <c r="B289" s="1775" t="s">
        <v>16</v>
      </c>
      <c r="C289" s="1775" t="s">
        <v>2487</v>
      </c>
      <c r="D289" s="1775" t="s">
        <v>2488</v>
      </c>
      <c r="E289" s="1775" t="s">
        <v>2489</v>
      </c>
      <c r="F289" s="1775" t="s">
        <v>2490</v>
      </c>
      <c r="G289" s="1775" t="s">
        <v>28</v>
      </c>
      <c r="H289" s="1775" t="s">
        <v>28</v>
      </c>
      <c r="I289" s="1775" t="s">
        <v>860</v>
      </c>
    </row>
    <row r="290" spans="1:9" ht="11.25" customHeight="1">
      <c r="A290" s="1775" t="s">
        <v>2260</v>
      </c>
      <c r="B290" s="1775" t="s">
        <v>16</v>
      </c>
      <c r="C290" s="1775" t="s">
        <v>2491</v>
      </c>
      <c r="D290" s="1775" t="s">
        <v>2492</v>
      </c>
      <c r="E290" s="1775" t="s">
        <v>2493</v>
      </c>
      <c r="F290" s="1775" t="s">
        <v>2268</v>
      </c>
      <c r="G290" s="1775" t="s">
        <v>2494</v>
      </c>
      <c r="H290" s="1775" t="s">
        <v>28</v>
      </c>
      <c r="I290" s="1775" t="s">
        <v>860</v>
      </c>
    </row>
    <row r="291" spans="1:9" ht="11.25" customHeight="1">
      <c r="A291" s="1775" t="s">
        <v>2260</v>
      </c>
      <c r="B291" s="1775" t="s">
        <v>16</v>
      </c>
      <c r="C291" s="1775" t="s">
        <v>2499</v>
      </c>
      <c r="D291" s="1775" t="s">
        <v>2500</v>
      </c>
      <c r="E291" s="1775" t="s">
        <v>2501</v>
      </c>
      <c r="F291" s="1775" t="s">
        <v>2268</v>
      </c>
      <c r="G291" s="1775" t="s">
        <v>2494</v>
      </c>
      <c r="H291" s="1775" t="s">
        <v>28</v>
      </c>
      <c r="I291" s="1775" t="s">
        <v>860</v>
      </c>
    </row>
    <row r="292" spans="1:9" ht="11.25" customHeight="1">
      <c r="A292" s="1775" t="s">
        <v>2260</v>
      </c>
      <c r="B292" s="1775" t="s">
        <v>16</v>
      </c>
      <c r="C292" s="1775" t="s">
        <v>2502</v>
      </c>
      <c r="D292" s="1775" t="s">
        <v>2503</v>
      </c>
      <c r="E292" s="1775" t="s">
        <v>2504</v>
      </c>
      <c r="F292" s="1775" t="s">
        <v>2327</v>
      </c>
      <c r="G292" s="1775" t="s">
        <v>28</v>
      </c>
      <c r="H292" s="1775" t="s">
        <v>28</v>
      </c>
      <c r="I292" s="1775" t="s">
        <v>860</v>
      </c>
    </row>
    <row r="293" spans="1:9" ht="11.25" customHeight="1">
      <c r="A293" s="1775" t="s">
        <v>2260</v>
      </c>
      <c r="B293" s="1775" t="s">
        <v>16</v>
      </c>
      <c r="C293" s="1775" t="s">
        <v>2505</v>
      </c>
      <c r="D293" s="1775" t="s">
        <v>2506</v>
      </c>
      <c r="E293" s="1775" t="s">
        <v>2507</v>
      </c>
      <c r="F293" s="1775" t="s">
        <v>2288</v>
      </c>
      <c r="G293" s="1775" t="s">
        <v>2508</v>
      </c>
      <c r="H293" s="1775" t="s">
        <v>28</v>
      </c>
      <c r="I293" s="1775" t="s">
        <v>860</v>
      </c>
    </row>
    <row r="294" spans="1:9" ht="11.25" customHeight="1">
      <c r="A294" s="1775" t="s">
        <v>2260</v>
      </c>
      <c r="B294" s="1775" t="s">
        <v>16</v>
      </c>
      <c r="C294" s="1775" t="s">
        <v>2913</v>
      </c>
      <c r="D294" s="1775" t="s">
        <v>2914</v>
      </c>
      <c r="E294" s="1775" t="s">
        <v>2915</v>
      </c>
      <c r="F294" s="1775" t="s">
        <v>2301</v>
      </c>
      <c r="G294" s="1775" t="s">
        <v>28</v>
      </c>
      <c r="H294" s="1775" t="s">
        <v>28</v>
      </c>
      <c r="I294" s="1775" t="s">
        <v>860</v>
      </c>
    </row>
    <row r="295" spans="1:9" ht="11.25" customHeight="1">
      <c r="A295" s="1775" t="s">
        <v>2260</v>
      </c>
      <c r="B295" s="1775" t="s">
        <v>16</v>
      </c>
      <c r="C295" s="1775" t="s">
        <v>2916</v>
      </c>
      <c r="D295" s="1775" t="s">
        <v>2917</v>
      </c>
      <c r="E295" s="1775" t="s">
        <v>2918</v>
      </c>
      <c r="F295" s="1775" t="s">
        <v>2301</v>
      </c>
      <c r="G295" s="1775" t="s">
        <v>28</v>
      </c>
      <c r="H295" s="1775" t="s">
        <v>28</v>
      </c>
      <c r="I295" s="1775" t="s">
        <v>860</v>
      </c>
    </row>
    <row r="296" spans="1:9" ht="11.25" customHeight="1">
      <c r="A296" s="1775" t="s">
        <v>2260</v>
      </c>
      <c r="B296" s="1775" t="s">
        <v>16</v>
      </c>
      <c r="C296" s="1775" t="s">
        <v>2513</v>
      </c>
      <c r="D296" s="1775" t="s">
        <v>2514</v>
      </c>
      <c r="E296" s="1775" t="s">
        <v>2515</v>
      </c>
      <c r="F296" s="1775" t="s">
        <v>2268</v>
      </c>
      <c r="G296" s="1775" t="s">
        <v>2516</v>
      </c>
      <c r="H296" s="1775" t="s">
        <v>28</v>
      </c>
      <c r="I296" s="1775" t="s">
        <v>860</v>
      </c>
    </row>
    <row r="297" spans="1:9" ht="11.25" customHeight="1">
      <c r="A297" s="1775" t="s">
        <v>2260</v>
      </c>
      <c r="B297" s="1775" t="s">
        <v>16</v>
      </c>
      <c r="C297" s="1775" t="s">
        <v>2517</v>
      </c>
      <c r="D297" s="1775" t="s">
        <v>2518</v>
      </c>
      <c r="E297" s="1775" t="s">
        <v>2519</v>
      </c>
      <c r="F297" s="1775" t="s">
        <v>2476</v>
      </c>
      <c r="G297" s="1775" t="s">
        <v>28</v>
      </c>
      <c r="H297" s="1775" t="s">
        <v>28</v>
      </c>
      <c r="I297" s="1775" t="s">
        <v>860</v>
      </c>
    </row>
    <row r="298" spans="1:9" ht="11.25" customHeight="1">
      <c r="A298" s="1775" t="s">
        <v>2260</v>
      </c>
      <c r="B298" s="1775" t="s">
        <v>16</v>
      </c>
      <c r="C298" s="1775" t="s">
        <v>2537</v>
      </c>
      <c r="D298" s="1775" t="s">
        <v>2538</v>
      </c>
      <c r="E298" s="1775" t="s">
        <v>2539</v>
      </c>
      <c r="F298" s="1775" t="s">
        <v>2422</v>
      </c>
      <c r="G298" s="1775" t="s">
        <v>28</v>
      </c>
      <c r="H298" s="1775" t="s">
        <v>28</v>
      </c>
      <c r="I298" s="1775" t="s">
        <v>860</v>
      </c>
    </row>
    <row r="299" spans="1:9" ht="11.25" customHeight="1">
      <c r="A299" s="1775" t="s">
        <v>2260</v>
      </c>
      <c r="B299" s="1775" t="s">
        <v>16</v>
      </c>
      <c r="C299" s="1775" t="s">
        <v>2919</v>
      </c>
      <c r="D299" s="1775" t="s">
        <v>2920</v>
      </c>
      <c r="E299" s="1775" t="s">
        <v>2383</v>
      </c>
      <c r="F299" s="1775" t="s">
        <v>2921</v>
      </c>
      <c r="G299" s="1775" t="s">
        <v>28</v>
      </c>
      <c r="H299" s="1775" t="s">
        <v>28</v>
      </c>
      <c r="I299" s="1775" t="s">
        <v>860</v>
      </c>
    </row>
    <row r="300" spans="1:9" ht="11.25" customHeight="1">
      <c r="A300" s="1775" t="s">
        <v>2260</v>
      </c>
      <c r="B300" s="1775" t="s">
        <v>16</v>
      </c>
      <c r="C300" s="1775" t="s">
        <v>2546</v>
      </c>
      <c r="D300" s="1775" t="s">
        <v>2547</v>
      </c>
      <c r="E300" s="1775" t="s">
        <v>2548</v>
      </c>
      <c r="F300" s="1775" t="s">
        <v>2315</v>
      </c>
      <c r="G300" s="1775" t="s">
        <v>28</v>
      </c>
      <c r="H300" s="1775" t="s">
        <v>28</v>
      </c>
      <c r="I300" s="1775" t="s">
        <v>860</v>
      </c>
    </row>
    <row r="301" spans="1:9" ht="11.25" customHeight="1">
      <c r="A301" s="1775" t="s">
        <v>2260</v>
      </c>
      <c r="B301" s="1775" t="s">
        <v>16</v>
      </c>
      <c r="C301" s="1775" t="s">
        <v>2922</v>
      </c>
      <c r="D301" s="1775" t="s">
        <v>2923</v>
      </c>
      <c r="E301" s="1775" t="s">
        <v>2924</v>
      </c>
      <c r="F301" s="1775" t="s">
        <v>2331</v>
      </c>
      <c r="G301" s="1775" t="s">
        <v>2925</v>
      </c>
      <c r="H301" s="1775" t="s">
        <v>28</v>
      </c>
      <c r="I301" s="1775" t="s">
        <v>860</v>
      </c>
    </row>
    <row r="302" spans="1:9" ht="11.25" customHeight="1">
      <c r="A302" s="1775" t="s">
        <v>2260</v>
      </c>
      <c r="B302" s="1775" t="s">
        <v>16</v>
      </c>
      <c r="C302" s="1775" t="s">
        <v>2553</v>
      </c>
      <c r="D302" s="1775" t="s">
        <v>2554</v>
      </c>
      <c r="E302" s="1775" t="s">
        <v>2555</v>
      </c>
      <c r="F302" s="1775" t="s">
        <v>2490</v>
      </c>
      <c r="G302" s="1775" t="s">
        <v>2556</v>
      </c>
      <c r="H302" s="1775" t="s">
        <v>28</v>
      </c>
      <c r="I302" s="1775" t="s">
        <v>860</v>
      </c>
    </row>
    <row r="303" spans="1:9" ht="11.25" customHeight="1">
      <c r="A303" s="1775" t="s">
        <v>2260</v>
      </c>
      <c r="B303" s="1775" t="s">
        <v>16</v>
      </c>
      <c r="C303" s="1775" t="s">
        <v>2557</v>
      </c>
      <c r="D303" s="1775" t="s">
        <v>2558</v>
      </c>
      <c r="E303" s="1775" t="s">
        <v>2559</v>
      </c>
      <c r="F303" s="1775" t="s">
        <v>2560</v>
      </c>
      <c r="G303" s="1775" t="s">
        <v>2561</v>
      </c>
      <c r="H303" s="1775" t="s">
        <v>28</v>
      </c>
      <c r="I303" s="1775" t="s">
        <v>860</v>
      </c>
    </row>
    <row r="304" spans="1:9" ht="11.25" customHeight="1">
      <c r="A304" s="1775" t="s">
        <v>2260</v>
      </c>
      <c r="B304" s="1775" t="s">
        <v>16</v>
      </c>
      <c r="C304" s="1775" t="s">
        <v>2562</v>
      </c>
      <c r="D304" s="1775" t="s">
        <v>2558</v>
      </c>
      <c r="E304" s="1775" t="s">
        <v>2559</v>
      </c>
      <c r="F304" s="1775" t="s">
        <v>2563</v>
      </c>
      <c r="G304" s="1775" t="s">
        <v>28</v>
      </c>
      <c r="H304" s="1775" t="s">
        <v>28</v>
      </c>
      <c r="I304" s="1775" t="s">
        <v>860</v>
      </c>
    </row>
    <row r="305" spans="1:9" ht="11.25" customHeight="1">
      <c r="A305" s="1775" t="s">
        <v>2260</v>
      </c>
      <c r="B305" s="1775" t="s">
        <v>16</v>
      </c>
      <c r="C305" s="1775" t="s">
        <v>2567</v>
      </c>
      <c r="D305" s="1775" t="s">
        <v>2568</v>
      </c>
      <c r="E305" s="1775" t="s">
        <v>2263</v>
      </c>
      <c r="F305" s="1775" t="s">
        <v>2569</v>
      </c>
      <c r="G305" s="1775" t="s">
        <v>28</v>
      </c>
      <c r="H305" s="1775" t="s">
        <v>28</v>
      </c>
      <c r="I305" s="1775" t="s">
        <v>860</v>
      </c>
    </row>
    <row r="306" spans="1:9" ht="11.25" customHeight="1">
      <c r="A306" s="1775" t="s">
        <v>2260</v>
      </c>
      <c r="B306" s="1775" t="s">
        <v>16</v>
      </c>
      <c r="C306" s="1775" t="s">
        <v>2570</v>
      </c>
      <c r="D306" s="1775" t="s">
        <v>2571</v>
      </c>
      <c r="E306" s="1775" t="s">
        <v>2263</v>
      </c>
      <c r="F306" s="1775" t="s">
        <v>2572</v>
      </c>
      <c r="G306" s="1775" t="s">
        <v>28</v>
      </c>
      <c r="H306" s="1775" t="s">
        <v>28</v>
      </c>
      <c r="I306" s="1775" t="s">
        <v>860</v>
      </c>
    </row>
    <row r="307" spans="1:9" ht="11.25" customHeight="1">
      <c r="A307" s="1775" t="s">
        <v>2260</v>
      </c>
      <c r="B307" s="1775" t="s">
        <v>16</v>
      </c>
      <c r="C307" s="1775" t="s">
        <v>2573</v>
      </c>
      <c r="D307" s="1775" t="s">
        <v>2574</v>
      </c>
      <c r="E307" s="1775" t="s">
        <v>2263</v>
      </c>
      <c r="F307" s="1775" t="s">
        <v>2575</v>
      </c>
      <c r="G307" s="1775" t="s">
        <v>28</v>
      </c>
      <c r="H307" s="1775" t="s">
        <v>28</v>
      </c>
      <c r="I307" s="1775" t="s">
        <v>860</v>
      </c>
    </row>
    <row r="308" spans="1:9" ht="11.25" customHeight="1">
      <c r="A308" s="1775" t="s">
        <v>2260</v>
      </c>
      <c r="B308" s="1775" t="s">
        <v>16</v>
      </c>
      <c r="C308" s="1775" t="s">
        <v>2576</v>
      </c>
      <c r="D308" s="1775" t="s">
        <v>2577</v>
      </c>
      <c r="E308" s="1775" t="s">
        <v>2263</v>
      </c>
      <c r="F308" s="1775" t="s">
        <v>2578</v>
      </c>
      <c r="G308" s="1775" t="s">
        <v>28</v>
      </c>
      <c r="H308" s="1775" t="s">
        <v>28</v>
      </c>
      <c r="I308" s="1775" t="s">
        <v>860</v>
      </c>
    </row>
    <row r="309" spans="1:9" ht="11.25" customHeight="1">
      <c r="A309" s="1775" t="s">
        <v>2260</v>
      </c>
      <c r="B309" s="1775" t="s">
        <v>16</v>
      </c>
      <c r="C309" s="1775" t="s">
        <v>2579</v>
      </c>
      <c r="D309" s="1775" t="s">
        <v>2580</v>
      </c>
      <c r="E309" s="1775" t="s">
        <v>2263</v>
      </c>
      <c r="F309" s="1775" t="s">
        <v>2581</v>
      </c>
      <c r="G309" s="1775" t="s">
        <v>28</v>
      </c>
      <c r="H309" s="1775" t="s">
        <v>28</v>
      </c>
      <c r="I309" s="1775" t="s">
        <v>860</v>
      </c>
    </row>
    <row r="310" spans="1:9" ht="11.25" customHeight="1">
      <c r="A310" s="1775" t="s">
        <v>2260</v>
      </c>
      <c r="B310" s="1775" t="s">
        <v>16</v>
      </c>
      <c r="C310" s="1775" t="s">
        <v>2582</v>
      </c>
      <c r="D310" s="1775" t="s">
        <v>2583</v>
      </c>
      <c r="E310" s="1775" t="s">
        <v>2263</v>
      </c>
      <c r="F310" s="1775" t="s">
        <v>2584</v>
      </c>
      <c r="G310" s="1775" t="s">
        <v>28</v>
      </c>
      <c r="H310" s="1775" t="s">
        <v>28</v>
      </c>
      <c r="I310" s="1775" t="s">
        <v>860</v>
      </c>
    </row>
    <row r="311" spans="1:9" ht="11.25" customHeight="1">
      <c r="A311" s="1775" t="s">
        <v>2260</v>
      </c>
      <c r="B311" s="1775" t="s">
        <v>16</v>
      </c>
      <c r="C311" s="1775" t="s">
        <v>2585</v>
      </c>
      <c r="D311" s="1775" t="s">
        <v>2586</v>
      </c>
      <c r="E311" s="1775" t="s">
        <v>2263</v>
      </c>
      <c r="F311" s="1775" t="s">
        <v>2587</v>
      </c>
      <c r="G311" s="1775" t="s">
        <v>28</v>
      </c>
      <c r="H311" s="1775" t="s">
        <v>28</v>
      </c>
      <c r="I311" s="1775" t="s">
        <v>860</v>
      </c>
    </row>
    <row r="312" spans="1:9" ht="11.25" customHeight="1">
      <c r="A312" s="1775" t="s">
        <v>2260</v>
      </c>
      <c r="B312" s="1775" t="s">
        <v>16</v>
      </c>
      <c r="C312" s="1775" t="s">
        <v>2588</v>
      </c>
      <c r="D312" s="1775" t="s">
        <v>2589</v>
      </c>
      <c r="E312" s="1775" t="s">
        <v>2263</v>
      </c>
      <c r="F312" s="1775" t="s">
        <v>2590</v>
      </c>
      <c r="G312" s="1775" t="s">
        <v>28</v>
      </c>
      <c r="H312" s="1775" t="s">
        <v>28</v>
      </c>
      <c r="I312" s="1775" t="s">
        <v>860</v>
      </c>
    </row>
    <row r="313" spans="1:9" ht="11.25" customHeight="1">
      <c r="A313" s="1775" t="s">
        <v>2260</v>
      </c>
      <c r="B313" s="1775" t="s">
        <v>16</v>
      </c>
      <c r="C313" s="1775" t="s">
        <v>2591</v>
      </c>
      <c r="D313" s="1775" t="s">
        <v>2592</v>
      </c>
      <c r="E313" s="1775" t="s">
        <v>2263</v>
      </c>
      <c r="F313" s="1775" t="s">
        <v>2593</v>
      </c>
      <c r="G313" s="1775" t="s">
        <v>28</v>
      </c>
      <c r="H313" s="1775" t="s">
        <v>28</v>
      </c>
      <c r="I313" s="1775" t="s">
        <v>860</v>
      </c>
    </row>
    <row r="314" spans="1:9" ht="11.25" customHeight="1">
      <c r="A314" s="1775" t="s">
        <v>2260</v>
      </c>
      <c r="B314" s="1775" t="s">
        <v>16</v>
      </c>
      <c r="C314" s="1775" t="s">
        <v>2594</v>
      </c>
      <c r="D314" s="1775" t="s">
        <v>2595</v>
      </c>
      <c r="E314" s="1775" t="s">
        <v>2263</v>
      </c>
      <c r="F314" s="1775" t="s">
        <v>2596</v>
      </c>
      <c r="G314" s="1775" t="s">
        <v>28</v>
      </c>
      <c r="H314" s="1775" t="s">
        <v>28</v>
      </c>
      <c r="I314" s="1775" t="s">
        <v>860</v>
      </c>
    </row>
    <row r="315" spans="1:9" ht="11.25" customHeight="1">
      <c r="A315" s="1775" t="s">
        <v>2260</v>
      </c>
      <c r="B315" s="1775" t="s">
        <v>16</v>
      </c>
      <c r="C315" s="1775" t="s">
        <v>2926</v>
      </c>
      <c r="D315" s="1775" t="s">
        <v>2927</v>
      </c>
      <c r="E315" s="1775" t="s">
        <v>2404</v>
      </c>
      <c r="F315" s="1775" t="s">
        <v>2928</v>
      </c>
      <c r="G315" s="1775" t="s">
        <v>28</v>
      </c>
      <c r="H315" s="1775" t="s">
        <v>28</v>
      </c>
      <c r="I315" s="1775" t="s">
        <v>860</v>
      </c>
    </row>
    <row r="316" spans="1:9" ht="11.25" customHeight="1">
      <c r="A316" s="1775" t="s">
        <v>2260</v>
      </c>
      <c r="B316" s="1775" t="s">
        <v>16</v>
      </c>
      <c r="C316" s="1775" t="s">
        <v>2597</v>
      </c>
      <c r="D316" s="1775" t="s">
        <v>2598</v>
      </c>
      <c r="E316" s="1775" t="s">
        <v>2599</v>
      </c>
      <c r="F316" s="1775" t="s">
        <v>2600</v>
      </c>
      <c r="G316" s="1775" t="s">
        <v>28</v>
      </c>
      <c r="H316" s="1775" t="s">
        <v>28</v>
      </c>
      <c r="I316" s="1775" t="s">
        <v>860</v>
      </c>
    </row>
    <row r="317" spans="1:9" ht="11.25" customHeight="1">
      <c r="A317" s="1775" t="s">
        <v>2260</v>
      </c>
      <c r="B317" s="1775" t="s">
        <v>16</v>
      </c>
      <c r="C317" s="1775" t="s">
        <v>2601</v>
      </c>
      <c r="D317" s="1775" t="s">
        <v>2602</v>
      </c>
      <c r="E317" s="1775" t="s">
        <v>2599</v>
      </c>
      <c r="F317" s="1775" t="s">
        <v>2603</v>
      </c>
      <c r="G317" s="1775" t="s">
        <v>28</v>
      </c>
      <c r="H317" s="1775" t="s">
        <v>28</v>
      </c>
      <c r="I317" s="1775" t="s">
        <v>860</v>
      </c>
    </row>
    <row r="318" spans="1:9" ht="11.25" customHeight="1">
      <c r="A318" s="1775" t="s">
        <v>2260</v>
      </c>
      <c r="B318" s="1775" t="s">
        <v>16</v>
      </c>
      <c r="C318" s="1775" t="s">
        <v>2607</v>
      </c>
      <c r="D318" s="1775" t="s">
        <v>2608</v>
      </c>
      <c r="E318" s="1775" t="s">
        <v>2599</v>
      </c>
      <c r="F318" s="1775" t="s">
        <v>2609</v>
      </c>
      <c r="G318" s="1775" t="s">
        <v>28</v>
      </c>
      <c r="H318" s="1775" t="s">
        <v>28</v>
      </c>
      <c r="I318" s="1775" t="s">
        <v>860</v>
      </c>
    </row>
    <row r="319" spans="1:9" ht="11.25" customHeight="1">
      <c r="A319" s="1775" t="s">
        <v>2260</v>
      </c>
      <c r="B319" s="1775" t="s">
        <v>16</v>
      </c>
      <c r="C319" s="1775" t="s">
        <v>2610</v>
      </c>
      <c r="D319" s="1775" t="s">
        <v>2611</v>
      </c>
      <c r="E319" s="1775" t="s">
        <v>2612</v>
      </c>
      <c r="F319" s="1775" t="s">
        <v>2613</v>
      </c>
      <c r="G319" s="1775" t="s">
        <v>2614</v>
      </c>
      <c r="H319" s="1775" t="s">
        <v>28</v>
      </c>
      <c r="I319" s="1775" t="s">
        <v>860</v>
      </c>
    </row>
    <row r="320" spans="1:9" ht="11.25" customHeight="1">
      <c r="A320" s="1775" t="s">
        <v>2260</v>
      </c>
      <c r="B320" s="1775" t="s">
        <v>16</v>
      </c>
      <c r="C320" s="1775" t="s">
        <v>2615</v>
      </c>
      <c r="D320" s="1775" t="s">
        <v>2616</v>
      </c>
      <c r="E320" s="1775" t="s">
        <v>2617</v>
      </c>
      <c r="F320" s="1775" t="s">
        <v>2301</v>
      </c>
      <c r="G320" s="1775" t="s">
        <v>28</v>
      </c>
      <c r="H320" s="1775" t="s">
        <v>28</v>
      </c>
      <c r="I320" s="1775" t="s">
        <v>860</v>
      </c>
    </row>
    <row r="321" spans="1:9" ht="11.25" customHeight="1">
      <c r="A321" s="1775" t="s">
        <v>2260</v>
      </c>
      <c r="B321" s="1775" t="s">
        <v>16</v>
      </c>
      <c r="C321" s="1775" t="s">
        <v>2621</v>
      </c>
      <c r="D321" s="1775" t="s">
        <v>2622</v>
      </c>
      <c r="E321" s="1775" t="s">
        <v>2623</v>
      </c>
      <c r="F321" s="1775" t="s">
        <v>2613</v>
      </c>
      <c r="G321" s="1775" t="s">
        <v>2614</v>
      </c>
      <c r="H321" s="1775" t="s">
        <v>28</v>
      </c>
      <c r="I321" s="1775" t="s">
        <v>860</v>
      </c>
    </row>
    <row r="322" spans="1:9" ht="11.25" customHeight="1">
      <c r="A322" s="1775" t="s">
        <v>2260</v>
      </c>
      <c r="B322" s="1775" t="s">
        <v>16</v>
      </c>
      <c r="C322" s="1775" t="s">
        <v>2624</v>
      </c>
      <c r="D322" s="1775" t="s">
        <v>2625</v>
      </c>
      <c r="E322" s="1775" t="s">
        <v>2271</v>
      </c>
      <c r="F322" s="1775" t="s">
        <v>2626</v>
      </c>
      <c r="G322" s="1775" t="s">
        <v>28</v>
      </c>
      <c r="H322" s="1775" t="s">
        <v>28</v>
      </c>
      <c r="I322" s="1775" t="s">
        <v>860</v>
      </c>
    </row>
    <row r="323" spans="1:9" ht="11.25" customHeight="1">
      <c r="A323" s="1775" t="s">
        <v>2260</v>
      </c>
      <c r="B323" s="1775" t="s">
        <v>16</v>
      </c>
      <c r="C323" s="1775" t="s">
        <v>2929</v>
      </c>
      <c r="D323" s="1775" t="s">
        <v>2930</v>
      </c>
      <c r="E323" s="1775" t="s">
        <v>2271</v>
      </c>
      <c r="F323" s="1775" t="s">
        <v>2931</v>
      </c>
      <c r="G323" s="1775" t="s">
        <v>28</v>
      </c>
      <c r="H323" s="1775" t="s">
        <v>28</v>
      </c>
      <c r="I323" s="1775" t="s">
        <v>860</v>
      </c>
    </row>
    <row r="324" spans="1:9" ht="11.25" customHeight="1">
      <c r="A324" s="1775" t="s">
        <v>2260</v>
      </c>
      <c r="B324" s="1775" t="s">
        <v>16</v>
      </c>
      <c r="C324" s="1775" t="s">
        <v>2629</v>
      </c>
      <c r="D324" s="1775" t="s">
        <v>2630</v>
      </c>
      <c r="E324" s="1775" t="s">
        <v>2631</v>
      </c>
      <c r="F324" s="1775" t="s">
        <v>2632</v>
      </c>
      <c r="G324" s="1775" t="s">
        <v>28</v>
      </c>
      <c r="H324" s="1775" t="s">
        <v>28</v>
      </c>
      <c r="I324" s="1775" t="s">
        <v>860</v>
      </c>
    </row>
    <row r="325" spans="1:9" ht="11.25" customHeight="1">
      <c r="A325" s="1775" t="s">
        <v>2260</v>
      </c>
      <c r="B325" s="1775" t="s">
        <v>16</v>
      </c>
      <c r="C325" s="1775" t="s">
        <v>2633</v>
      </c>
      <c r="D325" s="1775" t="s">
        <v>2630</v>
      </c>
      <c r="E325" s="1775" t="s">
        <v>2631</v>
      </c>
      <c r="F325" s="1775" t="s">
        <v>2634</v>
      </c>
      <c r="G325" s="1775" t="s">
        <v>2635</v>
      </c>
      <c r="H325" s="1775" t="s">
        <v>28</v>
      </c>
      <c r="I325" s="1775" t="s">
        <v>860</v>
      </c>
    </row>
    <row r="326" spans="1:9" ht="11.25" customHeight="1">
      <c r="A326" s="1775" t="s">
        <v>2260</v>
      </c>
      <c r="B326" s="1775" t="s">
        <v>16</v>
      </c>
      <c r="C326" s="1775" t="s">
        <v>2932</v>
      </c>
      <c r="D326" s="1775" t="s">
        <v>2933</v>
      </c>
      <c r="E326" s="1775" t="s">
        <v>2934</v>
      </c>
      <c r="F326" s="1775" t="s">
        <v>2292</v>
      </c>
      <c r="G326" s="1775" t="s">
        <v>28</v>
      </c>
      <c r="H326" s="1775" t="s">
        <v>28</v>
      </c>
      <c r="I326" s="1775" t="s">
        <v>860</v>
      </c>
    </row>
    <row r="327" spans="1:9" ht="11.25" customHeight="1">
      <c r="A327" s="1775" t="s">
        <v>2260</v>
      </c>
      <c r="B327" s="1775" t="s">
        <v>16</v>
      </c>
      <c r="C327" s="1775" t="s">
        <v>2644</v>
      </c>
      <c r="D327" s="1775" t="s">
        <v>2645</v>
      </c>
      <c r="E327" s="1775" t="s">
        <v>2646</v>
      </c>
      <c r="F327" s="1775" t="s">
        <v>2327</v>
      </c>
      <c r="G327" s="1775" t="s">
        <v>28</v>
      </c>
      <c r="H327" s="1775" t="s">
        <v>28</v>
      </c>
      <c r="I327" s="1775" t="s">
        <v>860</v>
      </c>
    </row>
    <row r="328" spans="1:9" ht="11.25" customHeight="1">
      <c r="A328" s="1775" t="s">
        <v>2260</v>
      </c>
      <c r="B328" s="1775" t="s">
        <v>16</v>
      </c>
      <c r="C328" s="1775" t="s">
        <v>2647</v>
      </c>
      <c r="D328" s="1775" t="s">
        <v>2648</v>
      </c>
      <c r="E328" s="1775" t="s">
        <v>2649</v>
      </c>
      <c r="F328" s="1775" t="s">
        <v>2311</v>
      </c>
      <c r="G328" s="1775" t="s">
        <v>28</v>
      </c>
      <c r="H328" s="1775" t="s">
        <v>28</v>
      </c>
      <c r="I328" s="1775" t="s">
        <v>860</v>
      </c>
    </row>
    <row r="329" spans="1:9" ht="11.25" customHeight="1">
      <c r="A329" s="1775" t="s">
        <v>2260</v>
      </c>
      <c r="B329" s="1775" t="s">
        <v>16</v>
      </c>
      <c r="C329" s="1775" t="s">
        <v>2650</v>
      </c>
      <c r="D329" s="1775" t="s">
        <v>2651</v>
      </c>
      <c r="E329" s="1775" t="s">
        <v>2652</v>
      </c>
      <c r="F329" s="1775" t="s">
        <v>2320</v>
      </c>
      <c r="G329" s="1775" t="s">
        <v>28</v>
      </c>
      <c r="H329" s="1775" t="s">
        <v>28</v>
      </c>
      <c r="I329" s="1775" t="s">
        <v>860</v>
      </c>
    </row>
    <row r="330" spans="1:9" ht="11.25" customHeight="1">
      <c r="A330" s="1775" t="s">
        <v>2260</v>
      </c>
      <c r="B330" s="1775" t="s">
        <v>16</v>
      </c>
      <c r="C330" s="1775" t="s">
        <v>2935</v>
      </c>
      <c r="D330" s="1775" t="s">
        <v>2936</v>
      </c>
      <c r="E330" s="1775" t="s">
        <v>2937</v>
      </c>
      <c r="F330" s="1775" t="s">
        <v>2315</v>
      </c>
      <c r="G330" s="1775" t="s">
        <v>28</v>
      </c>
      <c r="H330" s="1775" t="s">
        <v>28</v>
      </c>
      <c r="I330" s="1775" t="s">
        <v>860</v>
      </c>
    </row>
    <row r="331" spans="1:9" ht="11.25" customHeight="1">
      <c r="A331" s="1775" t="s">
        <v>2260</v>
      </c>
      <c r="B331" s="1775" t="s">
        <v>16</v>
      </c>
      <c r="C331" s="1775" t="s">
        <v>2659</v>
      </c>
      <c r="D331" s="1775" t="s">
        <v>2660</v>
      </c>
      <c r="E331" s="1775" t="s">
        <v>2661</v>
      </c>
      <c r="F331" s="1775" t="s">
        <v>2268</v>
      </c>
      <c r="G331" s="1775" t="s">
        <v>2662</v>
      </c>
      <c r="H331" s="1775" t="s">
        <v>28</v>
      </c>
      <c r="I331" s="1775" t="s">
        <v>860</v>
      </c>
    </row>
    <row r="332" spans="1:9" ht="11.25" customHeight="1">
      <c r="A332" s="1775" t="s">
        <v>2260</v>
      </c>
      <c r="B332" s="1775" t="s">
        <v>16</v>
      </c>
      <c r="C332" s="1775" t="s">
        <v>2663</v>
      </c>
      <c r="D332" s="1775" t="s">
        <v>2664</v>
      </c>
      <c r="E332" s="1775" t="s">
        <v>2665</v>
      </c>
      <c r="F332" s="1775" t="s">
        <v>2666</v>
      </c>
      <c r="G332" s="1775" t="s">
        <v>28</v>
      </c>
      <c r="H332" s="1775" t="s">
        <v>28</v>
      </c>
      <c r="I332" s="1775" t="s">
        <v>860</v>
      </c>
    </row>
    <row r="333" spans="1:9" ht="11.25" customHeight="1">
      <c r="A333" s="1775" t="s">
        <v>2260</v>
      </c>
      <c r="B333" s="1775" t="s">
        <v>16</v>
      </c>
      <c r="C333" s="1775" t="s">
        <v>2667</v>
      </c>
      <c r="D333" s="1775" t="s">
        <v>2668</v>
      </c>
      <c r="E333" s="1775" t="s">
        <v>2669</v>
      </c>
      <c r="F333" s="1775" t="s">
        <v>2292</v>
      </c>
      <c r="G333" s="1775" t="s">
        <v>2670</v>
      </c>
      <c r="H333" s="1775" t="s">
        <v>28</v>
      </c>
      <c r="I333" s="1775" t="s">
        <v>860</v>
      </c>
    </row>
    <row r="334" spans="1:9" ht="11.25" customHeight="1">
      <c r="A334" s="1775" t="s">
        <v>2260</v>
      </c>
      <c r="B334" s="1775" t="s">
        <v>16</v>
      </c>
      <c r="C334" s="1775" t="s">
        <v>2671</v>
      </c>
      <c r="D334" s="1775" t="s">
        <v>2672</v>
      </c>
      <c r="E334" s="1775" t="s">
        <v>2673</v>
      </c>
      <c r="F334" s="1775" t="s">
        <v>2469</v>
      </c>
      <c r="G334" s="1775" t="s">
        <v>28</v>
      </c>
      <c r="H334" s="1775" t="s">
        <v>28</v>
      </c>
      <c r="I334" s="1775" t="s">
        <v>860</v>
      </c>
    </row>
    <row r="335" spans="1:9" ht="11.25" customHeight="1">
      <c r="A335" s="1775" t="s">
        <v>2260</v>
      </c>
      <c r="B335" s="1775" t="s">
        <v>16</v>
      </c>
      <c r="C335" s="1775" t="s">
        <v>2938</v>
      </c>
      <c r="D335" s="1775" t="s">
        <v>2939</v>
      </c>
      <c r="E335" s="1775" t="s">
        <v>2940</v>
      </c>
      <c r="F335" s="1775" t="s">
        <v>2327</v>
      </c>
      <c r="G335" s="1775" t="s">
        <v>28</v>
      </c>
      <c r="H335" s="1775" t="s">
        <v>28</v>
      </c>
      <c r="I335" s="1775" t="s">
        <v>860</v>
      </c>
    </row>
    <row r="336" spans="1:9" ht="11.25" customHeight="1">
      <c r="A336" s="1775" t="s">
        <v>2260</v>
      </c>
      <c r="B336" s="1775" t="s">
        <v>16</v>
      </c>
      <c r="C336" s="1775" t="s">
        <v>2684</v>
      </c>
      <c r="D336" s="1775" t="s">
        <v>2685</v>
      </c>
      <c r="E336" s="1775" t="s">
        <v>2686</v>
      </c>
      <c r="F336" s="1775" t="s">
        <v>2469</v>
      </c>
      <c r="G336" s="1775" t="s">
        <v>28</v>
      </c>
      <c r="H336" s="1775" t="s">
        <v>28</v>
      </c>
      <c r="I336" s="1775" t="s">
        <v>860</v>
      </c>
    </row>
    <row r="337" spans="1:9" ht="11.25" customHeight="1">
      <c r="A337" s="1775" t="s">
        <v>2260</v>
      </c>
      <c r="B337" s="1775" t="s">
        <v>16</v>
      </c>
      <c r="C337" s="1775" t="s">
        <v>2687</v>
      </c>
      <c r="D337" s="1775" t="s">
        <v>2688</v>
      </c>
      <c r="E337" s="1775" t="s">
        <v>2689</v>
      </c>
      <c r="F337" s="1775" t="s">
        <v>2666</v>
      </c>
      <c r="G337" s="1775" t="s">
        <v>28</v>
      </c>
      <c r="H337" s="1775" t="s">
        <v>28</v>
      </c>
      <c r="I337" s="1775" t="s">
        <v>860</v>
      </c>
    </row>
    <row r="338" spans="1:9" ht="11.25" customHeight="1">
      <c r="A338" s="1775" t="s">
        <v>2260</v>
      </c>
      <c r="B338" s="1775" t="s">
        <v>16</v>
      </c>
      <c r="C338" s="1775" t="s">
        <v>2693</v>
      </c>
      <c r="D338" s="1775" t="s">
        <v>2694</v>
      </c>
      <c r="E338" s="1775" t="s">
        <v>2695</v>
      </c>
      <c r="F338" s="1775" t="s">
        <v>2363</v>
      </c>
      <c r="G338" s="1775" t="s">
        <v>2696</v>
      </c>
      <c r="H338" s="1775" t="s">
        <v>28</v>
      </c>
      <c r="I338" s="1775" t="s">
        <v>860</v>
      </c>
    </row>
    <row r="339" spans="1:9" ht="11.25" customHeight="1">
      <c r="A339" s="1775" t="s">
        <v>2260</v>
      </c>
      <c r="B339" s="1775" t="s">
        <v>16</v>
      </c>
      <c r="C339" s="1775" t="s">
        <v>2703</v>
      </c>
      <c r="D339" s="1775" t="s">
        <v>2704</v>
      </c>
      <c r="E339" s="1775" t="s">
        <v>2705</v>
      </c>
      <c r="F339" s="1775" t="s">
        <v>2706</v>
      </c>
      <c r="G339" s="1775" t="s">
        <v>2707</v>
      </c>
      <c r="H339" s="1775" t="s">
        <v>28</v>
      </c>
      <c r="I339" s="1775" t="s">
        <v>860</v>
      </c>
    </row>
    <row r="340" spans="1:9" ht="11.25" customHeight="1">
      <c r="A340" s="1775" t="s">
        <v>2260</v>
      </c>
      <c r="B340" s="1775" t="s">
        <v>16</v>
      </c>
      <c r="C340" s="1775" t="s">
        <v>2708</v>
      </c>
      <c r="D340" s="1775" t="s">
        <v>2709</v>
      </c>
      <c r="E340" s="1775" t="s">
        <v>2710</v>
      </c>
      <c r="F340" s="1775" t="s">
        <v>2666</v>
      </c>
      <c r="G340" s="1775" t="s">
        <v>28</v>
      </c>
      <c r="H340" s="1775" t="s">
        <v>28</v>
      </c>
      <c r="I340" s="1775" t="s">
        <v>860</v>
      </c>
    </row>
    <row r="341" spans="1:9" ht="11.25" customHeight="1">
      <c r="A341" s="1775" t="s">
        <v>2260</v>
      </c>
      <c r="B341" s="1775" t="s">
        <v>16</v>
      </c>
      <c r="C341" s="1775" t="s">
        <v>2941</v>
      </c>
      <c r="D341" s="1775" t="s">
        <v>2942</v>
      </c>
      <c r="E341" s="1775" t="s">
        <v>2404</v>
      </c>
      <c r="F341" s="1775" t="s">
        <v>2292</v>
      </c>
      <c r="G341" s="1775" t="s">
        <v>28</v>
      </c>
      <c r="H341" s="1775" t="s">
        <v>28</v>
      </c>
      <c r="I341" s="1775" t="s">
        <v>860</v>
      </c>
    </row>
    <row r="342" spans="1:9" ht="11.25" customHeight="1">
      <c r="A342" s="1775" t="s">
        <v>2260</v>
      </c>
      <c r="B342" s="1775" t="s">
        <v>16</v>
      </c>
      <c r="C342" s="1775" t="s">
        <v>2715</v>
      </c>
      <c r="D342" s="1775" t="s">
        <v>2716</v>
      </c>
      <c r="E342" s="1775" t="s">
        <v>2717</v>
      </c>
      <c r="F342" s="1775" t="s">
        <v>2718</v>
      </c>
      <c r="G342" s="1775" t="s">
        <v>2719</v>
      </c>
      <c r="H342" s="1775" t="s">
        <v>28</v>
      </c>
      <c r="I342" s="1775" t="s">
        <v>860</v>
      </c>
    </row>
    <row r="343" spans="1:9" ht="11.25" customHeight="1">
      <c r="A343" s="1775" t="s">
        <v>2260</v>
      </c>
      <c r="B343" s="1775" t="s">
        <v>16</v>
      </c>
      <c r="C343" s="1775" t="s">
        <v>2943</v>
      </c>
      <c r="D343" s="1775" t="s">
        <v>2944</v>
      </c>
      <c r="E343" s="1775" t="s">
        <v>2945</v>
      </c>
      <c r="F343" s="1775" t="s">
        <v>2292</v>
      </c>
      <c r="G343" s="1775" t="s">
        <v>28</v>
      </c>
      <c r="H343" s="1775" t="s">
        <v>28</v>
      </c>
      <c r="I343" s="1775" t="s">
        <v>860</v>
      </c>
    </row>
    <row r="344" spans="1:9" ht="11.25" customHeight="1">
      <c r="A344" s="1775" t="s">
        <v>2260</v>
      </c>
      <c r="B344" s="1775" t="s">
        <v>16</v>
      </c>
      <c r="C344" s="1775" t="s">
        <v>2729</v>
      </c>
      <c r="D344" s="1775" t="s">
        <v>2730</v>
      </c>
      <c r="E344" s="1775" t="s">
        <v>2731</v>
      </c>
      <c r="F344" s="1775" t="s">
        <v>2327</v>
      </c>
      <c r="G344" s="1775" t="s">
        <v>28</v>
      </c>
      <c r="H344" s="1775" t="s">
        <v>28</v>
      </c>
      <c r="I344" s="1775" t="s">
        <v>860</v>
      </c>
    </row>
    <row r="345" spans="1:9" ht="11.25" customHeight="1">
      <c r="A345" s="1775" t="s">
        <v>2260</v>
      </c>
      <c r="B345" s="1775" t="s">
        <v>16</v>
      </c>
      <c r="C345" s="1775" t="s">
        <v>2946</v>
      </c>
      <c r="D345" s="1775" t="s">
        <v>2947</v>
      </c>
      <c r="E345" s="1775" t="s">
        <v>2948</v>
      </c>
      <c r="F345" s="1775" t="s">
        <v>2327</v>
      </c>
      <c r="G345" s="1775" t="s">
        <v>28</v>
      </c>
      <c r="H345" s="1775" t="s">
        <v>28</v>
      </c>
      <c r="I345" s="1775" t="s">
        <v>860</v>
      </c>
    </row>
    <row r="346" spans="1:9" ht="11.25" customHeight="1">
      <c r="A346" s="1775" t="s">
        <v>2260</v>
      </c>
      <c r="B346" s="1775" t="s">
        <v>16</v>
      </c>
      <c r="C346" s="1775" t="s">
        <v>2949</v>
      </c>
      <c r="D346" s="1775" t="s">
        <v>2950</v>
      </c>
      <c r="E346" s="1775" t="s">
        <v>2951</v>
      </c>
      <c r="F346" s="1775" t="s">
        <v>2292</v>
      </c>
      <c r="G346" s="1775" t="s">
        <v>28</v>
      </c>
      <c r="H346" s="1775" t="s">
        <v>28</v>
      </c>
      <c r="I346" s="1775" t="s">
        <v>860</v>
      </c>
    </row>
    <row r="347" spans="1:9" ht="11.25" customHeight="1">
      <c r="A347" s="1775" t="s">
        <v>2260</v>
      </c>
      <c r="B347" s="1775" t="s">
        <v>16</v>
      </c>
      <c r="C347" s="1775" t="s">
        <v>2759</v>
      </c>
      <c r="D347" s="1775" t="s">
        <v>2760</v>
      </c>
      <c r="E347" s="1775" t="s">
        <v>2761</v>
      </c>
      <c r="F347" s="1775" t="s">
        <v>2363</v>
      </c>
      <c r="G347" s="1775" t="s">
        <v>2762</v>
      </c>
      <c r="H347" s="1775" t="s">
        <v>28</v>
      </c>
      <c r="I347" s="1775" t="s">
        <v>860</v>
      </c>
    </row>
    <row r="348" spans="1:9" ht="11.25" customHeight="1">
      <c r="A348" s="1775" t="s">
        <v>2260</v>
      </c>
      <c r="B348" s="1775" t="s">
        <v>16</v>
      </c>
      <c r="C348" s="1775" t="s">
        <v>2763</v>
      </c>
      <c r="D348" s="1775" t="s">
        <v>2764</v>
      </c>
      <c r="E348" s="1775" t="s">
        <v>2765</v>
      </c>
      <c r="F348" s="1775" t="s">
        <v>2363</v>
      </c>
      <c r="G348" s="1775" t="s">
        <v>28</v>
      </c>
      <c r="H348" s="1775" t="s">
        <v>28</v>
      </c>
      <c r="I348" s="1775" t="s">
        <v>860</v>
      </c>
    </row>
    <row r="349" spans="1:9" ht="11.25" customHeight="1">
      <c r="A349" s="1775" t="s">
        <v>2260</v>
      </c>
      <c r="B349" s="1775" t="s">
        <v>16</v>
      </c>
      <c r="C349" s="1775" t="s">
        <v>2766</v>
      </c>
      <c r="D349" s="1775" t="s">
        <v>2767</v>
      </c>
      <c r="E349" s="1775" t="s">
        <v>2631</v>
      </c>
      <c r="F349" s="1775" t="s">
        <v>2768</v>
      </c>
      <c r="G349" s="1775" t="s">
        <v>28</v>
      </c>
      <c r="H349" s="1775" t="s">
        <v>28</v>
      </c>
      <c r="I349" s="1775" t="s">
        <v>860</v>
      </c>
    </row>
    <row r="350" spans="1:9" ht="11.25" customHeight="1">
      <c r="A350" s="1775" t="s">
        <v>2260</v>
      </c>
      <c r="B350" s="1775" t="s">
        <v>16</v>
      </c>
      <c r="C350" s="1775" t="s">
        <v>2769</v>
      </c>
      <c r="D350" s="1775" t="s">
        <v>2770</v>
      </c>
      <c r="E350" s="1775" t="s">
        <v>2771</v>
      </c>
      <c r="F350" s="1775" t="s">
        <v>2363</v>
      </c>
      <c r="G350" s="1775" t="s">
        <v>28</v>
      </c>
      <c r="H350" s="1775" t="s">
        <v>28</v>
      </c>
      <c r="I350" s="1775" t="s">
        <v>860</v>
      </c>
    </row>
    <row r="351" spans="1:9" ht="11.25" customHeight="1">
      <c r="A351" s="1775" t="s">
        <v>2260</v>
      </c>
      <c r="B351" s="1775" t="s">
        <v>16</v>
      </c>
      <c r="C351" s="1775" t="s">
        <v>2772</v>
      </c>
      <c r="D351" s="1775" t="s">
        <v>2773</v>
      </c>
      <c r="E351" s="1775" t="s">
        <v>2774</v>
      </c>
      <c r="F351" s="1775" t="s">
        <v>2339</v>
      </c>
      <c r="G351" s="1775" t="s">
        <v>28</v>
      </c>
      <c r="H351" s="1775" t="s">
        <v>28</v>
      </c>
      <c r="I351" s="1775" t="s">
        <v>860</v>
      </c>
    </row>
    <row r="352" spans="1:9" ht="11.25" customHeight="1">
      <c r="A352" s="1775" t="s">
        <v>2260</v>
      </c>
      <c r="B352" s="1775" t="s">
        <v>16</v>
      </c>
      <c r="C352" s="1775" t="s">
        <v>2952</v>
      </c>
      <c r="D352" s="1775" t="s">
        <v>2953</v>
      </c>
      <c r="E352" s="1775" t="s">
        <v>2954</v>
      </c>
      <c r="F352" s="1775" t="s">
        <v>2301</v>
      </c>
      <c r="G352" s="1775" t="s">
        <v>28</v>
      </c>
      <c r="H352" s="1775" t="s">
        <v>28</v>
      </c>
      <c r="I352" s="1775" t="s">
        <v>860</v>
      </c>
    </row>
    <row r="353" spans="1:9" ht="11.25" customHeight="1">
      <c r="A353" s="1775" t="s">
        <v>2260</v>
      </c>
      <c r="B353" s="1775" t="s">
        <v>16</v>
      </c>
      <c r="C353" s="1775" t="s">
        <v>2955</v>
      </c>
      <c r="D353" s="1775" t="s">
        <v>2956</v>
      </c>
      <c r="E353" s="1775" t="s">
        <v>2957</v>
      </c>
      <c r="F353" s="1775" t="s">
        <v>2327</v>
      </c>
      <c r="G353" s="1775" t="s">
        <v>28</v>
      </c>
      <c r="H353" s="1775" t="s">
        <v>28</v>
      </c>
      <c r="I353" s="1775" t="s">
        <v>860</v>
      </c>
    </row>
    <row r="354" spans="1:9" ht="11.25" customHeight="1">
      <c r="A354" s="1775" t="s">
        <v>2260</v>
      </c>
      <c r="B354" s="1775" t="s">
        <v>16</v>
      </c>
      <c r="C354" s="1775" t="s">
        <v>2775</v>
      </c>
      <c r="D354" s="1775" t="s">
        <v>2776</v>
      </c>
      <c r="E354" s="1775" t="s">
        <v>2777</v>
      </c>
      <c r="F354" s="1775" t="s">
        <v>2327</v>
      </c>
      <c r="G354" s="1775" t="s">
        <v>2778</v>
      </c>
      <c r="H354" s="1775" t="s">
        <v>28</v>
      </c>
      <c r="I354" s="1775" t="s">
        <v>860</v>
      </c>
    </row>
    <row r="355" spans="1:9" ht="11.25" customHeight="1">
      <c r="A355" s="1775" t="s">
        <v>2260</v>
      </c>
      <c r="B355" s="1775" t="s">
        <v>16</v>
      </c>
      <c r="C355" s="1775" t="s">
        <v>2958</v>
      </c>
      <c r="D355" s="1775" t="s">
        <v>2959</v>
      </c>
      <c r="E355" s="1775" t="s">
        <v>2960</v>
      </c>
      <c r="F355" s="1775" t="s">
        <v>2961</v>
      </c>
      <c r="G355" s="1775" t="s">
        <v>28</v>
      </c>
      <c r="H355" s="1775" t="s">
        <v>28</v>
      </c>
      <c r="I355" s="1775" t="s">
        <v>860</v>
      </c>
    </row>
    <row r="356" spans="1:9" ht="11.25" customHeight="1">
      <c r="A356" s="1775" t="s">
        <v>2260</v>
      </c>
      <c r="B356" s="1775" t="s">
        <v>16</v>
      </c>
      <c r="C356" s="1775" t="s">
        <v>2962</v>
      </c>
      <c r="D356" s="1775" t="s">
        <v>2963</v>
      </c>
      <c r="E356" s="1775" t="s">
        <v>2964</v>
      </c>
      <c r="F356" s="1775" t="s">
        <v>2327</v>
      </c>
      <c r="G356" s="1775" t="s">
        <v>28</v>
      </c>
      <c r="H356" s="1775" t="s">
        <v>28</v>
      </c>
      <c r="I356" s="1775" t="s">
        <v>860</v>
      </c>
    </row>
    <row r="357" spans="1:9" ht="11.25" customHeight="1">
      <c r="A357" s="1775" t="s">
        <v>2260</v>
      </c>
      <c r="B357" s="1775" t="s">
        <v>16</v>
      </c>
      <c r="C357" s="1775" t="s">
        <v>2965</v>
      </c>
      <c r="D357" s="1775" t="s">
        <v>2966</v>
      </c>
      <c r="E357" s="1775" t="s">
        <v>2967</v>
      </c>
      <c r="F357" s="1775" t="s">
        <v>2315</v>
      </c>
      <c r="G357" s="1775" t="s">
        <v>28</v>
      </c>
      <c r="H357" s="1775" t="s">
        <v>28</v>
      </c>
      <c r="I357" s="1775" t="s">
        <v>860</v>
      </c>
    </row>
    <row r="358" spans="1:9" ht="11.25" customHeight="1">
      <c r="A358" s="1775" t="s">
        <v>2260</v>
      </c>
      <c r="B358" s="1775" t="s">
        <v>16</v>
      </c>
      <c r="C358" s="1775" t="s">
        <v>2788</v>
      </c>
      <c r="D358" s="1775" t="s">
        <v>2789</v>
      </c>
      <c r="E358" s="1775" t="s">
        <v>2790</v>
      </c>
      <c r="F358" s="1775" t="s">
        <v>2363</v>
      </c>
      <c r="G358" s="1775" t="s">
        <v>28</v>
      </c>
      <c r="H358" s="1775" t="s">
        <v>28</v>
      </c>
      <c r="I358" s="1775" t="s">
        <v>860</v>
      </c>
    </row>
    <row r="359" spans="1:9" ht="11.25" customHeight="1">
      <c r="A359" s="1775" t="s">
        <v>2260</v>
      </c>
      <c r="B359" s="1775" t="s">
        <v>16</v>
      </c>
      <c r="C359" s="1775" t="s">
        <v>2798</v>
      </c>
      <c r="D359" s="1775" t="s">
        <v>2799</v>
      </c>
      <c r="E359" s="1775" t="s">
        <v>2800</v>
      </c>
      <c r="F359" s="1775" t="s">
        <v>2327</v>
      </c>
      <c r="G359" s="1775" t="s">
        <v>28</v>
      </c>
      <c r="H359" s="1775" t="s">
        <v>28</v>
      </c>
      <c r="I359" s="1775" t="s">
        <v>860</v>
      </c>
    </row>
    <row r="360" spans="1:9" ht="11.25" customHeight="1">
      <c r="A360" s="1775" t="s">
        <v>2260</v>
      </c>
      <c r="B360" s="1775" t="s">
        <v>16</v>
      </c>
      <c r="C360" s="1775" t="s">
        <v>2801</v>
      </c>
      <c r="D360" s="1775" t="s">
        <v>2802</v>
      </c>
      <c r="E360" s="1775" t="s">
        <v>2803</v>
      </c>
      <c r="F360" s="1775" t="s">
        <v>2804</v>
      </c>
      <c r="G360" s="1775" t="s">
        <v>28</v>
      </c>
      <c r="H360" s="1775" t="s">
        <v>28</v>
      </c>
      <c r="I360" s="1775" t="s">
        <v>860</v>
      </c>
    </row>
    <row r="361" spans="1:9" ht="11.25" customHeight="1">
      <c r="A361" s="1775" t="s">
        <v>2260</v>
      </c>
      <c r="B361" s="1775" t="s">
        <v>16</v>
      </c>
      <c r="C361" s="1775" t="s">
        <v>2968</v>
      </c>
      <c r="D361" s="1775" t="s">
        <v>2969</v>
      </c>
      <c r="E361" s="1775" t="s">
        <v>2970</v>
      </c>
      <c r="F361" s="1775" t="s">
        <v>2292</v>
      </c>
      <c r="G361" s="1775" t="s">
        <v>2971</v>
      </c>
      <c r="H361" s="1775" t="s">
        <v>28</v>
      </c>
      <c r="I361" s="1775" t="s">
        <v>860</v>
      </c>
    </row>
    <row r="362" spans="1:9" ht="11.25" customHeight="1">
      <c r="A362" s="1775" t="s">
        <v>2260</v>
      </c>
      <c r="B362" s="1775" t="s">
        <v>16</v>
      </c>
      <c r="C362" s="1775" t="s">
        <v>2972</v>
      </c>
      <c r="D362" s="1775" t="s">
        <v>2973</v>
      </c>
      <c r="E362" s="1775" t="s">
        <v>2974</v>
      </c>
      <c r="F362" s="1775" t="s">
        <v>2292</v>
      </c>
      <c r="G362" s="1775" t="s">
        <v>28</v>
      </c>
      <c r="H362" s="1775" t="s">
        <v>28</v>
      </c>
      <c r="I362" s="1775" t="s">
        <v>860</v>
      </c>
    </row>
    <row r="363" spans="1:9" ht="11.25" customHeight="1">
      <c r="A363" s="1775" t="s">
        <v>2260</v>
      </c>
      <c r="B363" s="1775" t="s">
        <v>16</v>
      </c>
      <c r="C363" s="1775" t="s">
        <v>2805</v>
      </c>
      <c r="D363" s="1775" t="s">
        <v>2806</v>
      </c>
      <c r="E363" s="1775" t="s">
        <v>2807</v>
      </c>
      <c r="F363" s="1775" t="s">
        <v>2292</v>
      </c>
      <c r="G363" s="1775" t="s">
        <v>28</v>
      </c>
      <c r="H363" s="1775" t="s">
        <v>28</v>
      </c>
      <c r="I363" s="1775" t="s">
        <v>860</v>
      </c>
    </row>
    <row r="364" spans="1:9" ht="11.25" customHeight="1">
      <c r="A364" s="1775" t="s">
        <v>2260</v>
      </c>
      <c r="B364" s="1775" t="s">
        <v>16</v>
      </c>
      <c r="C364" s="1775" t="s">
        <v>2975</v>
      </c>
      <c r="D364" s="1775" t="s">
        <v>2976</v>
      </c>
      <c r="E364" s="1775" t="s">
        <v>2829</v>
      </c>
      <c r="F364" s="1775" t="s">
        <v>2422</v>
      </c>
      <c r="G364" s="1775" t="s">
        <v>28</v>
      </c>
      <c r="H364" s="1775" t="s">
        <v>28</v>
      </c>
      <c r="I364" s="1775" t="s">
        <v>860</v>
      </c>
    </row>
    <row r="365" spans="1:9" ht="11.25" customHeight="1">
      <c r="A365" s="1775" t="s">
        <v>2260</v>
      </c>
      <c r="B365" s="1775" t="s">
        <v>16</v>
      </c>
      <c r="C365" s="1775" t="s">
        <v>2977</v>
      </c>
      <c r="D365" s="1775" t="s">
        <v>2978</v>
      </c>
      <c r="E365" s="1775" t="s">
        <v>2877</v>
      </c>
      <c r="F365" s="1775" t="s">
        <v>2979</v>
      </c>
      <c r="G365" s="1775" t="s">
        <v>2980</v>
      </c>
      <c r="H365" s="1775" t="s">
        <v>28</v>
      </c>
      <c r="I365" s="1775" t="s">
        <v>860</v>
      </c>
    </row>
    <row r="366" spans="1:9" ht="11.25" customHeight="1">
      <c r="A366" s="1775" t="s">
        <v>2260</v>
      </c>
      <c r="B366" s="1775" t="s">
        <v>16</v>
      </c>
      <c r="C366" s="1775" t="s">
        <v>2811</v>
      </c>
      <c r="D366" s="1775" t="s">
        <v>2812</v>
      </c>
      <c r="E366" s="1775" t="s">
        <v>2813</v>
      </c>
      <c r="F366" s="1775" t="s">
        <v>2320</v>
      </c>
      <c r="G366" s="1775" t="s">
        <v>2814</v>
      </c>
      <c r="H366" s="1775" t="s">
        <v>28</v>
      </c>
      <c r="I366" s="1775" t="s">
        <v>860</v>
      </c>
    </row>
    <row r="367" spans="1:9" ht="11.25" customHeight="1">
      <c r="A367" s="1775" t="s">
        <v>2260</v>
      </c>
      <c r="B367" s="1775" t="s">
        <v>16</v>
      </c>
      <c r="C367" s="1775" t="s">
        <v>2823</v>
      </c>
      <c r="D367" s="1775" t="s">
        <v>2824</v>
      </c>
      <c r="E367" s="1775" t="s">
        <v>2825</v>
      </c>
      <c r="F367" s="1775" t="s">
        <v>2666</v>
      </c>
      <c r="G367" s="1775" t="s">
        <v>2826</v>
      </c>
      <c r="H367" s="1775" t="s">
        <v>28</v>
      </c>
      <c r="I367" s="1775" t="s">
        <v>860</v>
      </c>
    </row>
    <row r="368" spans="1:9" ht="11.25" customHeight="1">
      <c r="A368" s="1775" t="s">
        <v>2260</v>
      </c>
      <c r="B368" s="1775" t="s">
        <v>16</v>
      </c>
      <c r="C368" s="1775" t="s">
        <v>2827</v>
      </c>
      <c r="D368" s="1775" t="s">
        <v>2828</v>
      </c>
      <c r="E368" s="1775" t="s">
        <v>2829</v>
      </c>
      <c r="F368" s="1775" t="s">
        <v>2461</v>
      </c>
      <c r="G368" s="1775" t="s">
        <v>28</v>
      </c>
      <c r="H368" s="1775" t="s">
        <v>28</v>
      </c>
      <c r="I368" s="1775" t="s">
        <v>860</v>
      </c>
    </row>
    <row r="369" spans="1:9" ht="11.25" customHeight="1">
      <c r="A369" s="1775" t="s">
        <v>2260</v>
      </c>
      <c r="B369" s="1775" t="s">
        <v>16</v>
      </c>
      <c r="C369" s="1775" t="s">
        <v>2981</v>
      </c>
      <c r="D369" s="1775" t="s">
        <v>2982</v>
      </c>
      <c r="E369" s="1775" t="s">
        <v>2983</v>
      </c>
      <c r="F369" s="1775" t="s">
        <v>2469</v>
      </c>
      <c r="G369" s="1775" t="s">
        <v>28</v>
      </c>
      <c r="H369" s="1775" t="s">
        <v>28</v>
      </c>
      <c r="I369" s="1775" t="s">
        <v>860</v>
      </c>
    </row>
    <row r="370" spans="1:9" ht="11.25" customHeight="1">
      <c r="A370" s="1775" t="s">
        <v>2260</v>
      </c>
      <c r="B370" s="1775" t="s">
        <v>16</v>
      </c>
      <c r="C370" s="1775" t="s">
        <v>28</v>
      </c>
      <c r="D370" s="1775" t="s">
        <v>2834</v>
      </c>
      <c r="E370" s="1775" t="s">
        <v>2835</v>
      </c>
      <c r="F370" s="1775" t="s">
        <v>2343</v>
      </c>
      <c r="G370" s="1775" t="s">
        <v>28</v>
      </c>
      <c r="H370" s="1775" t="s">
        <v>28</v>
      </c>
      <c r="I370" s="1775" t="s">
        <v>860</v>
      </c>
    </row>
    <row r="371" spans="1:9" ht="11.25" customHeight="1">
      <c r="A371" s="1775" t="s">
        <v>2260</v>
      </c>
      <c r="B371" s="1775" t="s">
        <v>16</v>
      </c>
      <c r="C371" s="1775" t="s">
        <v>2836</v>
      </c>
      <c r="D371" s="1775" t="s">
        <v>2837</v>
      </c>
      <c r="E371" s="1775" t="s">
        <v>2838</v>
      </c>
      <c r="F371" s="1775" t="s">
        <v>2292</v>
      </c>
      <c r="G371" s="1775" t="s">
        <v>28</v>
      </c>
      <c r="H371" s="1775" t="s">
        <v>28</v>
      </c>
      <c r="I371" s="1775" t="s">
        <v>860</v>
      </c>
    </row>
    <row r="372" spans="1:9" ht="11.25" customHeight="1">
      <c r="A372" s="1775" t="s">
        <v>2260</v>
      </c>
      <c r="B372" s="1775" t="s">
        <v>16</v>
      </c>
      <c r="C372" s="1775" t="s">
        <v>2839</v>
      </c>
      <c r="D372" s="1775" t="s">
        <v>2840</v>
      </c>
      <c r="E372" s="1775" t="s">
        <v>2841</v>
      </c>
      <c r="F372" s="1775" t="s">
        <v>2268</v>
      </c>
      <c r="G372" s="1775" t="s">
        <v>28</v>
      </c>
      <c r="H372" s="1775" t="s">
        <v>28</v>
      </c>
      <c r="I372" s="1775" t="s">
        <v>860</v>
      </c>
    </row>
    <row r="373" spans="1:9" ht="11.25" customHeight="1">
      <c r="A373" s="1775" t="s">
        <v>2260</v>
      </c>
      <c r="B373" s="1775" t="s">
        <v>16</v>
      </c>
      <c r="C373" s="1775" t="s">
        <v>2984</v>
      </c>
      <c r="D373" s="1775" t="s">
        <v>2985</v>
      </c>
      <c r="E373" s="1775" t="s">
        <v>2271</v>
      </c>
      <c r="F373" s="1775" t="s">
        <v>2986</v>
      </c>
      <c r="G373" s="1775" t="s">
        <v>28</v>
      </c>
      <c r="H373" s="1775" t="s">
        <v>28</v>
      </c>
      <c r="I373" s="1775" t="s">
        <v>860</v>
      </c>
    </row>
    <row r="374" spans="1:9" ht="11.25" customHeight="1">
      <c r="A374" s="1775" t="s">
        <v>2260</v>
      </c>
      <c r="B374" s="1775" t="s">
        <v>16</v>
      </c>
      <c r="C374" s="1775" t="s">
        <v>2987</v>
      </c>
      <c r="D374" s="1775" t="s">
        <v>2988</v>
      </c>
      <c r="E374" s="1775" t="s">
        <v>2989</v>
      </c>
      <c r="F374" s="1775" t="s">
        <v>2292</v>
      </c>
      <c r="G374" s="1775" t="s">
        <v>28</v>
      </c>
      <c r="H374" s="1775" t="s">
        <v>28</v>
      </c>
      <c r="I374" s="1775" t="s">
        <v>860</v>
      </c>
    </row>
    <row r="375" spans="1:9" ht="11.25" customHeight="1">
      <c r="A375" s="1775" t="s">
        <v>2260</v>
      </c>
      <c r="B375" s="1775" t="s">
        <v>16</v>
      </c>
      <c r="C375" s="1775" t="s">
        <v>2845</v>
      </c>
      <c r="D375" s="1775" t="s">
        <v>2846</v>
      </c>
      <c r="E375" s="1775" t="s">
        <v>2847</v>
      </c>
      <c r="F375" s="1775" t="s">
        <v>2292</v>
      </c>
      <c r="G375" s="1775" t="s">
        <v>28</v>
      </c>
      <c r="H375" s="1775" t="s">
        <v>28</v>
      </c>
      <c r="I375" s="1775" t="s">
        <v>860</v>
      </c>
    </row>
    <row r="376" spans="1:9" ht="11.25" customHeight="1">
      <c r="A376" s="1775" t="s">
        <v>2260</v>
      </c>
      <c r="B376" s="1775" t="s">
        <v>16</v>
      </c>
      <c r="C376" s="1775" t="s">
        <v>2990</v>
      </c>
      <c r="D376" s="1775" t="s">
        <v>2991</v>
      </c>
      <c r="E376" s="1775" t="s">
        <v>2992</v>
      </c>
      <c r="F376" s="1775" t="s">
        <v>2461</v>
      </c>
      <c r="G376" s="1775" t="s">
        <v>28</v>
      </c>
      <c r="H376" s="1775" t="s">
        <v>28</v>
      </c>
      <c r="I376" s="1775" t="s">
        <v>860</v>
      </c>
    </row>
    <row r="377" spans="1:9" ht="11.25" customHeight="1">
      <c r="A377" s="1775" t="s">
        <v>2260</v>
      </c>
      <c r="B377" s="1775" t="s">
        <v>16</v>
      </c>
      <c r="C377" s="1775" t="s">
        <v>2851</v>
      </c>
      <c r="D377" s="1775" t="s">
        <v>2852</v>
      </c>
      <c r="E377" s="1775" t="s">
        <v>2599</v>
      </c>
      <c r="F377" s="1775" t="s">
        <v>2853</v>
      </c>
      <c r="G377" s="1775" t="s">
        <v>28</v>
      </c>
      <c r="H377" s="1775" t="s">
        <v>28</v>
      </c>
      <c r="I377" s="1775" t="s">
        <v>860</v>
      </c>
    </row>
    <row r="378" spans="1:9" ht="11.25" customHeight="1">
      <c r="A378" s="1775" t="s">
        <v>2260</v>
      </c>
      <c r="B378" s="1775" t="s">
        <v>16</v>
      </c>
      <c r="C378" s="1775" t="s">
        <v>2854</v>
      </c>
      <c r="D378" s="1775" t="s">
        <v>2855</v>
      </c>
      <c r="E378" s="1775" t="s">
        <v>2539</v>
      </c>
      <c r="F378" s="1775" t="s">
        <v>2626</v>
      </c>
      <c r="G378" s="1775" t="s">
        <v>28</v>
      </c>
      <c r="H378" s="1775" t="s">
        <v>28</v>
      </c>
      <c r="I378" s="1775" t="s">
        <v>860</v>
      </c>
    </row>
    <row r="379" spans="1:9" ht="11.25" customHeight="1">
      <c r="A379" s="1775" t="s">
        <v>2260</v>
      </c>
      <c r="B379" s="1775" t="s">
        <v>16</v>
      </c>
      <c r="C379" s="1775" t="s">
        <v>2856</v>
      </c>
      <c r="D379" s="1775" t="s">
        <v>2857</v>
      </c>
      <c r="E379" s="1775" t="s">
        <v>2539</v>
      </c>
      <c r="F379" s="1775" t="s">
        <v>2858</v>
      </c>
      <c r="G379" s="1775" t="s">
        <v>28</v>
      </c>
      <c r="H379" s="1775" t="s">
        <v>28</v>
      </c>
      <c r="I379" s="1775" t="s">
        <v>860</v>
      </c>
    </row>
    <row r="380" spans="1:9" ht="11.25" customHeight="1">
      <c r="A380" s="1775" t="s">
        <v>2260</v>
      </c>
      <c r="B380" s="1775" t="s">
        <v>16</v>
      </c>
      <c r="C380" s="1775" t="s">
        <v>2859</v>
      </c>
      <c r="D380" s="1775" t="s">
        <v>2860</v>
      </c>
      <c r="E380" s="1775" t="s">
        <v>2323</v>
      </c>
      <c r="F380" s="1775" t="s">
        <v>2861</v>
      </c>
      <c r="G380" s="1775" t="s">
        <v>28</v>
      </c>
      <c r="H380" s="1775" t="s">
        <v>28</v>
      </c>
      <c r="I380" s="1775" t="s">
        <v>860</v>
      </c>
    </row>
    <row r="381" spans="1:9" ht="11.25" customHeight="1">
      <c r="A381" s="1775" t="s">
        <v>2260</v>
      </c>
      <c r="B381" s="1775" t="s">
        <v>16</v>
      </c>
      <c r="C381" s="1775" t="s">
        <v>2862</v>
      </c>
      <c r="D381" s="1775" t="s">
        <v>2863</v>
      </c>
      <c r="E381" s="1775" t="s">
        <v>2323</v>
      </c>
      <c r="F381" s="1775" t="s">
        <v>2864</v>
      </c>
      <c r="G381" s="1775" t="s">
        <v>28</v>
      </c>
      <c r="H381" s="1775" t="s">
        <v>28</v>
      </c>
      <c r="I381" s="1775" t="s">
        <v>860</v>
      </c>
    </row>
    <row r="382" spans="1:9" ht="11.25" customHeight="1">
      <c r="A382" s="1775" t="s">
        <v>2260</v>
      </c>
      <c r="B382" s="1775" t="s">
        <v>16</v>
      </c>
      <c r="C382" s="1775" t="s">
        <v>2865</v>
      </c>
      <c r="D382" s="1775" t="s">
        <v>2866</v>
      </c>
      <c r="E382" s="1775" t="s">
        <v>2323</v>
      </c>
      <c r="F382" s="1775" t="s">
        <v>2867</v>
      </c>
      <c r="G382" s="1775" t="s">
        <v>28</v>
      </c>
      <c r="H382" s="1775" t="s">
        <v>28</v>
      </c>
      <c r="I382" s="1775" t="s">
        <v>860</v>
      </c>
    </row>
    <row r="383" spans="1:9" ht="11.25" customHeight="1">
      <c r="A383" s="1775" t="s">
        <v>2260</v>
      </c>
      <c r="B383" s="1775" t="s">
        <v>16</v>
      </c>
      <c r="C383" s="1775" t="s">
        <v>2868</v>
      </c>
      <c r="D383" s="1775" t="s">
        <v>2869</v>
      </c>
      <c r="E383" s="1775" t="s">
        <v>2623</v>
      </c>
      <c r="F383" s="1775" t="s">
        <v>2870</v>
      </c>
      <c r="G383" s="1775" t="s">
        <v>28</v>
      </c>
      <c r="H383" s="1775" t="s">
        <v>28</v>
      </c>
      <c r="I383" s="1775" t="s">
        <v>860</v>
      </c>
    </row>
    <row r="384" spans="1:9" ht="11.25" customHeight="1">
      <c r="A384" s="1775" t="s">
        <v>2260</v>
      </c>
      <c r="B384" s="1775" t="s">
        <v>16</v>
      </c>
      <c r="C384" s="1775" t="s">
        <v>2871</v>
      </c>
      <c r="D384" s="1775" t="s">
        <v>2872</v>
      </c>
      <c r="E384" s="1775" t="s">
        <v>2623</v>
      </c>
      <c r="F384" s="1775" t="s">
        <v>2873</v>
      </c>
      <c r="G384" s="1775" t="s">
        <v>2874</v>
      </c>
      <c r="H384" s="1775" t="s">
        <v>28</v>
      </c>
      <c r="I384" s="1775" t="s">
        <v>860</v>
      </c>
    </row>
    <row r="385" spans="1:9" ht="11.25" customHeight="1">
      <c r="A385" s="1775" t="s">
        <v>2260</v>
      </c>
      <c r="B385" s="1775" t="s">
        <v>16</v>
      </c>
      <c r="C385" s="1775" t="s">
        <v>2875</v>
      </c>
      <c r="D385" s="1775" t="s">
        <v>2876</v>
      </c>
      <c r="E385" s="1775" t="s">
        <v>2877</v>
      </c>
      <c r="F385" s="1775" t="s">
        <v>2718</v>
      </c>
      <c r="G385" s="1775" t="s">
        <v>28</v>
      </c>
      <c r="H385" s="1775" t="s">
        <v>28</v>
      </c>
      <c r="I385" s="1775" t="s">
        <v>860</v>
      </c>
    </row>
    <row r="386" spans="1:9" ht="11.25" customHeight="1">
      <c r="A386" s="1775" t="s">
        <v>2260</v>
      </c>
      <c r="B386" s="1775" t="s">
        <v>16</v>
      </c>
      <c r="C386" s="1775" t="s">
        <v>2878</v>
      </c>
      <c r="D386" s="1775" t="s">
        <v>2879</v>
      </c>
      <c r="E386" s="1775" t="s">
        <v>2880</v>
      </c>
      <c r="F386" s="1775" t="s">
        <v>2327</v>
      </c>
      <c r="G386" s="1775" t="s">
        <v>28</v>
      </c>
      <c r="H386" s="1775" t="s">
        <v>28</v>
      </c>
      <c r="I386" s="1775" t="s">
        <v>860</v>
      </c>
    </row>
    <row r="387" spans="1:9" ht="11.25" customHeight="1">
      <c r="A387" s="1775" t="s">
        <v>2260</v>
      </c>
      <c r="B387" s="1775" t="s">
        <v>16</v>
      </c>
      <c r="C387" s="1775" t="s">
        <v>2881</v>
      </c>
      <c r="D387" s="1775" t="s">
        <v>2882</v>
      </c>
      <c r="E387" s="1775" t="s">
        <v>2883</v>
      </c>
      <c r="F387" s="1775" t="s">
        <v>2490</v>
      </c>
      <c r="G387" s="1775" t="s">
        <v>28</v>
      </c>
      <c r="H387" s="1775" t="s">
        <v>28</v>
      </c>
      <c r="I387" s="1775" t="s">
        <v>860</v>
      </c>
    </row>
    <row r="388" spans="1:9" ht="11.25" customHeight="1">
      <c r="A388" s="1775" t="s">
        <v>2260</v>
      </c>
      <c r="B388" s="1775" t="s">
        <v>16</v>
      </c>
      <c r="C388" s="1775" t="s">
        <v>2887</v>
      </c>
      <c r="D388" s="1775" t="s">
        <v>2888</v>
      </c>
      <c r="E388" s="1775" t="s">
        <v>2822</v>
      </c>
      <c r="F388" s="1775" t="s">
        <v>2718</v>
      </c>
      <c r="G388" s="1775" t="s">
        <v>2889</v>
      </c>
      <c r="H388" s="1775" t="s">
        <v>28</v>
      </c>
      <c r="I388" s="1775" t="s">
        <v>860</v>
      </c>
    </row>
    <row r="389" spans="1:9" ht="11.25" customHeight="1">
      <c r="A389" s="1775" t="s">
        <v>2260</v>
      </c>
      <c r="B389" s="1775" t="s">
        <v>16</v>
      </c>
      <c r="C389" s="1775" t="s">
        <v>2265</v>
      </c>
      <c r="D389" s="1775" t="s">
        <v>2266</v>
      </c>
      <c r="E389" s="1775" t="s">
        <v>2267</v>
      </c>
      <c r="F389" s="1775" t="s">
        <v>2268</v>
      </c>
      <c r="G389" s="1775" t="s">
        <v>28</v>
      </c>
      <c r="H389" s="1775" t="s">
        <v>28</v>
      </c>
      <c r="I389" s="1775" t="s">
        <v>913</v>
      </c>
    </row>
    <row r="390" spans="1:9" ht="11.25" customHeight="1">
      <c r="A390" s="1775" t="s">
        <v>2260</v>
      </c>
      <c r="B390" s="1775" t="s">
        <v>16</v>
      </c>
      <c r="C390" s="1775" t="s">
        <v>2269</v>
      </c>
      <c r="D390" s="1775" t="s">
        <v>2270</v>
      </c>
      <c r="E390" s="1775" t="s">
        <v>2271</v>
      </c>
      <c r="F390" s="1775" t="s">
        <v>2272</v>
      </c>
      <c r="G390" s="1775" t="s">
        <v>28</v>
      </c>
      <c r="H390" s="1775" t="s">
        <v>28</v>
      </c>
      <c r="I390" s="1775" t="s">
        <v>913</v>
      </c>
    </row>
    <row r="391" spans="1:9" ht="11.25" customHeight="1">
      <c r="A391" s="1775" t="s">
        <v>2260</v>
      </c>
      <c r="B391" s="1775" t="s">
        <v>16</v>
      </c>
      <c r="C391" s="1775" t="s">
        <v>2280</v>
      </c>
      <c r="D391" s="1775" t="s">
        <v>2281</v>
      </c>
      <c r="E391" s="1775" t="s">
        <v>2282</v>
      </c>
      <c r="F391" s="1775" t="s">
        <v>2283</v>
      </c>
      <c r="G391" s="1775" t="s">
        <v>2284</v>
      </c>
      <c r="H391" s="1775" t="s">
        <v>28</v>
      </c>
      <c r="I391" s="1775" t="s">
        <v>913</v>
      </c>
    </row>
    <row r="392" spans="1:9" ht="11.25" customHeight="1">
      <c r="A392" s="1775" t="s">
        <v>2260</v>
      </c>
      <c r="B392" s="1775" t="s">
        <v>16</v>
      </c>
      <c r="C392" s="1775" t="s">
        <v>2289</v>
      </c>
      <c r="D392" s="1775" t="s">
        <v>2290</v>
      </c>
      <c r="E392" s="1775" t="s">
        <v>2291</v>
      </c>
      <c r="F392" s="1775" t="s">
        <v>2292</v>
      </c>
      <c r="G392" s="1775" t="s">
        <v>2293</v>
      </c>
      <c r="H392" s="1775" t="s">
        <v>28</v>
      </c>
      <c r="I392" s="1775" t="s">
        <v>913</v>
      </c>
    </row>
    <row r="393" spans="1:9" ht="11.25" customHeight="1">
      <c r="A393" s="1775" t="s">
        <v>2260</v>
      </c>
      <c r="B393" s="1775" t="s">
        <v>16</v>
      </c>
      <c r="C393" s="1775" t="s">
        <v>2893</v>
      </c>
      <c r="D393" s="1775" t="s">
        <v>2894</v>
      </c>
      <c r="E393" s="1775" t="s">
        <v>2895</v>
      </c>
      <c r="F393" s="1775" t="s">
        <v>2335</v>
      </c>
      <c r="G393" s="1775" t="s">
        <v>2896</v>
      </c>
      <c r="H393" s="1775" t="s">
        <v>28</v>
      </c>
      <c r="I393" s="1775" t="s">
        <v>913</v>
      </c>
    </row>
    <row r="394" spans="1:9" ht="11.25" customHeight="1">
      <c r="A394" s="1775" t="s">
        <v>2260</v>
      </c>
      <c r="B394" s="1775" t="s">
        <v>16</v>
      </c>
      <c r="C394" s="1775" t="s">
        <v>2897</v>
      </c>
      <c r="D394" s="1775" t="s">
        <v>2295</v>
      </c>
      <c r="E394" s="1775" t="s">
        <v>2296</v>
      </c>
      <c r="F394" s="1775" t="s">
        <v>2898</v>
      </c>
      <c r="G394" s="1775" t="s">
        <v>2899</v>
      </c>
      <c r="H394" s="1775" t="s">
        <v>28</v>
      </c>
      <c r="I394" s="1775" t="s">
        <v>913</v>
      </c>
    </row>
    <row r="395" spans="1:9" ht="11.25" customHeight="1">
      <c r="A395" s="1775" t="s">
        <v>2260</v>
      </c>
      <c r="B395" s="1775" t="s">
        <v>16</v>
      </c>
      <c r="C395" s="1775" t="s">
        <v>2294</v>
      </c>
      <c r="D395" s="1775" t="s">
        <v>2295</v>
      </c>
      <c r="E395" s="1775" t="s">
        <v>2296</v>
      </c>
      <c r="F395" s="1775" t="s">
        <v>2297</v>
      </c>
      <c r="G395" s="1775" t="s">
        <v>28</v>
      </c>
      <c r="H395" s="1775" t="s">
        <v>28</v>
      </c>
      <c r="I395" s="1775" t="s">
        <v>913</v>
      </c>
    </row>
    <row r="396" spans="1:9" ht="11.25" customHeight="1">
      <c r="A396" s="1775" t="s">
        <v>2260</v>
      </c>
      <c r="B396" s="1775" t="s">
        <v>16</v>
      </c>
      <c r="C396" s="1775" t="s">
        <v>2298</v>
      </c>
      <c r="D396" s="1775" t="s">
        <v>2299</v>
      </c>
      <c r="E396" s="1775" t="s">
        <v>2300</v>
      </c>
      <c r="F396" s="1775" t="s">
        <v>2301</v>
      </c>
      <c r="G396" s="1775" t="s">
        <v>2302</v>
      </c>
      <c r="H396" s="1775" t="s">
        <v>28</v>
      </c>
      <c r="I396" s="1775" t="s">
        <v>913</v>
      </c>
    </row>
    <row r="397" spans="1:9" ht="11.25" customHeight="1">
      <c r="A397" s="1775" t="s">
        <v>2260</v>
      </c>
      <c r="B397" s="1775" t="s">
        <v>16</v>
      </c>
      <c r="C397" s="1775" t="s">
        <v>2312</v>
      </c>
      <c r="D397" s="1775" t="s">
        <v>2313</v>
      </c>
      <c r="E397" s="1775" t="s">
        <v>2314</v>
      </c>
      <c r="F397" s="1775" t="s">
        <v>2315</v>
      </c>
      <c r="G397" s="1775" t="s">
        <v>2316</v>
      </c>
      <c r="H397" s="1775" t="s">
        <v>28</v>
      </c>
      <c r="I397" s="1775" t="s">
        <v>913</v>
      </c>
    </row>
    <row r="398" spans="1:9" ht="11.25" customHeight="1">
      <c r="A398" s="1775" t="s">
        <v>2260</v>
      </c>
      <c r="B398" s="1775" t="s">
        <v>16</v>
      </c>
      <c r="C398" s="1775" t="s">
        <v>2321</v>
      </c>
      <c r="D398" s="1775" t="s">
        <v>2322</v>
      </c>
      <c r="E398" s="1775" t="s">
        <v>2323</v>
      </c>
      <c r="F398" s="1775" t="s">
        <v>2301</v>
      </c>
      <c r="G398" s="1775" t="s">
        <v>28</v>
      </c>
      <c r="H398" s="1775" t="s">
        <v>28</v>
      </c>
      <c r="I398" s="1775" t="s">
        <v>913</v>
      </c>
    </row>
    <row r="399" spans="1:9" ht="11.25" customHeight="1">
      <c r="A399" s="1775" t="s">
        <v>2260</v>
      </c>
      <c r="B399" s="1775" t="s">
        <v>16</v>
      </c>
      <c r="C399" s="1775" t="s">
        <v>2904</v>
      </c>
      <c r="D399" s="1775" t="s">
        <v>2905</v>
      </c>
      <c r="E399" s="1775" t="s">
        <v>2906</v>
      </c>
      <c r="F399" s="1775" t="s">
        <v>2348</v>
      </c>
      <c r="G399" s="1775" t="s">
        <v>28</v>
      </c>
      <c r="H399" s="1775" t="s">
        <v>28</v>
      </c>
      <c r="I399" s="1775" t="s">
        <v>913</v>
      </c>
    </row>
    <row r="400" spans="1:9" ht="11.25" customHeight="1">
      <c r="A400" s="1775" t="s">
        <v>2260</v>
      </c>
      <c r="B400" s="1775" t="s">
        <v>16</v>
      </c>
      <c r="C400" s="1775" t="s">
        <v>2349</v>
      </c>
      <c r="D400" s="1775" t="s">
        <v>2350</v>
      </c>
      <c r="E400" s="1775" t="s">
        <v>2351</v>
      </c>
      <c r="F400" s="1775" t="s">
        <v>2288</v>
      </c>
      <c r="G400" s="1775" t="s">
        <v>2352</v>
      </c>
      <c r="H400" s="1775" t="s">
        <v>28</v>
      </c>
      <c r="I400" s="1775" t="s">
        <v>913</v>
      </c>
    </row>
    <row r="401" spans="1:9" ht="11.25" customHeight="1">
      <c r="A401" s="1775" t="s">
        <v>2260</v>
      </c>
      <c r="B401" s="1775" t="s">
        <v>16</v>
      </c>
      <c r="C401" s="1775" t="s">
        <v>2357</v>
      </c>
      <c r="D401" s="1775" t="s">
        <v>2358</v>
      </c>
      <c r="E401" s="1775" t="s">
        <v>2359</v>
      </c>
      <c r="F401" s="1775" t="s">
        <v>2343</v>
      </c>
      <c r="G401" s="1775" t="s">
        <v>28</v>
      </c>
      <c r="H401" s="1775" t="s">
        <v>28</v>
      </c>
      <c r="I401" s="1775" t="s">
        <v>913</v>
      </c>
    </row>
    <row r="402" spans="1:9" ht="11.25" customHeight="1">
      <c r="A402" s="1775" t="s">
        <v>2260</v>
      </c>
      <c r="B402" s="1775" t="s">
        <v>16</v>
      </c>
      <c r="C402" s="1775" t="s">
        <v>2993</v>
      </c>
      <c r="D402" s="1775" t="s">
        <v>2994</v>
      </c>
      <c r="E402" s="1775" t="s">
        <v>2995</v>
      </c>
      <c r="F402" s="1775" t="s">
        <v>2292</v>
      </c>
      <c r="G402" s="1775" t="s">
        <v>28</v>
      </c>
      <c r="H402" s="1775" t="s">
        <v>28</v>
      </c>
      <c r="I402" s="1775" t="s">
        <v>913</v>
      </c>
    </row>
    <row r="403" spans="1:9" ht="11.25" customHeight="1">
      <c r="A403" s="1775" t="s">
        <v>2260</v>
      </c>
      <c r="B403" s="1775" t="s">
        <v>16</v>
      </c>
      <c r="C403" s="1775" t="s">
        <v>13</v>
      </c>
      <c r="D403" s="1775" t="s">
        <v>47</v>
      </c>
      <c r="E403" s="1775" t="s">
        <v>50</v>
      </c>
      <c r="F403" s="1775" t="s">
        <v>52</v>
      </c>
      <c r="G403" s="1775" t="s">
        <v>2365</v>
      </c>
      <c r="H403" s="1775" t="s">
        <v>28</v>
      </c>
      <c r="I403" s="1775" t="s">
        <v>913</v>
      </c>
    </row>
    <row r="404" spans="1:9" ht="11.25" customHeight="1">
      <c r="A404" s="1775" t="s">
        <v>2260</v>
      </c>
      <c r="B404" s="1775" t="s">
        <v>16</v>
      </c>
      <c r="C404" s="1775" t="s">
        <v>2373</v>
      </c>
      <c r="D404" s="1775" t="s">
        <v>2374</v>
      </c>
      <c r="E404" s="1775" t="s">
        <v>2375</v>
      </c>
      <c r="F404" s="1775" t="s">
        <v>2376</v>
      </c>
      <c r="G404" s="1775" t="s">
        <v>28</v>
      </c>
      <c r="H404" s="1775" t="s">
        <v>28</v>
      </c>
      <c r="I404" s="1775" t="s">
        <v>913</v>
      </c>
    </row>
    <row r="405" spans="1:9" ht="11.25" customHeight="1">
      <c r="A405" s="1775" t="s">
        <v>2260</v>
      </c>
      <c r="B405" s="1775" t="s">
        <v>16</v>
      </c>
      <c r="C405" s="1775" t="s">
        <v>2402</v>
      </c>
      <c r="D405" s="1775" t="s">
        <v>2403</v>
      </c>
      <c r="E405" s="1775" t="s">
        <v>2404</v>
      </c>
      <c r="F405" s="1775" t="s">
        <v>2405</v>
      </c>
      <c r="G405" s="1775" t="s">
        <v>28</v>
      </c>
      <c r="H405" s="1775" t="s">
        <v>28</v>
      </c>
      <c r="I405" s="1775" t="s">
        <v>913</v>
      </c>
    </row>
    <row r="406" spans="1:9" ht="11.25" customHeight="1">
      <c r="A406" s="1775" t="s">
        <v>2260</v>
      </c>
      <c r="B406" s="1775" t="s">
        <v>16</v>
      </c>
      <c r="C406" s="1775" t="s">
        <v>2414</v>
      </c>
      <c r="D406" s="1775" t="s">
        <v>2415</v>
      </c>
      <c r="E406" s="1775" t="s">
        <v>2416</v>
      </c>
      <c r="F406" s="1775" t="s">
        <v>2417</v>
      </c>
      <c r="G406" s="1775" t="s">
        <v>2418</v>
      </c>
      <c r="H406" s="1775" t="s">
        <v>28</v>
      </c>
      <c r="I406" s="1775" t="s">
        <v>913</v>
      </c>
    </row>
    <row r="407" spans="1:9" ht="11.25" customHeight="1">
      <c r="A407" s="1775" t="s">
        <v>2260</v>
      </c>
      <c r="B407" s="1775" t="s">
        <v>16</v>
      </c>
      <c r="C407" s="1775" t="s">
        <v>2423</v>
      </c>
      <c r="D407" s="1775" t="s">
        <v>2424</v>
      </c>
      <c r="E407" s="1775" t="s">
        <v>2425</v>
      </c>
      <c r="F407" s="1775" t="s">
        <v>2417</v>
      </c>
      <c r="G407" s="1775" t="s">
        <v>2426</v>
      </c>
      <c r="H407" s="1775" t="s">
        <v>28</v>
      </c>
      <c r="I407" s="1775" t="s">
        <v>913</v>
      </c>
    </row>
    <row r="408" spans="1:9" ht="11.25" customHeight="1">
      <c r="A408" s="1775" t="s">
        <v>2260</v>
      </c>
      <c r="B408" s="1775" t="s">
        <v>16</v>
      </c>
      <c r="C408" s="1775" t="s">
        <v>2910</v>
      </c>
      <c r="D408" s="1775" t="s">
        <v>2911</v>
      </c>
      <c r="E408" s="1775" t="s">
        <v>2912</v>
      </c>
      <c r="F408" s="1775" t="s">
        <v>2343</v>
      </c>
      <c r="G408" s="1775" t="s">
        <v>28</v>
      </c>
      <c r="H408" s="1775" t="s">
        <v>28</v>
      </c>
      <c r="I408" s="1775" t="s">
        <v>913</v>
      </c>
    </row>
    <row r="409" spans="1:9" ht="11.25" customHeight="1">
      <c r="A409" s="1775" t="s">
        <v>2260</v>
      </c>
      <c r="B409" s="1775" t="s">
        <v>16</v>
      </c>
      <c r="C409" s="1775" t="s">
        <v>2430</v>
      </c>
      <c r="D409" s="1775" t="s">
        <v>2431</v>
      </c>
      <c r="E409" s="1775" t="s">
        <v>2432</v>
      </c>
      <c r="F409" s="1775" t="s">
        <v>2283</v>
      </c>
      <c r="G409" s="1775" t="s">
        <v>28</v>
      </c>
      <c r="H409" s="1775" t="s">
        <v>28</v>
      </c>
      <c r="I409" s="1775" t="s">
        <v>913</v>
      </c>
    </row>
    <row r="410" spans="1:9" ht="11.25" customHeight="1">
      <c r="A410" s="1775" t="s">
        <v>2260</v>
      </c>
      <c r="B410" s="1775" t="s">
        <v>16</v>
      </c>
      <c r="C410" s="1775" t="s">
        <v>2433</v>
      </c>
      <c r="D410" s="1775" t="s">
        <v>2434</v>
      </c>
      <c r="E410" s="1775" t="s">
        <v>2435</v>
      </c>
      <c r="F410" s="1775" t="s">
        <v>2315</v>
      </c>
      <c r="G410" s="1775" t="s">
        <v>28</v>
      </c>
      <c r="H410" s="1775" t="s">
        <v>28</v>
      </c>
      <c r="I410" s="1775" t="s">
        <v>913</v>
      </c>
    </row>
    <row r="411" spans="1:9" ht="11.25" customHeight="1">
      <c r="A411" s="1775" t="s">
        <v>2260</v>
      </c>
      <c r="B411" s="1775" t="s">
        <v>16</v>
      </c>
      <c r="C411" s="1775" t="s">
        <v>2436</v>
      </c>
      <c r="D411" s="1775" t="s">
        <v>2437</v>
      </c>
      <c r="E411" s="1775" t="s">
        <v>2438</v>
      </c>
      <c r="F411" s="1775" t="s">
        <v>2439</v>
      </c>
      <c r="G411" s="1775" t="s">
        <v>2440</v>
      </c>
      <c r="H411" s="1775" t="s">
        <v>28</v>
      </c>
      <c r="I411" s="1775" t="s">
        <v>913</v>
      </c>
    </row>
    <row r="412" spans="1:9" ht="11.25" customHeight="1">
      <c r="A412" s="1775" t="s">
        <v>2260</v>
      </c>
      <c r="B412" s="1775" t="s">
        <v>16</v>
      </c>
      <c r="C412" s="1775" t="s">
        <v>2441</v>
      </c>
      <c r="D412" s="1775" t="s">
        <v>2442</v>
      </c>
      <c r="E412" s="1775" t="s">
        <v>2443</v>
      </c>
      <c r="F412" s="1775" t="s">
        <v>2439</v>
      </c>
      <c r="G412" s="1775" t="s">
        <v>2444</v>
      </c>
      <c r="H412" s="1775" t="s">
        <v>28</v>
      </c>
      <c r="I412" s="1775" t="s">
        <v>913</v>
      </c>
    </row>
    <row r="413" spans="1:9" ht="11.25" customHeight="1">
      <c r="A413" s="1775" t="s">
        <v>2260</v>
      </c>
      <c r="B413" s="1775" t="s">
        <v>16</v>
      </c>
      <c r="C413" s="1775" t="s">
        <v>2451</v>
      </c>
      <c r="D413" s="1775" t="s">
        <v>2452</v>
      </c>
      <c r="E413" s="1775" t="s">
        <v>2453</v>
      </c>
      <c r="F413" s="1775" t="s">
        <v>2315</v>
      </c>
      <c r="G413" s="1775" t="s">
        <v>2454</v>
      </c>
      <c r="H413" s="1775" t="s">
        <v>28</v>
      </c>
      <c r="I413" s="1775" t="s">
        <v>913</v>
      </c>
    </row>
    <row r="414" spans="1:9" ht="11.25" customHeight="1">
      <c r="A414" s="1775" t="s">
        <v>2260</v>
      </c>
      <c r="B414" s="1775" t="s">
        <v>16</v>
      </c>
      <c r="C414" s="1775" t="s">
        <v>2462</v>
      </c>
      <c r="D414" s="1775" t="s">
        <v>2463</v>
      </c>
      <c r="E414" s="1775" t="s">
        <v>2464</v>
      </c>
      <c r="F414" s="1775" t="s">
        <v>2301</v>
      </c>
      <c r="G414" s="1775" t="s">
        <v>2465</v>
      </c>
      <c r="H414" s="1775" t="s">
        <v>28</v>
      </c>
      <c r="I414" s="1775" t="s">
        <v>913</v>
      </c>
    </row>
    <row r="415" spans="1:9" ht="11.25" customHeight="1">
      <c r="A415" s="1775" t="s">
        <v>2260</v>
      </c>
      <c r="B415" s="1775" t="s">
        <v>16</v>
      </c>
      <c r="C415" s="1775" t="s">
        <v>2466</v>
      </c>
      <c r="D415" s="1775" t="s">
        <v>2467</v>
      </c>
      <c r="E415" s="1775" t="s">
        <v>2468</v>
      </c>
      <c r="F415" s="1775" t="s">
        <v>2469</v>
      </c>
      <c r="G415" s="1775" t="s">
        <v>28</v>
      </c>
      <c r="H415" s="1775" t="s">
        <v>28</v>
      </c>
      <c r="I415" s="1775" t="s">
        <v>913</v>
      </c>
    </row>
    <row r="416" spans="1:9" ht="11.25" customHeight="1">
      <c r="A416" s="1775" t="s">
        <v>2260</v>
      </c>
      <c r="B416" s="1775" t="s">
        <v>16</v>
      </c>
      <c r="C416" s="1775" t="s">
        <v>2470</v>
      </c>
      <c r="D416" s="1775" t="s">
        <v>2471</v>
      </c>
      <c r="E416" s="1775" t="s">
        <v>2472</v>
      </c>
      <c r="F416" s="1775" t="s">
        <v>2417</v>
      </c>
      <c r="G416" s="1775" t="s">
        <v>28</v>
      </c>
      <c r="H416" s="1775" t="s">
        <v>28</v>
      </c>
      <c r="I416" s="1775" t="s">
        <v>913</v>
      </c>
    </row>
    <row r="417" spans="1:9" ht="11.25" customHeight="1">
      <c r="A417" s="1775" t="s">
        <v>2260</v>
      </c>
      <c r="B417" s="1775" t="s">
        <v>16</v>
      </c>
      <c r="C417" s="1775" t="s">
        <v>2473</v>
      </c>
      <c r="D417" s="1775" t="s">
        <v>2474</v>
      </c>
      <c r="E417" s="1775" t="s">
        <v>2475</v>
      </c>
      <c r="F417" s="1775" t="s">
        <v>2476</v>
      </c>
      <c r="G417" s="1775" t="s">
        <v>28</v>
      </c>
      <c r="H417" s="1775" t="s">
        <v>28</v>
      </c>
      <c r="I417" s="1775" t="s">
        <v>913</v>
      </c>
    </row>
    <row r="418" spans="1:9" ht="11.25" customHeight="1">
      <c r="A418" s="1775" t="s">
        <v>2260</v>
      </c>
      <c r="B418" s="1775" t="s">
        <v>16</v>
      </c>
      <c r="C418" s="1775" t="s">
        <v>2477</v>
      </c>
      <c r="D418" s="1775" t="s">
        <v>2478</v>
      </c>
      <c r="E418" s="1775" t="s">
        <v>2479</v>
      </c>
      <c r="F418" s="1775" t="s">
        <v>2417</v>
      </c>
      <c r="G418" s="1775" t="s">
        <v>28</v>
      </c>
      <c r="H418" s="1775" t="s">
        <v>28</v>
      </c>
      <c r="I418" s="1775" t="s">
        <v>913</v>
      </c>
    </row>
    <row r="419" spans="1:9" ht="11.25" customHeight="1">
      <c r="A419" s="1775" t="s">
        <v>2260</v>
      </c>
      <c r="B419" s="1775" t="s">
        <v>16</v>
      </c>
      <c r="C419" s="1775" t="s">
        <v>2480</v>
      </c>
      <c r="D419" s="1775" t="s">
        <v>2481</v>
      </c>
      <c r="E419" s="1775" t="s">
        <v>2482</v>
      </c>
      <c r="F419" s="1775" t="s">
        <v>2483</v>
      </c>
      <c r="G419" s="1775" t="s">
        <v>28</v>
      </c>
      <c r="H419" s="1775" t="s">
        <v>28</v>
      </c>
      <c r="I419" s="1775" t="s">
        <v>913</v>
      </c>
    </row>
    <row r="420" spans="1:9" ht="11.25" customHeight="1">
      <c r="A420" s="1775" t="s">
        <v>2260</v>
      </c>
      <c r="B420" s="1775" t="s">
        <v>16</v>
      </c>
      <c r="C420" s="1775" t="s">
        <v>2484</v>
      </c>
      <c r="D420" s="1775" t="s">
        <v>2485</v>
      </c>
      <c r="E420" s="1775" t="s">
        <v>2486</v>
      </c>
      <c r="F420" s="1775" t="s">
        <v>2268</v>
      </c>
      <c r="G420" s="1775" t="s">
        <v>28</v>
      </c>
      <c r="H420" s="1775" t="s">
        <v>28</v>
      </c>
      <c r="I420" s="1775" t="s">
        <v>913</v>
      </c>
    </row>
    <row r="421" spans="1:9" ht="11.25" customHeight="1">
      <c r="A421" s="1775" t="s">
        <v>2260</v>
      </c>
      <c r="B421" s="1775" t="s">
        <v>16</v>
      </c>
      <c r="C421" s="1775" t="s">
        <v>2487</v>
      </c>
      <c r="D421" s="1775" t="s">
        <v>2488</v>
      </c>
      <c r="E421" s="1775" t="s">
        <v>2489</v>
      </c>
      <c r="F421" s="1775" t="s">
        <v>2490</v>
      </c>
      <c r="G421" s="1775" t="s">
        <v>28</v>
      </c>
      <c r="H421" s="1775" t="s">
        <v>28</v>
      </c>
      <c r="I421" s="1775" t="s">
        <v>913</v>
      </c>
    </row>
    <row r="422" spans="1:9" ht="11.25" customHeight="1">
      <c r="A422" s="1775" t="s">
        <v>2260</v>
      </c>
      <c r="B422" s="1775" t="s">
        <v>16</v>
      </c>
      <c r="C422" s="1775" t="s">
        <v>2491</v>
      </c>
      <c r="D422" s="1775" t="s">
        <v>2492</v>
      </c>
      <c r="E422" s="1775" t="s">
        <v>2493</v>
      </c>
      <c r="F422" s="1775" t="s">
        <v>2268</v>
      </c>
      <c r="G422" s="1775" t="s">
        <v>2494</v>
      </c>
      <c r="H422" s="1775" t="s">
        <v>28</v>
      </c>
      <c r="I422" s="1775" t="s">
        <v>913</v>
      </c>
    </row>
    <row r="423" spans="1:9" ht="11.25" customHeight="1">
      <c r="A423" s="1775" t="s">
        <v>2260</v>
      </c>
      <c r="B423" s="1775" t="s">
        <v>16</v>
      </c>
      <c r="C423" s="1775" t="s">
        <v>2502</v>
      </c>
      <c r="D423" s="1775" t="s">
        <v>2503</v>
      </c>
      <c r="E423" s="1775" t="s">
        <v>2504</v>
      </c>
      <c r="F423" s="1775" t="s">
        <v>2327</v>
      </c>
      <c r="G423" s="1775" t="s">
        <v>28</v>
      </c>
      <c r="H423" s="1775" t="s">
        <v>28</v>
      </c>
      <c r="I423" s="1775" t="s">
        <v>913</v>
      </c>
    </row>
    <row r="424" spans="1:9" ht="11.25" customHeight="1">
      <c r="A424" s="1775" t="s">
        <v>2260</v>
      </c>
      <c r="B424" s="1775" t="s">
        <v>16</v>
      </c>
      <c r="C424" s="1775" t="s">
        <v>2505</v>
      </c>
      <c r="D424" s="1775" t="s">
        <v>2506</v>
      </c>
      <c r="E424" s="1775" t="s">
        <v>2507</v>
      </c>
      <c r="F424" s="1775" t="s">
        <v>2288</v>
      </c>
      <c r="G424" s="1775" t="s">
        <v>2508</v>
      </c>
      <c r="H424" s="1775" t="s">
        <v>28</v>
      </c>
      <c r="I424" s="1775" t="s">
        <v>913</v>
      </c>
    </row>
    <row r="425" spans="1:9" ht="11.25" customHeight="1">
      <c r="A425" s="1775" t="s">
        <v>2260</v>
      </c>
      <c r="B425" s="1775" t="s">
        <v>16</v>
      </c>
      <c r="C425" s="1775" t="s">
        <v>2913</v>
      </c>
      <c r="D425" s="1775" t="s">
        <v>2914</v>
      </c>
      <c r="E425" s="1775" t="s">
        <v>2915</v>
      </c>
      <c r="F425" s="1775" t="s">
        <v>2301</v>
      </c>
      <c r="G425" s="1775" t="s">
        <v>28</v>
      </c>
      <c r="H425" s="1775" t="s">
        <v>28</v>
      </c>
      <c r="I425" s="1775" t="s">
        <v>913</v>
      </c>
    </row>
    <row r="426" spans="1:9" ht="11.25" customHeight="1">
      <c r="A426" s="1775" t="s">
        <v>2260</v>
      </c>
      <c r="B426" s="1775" t="s">
        <v>16</v>
      </c>
      <c r="C426" s="1775" t="s">
        <v>2513</v>
      </c>
      <c r="D426" s="1775" t="s">
        <v>2514</v>
      </c>
      <c r="E426" s="1775" t="s">
        <v>2515</v>
      </c>
      <c r="F426" s="1775" t="s">
        <v>2268</v>
      </c>
      <c r="G426" s="1775" t="s">
        <v>2516</v>
      </c>
      <c r="H426" s="1775" t="s">
        <v>28</v>
      </c>
      <c r="I426" s="1775" t="s">
        <v>913</v>
      </c>
    </row>
    <row r="427" spans="1:9" ht="11.25" customHeight="1">
      <c r="A427" s="1775" t="s">
        <v>2260</v>
      </c>
      <c r="B427" s="1775" t="s">
        <v>16</v>
      </c>
      <c r="C427" s="1775" t="s">
        <v>2517</v>
      </c>
      <c r="D427" s="1775" t="s">
        <v>2518</v>
      </c>
      <c r="E427" s="1775" t="s">
        <v>2519</v>
      </c>
      <c r="F427" s="1775" t="s">
        <v>2476</v>
      </c>
      <c r="G427" s="1775" t="s">
        <v>28</v>
      </c>
      <c r="H427" s="1775" t="s">
        <v>28</v>
      </c>
      <c r="I427" s="1775" t="s">
        <v>913</v>
      </c>
    </row>
    <row r="428" spans="1:9" ht="11.25" customHeight="1">
      <c r="A428" s="1775" t="s">
        <v>2260</v>
      </c>
      <c r="B428" s="1775" t="s">
        <v>16</v>
      </c>
      <c r="C428" s="1775" t="s">
        <v>2537</v>
      </c>
      <c r="D428" s="1775" t="s">
        <v>2538</v>
      </c>
      <c r="E428" s="1775" t="s">
        <v>2539</v>
      </c>
      <c r="F428" s="1775" t="s">
        <v>2422</v>
      </c>
      <c r="G428" s="1775" t="s">
        <v>28</v>
      </c>
      <c r="H428" s="1775" t="s">
        <v>28</v>
      </c>
      <c r="I428" s="1775" t="s">
        <v>913</v>
      </c>
    </row>
    <row r="429" spans="1:9" ht="11.25" customHeight="1">
      <c r="A429" s="1775" t="s">
        <v>2260</v>
      </c>
      <c r="B429" s="1775" t="s">
        <v>16</v>
      </c>
      <c r="C429" s="1775" t="s">
        <v>2919</v>
      </c>
      <c r="D429" s="1775" t="s">
        <v>2920</v>
      </c>
      <c r="E429" s="1775" t="s">
        <v>2383</v>
      </c>
      <c r="F429" s="1775" t="s">
        <v>2921</v>
      </c>
      <c r="G429" s="1775" t="s">
        <v>28</v>
      </c>
      <c r="H429" s="1775" t="s">
        <v>28</v>
      </c>
      <c r="I429" s="1775" t="s">
        <v>913</v>
      </c>
    </row>
    <row r="430" spans="1:9" ht="11.25" customHeight="1">
      <c r="A430" s="1775" t="s">
        <v>2260</v>
      </c>
      <c r="B430" s="1775" t="s">
        <v>16</v>
      </c>
      <c r="C430" s="1775" t="s">
        <v>2922</v>
      </c>
      <c r="D430" s="1775" t="s">
        <v>2923</v>
      </c>
      <c r="E430" s="1775" t="s">
        <v>2924</v>
      </c>
      <c r="F430" s="1775" t="s">
        <v>2331</v>
      </c>
      <c r="G430" s="1775" t="s">
        <v>2925</v>
      </c>
      <c r="H430" s="1775" t="s">
        <v>28</v>
      </c>
      <c r="I430" s="1775" t="s">
        <v>913</v>
      </c>
    </row>
    <row r="431" spans="1:9" ht="11.25" customHeight="1">
      <c r="A431" s="1775" t="s">
        <v>2260</v>
      </c>
      <c r="B431" s="1775" t="s">
        <v>16</v>
      </c>
      <c r="C431" s="1775" t="s">
        <v>2557</v>
      </c>
      <c r="D431" s="1775" t="s">
        <v>2558</v>
      </c>
      <c r="E431" s="1775" t="s">
        <v>2559</v>
      </c>
      <c r="F431" s="1775" t="s">
        <v>2560</v>
      </c>
      <c r="G431" s="1775" t="s">
        <v>2561</v>
      </c>
      <c r="H431" s="1775" t="s">
        <v>28</v>
      </c>
      <c r="I431" s="1775" t="s">
        <v>913</v>
      </c>
    </row>
    <row r="432" spans="1:9" ht="11.25" customHeight="1">
      <c r="A432" s="1775" t="s">
        <v>2260</v>
      </c>
      <c r="B432" s="1775" t="s">
        <v>16</v>
      </c>
      <c r="C432" s="1775" t="s">
        <v>2562</v>
      </c>
      <c r="D432" s="1775" t="s">
        <v>2558</v>
      </c>
      <c r="E432" s="1775" t="s">
        <v>2559</v>
      </c>
      <c r="F432" s="1775" t="s">
        <v>2563</v>
      </c>
      <c r="G432" s="1775" t="s">
        <v>28</v>
      </c>
      <c r="H432" s="1775" t="s">
        <v>28</v>
      </c>
      <c r="I432" s="1775" t="s">
        <v>913</v>
      </c>
    </row>
    <row r="433" spans="1:9" ht="11.25" customHeight="1">
      <c r="A433" s="1775" t="s">
        <v>2260</v>
      </c>
      <c r="B433" s="1775" t="s">
        <v>16</v>
      </c>
      <c r="C433" s="1775" t="s">
        <v>2567</v>
      </c>
      <c r="D433" s="1775" t="s">
        <v>2568</v>
      </c>
      <c r="E433" s="1775" t="s">
        <v>2263</v>
      </c>
      <c r="F433" s="1775" t="s">
        <v>2569</v>
      </c>
      <c r="G433" s="1775" t="s">
        <v>28</v>
      </c>
      <c r="H433" s="1775" t="s">
        <v>28</v>
      </c>
      <c r="I433" s="1775" t="s">
        <v>913</v>
      </c>
    </row>
    <row r="434" spans="1:9" ht="11.25" customHeight="1">
      <c r="A434" s="1775" t="s">
        <v>2260</v>
      </c>
      <c r="B434" s="1775" t="s">
        <v>16</v>
      </c>
      <c r="C434" s="1775" t="s">
        <v>2570</v>
      </c>
      <c r="D434" s="1775" t="s">
        <v>2571</v>
      </c>
      <c r="E434" s="1775" t="s">
        <v>2263</v>
      </c>
      <c r="F434" s="1775" t="s">
        <v>2572</v>
      </c>
      <c r="G434" s="1775" t="s">
        <v>28</v>
      </c>
      <c r="H434" s="1775" t="s">
        <v>28</v>
      </c>
      <c r="I434" s="1775" t="s">
        <v>913</v>
      </c>
    </row>
    <row r="435" spans="1:9" ht="11.25" customHeight="1">
      <c r="A435" s="1775" t="s">
        <v>2260</v>
      </c>
      <c r="B435" s="1775" t="s">
        <v>16</v>
      </c>
      <c r="C435" s="1775" t="s">
        <v>2573</v>
      </c>
      <c r="D435" s="1775" t="s">
        <v>2574</v>
      </c>
      <c r="E435" s="1775" t="s">
        <v>2263</v>
      </c>
      <c r="F435" s="1775" t="s">
        <v>2575</v>
      </c>
      <c r="G435" s="1775" t="s">
        <v>28</v>
      </c>
      <c r="H435" s="1775" t="s">
        <v>28</v>
      </c>
      <c r="I435" s="1775" t="s">
        <v>913</v>
      </c>
    </row>
    <row r="436" spans="1:9" ht="11.25" customHeight="1">
      <c r="A436" s="1775" t="s">
        <v>2260</v>
      </c>
      <c r="B436" s="1775" t="s">
        <v>16</v>
      </c>
      <c r="C436" s="1775" t="s">
        <v>2576</v>
      </c>
      <c r="D436" s="1775" t="s">
        <v>2577</v>
      </c>
      <c r="E436" s="1775" t="s">
        <v>2263</v>
      </c>
      <c r="F436" s="1775" t="s">
        <v>2578</v>
      </c>
      <c r="G436" s="1775" t="s">
        <v>28</v>
      </c>
      <c r="H436" s="1775" t="s">
        <v>28</v>
      </c>
      <c r="I436" s="1775" t="s">
        <v>913</v>
      </c>
    </row>
    <row r="437" spans="1:9" ht="11.25" customHeight="1">
      <c r="A437" s="1775" t="s">
        <v>2260</v>
      </c>
      <c r="B437" s="1775" t="s">
        <v>16</v>
      </c>
      <c r="C437" s="1775" t="s">
        <v>2579</v>
      </c>
      <c r="D437" s="1775" t="s">
        <v>2580</v>
      </c>
      <c r="E437" s="1775" t="s">
        <v>2263</v>
      </c>
      <c r="F437" s="1775" t="s">
        <v>2581</v>
      </c>
      <c r="G437" s="1775" t="s">
        <v>28</v>
      </c>
      <c r="H437" s="1775" t="s">
        <v>28</v>
      </c>
      <c r="I437" s="1775" t="s">
        <v>913</v>
      </c>
    </row>
    <row r="438" spans="1:9" ht="11.25" customHeight="1">
      <c r="A438" s="1775" t="s">
        <v>2260</v>
      </c>
      <c r="B438" s="1775" t="s">
        <v>16</v>
      </c>
      <c r="C438" s="1775" t="s">
        <v>2582</v>
      </c>
      <c r="D438" s="1775" t="s">
        <v>2583</v>
      </c>
      <c r="E438" s="1775" t="s">
        <v>2263</v>
      </c>
      <c r="F438" s="1775" t="s">
        <v>2584</v>
      </c>
      <c r="G438" s="1775" t="s">
        <v>28</v>
      </c>
      <c r="H438" s="1775" t="s">
        <v>28</v>
      </c>
      <c r="I438" s="1775" t="s">
        <v>913</v>
      </c>
    </row>
    <row r="439" spans="1:9" ht="11.25" customHeight="1">
      <c r="A439" s="1775" t="s">
        <v>2260</v>
      </c>
      <c r="B439" s="1775" t="s">
        <v>16</v>
      </c>
      <c r="C439" s="1775" t="s">
        <v>2585</v>
      </c>
      <c r="D439" s="1775" t="s">
        <v>2586</v>
      </c>
      <c r="E439" s="1775" t="s">
        <v>2263</v>
      </c>
      <c r="F439" s="1775" t="s">
        <v>2587</v>
      </c>
      <c r="G439" s="1775" t="s">
        <v>28</v>
      </c>
      <c r="H439" s="1775" t="s">
        <v>28</v>
      </c>
      <c r="I439" s="1775" t="s">
        <v>913</v>
      </c>
    </row>
    <row r="440" spans="1:9" ht="11.25" customHeight="1">
      <c r="A440" s="1775" t="s">
        <v>2260</v>
      </c>
      <c r="B440" s="1775" t="s">
        <v>16</v>
      </c>
      <c r="C440" s="1775" t="s">
        <v>2588</v>
      </c>
      <c r="D440" s="1775" t="s">
        <v>2589</v>
      </c>
      <c r="E440" s="1775" t="s">
        <v>2263</v>
      </c>
      <c r="F440" s="1775" t="s">
        <v>2590</v>
      </c>
      <c r="G440" s="1775" t="s">
        <v>28</v>
      </c>
      <c r="H440" s="1775" t="s">
        <v>28</v>
      </c>
      <c r="I440" s="1775" t="s">
        <v>913</v>
      </c>
    </row>
    <row r="441" spans="1:9" ht="11.25" customHeight="1">
      <c r="A441" s="1775" t="s">
        <v>2260</v>
      </c>
      <c r="B441" s="1775" t="s">
        <v>16</v>
      </c>
      <c r="C441" s="1775" t="s">
        <v>2591</v>
      </c>
      <c r="D441" s="1775" t="s">
        <v>2592</v>
      </c>
      <c r="E441" s="1775" t="s">
        <v>2263</v>
      </c>
      <c r="F441" s="1775" t="s">
        <v>2593</v>
      </c>
      <c r="G441" s="1775" t="s">
        <v>28</v>
      </c>
      <c r="H441" s="1775" t="s">
        <v>28</v>
      </c>
      <c r="I441" s="1775" t="s">
        <v>913</v>
      </c>
    </row>
    <row r="442" spans="1:9" ht="11.25" customHeight="1">
      <c r="A442" s="1775" t="s">
        <v>2260</v>
      </c>
      <c r="B442" s="1775" t="s">
        <v>16</v>
      </c>
      <c r="C442" s="1775" t="s">
        <v>2594</v>
      </c>
      <c r="D442" s="1775" t="s">
        <v>2595</v>
      </c>
      <c r="E442" s="1775" t="s">
        <v>2263</v>
      </c>
      <c r="F442" s="1775" t="s">
        <v>2596</v>
      </c>
      <c r="G442" s="1775" t="s">
        <v>28</v>
      </c>
      <c r="H442" s="1775" t="s">
        <v>28</v>
      </c>
      <c r="I442" s="1775" t="s">
        <v>913</v>
      </c>
    </row>
    <row r="443" spans="1:9" ht="11.25" customHeight="1">
      <c r="A443" s="1775" t="s">
        <v>2260</v>
      </c>
      <c r="B443" s="1775" t="s">
        <v>16</v>
      </c>
      <c r="C443" s="1775" t="s">
        <v>2926</v>
      </c>
      <c r="D443" s="1775" t="s">
        <v>2927</v>
      </c>
      <c r="E443" s="1775" t="s">
        <v>2404</v>
      </c>
      <c r="F443" s="1775" t="s">
        <v>2928</v>
      </c>
      <c r="G443" s="1775" t="s">
        <v>28</v>
      </c>
      <c r="H443" s="1775" t="s">
        <v>28</v>
      </c>
      <c r="I443" s="1775" t="s">
        <v>913</v>
      </c>
    </row>
    <row r="444" spans="1:9" ht="11.25" customHeight="1">
      <c r="A444" s="1775" t="s">
        <v>2260</v>
      </c>
      <c r="B444" s="1775" t="s">
        <v>16</v>
      </c>
      <c r="C444" s="1775" t="s">
        <v>2597</v>
      </c>
      <c r="D444" s="1775" t="s">
        <v>2598</v>
      </c>
      <c r="E444" s="1775" t="s">
        <v>2599</v>
      </c>
      <c r="F444" s="1775" t="s">
        <v>2600</v>
      </c>
      <c r="G444" s="1775" t="s">
        <v>28</v>
      </c>
      <c r="H444" s="1775" t="s">
        <v>28</v>
      </c>
      <c r="I444" s="1775" t="s">
        <v>913</v>
      </c>
    </row>
    <row r="445" spans="1:9" ht="11.25" customHeight="1">
      <c r="A445" s="1775" t="s">
        <v>2260</v>
      </c>
      <c r="B445" s="1775" t="s">
        <v>16</v>
      </c>
      <c r="C445" s="1775" t="s">
        <v>2601</v>
      </c>
      <c r="D445" s="1775" t="s">
        <v>2602</v>
      </c>
      <c r="E445" s="1775" t="s">
        <v>2599</v>
      </c>
      <c r="F445" s="1775" t="s">
        <v>2603</v>
      </c>
      <c r="G445" s="1775" t="s">
        <v>28</v>
      </c>
      <c r="H445" s="1775" t="s">
        <v>28</v>
      </c>
      <c r="I445" s="1775" t="s">
        <v>913</v>
      </c>
    </row>
    <row r="446" spans="1:9" ht="11.25" customHeight="1">
      <c r="A446" s="1775" t="s">
        <v>2260</v>
      </c>
      <c r="B446" s="1775" t="s">
        <v>16</v>
      </c>
      <c r="C446" s="1775" t="s">
        <v>2607</v>
      </c>
      <c r="D446" s="1775" t="s">
        <v>2608</v>
      </c>
      <c r="E446" s="1775" t="s">
        <v>2599</v>
      </c>
      <c r="F446" s="1775" t="s">
        <v>2609</v>
      </c>
      <c r="G446" s="1775" t="s">
        <v>28</v>
      </c>
      <c r="H446" s="1775" t="s">
        <v>28</v>
      </c>
      <c r="I446" s="1775" t="s">
        <v>913</v>
      </c>
    </row>
    <row r="447" spans="1:9" ht="11.25" customHeight="1">
      <c r="A447" s="1775" t="s">
        <v>2260</v>
      </c>
      <c r="B447" s="1775" t="s">
        <v>16</v>
      </c>
      <c r="C447" s="1775" t="s">
        <v>2610</v>
      </c>
      <c r="D447" s="1775" t="s">
        <v>2611</v>
      </c>
      <c r="E447" s="1775" t="s">
        <v>2612</v>
      </c>
      <c r="F447" s="1775" t="s">
        <v>2613</v>
      </c>
      <c r="G447" s="1775" t="s">
        <v>2614</v>
      </c>
      <c r="H447" s="1775" t="s">
        <v>28</v>
      </c>
      <c r="I447" s="1775" t="s">
        <v>913</v>
      </c>
    </row>
    <row r="448" spans="1:9" ht="11.25" customHeight="1">
      <c r="A448" s="1775" t="s">
        <v>2260</v>
      </c>
      <c r="B448" s="1775" t="s">
        <v>16</v>
      </c>
      <c r="C448" s="1775" t="s">
        <v>2615</v>
      </c>
      <c r="D448" s="1775" t="s">
        <v>2616</v>
      </c>
      <c r="E448" s="1775" t="s">
        <v>2617</v>
      </c>
      <c r="F448" s="1775" t="s">
        <v>2301</v>
      </c>
      <c r="G448" s="1775" t="s">
        <v>28</v>
      </c>
      <c r="H448" s="1775" t="s">
        <v>28</v>
      </c>
      <c r="I448" s="1775" t="s">
        <v>913</v>
      </c>
    </row>
    <row r="449" spans="1:9" ht="11.25" customHeight="1">
      <c r="A449" s="1775" t="s">
        <v>2260</v>
      </c>
      <c r="B449" s="1775" t="s">
        <v>16</v>
      </c>
      <c r="C449" s="1775" t="s">
        <v>2624</v>
      </c>
      <c r="D449" s="1775" t="s">
        <v>2625</v>
      </c>
      <c r="E449" s="1775" t="s">
        <v>2271</v>
      </c>
      <c r="F449" s="1775" t="s">
        <v>2626</v>
      </c>
      <c r="G449" s="1775" t="s">
        <v>28</v>
      </c>
      <c r="H449" s="1775" t="s">
        <v>28</v>
      </c>
      <c r="I449" s="1775" t="s">
        <v>913</v>
      </c>
    </row>
    <row r="450" spans="1:9" ht="11.25" customHeight="1">
      <c r="A450" s="1775" t="s">
        <v>2260</v>
      </c>
      <c r="B450" s="1775" t="s">
        <v>16</v>
      </c>
      <c r="C450" s="1775" t="s">
        <v>2929</v>
      </c>
      <c r="D450" s="1775" t="s">
        <v>2930</v>
      </c>
      <c r="E450" s="1775" t="s">
        <v>2271</v>
      </c>
      <c r="F450" s="1775" t="s">
        <v>2931</v>
      </c>
      <c r="G450" s="1775" t="s">
        <v>28</v>
      </c>
      <c r="H450" s="1775" t="s">
        <v>28</v>
      </c>
      <c r="I450" s="1775" t="s">
        <v>913</v>
      </c>
    </row>
    <row r="451" spans="1:9" ht="11.25" customHeight="1">
      <c r="A451" s="1775" t="s">
        <v>2260</v>
      </c>
      <c r="B451" s="1775" t="s">
        <v>16</v>
      </c>
      <c r="C451" s="1775" t="s">
        <v>2629</v>
      </c>
      <c r="D451" s="1775" t="s">
        <v>2630</v>
      </c>
      <c r="E451" s="1775" t="s">
        <v>2631</v>
      </c>
      <c r="F451" s="1775" t="s">
        <v>2632</v>
      </c>
      <c r="G451" s="1775" t="s">
        <v>28</v>
      </c>
      <c r="H451" s="1775" t="s">
        <v>28</v>
      </c>
      <c r="I451" s="1775" t="s">
        <v>913</v>
      </c>
    </row>
    <row r="452" spans="1:9" ht="11.25" customHeight="1">
      <c r="A452" s="1775" t="s">
        <v>2260</v>
      </c>
      <c r="B452" s="1775" t="s">
        <v>16</v>
      </c>
      <c r="C452" s="1775" t="s">
        <v>2633</v>
      </c>
      <c r="D452" s="1775" t="s">
        <v>2630</v>
      </c>
      <c r="E452" s="1775" t="s">
        <v>2631</v>
      </c>
      <c r="F452" s="1775" t="s">
        <v>2634</v>
      </c>
      <c r="G452" s="1775" t="s">
        <v>2635</v>
      </c>
      <c r="H452" s="1775" t="s">
        <v>28</v>
      </c>
      <c r="I452" s="1775" t="s">
        <v>913</v>
      </c>
    </row>
    <row r="453" spans="1:9" ht="11.25" customHeight="1">
      <c r="A453" s="1775" t="s">
        <v>2260</v>
      </c>
      <c r="B453" s="1775" t="s">
        <v>16</v>
      </c>
      <c r="C453" s="1775" t="s">
        <v>2644</v>
      </c>
      <c r="D453" s="1775" t="s">
        <v>2645</v>
      </c>
      <c r="E453" s="1775" t="s">
        <v>2646</v>
      </c>
      <c r="F453" s="1775" t="s">
        <v>2327</v>
      </c>
      <c r="G453" s="1775" t="s">
        <v>28</v>
      </c>
      <c r="H453" s="1775" t="s">
        <v>28</v>
      </c>
      <c r="I453" s="1775" t="s">
        <v>913</v>
      </c>
    </row>
    <row r="454" spans="1:9" ht="11.25" customHeight="1">
      <c r="A454" s="1775" t="s">
        <v>2260</v>
      </c>
      <c r="B454" s="1775" t="s">
        <v>16</v>
      </c>
      <c r="C454" s="1775" t="s">
        <v>2647</v>
      </c>
      <c r="D454" s="1775" t="s">
        <v>2648</v>
      </c>
      <c r="E454" s="1775" t="s">
        <v>2649</v>
      </c>
      <c r="F454" s="1775" t="s">
        <v>2311</v>
      </c>
      <c r="G454" s="1775" t="s">
        <v>28</v>
      </c>
      <c r="H454" s="1775" t="s">
        <v>28</v>
      </c>
      <c r="I454" s="1775" t="s">
        <v>913</v>
      </c>
    </row>
    <row r="455" spans="1:9" ht="11.25" customHeight="1">
      <c r="A455" s="1775" t="s">
        <v>2260</v>
      </c>
      <c r="B455" s="1775" t="s">
        <v>16</v>
      </c>
      <c r="C455" s="1775" t="s">
        <v>2650</v>
      </c>
      <c r="D455" s="1775" t="s">
        <v>2651</v>
      </c>
      <c r="E455" s="1775" t="s">
        <v>2652</v>
      </c>
      <c r="F455" s="1775" t="s">
        <v>2320</v>
      </c>
      <c r="G455" s="1775" t="s">
        <v>28</v>
      </c>
      <c r="H455" s="1775" t="s">
        <v>28</v>
      </c>
      <c r="I455" s="1775" t="s">
        <v>913</v>
      </c>
    </row>
    <row r="456" spans="1:9" ht="11.25" customHeight="1">
      <c r="A456" s="1775" t="s">
        <v>2260</v>
      </c>
      <c r="B456" s="1775" t="s">
        <v>16</v>
      </c>
      <c r="C456" s="1775" t="s">
        <v>2659</v>
      </c>
      <c r="D456" s="1775" t="s">
        <v>2660</v>
      </c>
      <c r="E456" s="1775" t="s">
        <v>2661</v>
      </c>
      <c r="F456" s="1775" t="s">
        <v>2268</v>
      </c>
      <c r="G456" s="1775" t="s">
        <v>2662</v>
      </c>
      <c r="H456" s="1775" t="s">
        <v>28</v>
      </c>
      <c r="I456" s="1775" t="s">
        <v>913</v>
      </c>
    </row>
    <row r="457" spans="1:9" ht="11.25" customHeight="1">
      <c r="A457" s="1775" t="s">
        <v>2260</v>
      </c>
      <c r="B457" s="1775" t="s">
        <v>16</v>
      </c>
      <c r="C457" s="1775" t="s">
        <v>2663</v>
      </c>
      <c r="D457" s="1775" t="s">
        <v>2664</v>
      </c>
      <c r="E457" s="1775" t="s">
        <v>2665</v>
      </c>
      <c r="F457" s="1775" t="s">
        <v>2666</v>
      </c>
      <c r="G457" s="1775" t="s">
        <v>28</v>
      </c>
      <c r="H457" s="1775" t="s">
        <v>28</v>
      </c>
      <c r="I457" s="1775" t="s">
        <v>913</v>
      </c>
    </row>
    <row r="458" spans="1:9" ht="11.25" customHeight="1">
      <c r="A458" s="1775" t="s">
        <v>2260</v>
      </c>
      <c r="B458" s="1775" t="s">
        <v>16</v>
      </c>
      <c r="C458" s="1775" t="s">
        <v>2667</v>
      </c>
      <c r="D458" s="1775" t="s">
        <v>2668</v>
      </c>
      <c r="E458" s="1775" t="s">
        <v>2669</v>
      </c>
      <c r="F458" s="1775" t="s">
        <v>2292</v>
      </c>
      <c r="G458" s="1775" t="s">
        <v>2670</v>
      </c>
      <c r="H458" s="1775" t="s">
        <v>28</v>
      </c>
      <c r="I458" s="1775" t="s">
        <v>913</v>
      </c>
    </row>
    <row r="459" spans="1:9" ht="11.25" customHeight="1">
      <c r="A459" s="1775" t="s">
        <v>2260</v>
      </c>
      <c r="B459" s="1775" t="s">
        <v>16</v>
      </c>
      <c r="C459" s="1775" t="s">
        <v>2671</v>
      </c>
      <c r="D459" s="1775" t="s">
        <v>2672</v>
      </c>
      <c r="E459" s="1775" t="s">
        <v>2673</v>
      </c>
      <c r="F459" s="1775" t="s">
        <v>2469</v>
      </c>
      <c r="G459" s="1775" t="s">
        <v>28</v>
      </c>
      <c r="H459" s="1775" t="s">
        <v>28</v>
      </c>
      <c r="I459" s="1775" t="s">
        <v>913</v>
      </c>
    </row>
    <row r="460" spans="1:9" ht="11.25" customHeight="1">
      <c r="A460" s="1775" t="s">
        <v>2260</v>
      </c>
      <c r="B460" s="1775" t="s">
        <v>16</v>
      </c>
      <c r="C460" s="1775" t="s">
        <v>2938</v>
      </c>
      <c r="D460" s="1775" t="s">
        <v>2939</v>
      </c>
      <c r="E460" s="1775" t="s">
        <v>2940</v>
      </c>
      <c r="F460" s="1775" t="s">
        <v>2327</v>
      </c>
      <c r="G460" s="1775" t="s">
        <v>28</v>
      </c>
      <c r="H460" s="1775" t="s">
        <v>28</v>
      </c>
      <c r="I460" s="1775" t="s">
        <v>913</v>
      </c>
    </row>
    <row r="461" spans="1:9" ht="11.25" customHeight="1">
      <c r="A461" s="1775" t="s">
        <v>2260</v>
      </c>
      <c r="B461" s="1775" t="s">
        <v>16</v>
      </c>
      <c r="C461" s="1775" t="s">
        <v>2684</v>
      </c>
      <c r="D461" s="1775" t="s">
        <v>2685</v>
      </c>
      <c r="E461" s="1775" t="s">
        <v>2686</v>
      </c>
      <c r="F461" s="1775" t="s">
        <v>2469</v>
      </c>
      <c r="G461" s="1775" t="s">
        <v>28</v>
      </c>
      <c r="H461" s="1775" t="s">
        <v>28</v>
      </c>
      <c r="I461" s="1775" t="s">
        <v>913</v>
      </c>
    </row>
    <row r="462" spans="1:9" ht="11.25" customHeight="1">
      <c r="A462" s="1775" t="s">
        <v>2260</v>
      </c>
      <c r="B462" s="1775" t="s">
        <v>16</v>
      </c>
      <c r="C462" s="1775" t="s">
        <v>2687</v>
      </c>
      <c r="D462" s="1775" t="s">
        <v>2688</v>
      </c>
      <c r="E462" s="1775" t="s">
        <v>2689</v>
      </c>
      <c r="F462" s="1775" t="s">
        <v>2666</v>
      </c>
      <c r="G462" s="1775" t="s">
        <v>28</v>
      </c>
      <c r="H462" s="1775" t="s">
        <v>28</v>
      </c>
      <c r="I462" s="1775" t="s">
        <v>913</v>
      </c>
    </row>
    <row r="463" spans="1:9" ht="11.25" customHeight="1">
      <c r="A463" s="1775" t="s">
        <v>2260</v>
      </c>
      <c r="B463" s="1775" t="s">
        <v>16</v>
      </c>
      <c r="C463" s="1775" t="s">
        <v>2703</v>
      </c>
      <c r="D463" s="1775" t="s">
        <v>2704</v>
      </c>
      <c r="E463" s="1775" t="s">
        <v>2705</v>
      </c>
      <c r="F463" s="1775" t="s">
        <v>2706</v>
      </c>
      <c r="G463" s="1775" t="s">
        <v>2707</v>
      </c>
      <c r="H463" s="1775" t="s">
        <v>28</v>
      </c>
      <c r="I463" s="1775" t="s">
        <v>913</v>
      </c>
    </row>
    <row r="464" spans="1:9" ht="11.25" customHeight="1">
      <c r="A464" s="1775" t="s">
        <v>2260</v>
      </c>
      <c r="B464" s="1775" t="s">
        <v>16</v>
      </c>
      <c r="C464" s="1775" t="s">
        <v>2708</v>
      </c>
      <c r="D464" s="1775" t="s">
        <v>2709</v>
      </c>
      <c r="E464" s="1775" t="s">
        <v>2710</v>
      </c>
      <c r="F464" s="1775" t="s">
        <v>2666</v>
      </c>
      <c r="G464" s="1775" t="s">
        <v>28</v>
      </c>
      <c r="H464" s="1775" t="s">
        <v>28</v>
      </c>
      <c r="I464" s="1775" t="s">
        <v>913</v>
      </c>
    </row>
    <row r="465" spans="1:9" ht="11.25" customHeight="1">
      <c r="A465" s="1775" t="s">
        <v>2260</v>
      </c>
      <c r="B465" s="1775" t="s">
        <v>16</v>
      </c>
      <c r="C465" s="1775" t="s">
        <v>2941</v>
      </c>
      <c r="D465" s="1775" t="s">
        <v>2942</v>
      </c>
      <c r="E465" s="1775" t="s">
        <v>2404</v>
      </c>
      <c r="F465" s="1775" t="s">
        <v>2292</v>
      </c>
      <c r="G465" s="1775" t="s">
        <v>28</v>
      </c>
      <c r="H465" s="1775" t="s">
        <v>28</v>
      </c>
      <c r="I465" s="1775" t="s">
        <v>913</v>
      </c>
    </row>
    <row r="466" spans="1:9" ht="11.25" customHeight="1">
      <c r="A466" s="1775" t="s">
        <v>2260</v>
      </c>
      <c r="B466" s="1775" t="s">
        <v>16</v>
      </c>
      <c r="C466" s="1775" t="s">
        <v>2715</v>
      </c>
      <c r="D466" s="1775" t="s">
        <v>2716</v>
      </c>
      <c r="E466" s="1775" t="s">
        <v>2717</v>
      </c>
      <c r="F466" s="1775" t="s">
        <v>2718</v>
      </c>
      <c r="G466" s="1775" t="s">
        <v>2719</v>
      </c>
      <c r="H466" s="1775" t="s">
        <v>28</v>
      </c>
      <c r="I466" s="1775" t="s">
        <v>913</v>
      </c>
    </row>
    <row r="467" spans="1:9" ht="11.25" customHeight="1">
      <c r="A467" s="1775" t="s">
        <v>2260</v>
      </c>
      <c r="B467" s="1775" t="s">
        <v>16</v>
      </c>
      <c r="C467" s="1775" t="s">
        <v>2946</v>
      </c>
      <c r="D467" s="1775" t="s">
        <v>2947</v>
      </c>
      <c r="E467" s="1775" t="s">
        <v>2948</v>
      </c>
      <c r="F467" s="1775" t="s">
        <v>2327</v>
      </c>
      <c r="G467" s="1775" t="s">
        <v>28</v>
      </c>
      <c r="H467" s="1775" t="s">
        <v>28</v>
      </c>
      <c r="I467" s="1775" t="s">
        <v>913</v>
      </c>
    </row>
    <row r="468" spans="1:9" ht="11.25" customHeight="1">
      <c r="A468" s="1775" t="s">
        <v>2260</v>
      </c>
      <c r="B468" s="1775" t="s">
        <v>16</v>
      </c>
      <c r="C468" s="1775" t="s">
        <v>2996</v>
      </c>
      <c r="D468" s="1775" t="s">
        <v>2997</v>
      </c>
      <c r="E468" s="1775" t="s">
        <v>2998</v>
      </c>
      <c r="F468" s="1775" t="s">
        <v>2327</v>
      </c>
      <c r="G468" s="1775" t="s">
        <v>28</v>
      </c>
      <c r="H468" s="1775" t="s">
        <v>28</v>
      </c>
      <c r="I468" s="1775" t="s">
        <v>913</v>
      </c>
    </row>
    <row r="469" spans="1:9" ht="11.25" customHeight="1">
      <c r="A469" s="1775" t="s">
        <v>2260</v>
      </c>
      <c r="B469" s="1775" t="s">
        <v>16</v>
      </c>
      <c r="C469" s="1775" t="s">
        <v>2756</v>
      </c>
      <c r="D469" s="1775" t="s">
        <v>2757</v>
      </c>
      <c r="E469" s="1775" t="s">
        <v>2758</v>
      </c>
      <c r="F469" s="1775" t="s">
        <v>2363</v>
      </c>
      <c r="G469" s="1775" t="s">
        <v>28</v>
      </c>
      <c r="H469" s="1775" t="s">
        <v>28</v>
      </c>
      <c r="I469" s="1775" t="s">
        <v>913</v>
      </c>
    </row>
    <row r="470" spans="1:9" ht="11.25" customHeight="1">
      <c r="A470" s="1775" t="s">
        <v>2260</v>
      </c>
      <c r="B470" s="1775" t="s">
        <v>16</v>
      </c>
      <c r="C470" s="1775" t="s">
        <v>2763</v>
      </c>
      <c r="D470" s="1775" t="s">
        <v>2764</v>
      </c>
      <c r="E470" s="1775" t="s">
        <v>2765</v>
      </c>
      <c r="F470" s="1775" t="s">
        <v>2363</v>
      </c>
      <c r="G470" s="1775" t="s">
        <v>28</v>
      </c>
      <c r="H470" s="1775" t="s">
        <v>28</v>
      </c>
      <c r="I470" s="1775" t="s">
        <v>913</v>
      </c>
    </row>
    <row r="471" spans="1:9" ht="11.25" customHeight="1">
      <c r="A471" s="1775" t="s">
        <v>2260</v>
      </c>
      <c r="B471" s="1775" t="s">
        <v>16</v>
      </c>
      <c r="C471" s="1775" t="s">
        <v>2766</v>
      </c>
      <c r="D471" s="1775" t="s">
        <v>2767</v>
      </c>
      <c r="E471" s="1775" t="s">
        <v>2631</v>
      </c>
      <c r="F471" s="1775" t="s">
        <v>2768</v>
      </c>
      <c r="G471" s="1775" t="s">
        <v>28</v>
      </c>
      <c r="H471" s="1775" t="s">
        <v>28</v>
      </c>
      <c r="I471" s="1775" t="s">
        <v>913</v>
      </c>
    </row>
    <row r="472" spans="1:9" ht="11.25" customHeight="1">
      <c r="A472" s="1775" t="s">
        <v>2260</v>
      </c>
      <c r="B472" s="1775" t="s">
        <v>16</v>
      </c>
      <c r="C472" s="1775" t="s">
        <v>2769</v>
      </c>
      <c r="D472" s="1775" t="s">
        <v>2770</v>
      </c>
      <c r="E472" s="1775" t="s">
        <v>2771</v>
      </c>
      <c r="F472" s="1775" t="s">
        <v>2363</v>
      </c>
      <c r="G472" s="1775" t="s">
        <v>28</v>
      </c>
      <c r="H472" s="1775" t="s">
        <v>28</v>
      </c>
      <c r="I472" s="1775" t="s">
        <v>913</v>
      </c>
    </row>
    <row r="473" spans="1:9" ht="11.25" customHeight="1">
      <c r="A473" s="1775" t="s">
        <v>2260</v>
      </c>
      <c r="B473" s="1775" t="s">
        <v>16</v>
      </c>
      <c r="C473" s="1775" t="s">
        <v>2772</v>
      </c>
      <c r="D473" s="1775" t="s">
        <v>2773</v>
      </c>
      <c r="E473" s="1775" t="s">
        <v>2774</v>
      </c>
      <c r="F473" s="1775" t="s">
        <v>2339</v>
      </c>
      <c r="G473" s="1775" t="s">
        <v>28</v>
      </c>
      <c r="H473" s="1775" t="s">
        <v>28</v>
      </c>
      <c r="I473" s="1775" t="s">
        <v>913</v>
      </c>
    </row>
    <row r="474" spans="1:9" ht="11.25" customHeight="1">
      <c r="A474" s="1775" t="s">
        <v>2260</v>
      </c>
      <c r="B474" s="1775" t="s">
        <v>16</v>
      </c>
      <c r="C474" s="1775" t="s">
        <v>2952</v>
      </c>
      <c r="D474" s="1775" t="s">
        <v>2953</v>
      </c>
      <c r="E474" s="1775" t="s">
        <v>2954</v>
      </c>
      <c r="F474" s="1775" t="s">
        <v>2301</v>
      </c>
      <c r="G474" s="1775" t="s">
        <v>28</v>
      </c>
      <c r="H474" s="1775" t="s">
        <v>28</v>
      </c>
      <c r="I474" s="1775" t="s">
        <v>913</v>
      </c>
    </row>
    <row r="475" spans="1:9" ht="11.25" customHeight="1">
      <c r="A475" s="1775" t="s">
        <v>2260</v>
      </c>
      <c r="B475" s="1775" t="s">
        <v>16</v>
      </c>
      <c r="C475" s="1775" t="s">
        <v>2775</v>
      </c>
      <c r="D475" s="1775" t="s">
        <v>2776</v>
      </c>
      <c r="E475" s="1775" t="s">
        <v>2777</v>
      </c>
      <c r="F475" s="1775" t="s">
        <v>2327</v>
      </c>
      <c r="G475" s="1775" t="s">
        <v>2778</v>
      </c>
      <c r="H475" s="1775" t="s">
        <v>28</v>
      </c>
      <c r="I475" s="1775" t="s">
        <v>913</v>
      </c>
    </row>
    <row r="476" spans="1:9" ht="11.25" customHeight="1">
      <c r="A476" s="1775" t="s">
        <v>2260</v>
      </c>
      <c r="B476" s="1775" t="s">
        <v>16</v>
      </c>
      <c r="C476" s="1775" t="s">
        <v>2958</v>
      </c>
      <c r="D476" s="1775" t="s">
        <v>2959</v>
      </c>
      <c r="E476" s="1775" t="s">
        <v>2960</v>
      </c>
      <c r="F476" s="1775" t="s">
        <v>2961</v>
      </c>
      <c r="G476" s="1775" t="s">
        <v>28</v>
      </c>
      <c r="H476" s="1775" t="s">
        <v>28</v>
      </c>
      <c r="I476" s="1775" t="s">
        <v>913</v>
      </c>
    </row>
    <row r="477" spans="1:9" ht="11.25" customHeight="1">
      <c r="A477" s="1775" t="s">
        <v>2260</v>
      </c>
      <c r="B477" s="1775" t="s">
        <v>16</v>
      </c>
      <c r="C477" s="1775" t="s">
        <v>2965</v>
      </c>
      <c r="D477" s="1775" t="s">
        <v>2966</v>
      </c>
      <c r="E477" s="1775" t="s">
        <v>2967</v>
      </c>
      <c r="F477" s="1775" t="s">
        <v>2315</v>
      </c>
      <c r="G477" s="1775" t="s">
        <v>28</v>
      </c>
      <c r="H477" s="1775" t="s">
        <v>28</v>
      </c>
      <c r="I477" s="1775" t="s">
        <v>913</v>
      </c>
    </row>
    <row r="478" spans="1:9" ht="11.25" customHeight="1">
      <c r="A478" s="1775" t="s">
        <v>2260</v>
      </c>
      <c r="B478" s="1775" t="s">
        <v>16</v>
      </c>
      <c r="C478" s="1775" t="s">
        <v>2788</v>
      </c>
      <c r="D478" s="1775" t="s">
        <v>2789</v>
      </c>
      <c r="E478" s="1775" t="s">
        <v>2790</v>
      </c>
      <c r="F478" s="1775" t="s">
        <v>2363</v>
      </c>
      <c r="G478" s="1775" t="s">
        <v>28</v>
      </c>
      <c r="H478" s="1775" t="s">
        <v>28</v>
      </c>
      <c r="I478" s="1775" t="s">
        <v>913</v>
      </c>
    </row>
    <row r="479" spans="1:9" ht="11.25" customHeight="1">
      <c r="A479" s="1775" t="s">
        <v>2260</v>
      </c>
      <c r="B479" s="1775" t="s">
        <v>16</v>
      </c>
      <c r="C479" s="1775" t="s">
        <v>2999</v>
      </c>
      <c r="D479" s="1775" t="s">
        <v>3000</v>
      </c>
      <c r="E479" s="1775" t="s">
        <v>3001</v>
      </c>
      <c r="F479" s="1775" t="s">
        <v>2331</v>
      </c>
      <c r="G479" s="1775" t="s">
        <v>28</v>
      </c>
      <c r="H479" s="1775" t="s">
        <v>28</v>
      </c>
      <c r="I479" s="1775" t="s">
        <v>913</v>
      </c>
    </row>
    <row r="480" spans="1:9" ht="11.25" customHeight="1">
      <c r="A480" s="1775" t="s">
        <v>2260</v>
      </c>
      <c r="B480" s="1775" t="s">
        <v>16</v>
      </c>
      <c r="C480" s="1775" t="s">
        <v>2801</v>
      </c>
      <c r="D480" s="1775" t="s">
        <v>2802</v>
      </c>
      <c r="E480" s="1775" t="s">
        <v>2803</v>
      </c>
      <c r="F480" s="1775" t="s">
        <v>2804</v>
      </c>
      <c r="G480" s="1775" t="s">
        <v>28</v>
      </c>
      <c r="H480" s="1775" t="s">
        <v>28</v>
      </c>
      <c r="I480" s="1775" t="s">
        <v>913</v>
      </c>
    </row>
    <row r="481" spans="1:9" ht="11.25" customHeight="1">
      <c r="A481" s="1775" t="s">
        <v>2260</v>
      </c>
      <c r="B481" s="1775" t="s">
        <v>16</v>
      </c>
      <c r="C481" s="1775" t="s">
        <v>2968</v>
      </c>
      <c r="D481" s="1775" t="s">
        <v>2969</v>
      </c>
      <c r="E481" s="1775" t="s">
        <v>2970</v>
      </c>
      <c r="F481" s="1775" t="s">
        <v>2292</v>
      </c>
      <c r="G481" s="1775" t="s">
        <v>2971</v>
      </c>
      <c r="H481" s="1775" t="s">
        <v>28</v>
      </c>
      <c r="I481" s="1775" t="s">
        <v>913</v>
      </c>
    </row>
    <row r="482" spans="1:9" ht="11.25" customHeight="1">
      <c r="A482" s="1775" t="s">
        <v>2260</v>
      </c>
      <c r="B482" s="1775" t="s">
        <v>16</v>
      </c>
      <c r="C482" s="1775" t="s">
        <v>2805</v>
      </c>
      <c r="D482" s="1775" t="s">
        <v>2806</v>
      </c>
      <c r="E482" s="1775" t="s">
        <v>2807</v>
      </c>
      <c r="F482" s="1775" t="s">
        <v>2292</v>
      </c>
      <c r="G482" s="1775" t="s">
        <v>28</v>
      </c>
      <c r="H482" s="1775" t="s">
        <v>28</v>
      </c>
      <c r="I482" s="1775" t="s">
        <v>913</v>
      </c>
    </row>
    <row r="483" spans="1:9" ht="11.25" customHeight="1">
      <c r="A483" s="1775" t="s">
        <v>2260</v>
      </c>
      <c r="B483" s="1775" t="s">
        <v>16</v>
      </c>
      <c r="C483" s="1775" t="s">
        <v>2811</v>
      </c>
      <c r="D483" s="1775" t="s">
        <v>2812</v>
      </c>
      <c r="E483" s="1775" t="s">
        <v>2813</v>
      </c>
      <c r="F483" s="1775" t="s">
        <v>2320</v>
      </c>
      <c r="G483" s="1775" t="s">
        <v>2814</v>
      </c>
      <c r="H483" s="1775" t="s">
        <v>28</v>
      </c>
      <c r="I483" s="1775" t="s">
        <v>913</v>
      </c>
    </row>
    <row r="484" spans="1:9" ht="11.25" customHeight="1">
      <c r="A484" s="1775" t="s">
        <v>2260</v>
      </c>
      <c r="B484" s="1775" t="s">
        <v>16</v>
      </c>
      <c r="C484" s="1775" t="s">
        <v>2823</v>
      </c>
      <c r="D484" s="1775" t="s">
        <v>2824</v>
      </c>
      <c r="E484" s="1775" t="s">
        <v>2825</v>
      </c>
      <c r="F484" s="1775" t="s">
        <v>2666</v>
      </c>
      <c r="G484" s="1775" t="s">
        <v>2826</v>
      </c>
      <c r="H484" s="1775" t="s">
        <v>28</v>
      </c>
      <c r="I484" s="1775" t="s">
        <v>913</v>
      </c>
    </row>
    <row r="485" spans="1:9" ht="11.25" customHeight="1">
      <c r="A485" s="1775" t="s">
        <v>2260</v>
      </c>
      <c r="B485" s="1775" t="s">
        <v>16</v>
      </c>
      <c r="C485" s="1775" t="s">
        <v>2981</v>
      </c>
      <c r="D485" s="1775" t="s">
        <v>2982</v>
      </c>
      <c r="E485" s="1775" t="s">
        <v>2983</v>
      </c>
      <c r="F485" s="1775" t="s">
        <v>2469</v>
      </c>
      <c r="G485" s="1775" t="s">
        <v>28</v>
      </c>
      <c r="H485" s="1775" t="s">
        <v>28</v>
      </c>
      <c r="I485" s="1775" t="s">
        <v>913</v>
      </c>
    </row>
    <row r="486" spans="1:9" ht="11.25" customHeight="1">
      <c r="A486" s="1775" t="s">
        <v>2260</v>
      </c>
      <c r="B486" s="1775" t="s">
        <v>16</v>
      </c>
      <c r="C486" s="1775" t="s">
        <v>28</v>
      </c>
      <c r="D486" s="1775" t="s">
        <v>2834</v>
      </c>
      <c r="E486" s="1775" t="s">
        <v>2835</v>
      </c>
      <c r="F486" s="1775" t="s">
        <v>2343</v>
      </c>
      <c r="G486" s="1775" t="s">
        <v>28</v>
      </c>
      <c r="H486" s="1775" t="s">
        <v>28</v>
      </c>
      <c r="I486" s="1775" t="s">
        <v>913</v>
      </c>
    </row>
    <row r="487" spans="1:9" ht="11.25" customHeight="1">
      <c r="A487" s="1775" t="s">
        <v>2260</v>
      </c>
      <c r="B487" s="1775" t="s">
        <v>16</v>
      </c>
      <c r="C487" s="1775" t="s">
        <v>2984</v>
      </c>
      <c r="D487" s="1775" t="s">
        <v>2985</v>
      </c>
      <c r="E487" s="1775" t="s">
        <v>2271</v>
      </c>
      <c r="F487" s="1775" t="s">
        <v>2986</v>
      </c>
      <c r="G487" s="1775" t="s">
        <v>28</v>
      </c>
      <c r="H487" s="1775" t="s">
        <v>28</v>
      </c>
      <c r="I487" s="1775" t="s">
        <v>913</v>
      </c>
    </row>
    <row r="488" spans="1:9" ht="11.25" customHeight="1">
      <c r="A488" s="1775" t="s">
        <v>2260</v>
      </c>
      <c r="B488" s="1775" t="s">
        <v>16</v>
      </c>
      <c r="C488" s="1775" t="s">
        <v>2987</v>
      </c>
      <c r="D488" s="1775" t="s">
        <v>2988</v>
      </c>
      <c r="E488" s="1775" t="s">
        <v>2989</v>
      </c>
      <c r="F488" s="1775" t="s">
        <v>2292</v>
      </c>
      <c r="G488" s="1775" t="s">
        <v>28</v>
      </c>
      <c r="H488" s="1775" t="s">
        <v>28</v>
      </c>
      <c r="I488" s="1775" t="s">
        <v>913</v>
      </c>
    </row>
    <row r="489" spans="1:9" ht="11.25" customHeight="1">
      <c r="A489" s="1775" t="s">
        <v>2260</v>
      </c>
      <c r="B489" s="1775" t="s">
        <v>16</v>
      </c>
      <c r="C489" s="1775" t="s">
        <v>2845</v>
      </c>
      <c r="D489" s="1775" t="s">
        <v>2846</v>
      </c>
      <c r="E489" s="1775" t="s">
        <v>2847</v>
      </c>
      <c r="F489" s="1775" t="s">
        <v>2292</v>
      </c>
      <c r="G489" s="1775" t="s">
        <v>28</v>
      </c>
      <c r="H489" s="1775" t="s">
        <v>28</v>
      </c>
      <c r="I489" s="1775" t="s">
        <v>913</v>
      </c>
    </row>
    <row r="490" spans="1:9" ht="11.25" customHeight="1">
      <c r="A490" s="1775" t="s">
        <v>2260</v>
      </c>
      <c r="B490" s="1775" t="s">
        <v>16</v>
      </c>
      <c r="C490" s="1775" t="s">
        <v>2990</v>
      </c>
      <c r="D490" s="1775" t="s">
        <v>2991</v>
      </c>
      <c r="E490" s="1775" t="s">
        <v>2992</v>
      </c>
      <c r="F490" s="1775" t="s">
        <v>2461</v>
      </c>
      <c r="G490" s="1775" t="s">
        <v>28</v>
      </c>
      <c r="H490" s="1775" t="s">
        <v>28</v>
      </c>
      <c r="I490" s="1775" t="s">
        <v>913</v>
      </c>
    </row>
    <row r="491" spans="1:9" ht="11.25" customHeight="1">
      <c r="A491" s="1775" t="s">
        <v>2260</v>
      </c>
      <c r="B491" s="1775" t="s">
        <v>16</v>
      </c>
      <c r="C491" s="1775" t="s">
        <v>2851</v>
      </c>
      <c r="D491" s="1775" t="s">
        <v>2852</v>
      </c>
      <c r="E491" s="1775" t="s">
        <v>2599</v>
      </c>
      <c r="F491" s="1775" t="s">
        <v>2853</v>
      </c>
      <c r="G491" s="1775" t="s">
        <v>28</v>
      </c>
      <c r="H491" s="1775" t="s">
        <v>28</v>
      </c>
      <c r="I491" s="1775" t="s">
        <v>913</v>
      </c>
    </row>
    <row r="492" spans="1:9" ht="11.25" customHeight="1">
      <c r="A492" s="1775" t="s">
        <v>2260</v>
      </c>
      <c r="B492" s="1775" t="s">
        <v>16</v>
      </c>
      <c r="C492" s="1775" t="s">
        <v>2854</v>
      </c>
      <c r="D492" s="1775" t="s">
        <v>2855</v>
      </c>
      <c r="E492" s="1775" t="s">
        <v>2539</v>
      </c>
      <c r="F492" s="1775" t="s">
        <v>2626</v>
      </c>
      <c r="G492" s="1775" t="s">
        <v>28</v>
      </c>
      <c r="H492" s="1775" t="s">
        <v>28</v>
      </c>
      <c r="I492" s="1775" t="s">
        <v>913</v>
      </c>
    </row>
    <row r="493" spans="1:9" ht="11.25" customHeight="1">
      <c r="A493" s="1775" t="s">
        <v>2260</v>
      </c>
      <c r="B493" s="1775" t="s">
        <v>16</v>
      </c>
      <c r="C493" s="1775" t="s">
        <v>2865</v>
      </c>
      <c r="D493" s="1775" t="s">
        <v>2866</v>
      </c>
      <c r="E493" s="1775" t="s">
        <v>2323</v>
      </c>
      <c r="F493" s="1775" t="s">
        <v>2867</v>
      </c>
      <c r="G493" s="1775" t="s">
        <v>28</v>
      </c>
      <c r="H493" s="1775" t="s">
        <v>28</v>
      </c>
      <c r="I493" s="1775" t="s">
        <v>913</v>
      </c>
    </row>
    <row r="494" spans="1:9" ht="11.25" customHeight="1">
      <c r="A494" s="1775" t="s">
        <v>2260</v>
      </c>
      <c r="B494" s="1775" t="s">
        <v>16</v>
      </c>
      <c r="C494" s="1775" t="s">
        <v>2871</v>
      </c>
      <c r="D494" s="1775" t="s">
        <v>2872</v>
      </c>
      <c r="E494" s="1775" t="s">
        <v>2623</v>
      </c>
      <c r="F494" s="1775" t="s">
        <v>2873</v>
      </c>
      <c r="G494" s="1775" t="s">
        <v>2874</v>
      </c>
      <c r="H494" s="1775" t="s">
        <v>28</v>
      </c>
      <c r="I494" s="1775" t="s">
        <v>913</v>
      </c>
    </row>
    <row r="495" spans="1:9" ht="11.25" customHeight="1">
      <c r="A495" s="1775" t="s">
        <v>2260</v>
      </c>
      <c r="B495" s="1775" t="s">
        <v>16</v>
      </c>
      <c r="C495" s="1775" t="s">
        <v>2875</v>
      </c>
      <c r="D495" s="1775" t="s">
        <v>2876</v>
      </c>
      <c r="E495" s="1775" t="s">
        <v>2877</v>
      </c>
      <c r="F495" s="1775" t="s">
        <v>2718</v>
      </c>
      <c r="G495" s="1775" t="s">
        <v>28</v>
      </c>
      <c r="H495" s="1775" t="s">
        <v>28</v>
      </c>
      <c r="I495" s="1775" t="s">
        <v>913</v>
      </c>
    </row>
    <row r="496" spans="1:9" ht="11.25" customHeight="1">
      <c r="A496" s="1775" t="s">
        <v>2260</v>
      </c>
      <c r="B496" s="1775" t="s">
        <v>16</v>
      </c>
      <c r="C496" s="1775" t="s">
        <v>2280</v>
      </c>
      <c r="D496" s="1775" t="s">
        <v>2281</v>
      </c>
      <c r="E496" s="1775" t="s">
        <v>2282</v>
      </c>
      <c r="F496" s="1775" t="s">
        <v>2283</v>
      </c>
      <c r="G496" s="1775" t="s">
        <v>2284</v>
      </c>
      <c r="H496" s="1775" t="s">
        <v>28</v>
      </c>
      <c r="I496" s="1775" t="s">
        <v>1631</v>
      </c>
    </row>
    <row r="497" spans="1:9" ht="11.25" customHeight="1">
      <c r="A497" s="1775" t="s">
        <v>2260</v>
      </c>
      <c r="B497" s="1775" t="s">
        <v>16</v>
      </c>
      <c r="C497" s="1775" t="s">
        <v>2349</v>
      </c>
      <c r="D497" s="1775" t="s">
        <v>2350</v>
      </c>
      <c r="E497" s="1775" t="s">
        <v>2351</v>
      </c>
      <c r="F497" s="1775" t="s">
        <v>2288</v>
      </c>
      <c r="G497" s="1775" t="s">
        <v>2352</v>
      </c>
      <c r="H497" s="1775" t="s">
        <v>28</v>
      </c>
      <c r="I497" s="1775" t="s">
        <v>1631</v>
      </c>
    </row>
    <row r="498" spans="1:9" ht="11.25" customHeight="1">
      <c r="A498" s="1775" t="s">
        <v>2260</v>
      </c>
      <c r="B498" s="1775" t="s">
        <v>16</v>
      </c>
      <c r="C498" s="1775" t="s">
        <v>3002</v>
      </c>
      <c r="D498" s="1775" t="s">
        <v>3003</v>
      </c>
      <c r="E498" s="1775" t="s">
        <v>3004</v>
      </c>
      <c r="F498" s="1775" t="s">
        <v>2417</v>
      </c>
      <c r="G498" s="1775" t="s">
        <v>3005</v>
      </c>
      <c r="H498" s="1775" t="s">
        <v>28</v>
      </c>
      <c r="I498" s="1775" t="s">
        <v>1631</v>
      </c>
    </row>
    <row r="499" spans="1:9" ht="11.25" customHeight="1">
      <c r="A499" s="1775" t="s">
        <v>2260</v>
      </c>
      <c r="B499" s="1775" t="s">
        <v>16</v>
      </c>
      <c r="C499" s="1775" t="s">
        <v>3006</v>
      </c>
      <c r="D499" s="1775" t="s">
        <v>3007</v>
      </c>
      <c r="E499" s="1775" t="s">
        <v>3008</v>
      </c>
      <c r="F499" s="1775" t="s">
        <v>2343</v>
      </c>
      <c r="G499" s="1775" t="s">
        <v>28</v>
      </c>
      <c r="H499" s="1775" t="s">
        <v>28</v>
      </c>
      <c r="I499" s="1775" t="s">
        <v>1631</v>
      </c>
    </row>
    <row r="500" spans="1:9" ht="11.25" customHeight="1">
      <c r="A500" s="1775" t="s">
        <v>2260</v>
      </c>
      <c r="B500" s="1775" t="s">
        <v>16</v>
      </c>
      <c r="C500" s="1775" t="s">
        <v>3009</v>
      </c>
      <c r="D500" s="1775" t="s">
        <v>3010</v>
      </c>
      <c r="E500" s="1775" t="s">
        <v>3011</v>
      </c>
      <c r="F500" s="1775" t="s">
        <v>2343</v>
      </c>
      <c r="G500" s="1775" t="s">
        <v>3012</v>
      </c>
      <c r="H500" s="1775" t="s">
        <v>28</v>
      </c>
      <c r="I500" s="1775" t="s">
        <v>1631</v>
      </c>
    </row>
    <row r="501" spans="1:9" ht="11.25" customHeight="1">
      <c r="A501" s="1775" t="s">
        <v>2260</v>
      </c>
      <c r="B501" s="1775" t="s">
        <v>16</v>
      </c>
      <c r="C501" s="1775" t="s">
        <v>3013</v>
      </c>
      <c r="D501" s="1775" t="s">
        <v>3014</v>
      </c>
      <c r="E501" s="1775" t="s">
        <v>3015</v>
      </c>
      <c r="F501" s="1775" t="s">
        <v>582</v>
      </c>
      <c r="G501" s="1775" t="s">
        <v>3016</v>
      </c>
      <c r="H501" s="1775" t="s">
        <v>28</v>
      </c>
      <c r="I501" s="1775" t="s">
        <v>1631</v>
      </c>
    </row>
    <row r="502" spans="1:9" ht="11.25" customHeight="1">
      <c r="A502" s="1775" t="s">
        <v>2260</v>
      </c>
      <c r="B502" s="1775" t="s">
        <v>16</v>
      </c>
      <c r="C502" s="1775" t="s">
        <v>3017</v>
      </c>
      <c r="D502" s="1775" t="s">
        <v>3018</v>
      </c>
      <c r="E502" s="1775" t="s">
        <v>3019</v>
      </c>
      <c r="F502" s="1775" t="s">
        <v>2343</v>
      </c>
      <c r="G502" s="1775" t="s">
        <v>28</v>
      </c>
      <c r="H502" s="1775" t="s">
        <v>28</v>
      </c>
      <c r="I502" s="1775" t="s">
        <v>1631</v>
      </c>
    </row>
    <row r="503" spans="1:9" ht="11.25" customHeight="1">
      <c r="A503" s="1775" t="s">
        <v>2260</v>
      </c>
      <c r="B503" s="1775" t="s">
        <v>16</v>
      </c>
      <c r="C503" s="1775" t="s">
        <v>2436</v>
      </c>
      <c r="D503" s="1775" t="s">
        <v>2437</v>
      </c>
      <c r="E503" s="1775" t="s">
        <v>2438</v>
      </c>
      <c r="F503" s="1775" t="s">
        <v>2439</v>
      </c>
      <c r="G503" s="1775" t="s">
        <v>2440</v>
      </c>
      <c r="H503" s="1775" t="s">
        <v>28</v>
      </c>
      <c r="I503" s="1775" t="s">
        <v>1631</v>
      </c>
    </row>
    <row r="504" spans="1:9" ht="11.25" customHeight="1">
      <c r="A504" s="1775" t="s">
        <v>2260</v>
      </c>
      <c r="B504" s="1775" t="s">
        <v>16</v>
      </c>
      <c r="C504" s="1775" t="s">
        <v>3020</v>
      </c>
      <c r="D504" s="1775" t="s">
        <v>3021</v>
      </c>
      <c r="E504" s="1775" t="s">
        <v>3022</v>
      </c>
      <c r="F504" s="1775" t="s">
        <v>2315</v>
      </c>
      <c r="G504" s="1775" t="s">
        <v>28</v>
      </c>
      <c r="H504" s="1775" t="s">
        <v>28</v>
      </c>
      <c r="I504" s="1775" t="s">
        <v>1631</v>
      </c>
    </row>
    <row r="505" spans="1:9" ht="11.25" customHeight="1">
      <c r="A505" s="1775" t="s">
        <v>2260</v>
      </c>
      <c r="B505" s="1775" t="s">
        <v>16</v>
      </c>
      <c r="C505" s="1775" t="s">
        <v>2462</v>
      </c>
      <c r="D505" s="1775" t="s">
        <v>2463</v>
      </c>
      <c r="E505" s="1775" t="s">
        <v>2464</v>
      </c>
      <c r="F505" s="1775" t="s">
        <v>2301</v>
      </c>
      <c r="G505" s="1775" t="s">
        <v>2465</v>
      </c>
      <c r="H505" s="1775" t="s">
        <v>28</v>
      </c>
      <c r="I505" s="1775" t="s">
        <v>1631</v>
      </c>
    </row>
    <row r="506" spans="1:9" ht="11.25" customHeight="1">
      <c r="A506" s="1775" t="s">
        <v>2260</v>
      </c>
      <c r="B506" s="1775" t="s">
        <v>16</v>
      </c>
      <c r="C506" s="1775" t="s">
        <v>3023</v>
      </c>
      <c r="D506" s="1775" t="s">
        <v>3024</v>
      </c>
      <c r="E506" s="1775" t="s">
        <v>3025</v>
      </c>
      <c r="F506" s="1775" t="s">
        <v>2417</v>
      </c>
      <c r="G506" s="1775" t="s">
        <v>28</v>
      </c>
      <c r="H506" s="1775" t="s">
        <v>28</v>
      </c>
      <c r="I506" s="1775" t="s">
        <v>1631</v>
      </c>
    </row>
    <row r="507" spans="1:9" ht="11.25" customHeight="1">
      <c r="A507" s="1775" t="s">
        <v>2260</v>
      </c>
      <c r="B507" s="1775" t="s">
        <v>16</v>
      </c>
      <c r="C507" s="1775" t="s">
        <v>2480</v>
      </c>
      <c r="D507" s="1775" t="s">
        <v>2481</v>
      </c>
      <c r="E507" s="1775" t="s">
        <v>2482</v>
      </c>
      <c r="F507" s="1775" t="s">
        <v>2483</v>
      </c>
      <c r="G507" s="1775" t="s">
        <v>28</v>
      </c>
      <c r="H507" s="1775" t="s">
        <v>28</v>
      </c>
      <c r="I507" s="1775" t="s">
        <v>1631</v>
      </c>
    </row>
    <row r="508" spans="1:9" ht="11.25" customHeight="1">
      <c r="A508" s="1775" t="s">
        <v>2260</v>
      </c>
      <c r="B508" s="1775" t="s">
        <v>16</v>
      </c>
      <c r="C508" s="1775" t="s">
        <v>2499</v>
      </c>
      <c r="D508" s="1775" t="s">
        <v>2500</v>
      </c>
      <c r="E508" s="1775" t="s">
        <v>2501</v>
      </c>
      <c r="F508" s="1775" t="s">
        <v>2268</v>
      </c>
      <c r="G508" s="1775" t="s">
        <v>2494</v>
      </c>
      <c r="H508" s="1775" t="s">
        <v>28</v>
      </c>
      <c r="I508" s="1775" t="s">
        <v>1631</v>
      </c>
    </row>
    <row r="509" spans="1:9" ht="11.25" customHeight="1">
      <c r="A509" s="1775" t="s">
        <v>2260</v>
      </c>
      <c r="B509" s="1775" t="s">
        <v>16</v>
      </c>
      <c r="C509" s="1775" t="s">
        <v>2513</v>
      </c>
      <c r="D509" s="1775" t="s">
        <v>2514</v>
      </c>
      <c r="E509" s="1775" t="s">
        <v>2515</v>
      </c>
      <c r="F509" s="1775" t="s">
        <v>2268</v>
      </c>
      <c r="G509" s="1775" t="s">
        <v>2516</v>
      </c>
      <c r="H509" s="1775" t="s">
        <v>28</v>
      </c>
      <c r="I509" s="1775" t="s">
        <v>1631</v>
      </c>
    </row>
    <row r="510" spans="1:9" ht="11.25" customHeight="1">
      <c r="A510" s="1775" t="s">
        <v>2260</v>
      </c>
      <c r="B510" s="1775" t="s">
        <v>16</v>
      </c>
      <c r="C510" s="1775" t="s">
        <v>3026</v>
      </c>
      <c r="D510" s="1775" t="s">
        <v>3027</v>
      </c>
      <c r="E510" s="1775" t="s">
        <v>3028</v>
      </c>
      <c r="F510" s="1775" t="s">
        <v>2461</v>
      </c>
      <c r="G510" s="1775" t="s">
        <v>3029</v>
      </c>
      <c r="H510" s="1775" t="s">
        <v>28</v>
      </c>
      <c r="I510" s="1775" t="s">
        <v>1631</v>
      </c>
    </row>
    <row r="511" spans="1:9" ht="11.25" customHeight="1">
      <c r="A511" s="1775" t="s">
        <v>2260</v>
      </c>
      <c r="B511" s="1775" t="s">
        <v>16</v>
      </c>
      <c r="C511" s="1775" t="s">
        <v>3030</v>
      </c>
      <c r="D511" s="1775" t="s">
        <v>3031</v>
      </c>
      <c r="E511" s="1775" t="s">
        <v>3032</v>
      </c>
      <c r="F511" s="1775" t="s">
        <v>2363</v>
      </c>
      <c r="G511" s="1775" t="s">
        <v>28</v>
      </c>
      <c r="H511" s="1775" t="s">
        <v>28</v>
      </c>
      <c r="I511" s="1775" t="s">
        <v>1631</v>
      </c>
    </row>
    <row r="512" spans="1:9" ht="11.25" customHeight="1">
      <c r="A512" s="1775" t="s">
        <v>2260</v>
      </c>
      <c r="B512" s="1775" t="s">
        <v>16</v>
      </c>
      <c r="C512" s="1775" t="s">
        <v>3033</v>
      </c>
      <c r="D512" s="1775" t="s">
        <v>3034</v>
      </c>
      <c r="E512" s="1775" t="s">
        <v>3035</v>
      </c>
      <c r="F512" s="1775" t="s">
        <v>2469</v>
      </c>
      <c r="G512" s="1775" t="s">
        <v>28</v>
      </c>
      <c r="H512" s="1775" t="s">
        <v>28</v>
      </c>
      <c r="I512" s="1775" t="s">
        <v>1631</v>
      </c>
    </row>
    <row r="513" spans="1:9" ht="11.25" customHeight="1">
      <c r="A513" s="1775" t="s">
        <v>2260</v>
      </c>
      <c r="B513" s="1775" t="s">
        <v>16</v>
      </c>
      <c r="C513" s="1775" t="s">
        <v>2615</v>
      </c>
      <c r="D513" s="1775" t="s">
        <v>2616</v>
      </c>
      <c r="E513" s="1775" t="s">
        <v>2617</v>
      </c>
      <c r="F513" s="1775" t="s">
        <v>2301</v>
      </c>
      <c r="G513" s="1775" t="s">
        <v>28</v>
      </c>
      <c r="H513" s="1775" t="s">
        <v>28</v>
      </c>
      <c r="I513" s="1775" t="s">
        <v>1631</v>
      </c>
    </row>
    <row r="514" spans="1:9" ht="11.25" customHeight="1">
      <c r="A514" s="1775" t="s">
        <v>2260</v>
      </c>
      <c r="B514" s="1775" t="s">
        <v>16</v>
      </c>
      <c r="C514" s="1775" t="s">
        <v>3036</v>
      </c>
      <c r="D514" s="1775" t="s">
        <v>3037</v>
      </c>
      <c r="E514" s="1775" t="s">
        <v>3038</v>
      </c>
      <c r="F514" s="1775" t="s">
        <v>3039</v>
      </c>
      <c r="G514" s="1775" t="s">
        <v>28</v>
      </c>
      <c r="H514" s="1775" t="s">
        <v>28</v>
      </c>
      <c r="I514" s="1775" t="s">
        <v>1631</v>
      </c>
    </row>
    <row r="515" spans="1:9" ht="11.25" customHeight="1">
      <c r="A515" s="1775" t="s">
        <v>2260</v>
      </c>
      <c r="B515" s="1775" t="s">
        <v>16</v>
      </c>
      <c r="C515" s="1775" t="s">
        <v>2663</v>
      </c>
      <c r="D515" s="1775" t="s">
        <v>2664</v>
      </c>
      <c r="E515" s="1775" t="s">
        <v>2665</v>
      </c>
      <c r="F515" s="1775" t="s">
        <v>2666</v>
      </c>
      <c r="G515" s="1775" t="s">
        <v>28</v>
      </c>
      <c r="H515" s="1775" t="s">
        <v>28</v>
      </c>
      <c r="I515" s="1775" t="s">
        <v>1631</v>
      </c>
    </row>
    <row r="516" spans="1:9" ht="11.25" customHeight="1">
      <c r="A516" s="1775" t="s">
        <v>2260</v>
      </c>
      <c r="B516" s="1775" t="s">
        <v>16</v>
      </c>
      <c r="C516" s="1775" t="s">
        <v>3040</v>
      </c>
      <c r="D516" s="1775" t="s">
        <v>3041</v>
      </c>
      <c r="E516" s="1775" t="s">
        <v>3042</v>
      </c>
      <c r="F516" s="1775" t="s">
        <v>2335</v>
      </c>
      <c r="G516" s="1775" t="s">
        <v>28</v>
      </c>
      <c r="H516" s="1775" t="s">
        <v>28</v>
      </c>
      <c r="I516" s="1775" t="s">
        <v>1631</v>
      </c>
    </row>
    <row r="517" spans="1:9" ht="11.25" customHeight="1">
      <c r="A517" s="1775" t="s">
        <v>2260</v>
      </c>
      <c r="B517" s="1775" t="s">
        <v>16</v>
      </c>
      <c r="C517" s="1775" t="s">
        <v>3043</v>
      </c>
      <c r="D517" s="1775" t="s">
        <v>3044</v>
      </c>
      <c r="E517" s="1775" t="s">
        <v>3045</v>
      </c>
      <c r="F517" s="1775" t="s">
        <v>2315</v>
      </c>
      <c r="G517" s="1775" t="s">
        <v>3046</v>
      </c>
      <c r="H517" s="1775" t="s">
        <v>28</v>
      </c>
      <c r="I517" s="1775" t="s">
        <v>1631</v>
      </c>
    </row>
    <row r="518" spans="1:9" ht="11.25" customHeight="1">
      <c r="A518" s="1775" t="s">
        <v>2260</v>
      </c>
      <c r="B518" s="1775" t="s">
        <v>16</v>
      </c>
      <c r="C518" s="1775" t="s">
        <v>3047</v>
      </c>
      <c r="D518" s="1775" t="s">
        <v>3048</v>
      </c>
      <c r="E518" s="1775" t="s">
        <v>3049</v>
      </c>
      <c r="F518" s="1775" t="s">
        <v>2343</v>
      </c>
      <c r="G518" s="1775" t="s">
        <v>28</v>
      </c>
      <c r="H518" s="1775" t="s">
        <v>28</v>
      </c>
      <c r="I518" s="1775" t="s">
        <v>1631</v>
      </c>
    </row>
    <row r="519" spans="1:9" ht="11.25" customHeight="1">
      <c r="A519" s="1775" t="s">
        <v>2260</v>
      </c>
      <c r="B519" s="1775" t="s">
        <v>16</v>
      </c>
      <c r="C519" s="1775" t="s">
        <v>3050</v>
      </c>
      <c r="D519" s="1775" t="s">
        <v>3051</v>
      </c>
      <c r="E519" s="1775" t="s">
        <v>3052</v>
      </c>
      <c r="F519" s="1775" t="s">
        <v>2348</v>
      </c>
      <c r="G519" s="1775" t="s">
        <v>3053</v>
      </c>
      <c r="H519" s="1775" t="s">
        <v>28</v>
      </c>
      <c r="I519" s="1775" t="s">
        <v>1631</v>
      </c>
    </row>
    <row r="520" spans="1:9" ht="11.25" customHeight="1">
      <c r="A520" s="1775" t="s">
        <v>2260</v>
      </c>
      <c r="B520" s="1775" t="s">
        <v>16</v>
      </c>
      <c r="C520" s="1775" t="s">
        <v>3054</v>
      </c>
      <c r="D520" s="1775" t="s">
        <v>3055</v>
      </c>
      <c r="E520" s="1775" t="s">
        <v>3056</v>
      </c>
      <c r="F520" s="1775" t="s">
        <v>2315</v>
      </c>
      <c r="G520" s="1775" t="s">
        <v>3046</v>
      </c>
      <c r="H520" s="1775" t="s">
        <v>28</v>
      </c>
      <c r="I520" s="1775" t="s">
        <v>1631</v>
      </c>
    </row>
    <row r="521" spans="1:9" ht="11.25" customHeight="1">
      <c r="A521" s="1775" t="s">
        <v>2260</v>
      </c>
      <c r="B521" s="1775" t="s">
        <v>16</v>
      </c>
      <c r="C521" s="1775" t="s">
        <v>3057</v>
      </c>
      <c r="D521" s="1775" t="s">
        <v>3058</v>
      </c>
      <c r="E521" s="1775" t="s">
        <v>3059</v>
      </c>
      <c r="F521" s="1775" t="s">
        <v>3060</v>
      </c>
      <c r="G521" s="1775" t="s">
        <v>3061</v>
      </c>
      <c r="H521" s="1775" t="s">
        <v>28</v>
      </c>
      <c r="I521" s="1775" t="s">
        <v>1631</v>
      </c>
    </row>
    <row r="522" spans="1:9" ht="11.25" customHeight="1">
      <c r="A522" s="1775" t="s">
        <v>2260</v>
      </c>
      <c r="B522" s="1775" t="s">
        <v>16</v>
      </c>
      <c r="C522" s="1775" t="s">
        <v>3062</v>
      </c>
      <c r="D522" s="1775" t="s">
        <v>3063</v>
      </c>
      <c r="E522" s="1775" t="s">
        <v>3064</v>
      </c>
      <c r="F522" s="1775" t="s">
        <v>3065</v>
      </c>
      <c r="G522" s="1775" t="s">
        <v>3066</v>
      </c>
      <c r="H522" s="1775" t="s">
        <v>28</v>
      </c>
      <c r="I522" s="1775" t="s">
        <v>1631</v>
      </c>
    </row>
    <row r="523" spans="1:9" ht="11.25" customHeight="1">
      <c r="A523" s="1775" t="s">
        <v>2260</v>
      </c>
      <c r="B523" s="1775" t="s">
        <v>16</v>
      </c>
      <c r="C523" s="1775" t="s">
        <v>3067</v>
      </c>
      <c r="D523" s="1775" t="s">
        <v>3068</v>
      </c>
      <c r="E523" s="1775" t="s">
        <v>3069</v>
      </c>
      <c r="F523" s="1775" t="s">
        <v>2301</v>
      </c>
      <c r="G523" s="1775" t="s">
        <v>3070</v>
      </c>
      <c r="H523" s="1775" t="s">
        <v>28</v>
      </c>
      <c r="I523" s="1775" t="s">
        <v>1631</v>
      </c>
    </row>
    <row r="524" spans="1:9" ht="11.25" customHeight="1">
      <c r="A524" s="1775" t="s">
        <v>2260</v>
      </c>
      <c r="B524" s="1775" t="s">
        <v>16</v>
      </c>
      <c r="C524" s="1775" t="s">
        <v>3071</v>
      </c>
      <c r="D524" s="1775" t="s">
        <v>3072</v>
      </c>
      <c r="E524" s="1775" t="s">
        <v>3073</v>
      </c>
      <c r="F524" s="1775" t="s">
        <v>2292</v>
      </c>
      <c r="G524" s="1775" t="s">
        <v>3074</v>
      </c>
      <c r="H524" s="1775" t="s">
        <v>28</v>
      </c>
      <c r="I524" s="1775" t="s">
        <v>1631</v>
      </c>
    </row>
    <row r="525" spans="1:9" ht="11.25" customHeight="1">
      <c r="A525" s="1775" t="s">
        <v>2260</v>
      </c>
      <c r="B525" s="1775" t="s">
        <v>16</v>
      </c>
      <c r="C525" s="1775" t="s">
        <v>3075</v>
      </c>
      <c r="D525" s="1775" t="s">
        <v>3076</v>
      </c>
      <c r="E525" s="1775" t="s">
        <v>3077</v>
      </c>
      <c r="F525" s="1775" t="s">
        <v>2343</v>
      </c>
      <c r="G525" s="1775" t="s">
        <v>28</v>
      </c>
      <c r="H525" s="1775" t="s">
        <v>28</v>
      </c>
      <c r="I525" s="1775" t="s">
        <v>1631</v>
      </c>
    </row>
    <row r="526" spans="1:9" ht="11.25" customHeight="1">
      <c r="A526" s="1775" t="s">
        <v>2260</v>
      </c>
      <c r="B526" s="1775" t="s">
        <v>16</v>
      </c>
      <c r="C526" s="1775" t="s">
        <v>3078</v>
      </c>
      <c r="D526" s="1775" t="s">
        <v>3079</v>
      </c>
      <c r="E526" s="1775" t="s">
        <v>3080</v>
      </c>
      <c r="F526" s="1775" t="s">
        <v>2343</v>
      </c>
      <c r="G526" s="1775" t="s">
        <v>28</v>
      </c>
      <c r="H526" s="1775" t="s">
        <v>28</v>
      </c>
      <c r="I526" s="1775" t="s">
        <v>1631</v>
      </c>
    </row>
    <row r="527" spans="1:9" ht="11.25" customHeight="1">
      <c r="A527" s="1775" t="s">
        <v>2260</v>
      </c>
      <c r="B527" s="1775" t="s">
        <v>16</v>
      </c>
      <c r="C527" s="1775" t="s">
        <v>3081</v>
      </c>
      <c r="D527" s="1775" t="s">
        <v>3082</v>
      </c>
      <c r="E527" s="1775" t="s">
        <v>3083</v>
      </c>
      <c r="F527" s="1775" t="s">
        <v>2301</v>
      </c>
      <c r="G527" s="1775" t="s">
        <v>28</v>
      </c>
      <c r="H527" s="1775" t="s">
        <v>28</v>
      </c>
      <c r="I527" s="1775" t="s">
        <v>1631</v>
      </c>
    </row>
    <row r="528" spans="1:9" ht="11.25" customHeight="1">
      <c r="A528" s="1775" t="s">
        <v>2260</v>
      </c>
      <c r="B528" s="1775" t="s">
        <v>16</v>
      </c>
      <c r="C528" s="1775" t="s">
        <v>3084</v>
      </c>
      <c r="D528" s="1775" t="s">
        <v>3085</v>
      </c>
      <c r="E528" s="1775" t="s">
        <v>3086</v>
      </c>
      <c r="F528" s="1775" t="s">
        <v>2292</v>
      </c>
      <c r="G528" s="1775" t="s">
        <v>3087</v>
      </c>
      <c r="H528" s="1775" t="s">
        <v>28</v>
      </c>
      <c r="I528" s="1775" t="s">
        <v>1631</v>
      </c>
    </row>
    <row r="529" spans="1:9" ht="11.25" customHeight="1">
      <c r="A529" s="1775" t="s">
        <v>2260</v>
      </c>
      <c r="B529" s="1775" t="s">
        <v>16</v>
      </c>
      <c r="C529" s="1775" t="s">
        <v>3088</v>
      </c>
      <c r="D529" s="1775" t="s">
        <v>3089</v>
      </c>
      <c r="E529" s="1775" t="s">
        <v>3090</v>
      </c>
      <c r="F529" s="1775" t="s">
        <v>2476</v>
      </c>
      <c r="G529" s="1775" t="s">
        <v>3091</v>
      </c>
      <c r="H529" s="1775" t="s">
        <v>28</v>
      </c>
      <c r="I529" s="1775" t="s">
        <v>1631</v>
      </c>
    </row>
    <row r="530" spans="1:9" ht="11.25" customHeight="1">
      <c r="A530" s="1775" t="s">
        <v>2260</v>
      </c>
      <c r="B530" s="1775" t="s">
        <v>16</v>
      </c>
      <c r="C530" s="1775" t="s">
        <v>3092</v>
      </c>
      <c r="D530" s="1775" t="s">
        <v>3093</v>
      </c>
      <c r="E530" s="1775" t="s">
        <v>3094</v>
      </c>
      <c r="F530" s="1775" t="s">
        <v>3095</v>
      </c>
      <c r="G530" s="1775" t="s">
        <v>3066</v>
      </c>
      <c r="H530" s="1775" t="s">
        <v>28</v>
      </c>
      <c r="I530" s="1775" t="s">
        <v>1631</v>
      </c>
    </row>
    <row r="531" spans="1:9" ht="11.25" customHeight="1">
      <c r="A531" s="1775" t="s">
        <v>2260</v>
      </c>
      <c r="B531" s="1775" t="s">
        <v>16</v>
      </c>
      <c r="C531" s="1775" t="s">
        <v>3096</v>
      </c>
      <c r="D531" s="1775" t="s">
        <v>3097</v>
      </c>
      <c r="E531" s="1775" t="s">
        <v>3098</v>
      </c>
      <c r="F531" s="1775" t="s">
        <v>2417</v>
      </c>
      <c r="G531" s="1775" t="s">
        <v>3099</v>
      </c>
      <c r="H531" s="1775" t="s">
        <v>28</v>
      </c>
      <c r="I531" s="1775" t="s">
        <v>1631</v>
      </c>
    </row>
    <row r="532" spans="1:9" ht="11.25" customHeight="1">
      <c r="A532" s="1775" t="s">
        <v>2260</v>
      </c>
      <c r="B532" s="1775" t="s">
        <v>16</v>
      </c>
      <c r="C532" s="1775" t="s">
        <v>3100</v>
      </c>
      <c r="D532" s="1775" t="s">
        <v>3101</v>
      </c>
      <c r="E532" s="1775" t="s">
        <v>3102</v>
      </c>
      <c r="F532" s="1775" t="s">
        <v>2343</v>
      </c>
      <c r="G532" s="1775" t="s">
        <v>28</v>
      </c>
      <c r="H532" s="1775" t="s">
        <v>28</v>
      </c>
      <c r="I532" s="1775" t="s">
        <v>1631</v>
      </c>
    </row>
    <row r="533" spans="1:9" ht="11.25" customHeight="1">
      <c r="A533" s="1775" t="s">
        <v>2260</v>
      </c>
      <c r="B533" s="1775" t="s">
        <v>16</v>
      </c>
      <c r="C533" s="1775" t="s">
        <v>3103</v>
      </c>
      <c r="D533" s="1775" t="s">
        <v>3104</v>
      </c>
      <c r="E533" s="1775" t="s">
        <v>3105</v>
      </c>
      <c r="F533" s="1775" t="s">
        <v>2483</v>
      </c>
      <c r="G533" s="1775" t="s">
        <v>28</v>
      </c>
      <c r="H533" s="1775" t="s">
        <v>28</v>
      </c>
      <c r="I533" s="1775" t="s">
        <v>1631</v>
      </c>
    </row>
    <row r="534" spans="1:9" ht="11.25" customHeight="1">
      <c r="A534" s="1775" t="s">
        <v>2260</v>
      </c>
      <c r="B534" s="1775" t="s">
        <v>16</v>
      </c>
      <c r="C534" s="1775" t="s">
        <v>3106</v>
      </c>
      <c r="D534" s="1775" t="s">
        <v>3107</v>
      </c>
      <c r="E534" s="1775" t="s">
        <v>3108</v>
      </c>
      <c r="F534" s="1775" t="s">
        <v>2292</v>
      </c>
      <c r="G534" s="1775" t="s">
        <v>28</v>
      </c>
      <c r="H534" s="1775" t="s">
        <v>28</v>
      </c>
      <c r="I534" s="1775" t="s">
        <v>1631</v>
      </c>
    </row>
    <row r="535" spans="1:9" ht="11.25" customHeight="1">
      <c r="A535" s="1775" t="s">
        <v>2260</v>
      </c>
      <c r="B535" s="1775" t="s">
        <v>16</v>
      </c>
      <c r="C535" s="1775" t="s">
        <v>3109</v>
      </c>
      <c r="D535" s="1775" t="s">
        <v>3110</v>
      </c>
      <c r="E535" s="1775" t="s">
        <v>3111</v>
      </c>
      <c r="F535" s="1775" t="s">
        <v>2490</v>
      </c>
      <c r="G535" s="1775" t="s">
        <v>3112</v>
      </c>
      <c r="H535" s="1775" t="s">
        <v>28</v>
      </c>
      <c r="I535" s="1775" t="s">
        <v>1631</v>
      </c>
    </row>
    <row r="536" spans="1:9" ht="11.25" customHeight="1">
      <c r="A536" s="1775" t="s">
        <v>2260</v>
      </c>
      <c r="B536" s="1775" t="s">
        <v>16</v>
      </c>
      <c r="C536" s="1775" t="s">
        <v>3113</v>
      </c>
      <c r="D536" s="1775" t="s">
        <v>3114</v>
      </c>
      <c r="E536" s="1775" t="s">
        <v>3115</v>
      </c>
      <c r="F536" s="1775" t="s">
        <v>2490</v>
      </c>
      <c r="G536" s="1775" t="s">
        <v>28</v>
      </c>
      <c r="H536" s="1775" t="s">
        <v>28</v>
      </c>
      <c r="I536" s="1775" t="s">
        <v>1631</v>
      </c>
    </row>
    <row r="537" spans="1:9" ht="11.25" customHeight="1">
      <c r="A537" s="1775" t="s">
        <v>2260</v>
      </c>
      <c r="B537" s="1775" t="s">
        <v>16</v>
      </c>
      <c r="C537" s="1775" t="s">
        <v>3116</v>
      </c>
      <c r="D537" s="1775" t="s">
        <v>3117</v>
      </c>
      <c r="E537" s="1775" t="s">
        <v>3118</v>
      </c>
      <c r="F537" s="1775" t="s">
        <v>2331</v>
      </c>
      <c r="G537" s="1775" t="s">
        <v>28</v>
      </c>
      <c r="H537" s="1775" t="s">
        <v>28</v>
      </c>
      <c r="I537" s="1775" t="s">
        <v>1631</v>
      </c>
    </row>
    <row r="538" spans="1:9" ht="11.25" customHeight="1">
      <c r="A538" s="1775" t="s">
        <v>2260</v>
      </c>
      <c r="B538" s="1775" t="s">
        <v>16</v>
      </c>
      <c r="C538" s="1775" t="s">
        <v>28</v>
      </c>
      <c r="D538" s="1775" t="s">
        <v>2834</v>
      </c>
      <c r="E538" s="1775" t="s">
        <v>2835</v>
      </c>
      <c r="F538" s="1775" t="s">
        <v>2343</v>
      </c>
      <c r="G538" s="1775" t="s">
        <v>28</v>
      </c>
      <c r="H538" s="1775" t="s">
        <v>28</v>
      </c>
      <c r="I538" s="1775" t="s">
        <v>1631</v>
      </c>
    </row>
    <row r="539" spans="1:9" ht="11.25" customHeight="1">
      <c r="A539" s="1775" t="s">
        <v>2260</v>
      </c>
      <c r="B539" s="1775" t="s">
        <v>16</v>
      </c>
      <c r="C539" s="1775" t="s">
        <v>2839</v>
      </c>
      <c r="D539" s="1775" t="s">
        <v>2840</v>
      </c>
      <c r="E539" s="1775" t="s">
        <v>2841</v>
      </c>
      <c r="F539" s="1775" t="s">
        <v>2268</v>
      </c>
      <c r="G539" s="1775" t="s">
        <v>28</v>
      </c>
      <c r="H539" s="1775" t="s">
        <v>28</v>
      </c>
      <c r="I539" s="1775" t="s">
        <v>1631</v>
      </c>
    </row>
    <row r="540" spans="1:9" ht="11.25" customHeight="1">
      <c r="A540" s="1775" t="s">
        <v>2260</v>
      </c>
      <c r="B540" s="1775" t="s">
        <v>16</v>
      </c>
      <c r="C540" s="1775" t="s">
        <v>3119</v>
      </c>
      <c r="D540" s="1775" t="s">
        <v>3120</v>
      </c>
      <c r="E540" s="1775" t="s">
        <v>3121</v>
      </c>
      <c r="F540" s="1775" t="s">
        <v>2292</v>
      </c>
      <c r="G540" s="1775" t="s">
        <v>3122</v>
      </c>
      <c r="H540" s="1775" t="s">
        <v>28</v>
      </c>
      <c r="I540" s="1775"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585E7-A252-3F8F-8CA4-823B393207DC}">
  <sheetPr>
    <tabColor rgb="FFFFCC99"/>
  </sheetPr>
  <dimension ref="A1:G106"/>
  <sheetViews>
    <sheetView showGridLines="0" workbookViewId="0"/>
  </sheetViews>
  <sheetFormatPr defaultRowHeight="11.25" customHeight="1"/>
  <cols>
    <col min="1" max="1" width="9.140625" style="1775"/>
  </cols>
  <sheetData>
    <row r="1" spans="1:7" ht="11.25" customHeight="1">
      <c r="A1" s="310" t="s">
        <v>3123</v>
      </c>
      <c r="B1" s="4" t="s">
        <v>3124</v>
      </c>
      <c r="C1" s="4" t="s">
        <v>3125</v>
      </c>
      <c r="D1" s="4" t="s">
        <v>3126</v>
      </c>
      <c r="E1" s="3" t="s">
        <v>3127</v>
      </c>
      <c r="F1" s="3" t="s">
        <v>3128</v>
      </c>
      <c r="G1" s="3" t="s">
        <v>3129</v>
      </c>
    </row>
    <row r="2" spans="1:7" ht="11.25" customHeight="1">
      <c r="A2" s="310" t="s">
        <v>16</v>
      </c>
      <c r="B2" t="s">
        <v>3130</v>
      </c>
      <c r="C2" t="s">
        <v>3131</v>
      </c>
      <c r="D2" t="s">
        <v>3132</v>
      </c>
      <c r="E2" t="s">
        <v>3133</v>
      </c>
      <c r="F2" t="s">
        <v>3134</v>
      </c>
      <c r="G2" t="s">
        <v>107</v>
      </c>
    </row>
    <row r="3" spans="1:7" ht="11.25" customHeight="1">
      <c r="A3" s="310" t="s">
        <v>16</v>
      </c>
      <c r="B3" t="s">
        <v>3130</v>
      </c>
      <c r="C3" t="s">
        <v>3131</v>
      </c>
      <c r="D3" t="s">
        <v>3130</v>
      </c>
      <c r="E3" t="s">
        <v>3131</v>
      </c>
      <c r="F3" t="s">
        <v>3135</v>
      </c>
      <c r="G3" t="s">
        <v>108</v>
      </c>
    </row>
    <row r="4" spans="1:7" ht="11.25" customHeight="1">
      <c r="A4" s="310" t="s">
        <v>16</v>
      </c>
      <c r="B4" t="s">
        <v>3130</v>
      </c>
      <c r="C4" t="s">
        <v>3131</v>
      </c>
      <c r="D4" t="s">
        <v>3136</v>
      </c>
      <c r="E4" t="s">
        <v>3137</v>
      </c>
      <c r="F4" t="s">
        <v>3138</v>
      </c>
      <c r="G4" t="s">
        <v>87</v>
      </c>
    </row>
    <row r="5" spans="1:7" ht="11.25" customHeight="1">
      <c r="A5" s="310" t="s">
        <v>16</v>
      </c>
      <c r="B5" t="s">
        <v>3130</v>
      </c>
      <c r="C5" t="s">
        <v>3131</v>
      </c>
      <c r="D5" t="s">
        <v>3139</v>
      </c>
      <c r="E5" t="s">
        <v>3140</v>
      </c>
      <c r="F5" t="s">
        <v>3138</v>
      </c>
      <c r="G5" t="s">
        <v>88</v>
      </c>
    </row>
    <row r="6" spans="1:7" ht="11.25" customHeight="1">
      <c r="A6" s="310" t="s">
        <v>16</v>
      </c>
      <c r="B6" t="s">
        <v>3130</v>
      </c>
      <c r="C6" t="s">
        <v>3131</v>
      </c>
      <c r="D6" t="s">
        <v>3141</v>
      </c>
      <c r="E6" t="s">
        <v>3142</v>
      </c>
      <c r="F6" t="s">
        <v>3138</v>
      </c>
      <c r="G6" t="s">
        <v>109</v>
      </c>
    </row>
    <row r="7" spans="1:7" ht="11.25" customHeight="1">
      <c r="A7" s="310" t="s">
        <v>16</v>
      </c>
      <c r="B7" t="s">
        <v>3130</v>
      </c>
      <c r="C7" t="s">
        <v>3131</v>
      </c>
      <c r="D7" t="s">
        <v>3143</v>
      </c>
      <c r="E7" t="s">
        <v>3144</v>
      </c>
      <c r="F7" t="s">
        <v>3138</v>
      </c>
      <c r="G7" t="s">
        <v>89</v>
      </c>
    </row>
    <row r="8" spans="1:7" ht="11.25" customHeight="1">
      <c r="A8" s="310" t="s">
        <v>16</v>
      </c>
      <c r="B8" t="s">
        <v>3130</v>
      </c>
      <c r="C8" t="s">
        <v>3131</v>
      </c>
      <c r="D8" t="s">
        <v>3145</v>
      </c>
      <c r="E8" t="s">
        <v>3146</v>
      </c>
      <c r="F8" t="s">
        <v>3138</v>
      </c>
      <c r="G8" t="s">
        <v>90</v>
      </c>
    </row>
    <row r="9" spans="1:7" ht="11.25" customHeight="1">
      <c r="A9" s="310" t="s">
        <v>16</v>
      </c>
      <c r="B9" t="s">
        <v>3130</v>
      </c>
      <c r="C9" t="s">
        <v>3131</v>
      </c>
      <c r="D9" t="s">
        <v>3147</v>
      </c>
      <c r="E9" t="s">
        <v>3148</v>
      </c>
      <c r="F9" t="s">
        <v>3138</v>
      </c>
      <c r="G9" t="s">
        <v>110</v>
      </c>
    </row>
    <row r="10" spans="1:7" ht="11.25" customHeight="1">
      <c r="A10" s="310" t="s">
        <v>16</v>
      </c>
      <c r="B10" t="s">
        <v>3149</v>
      </c>
      <c r="C10" t="s">
        <v>3150</v>
      </c>
      <c r="D10" t="s">
        <v>3149</v>
      </c>
      <c r="E10" t="s">
        <v>3150</v>
      </c>
      <c r="F10" t="s">
        <v>3135</v>
      </c>
      <c r="G10" t="s">
        <v>146</v>
      </c>
    </row>
    <row r="11" spans="1:7" ht="11.25" customHeight="1">
      <c r="A11" s="310" t="s">
        <v>16</v>
      </c>
      <c r="B11" t="s">
        <v>3149</v>
      </c>
      <c r="C11" t="s">
        <v>3150</v>
      </c>
      <c r="D11" t="s">
        <v>3151</v>
      </c>
      <c r="E11" t="s">
        <v>3152</v>
      </c>
      <c r="F11" t="s">
        <v>3134</v>
      </c>
      <c r="G11" t="s">
        <v>147</v>
      </c>
    </row>
    <row r="12" spans="1:7" ht="11.25" customHeight="1">
      <c r="A12" s="310" t="s">
        <v>16</v>
      </c>
      <c r="B12" t="s">
        <v>3149</v>
      </c>
      <c r="C12" t="s">
        <v>3150</v>
      </c>
      <c r="D12" t="s">
        <v>3153</v>
      </c>
      <c r="E12" t="s">
        <v>3154</v>
      </c>
      <c r="F12" t="s">
        <v>3134</v>
      </c>
      <c r="G12" t="s">
        <v>148</v>
      </c>
    </row>
    <row r="13" spans="1:7" ht="11.25" customHeight="1">
      <c r="A13" s="310" t="s">
        <v>16</v>
      </c>
      <c r="B13" t="s">
        <v>3149</v>
      </c>
      <c r="C13" t="s">
        <v>3150</v>
      </c>
      <c r="D13" t="s">
        <v>3155</v>
      </c>
      <c r="E13" t="s">
        <v>3156</v>
      </c>
      <c r="F13" t="s">
        <v>3138</v>
      </c>
      <c r="G13" t="s">
        <v>149</v>
      </c>
    </row>
    <row r="14" spans="1:7" ht="11.25" customHeight="1">
      <c r="A14" s="310" t="s">
        <v>16</v>
      </c>
      <c r="B14" t="s">
        <v>3149</v>
      </c>
      <c r="C14" t="s">
        <v>3150</v>
      </c>
      <c r="D14" t="s">
        <v>3157</v>
      </c>
      <c r="E14" t="s">
        <v>3158</v>
      </c>
      <c r="F14" t="s">
        <v>3138</v>
      </c>
      <c r="G14" t="s">
        <v>150</v>
      </c>
    </row>
    <row r="15" spans="1:7" ht="11.25" customHeight="1">
      <c r="A15" s="310" t="s">
        <v>16</v>
      </c>
      <c r="B15" t="s">
        <v>3149</v>
      </c>
      <c r="C15" t="s">
        <v>3150</v>
      </c>
      <c r="D15" t="s">
        <v>3159</v>
      </c>
      <c r="E15" t="s">
        <v>3160</v>
      </c>
      <c r="F15" t="s">
        <v>3138</v>
      </c>
      <c r="G15" t="s">
        <v>151</v>
      </c>
    </row>
    <row r="16" spans="1:7" ht="11.25" customHeight="1">
      <c r="A16" s="310" t="s">
        <v>16</v>
      </c>
      <c r="B16" t="s">
        <v>3149</v>
      </c>
      <c r="C16" t="s">
        <v>3150</v>
      </c>
      <c r="D16" t="s">
        <v>3161</v>
      </c>
      <c r="E16" t="s">
        <v>3162</v>
      </c>
      <c r="F16" t="s">
        <v>3138</v>
      </c>
      <c r="G16" t="s">
        <v>1474</v>
      </c>
    </row>
    <row r="17" spans="1:7" ht="11.25" customHeight="1">
      <c r="A17" s="310" t="s">
        <v>16</v>
      </c>
      <c r="B17" t="s">
        <v>3163</v>
      </c>
      <c r="C17" t="s">
        <v>3164</v>
      </c>
      <c r="D17" t="s">
        <v>3163</v>
      </c>
      <c r="E17" t="s">
        <v>3164</v>
      </c>
      <c r="F17" t="s">
        <v>3165</v>
      </c>
      <c r="G17" t="s">
        <v>1480</v>
      </c>
    </row>
    <row r="18" spans="1:7" ht="11.25" customHeight="1">
      <c r="A18" s="310" t="s">
        <v>16</v>
      </c>
      <c r="B18" t="s">
        <v>3166</v>
      </c>
      <c r="C18" t="s">
        <v>3167</v>
      </c>
      <c r="D18" t="s">
        <v>3168</v>
      </c>
      <c r="E18" t="s">
        <v>3169</v>
      </c>
      <c r="F18" t="s">
        <v>3138</v>
      </c>
      <c r="G18" t="s">
        <v>1492</v>
      </c>
    </row>
    <row r="19" spans="1:7" ht="11.25" customHeight="1">
      <c r="A19" s="310" t="s">
        <v>16</v>
      </c>
      <c r="B19" t="s">
        <v>3166</v>
      </c>
      <c r="C19" t="s">
        <v>3167</v>
      </c>
      <c r="D19" t="s">
        <v>3166</v>
      </c>
      <c r="E19" t="s">
        <v>3167</v>
      </c>
      <c r="F19" t="s">
        <v>3135</v>
      </c>
      <c r="G19" t="s">
        <v>1506</v>
      </c>
    </row>
    <row r="20" spans="1:7" ht="11.25" customHeight="1">
      <c r="A20" s="310" t="s">
        <v>16</v>
      </c>
      <c r="B20" t="s">
        <v>3166</v>
      </c>
      <c r="C20" t="s">
        <v>3167</v>
      </c>
      <c r="D20" t="s">
        <v>3170</v>
      </c>
      <c r="E20" t="s">
        <v>3171</v>
      </c>
      <c r="F20" t="s">
        <v>3134</v>
      </c>
      <c r="G20" t="s">
        <v>1518</v>
      </c>
    </row>
    <row r="21" spans="1:7" ht="11.25" customHeight="1">
      <c r="A21" s="310" t="s">
        <v>16</v>
      </c>
      <c r="B21" t="s">
        <v>3166</v>
      </c>
      <c r="C21" t="s">
        <v>3167</v>
      </c>
      <c r="D21" t="s">
        <v>3172</v>
      </c>
      <c r="E21" t="s">
        <v>3173</v>
      </c>
      <c r="F21" t="s">
        <v>3134</v>
      </c>
      <c r="G21" t="s">
        <v>1527</v>
      </c>
    </row>
    <row r="22" spans="1:7" ht="11.25" customHeight="1">
      <c r="A22" s="310" t="s">
        <v>16</v>
      </c>
      <c r="B22" t="s">
        <v>3166</v>
      </c>
      <c r="C22" t="s">
        <v>3167</v>
      </c>
      <c r="D22" t="s">
        <v>3174</v>
      </c>
      <c r="E22" t="s">
        <v>3175</v>
      </c>
      <c r="F22" t="s">
        <v>3138</v>
      </c>
      <c r="G22" t="s">
        <v>1543</v>
      </c>
    </row>
    <row r="23" spans="1:7" ht="11.25" customHeight="1">
      <c r="A23" s="310" t="s">
        <v>16</v>
      </c>
      <c r="B23" t="s">
        <v>3166</v>
      </c>
      <c r="C23" t="s">
        <v>3167</v>
      </c>
      <c r="D23" t="s">
        <v>3176</v>
      </c>
      <c r="E23" t="s">
        <v>3177</v>
      </c>
      <c r="F23" t="s">
        <v>3134</v>
      </c>
      <c r="G23" t="s">
        <v>1550</v>
      </c>
    </row>
    <row r="24" spans="1:7" ht="11.25" customHeight="1">
      <c r="A24" s="310" t="s">
        <v>16</v>
      </c>
      <c r="B24" t="s">
        <v>3166</v>
      </c>
      <c r="C24" t="s">
        <v>3167</v>
      </c>
      <c r="D24" t="s">
        <v>3178</v>
      </c>
      <c r="E24" t="s">
        <v>3179</v>
      </c>
      <c r="F24" t="s">
        <v>3134</v>
      </c>
      <c r="G24" t="s">
        <v>1558</v>
      </c>
    </row>
    <row r="25" spans="1:7" ht="11.25" customHeight="1">
      <c r="A25" s="310" t="s">
        <v>16</v>
      </c>
      <c r="B25" t="s">
        <v>3166</v>
      </c>
      <c r="C25" t="s">
        <v>3167</v>
      </c>
      <c r="D25" t="s">
        <v>3180</v>
      </c>
      <c r="E25" t="s">
        <v>3181</v>
      </c>
      <c r="F25" t="s">
        <v>3134</v>
      </c>
      <c r="G25" t="s">
        <v>1565</v>
      </c>
    </row>
    <row r="26" spans="1:7" ht="11.25" customHeight="1">
      <c r="A26" s="310" t="s">
        <v>16</v>
      </c>
      <c r="B26" t="s">
        <v>3166</v>
      </c>
      <c r="C26" t="s">
        <v>3167</v>
      </c>
      <c r="D26" t="s">
        <v>3182</v>
      </c>
      <c r="E26" t="s">
        <v>3183</v>
      </c>
      <c r="F26" t="s">
        <v>3138</v>
      </c>
      <c r="G26" t="s">
        <v>1569</v>
      </c>
    </row>
    <row r="27" spans="1:7" ht="11.25" customHeight="1">
      <c r="A27" s="310" t="s">
        <v>16</v>
      </c>
      <c r="B27" t="s">
        <v>3166</v>
      </c>
      <c r="C27" t="s">
        <v>3167</v>
      </c>
      <c r="D27" t="s">
        <v>3184</v>
      </c>
      <c r="E27" t="s">
        <v>3185</v>
      </c>
      <c r="F27" t="s">
        <v>3138</v>
      </c>
      <c r="G27" t="s">
        <v>1574</v>
      </c>
    </row>
    <row r="28" spans="1:7" ht="11.25" customHeight="1">
      <c r="A28" s="310" t="s">
        <v>16</v>
      </c>
      <c r="B28" t="s">
        <v>3166</v>
      </c>
      <c r="C28" t="s">
        <v>3167</v>
      </c>
      <c r="D28" t="s">
        <v>3186</v>
      </c>
      <c r="E28" t="s">
        <v>3187</v>
      </c>
      <c r="F28" t="s">
        <v>3138</v>
      </c>
      <c r="G28" t="s">
        <v>1582</v>
      </c>
    </row>
    <row r="29" spans="1:7" ht="11.25" customHeight="1">
      <c r="A29" s="310" t="s">
        <v>16</v>
      </c>
      <c r="B29" t="s">
        <v>3188</v>
      </c>
      <c r="C29" t="s">
        <v>3189</v>
      </c>
      <c r="D29" t="s">
        <v>3188</v>
      </c>
      <c r="E29" t="s">
        <v>3189</v>
      </c>
      <c r="F29" t="s">
        <v>3165</v>
      </c>
      <c r="G29" t="s">
        <v>1584</v>
      </c>
    </row>
    <row r="30" spans="1:7" ht="11.25" customHeight="1">
      <c r="A30" s="310" t="s">
        <v>16</v>
      </c>
      <c r="B30" t="s">
        <v>3190</v>
      </c>
      <c r="C30" t="s">
        <v>3191</v>
      </c>
      <c r="D30" t="s">
        <v>3190</v>
      </c>
      <c r="E30" t="s">
        <v>3191</v>
      </c>
      <c r="F30" t="s">
        <v>3165</v>
      </c>
      <c r="G30" t="s">
        <v>1587</v>
      </c>
    </row>
    <row r="31" spans="1:7" ht="11.25" customHeight="1">
      <c r="A31" s="310" t="s">
        <v>16</v>
      </c>
      <c r="B31" t="s">
        <v>3192</v>
      </c>
      <c r="C31" t="s">
        <v>3193</v>
      </c>
      <c r="D31" t="s">
        <v>3192</v>
      </c>
      <c r="E31" t="s">
        <v>3193</v>
      </c>
      <c r="F31" t="s">
        <v>3165</v>
      </c>
      <c r="G31" t="s">
        <v>1593</v>
      </c>
    </row>
    <row r="32" spans="1:7" ht="11.25" customHeight="1">
      <c r="A32" s="310" t="s">
        <v>16</v>
      </c>
      <c r="B32" t="s">
        <v>3194</v>
      </c>
      <c r="C32" t="s">
        <v>3195</v>
      </c>
      <c r="D32" t="s">
        <v>3196</v>
      </c>
      <c r="E32" t="s">
        <v>3197</v>
      </c>
      <c r="F32" t="s">
        <v>3138</v>
      </c>
      <c r="G32" t="s">
        <v>1595</v>
      </c>
    </row>
    <row r="33" spans="1:7" ht="11.25" customHeight="1">
      <c r="A33" s="310" t="s">
        <v>16</v>
      </c>
      <c r="B33" t="s">
        <v>3194</v>
      </c>
      <c r="C33" t="s">
        <v>3195</v>
      </c>
      <c r="D33" t="s">
        <v>3198</v>
      </c>
      <c r="E33" t="s">
        <v>3199</v>
      </c>
      <c r="F33" t="s">
        <v>3138</v>
      </c>
      <c r="G33" t="s">
        <v>1597</v>
      </c>
    </row>
    <row r="34" spans="1:7" ht="11.25" customHeight="1">
      <c r="A34" s="310" t="s">
        <v>16</v>
      </c>
      <c r="B34" t="s">
        <v>3194</v>
      </c>
      <c r="C34" t="s">
        <v>3195</v>
      </c>
      <c r="D34" t="s">
        <v>3200</v>
      </c>
      <c r="E34" t="s">
        <v>3201</v>
      </c>
      <c r="F34" t="s">
        <v>3138</v>
      </c>
      <c r="G34" t="s">
        <v>1599</v>
      </c>
    </row>
    <row r="35" spans="1:7" ht="11.25" customHeight="1">
      <c r="A35" s="310" t="s">
        <v>16</v>
      </c>
      <c r="B35" t="s">
        <v>3194</v>
      </c>
      <c r="C35" t="s">
        <v>3195</v>
      </c>
      <c r="D35" t="s">
        <v>3194</v>
      </c>
      <c r="E35" t="s">
        <v>3195</v>
      </c>
      <c r="F35" t="s">
        <v>3135</v>
      </c>
      <c r="G35" t="s">
        <v>1604</v>
      </c>
    </row>
    <row r="36" spans="1:7" ht="11.25" customHeight="1">
      <c r="A36" s="310" t="s">
        <v>16</v>
      </c>
      <c r="B36" t="s">
        <v>3194</v>
      </c>
      <c r="C36" t="s">
        <v>3195</v>
      </c>
      <c r="D36" t="s">
        <v>3202</v>
      </c>
      <c r="E36" t="s">
        <v>3203</v>
      </c>
      <c r="F36" t="s">
        <v>3134</v>
      </c>
      <c r="G36" t="s">
        <v>1609</v>
      </c>
    </row>
    <row r="37" spans="1:7" ht="11.25" customHeight="1">
      <c r="A37" s="310" t="s">
        <v>16</v>
      </c>
      <c r="B37" t="s">
        <v>3194</v>
      </c>
      <c r="C37" t="s">
        <v>3195</v>
      </c>
      <c r="D37" t="s">
        <v>3204</v>
      </c>
      <c r="E37" t="s">
        <v>3205</v>
      </c>
      <c r="F37" t="s">
        <v>3138</v>
      </c>
      <c r="G37" t="s">
        <v>1613</v>
      </c>
    </row>
    <row r="38" spans="1:7" ht="11.25" customHeight="1">
      <c r="A38" s="310" t="s">
        <v>16</v>
      </c>
      <c r="B38" t="s">
        <v>3194</v>
      </c>
      <c r="C38" t="s">
        <v>3195</v>
      </c>
      <c r="D38" t="s">
        <v>3206</v>
      </c>
      <c r="E38" t="s">
        <v>3207</v>
      </c>
      <c r="F38" t="s">
        <v>3138</v>
      </c>
      <c r="G38" t="s">
        <v>1621</v>
      </c>
    </row>
    <row r="39" spans="1:7" ht="11.25" customHeight="1">
      <c r="A39" s="310" t="s">
        <v>16</v>
      </c>
      <c r="B39" t="s">
        <v>3194</v>
      </c>
      <c r="C39" t="s">
        <v>3195</v>
      </c>
      <c r="D39" t="s">
        <v>3208</v>
      </c>
      <c r="E39" t="s">
        <v>3209</v>
      </c>
      <c r="F39" t="s">
        <v>3138</v>
      </c>
      <c r="G39" t="s">
        <v>1627</v>
      </c>
    </row>
    <row r="40" spans="1:7" ht="11.25" customHeight="1">
      <c r="A40" s="310" t="s">
        <v>16</v>
      </c>
      <c r="B40" t="s">
        <v>3194</v>
      </c>
      <c r="C40" t="s">
        <v>3195</v>
      </c>
      <c r="D40" t="s">
        <v>3210</v>
      </c>
      <c r="E40" t="s">
        <v>3211</v>
      </c>
      <c r="F40" t="s">
        <v>3138</v>
      </c>
      <c r="G40" t="s">
        <v>1632</v>
      </c>
    </row>
    <row r="41" spans="1:7" ht="11.25" customHeight="1">
      <c r="A41" s="310" t="s">
        <v>16</v>
      </c>
      <c r="B41" t="s">
        <v>3212</v>
      </c>
      <c r="C41" t="s">
        <v>3213</v>
      </c>
      <c r="D41" t="s">
        <v>3212</v>
      </c>
      <c r="E41" t="s">
        <v>3213</v>
      </c>
      <c r="F41" t="s">
        <v>3165</v>
      </c>
      <c r="G41" t="s">
        <v>1636</v>
      </c>
    </row>
    <row r="42" spans="1:7" ht="11.25" customHeight="1">
      <c r="A42" s="310" t="s">
        <v>16</v>
      </c>
      <c r="B42" t="s">
        <v>97</v>
      </c>
      <c r="C42" t="s">
        <v>3214</v>
      </c>
      <c r="D42" t="s">
        <v>3215</v>
      </c>
      <c r="E42" t="s">
        <v>3216</v>
      </c>
      <c r="F42" t="s">
        <v>3138</v>
      </c>
      <c r="G42" t="s">
        <v>1639</v>
      </c>
    </row>
    <row r="43" spans="1:7" ht="11.25" customHeight="1">
      <c r="A43" s="310" t="s">
        <v>16</v>
      </c>
      <c r="B43" t="s">
        <v>97</v>
      </c>
      <c r="C43" t="s">
        <v>3214</v>
      </c>
      <c r="D43" t="s">
        <v>3217</v>
      </c>
      <c r="E43" t="s">
        <v>3218</v>
      </c>
      <c r="F43" t="s">
        <v>3138</v>
      </c>
      <c r="G43" t="s">
        <v>1646</v>
      </c>
    </row>
    <row r="44" spans="1:7" ht="11.25" customHeight="1">
      <c r="A44" s="310" t="s">
        <v>16</v>
      </c>
      <c r="B44" t="s">
        <v>97</v>
      </c>
      <c r="C44" t="s">
        <v>3214</v>
      </c>
      <c r="D44" t="s">
        <v>3219</v>
      </c>
      <c r="E44" t="s">
        <v>3220</v>
      </c>
      <c r="F44" t="s">
        <v>3138</v>
      </c>
      <c r="G44" t="s">
        <v>1655</v>
      </c>
    </row>
    <row r="45" spans="1:7" ht="11.25" customHeight="1">
      <c r="A45" s="310" t="s">
        <v>16</v>
      </c>
      <c r="B45" t="s">
        <v>97</v>
      </c>
      <c r="C45" t="s">
        <v>3214</v>
      </c>
      <c r="D45" t="s">
        <v>3221</v>
      </c>
      <c r="E45" t="s">
        <v>3222</v>
      </c>
      <c r="F45" t="s">
        <v>3138</v>
      </c>
      <c r="G45" t="s">
        <v>1660</v>
      </c>
    </row>
    <row r="46" spans="1:7" ht="11.25" customHeight="1">
      <c r="A46" s="310" t="s">
        <v>16</v>
      </c>
      <c r="B46" t="s">
        <v>97</v>
      </c>
      <c r="C46" t="s">
        <v>3214</v>
      </c>
      <c r="D46" t="s">
        <v>98</v>
      </c>
      <c r="E46" t="s">
        <v>99</v>
      </c>
      <c r="F46" t="s">
        <v>3134</v>
      </c>
      <c r="G46" t="s">
        <v>96</v>
      </c>
    </row>
    <row r="47" spans="1:7" ht="11.25" customHeight="1">
      <c r="A47" s="310" t="s">
        <v>16</v>
      </c>
      <c r="B47" t="s">
        <v>97</v>
      </c>
      <c r="C47" t="s">
        <v>3214</v>
      </c>
      <c r="D47" t="s">
        <v>3223</v>
      </c>
      <c r="E47" t="s">
        <v>3224</v>
      </c>
      <c r="F47" t="s">
        <v>3138</v>
      </c>
      <c r="G47" t="s">
        <v>1669</v>
      </c>
    </row>
    <row r="48" spans="1:7" ht="11.25" customHeight="1">
      <c r="A48" s="310" t="s">
        <v>16</v>
      </c>
      <c r="B48" t="s">
        <v>97</v>
      </c>
      <c r="C48" t="s">
        <v>3214</v>
      </c>
      <c r="D48" t="s">
        <v>97</v>
      </c>
      <c r="E48" t="s">
        <v>3214</v>
      </c>
      <c r="F48" t="s">
        <v>3135</v>
      </c>
      <c r="G48" t="s">
        <v>1674</v>
      </c>
    </row>
    <row r="49" spans="1:7" ht="11.25" customHeight="1">
      <c r="A49" s="310" t="s">
        <v>16</v>
      </c>
      <c r="B49" t="s">
        <v>97</v>
      </c>
      <c r="C49" t="s">
        <v>3214</v>
      </c>
      <c r="D49" t="s">
        <v>3225</v>
      </c>
      <c r="E49" t="s">
        <v>3226</v>
      </c>
      <c r="F49" t="s">
        <v>3134</v>
      </c>
      <c r="G49" t="s">
        <v>1677</v>
      </c>
    </row>
    <row r="50" spans="1:7" ht="11.25" customHeight="1">
      <c r="A50" s="310" t="s">
        <v>16</v>
      </c>
      <c r="B50" t="s">
        <v>97</v>
      </c>
      <c r="C50" t="s">
        <v>3214</v>
      </c>
      <c r="D50" t="s">
        <v>3227</v>
      </c>
      <c r="E50" t="s">
        <v>3228</v>
      </c>
      <c r="F50" t="s">
        <v>3138</v>
      </c>
      <c r="G50" t="s">
        <v>1680</v>
      </c>
    </row>
    <row r="51" spans="1:7" ht="11.25" customHeight="1">
      <c r="A51" s="310" t="s">
        <v>16</v>
      </c>
      <c r="B51" t="s">
        <v>3229</v>
      </c>
      <c r="C51" t="s">
        <v>3230</v>
      </c>
      <c r="D51" t="s">
        <v>3229</v>
      </c>
      <c r="E51" t="s">
        <v>3230</v>
      </c>
      <c r="F51" t="s">
        <v>3165</v>
      </c>
      <c r="G51" t="s">
        <v>1685</v>
      </c>
    </row>
    <row r="52" spans="1:7" ht="11.25" customHeight="1">
      <c r="A52" s="310" t="s">
        <v>16</v>
      </c>
      <c r="B52" t="s">
        <v>3231</v>
      </c>
      <c r="C52" t="s">
        <v>3232</v>
      </c>
      <c r="D52" t="s">
        <v>3233</v>
      </c>
      <c r="E52" t="s">
        <v>3234</v>
      </c>
      <c r="F52" t="s">
        <v>3134</v>
      </c>
      <c r="G52" t="s">
        <v>1689</v>
      </c>
    </row>
    <row r="53" spans="1:7" ht="11.25" customHeight="1">
      <c r="A53" s="310" t="s">
        <v>16</v>
      </c>
      <c r="B53" t="s">
        <v>3231</v>
      </c>
      <c r="C53" t="s">
        <v>3232</v>
      </c>
      <c r="D53" t="s">
        <v>3235</v>
      </c>
      <c r="E53" t="s">
        <v>3236</v>
      </c>
      <c r="F53" t="s">
        <v>3138</v>
      </c>
      <c r="G53" t="s">
        <v>1691</v>
      </c>
    </row>
    <row r="54" spans="1:7" ht="11.25" customHeight="1">
      <c r="A54" s="310" t="s">
        <v>16</v>
      </c>
      <c r="B54" t="s">
        <v>3231</v>
      </c>
      <c r="C54" t="s">
        <v>3232</v>
      </c>
      <c r="D54" t="s">
        <v>3237</v>
      </c>
      <c r="E54" t="s">
        <v>3238</v>
      </c>
      <c r="F54" t="s">
        <v>3138</v>
      </c>
      <c r="G54" t="s">
        <v>1694</v>
      </c>
    </row>
    <row r="55" spans="1:7" ht="11.25" customHeight="1">
      <c r="A55" s="310" t="s">
        <v>16</v>
      </c>
      <c r="B55" t="s">
        <v>3231</v>
      </c>
      <c r="C55" t="s">
        <v>3232</v>
      </c>
      <c r="D55" t="s">
        <v>3239</v>
      </c>
      <c r="E55" t="s">
        <v>3240</v>
      </c>
      <c r="F55" t="s">
        <v>3138</v>
      </c>
      <c r="G55" t="s">
        <v>1698</v>
      </c>
    </row>
    <row r="56" spans="1:7" ht="11.25" customHeight="1">
      <c r="A56" s="310" t="s">
        <v>16</v>
      </c>
      <c r="B56" t="s">
        <v>3231</v>
      </c>
      <c r="C56" t="s">
        <v>3232</v>
      </c>
      <c r="D56" t="s">
        <v>3231</v>
      </c>
      <c r="E56" t="s">
        <v>3232</v>
      </c>
      <c r="F56" t="s">
        <v>3135</v>
      </c>
      <c r="G56" t="s">
        <v>1701</v>
      </c>
    </row>
    <row r="57" spans="1:7" ht="11.25" customHeight="1">
      <c r="A57" s="310" t="s">
        <v>16</v>
      </c>
      <c r="B57" t="s">
        <v>3231</v>
      </c>
      <c r="C57" t="s">
        <v>3232</v>
      </c>
      <c r="D57" t="s">
        <v>3241</v>
      </c>
      <c r="E57" t="s">
        <v>3242</v>
      </c>
      <c r="F57" t="s">
        <v>3134</v>
      </c>
      <c r="G57" t="s">
        <v>1704</v>
      </c>
    </row>
    <row r="58" spans="1:7" ht="11.25" customHeight="1">
      <c r="A58" s="310" t="s">
        <v>16</v>
      </c>
      <c r="B58" t="s">
        <v>3231</v>
      </c>
      <c r="C58" t="s">
        <v>3232</v>
      </c>
      <c r="D58" t="s">
        <v>3243</v>
      </c>
      <c r="E58" t="s">
        <v>3244</v>
      </c>
      <c r="F58" t="s">
        <v>3138</v>
      </c>
      <c r="G58" t="s">
        <v>1707</v>
      </c>
    </row>
    <row r="59" spans="1:7" ht="11.25" customHeight="1">
      <c r="A59" s="310" t="s">
        <v>16</v>
      </c>
      <c r="B59" t="s">
        <v>3231</v>
      </c>
      <c r="C59" t="s">
        <v>3232</v>
      </c>
      <c r="D59" t="s">
        <v>3245</v>
      </c>
      <c r="E59" t="s">
        <v>3246</v>
      </c>
      <c r="F59" t="s">
        <v>3134</v>
      </c>
      <c r="G59" t="s">
        <v>1711</v>
      </c>
    </row>
    <row r="60" spans="1:7" ht="11.25" customHeight="1">
      <c r="A60" s="310" t="s">
        <v>16</v>
      </c>
      <c r="B60" t="s">
        <v>3231</v>
      </c>
      <c r="C60" t="s">
        <v>3232</v>
      </c>
      <c r="D60" t="s">
        <v>3247</v>
      </c>
      <c r="E60" t="s">
        <v>3248</v>
      </c>
      <c r="F60" t="s">
        <v>3138</v>
      </c>
      <c r="G60" t="s">
        <v>1715</v>
      </c>
    </row>
    <row r="61" spans="1:7" ht="11.25" customHeight="1">
      <c r="A61" s="310" t="s">
        <v>16</v>
      </c>
      <c r="B61" t="s">
        <v>3231</v>
      </c>
      <c r="C61" t="s">
        <v>3232</v>
      </c>
      <c r="D61" t="s">
        <v>3249</v>
      </c>
      <c r="E61" t="s">
        <v>3250</v>
      </c>
      <c r="F61" t="s">
        <v>3134</v>
      </c>
      <c r="G61" t="s">
        <v>3251</v>
      </c>
    </row>
    <row r="62" spans="1:7" ht="11.25" customHeight="1">
      <c r="A62" s="310" t="s">
        <v>16</v>
      </c>
      <c r="B62" t="s">
        <v>3231</v>
      </c>
      <c r="C62" t="s">
        <v>3232</v>
      </c>
      <c r="D62" t="s">
        <v>3252</v>
      </c>
      <c r="E62" t="s">
        <v>3253</v>
      </c>
      <c r="F62" t="s">
        <v>3138</v>
      </c>
      <c r="G62" t="s">
        <v>3254</v>
      </c>
    </row>
    <row r="63" spans="1:7" ht="11.25" customHeight="1">
      <c r="A63" s="310" t="s">
        <v>16</v>
      </c>
      <c r="B63" t="s">
        <v>3231</v>
      </c>
      <c r="C63" t="s">
        <v>3232</v>
      </c>
      <c r="D63" t="s">
        <v>3255</v>
      </c>
      <c r="E63" t="s">
        <v>3256</v>
      </c>
      <c r="F63" t="s">
        <v>3138</v>
      </c>
      <c r="G63" t="s">
        <v>3257</v>
      </c>
    </row>
    <row r="64" spans="1:7" ht="11.25" customHeight="1">
      <c r="A64" s="310" t="s">
        <v>16</v>
      </c>
      <c r="B64" t="s">
        <v>3258</v>
      </c>
      <c r="C64" t="s">
        <v>3259</v>
      </c>
      <c r="D64" t="s">
        <v>3258</v>
      </c>
      <c r="E64" t="s">
        <v>3259</v>
      </c>
      <c r="F64" t="s">
        <v>3165</v>
      </c>
      <c r="G64" t="s">
        <v>3260</v>
      </c>
    </row>
    <row r="65" spans="1:7" ht="11.25" customHeight="1">
      <c r="A65" s="310" t="s">
        <v>16</v>
      </c>
      <c r="B65" t="s">
        <v>3261</v>
      </c>
      <c r="C65" t="s">
        <v>3262</v>
      </c>
      <c r="D65" t="s">
        <v>3261</v>
      </c>
      <c r="E65" t="s">
        <v>3262</v>
      </c>
      <c r="F65" t="s">
        <v>3165</v>
      </c>
      <c r="G65" t="s">
        <v>3263</v>
      </c>
    </row>
    <row r="66" spans="1:7" ht="11.25" customHeight="1">
      <c r="A66" s="310" t="s">
        <v>16</v>
      </c>
      <c r="B66" t="s">
        <v>3264</v>
      </c>
      <c r="C66" t="s">
        <v>3265</v>
      </c>
      <c r="D66" t="s">
        <v>3264</v>
      </c>
      <c r="E66" t="s">
        <v>3265</v>
      </c>
      <c r="F66" t="s">
        <v>3165</v>
      </c>
      <c r="G66" t="s">
        <v>3266</v>
      </c>
    </row>
    <row r="67" spans="1:7" ht="11.25" customHeight="1">
      <c r="A67" s="310" t="s">
        <v>16</v>
      </c>
      <c r="B67" t="s">
        <v>3267</v>
      </c>
      <c r="C67" t="s">
        <v>3268</v>
      </c>
      <c r="D67" t="s">
        <v>3269</v>
      </c>
      <c r="E67" t="s">
        <v>3270</v>
      </c>
      <c r="F67" t="s">
        <v>3134</v>
      </c>
      <c r="G67" t="s">
        <v>2034</v>
      </c>
    </row>
    <row r="68" spans="1:7" ht="11.25" customHeight="1">
      <c r="A68" s="310" t="s">
        <v>16</v>
      </c>
      <c r="B68" t="s">
        <v>3267</v>
      </c>
      <c r="C68" t="s">
        <v>3268</v>
      </c>
      <c r="D68" t="s">
        <v>3271</v>
      </c>
      <c r="E68" t="s">
        <v>3272</v>
      </c>
      <c r="F68" t="s">
        <v>3138</v>
      </c>
      <c r="G68" t="s">
        <v>3273</v>
      </c>
    </row>
    <row r="69" spans="1:7" ht="11.25" customHeight="1">
      <c r="A69" s="310" t="s">
        <v>16</v>
      </c>
      <c r="B69" t="s">
        <v>3267</v>
      </c>
      <c r="C69" t="s">
        <v>3268</v>
      </c>
      <c r="D69" t="s">
        <v>3274</v>
      </c>
      <c r="E69" t="s">
        <v>3275</v>
      </c>
      <c r="F69" t="s">
        <v>3134</v>
      </c>
      <c r="G69" t="s">
        <v>2237</v>
      </c>
    </row>
    <row r="70" spans="1:7" ht="11.25" customHeight="1">
      <c r="A70" s="310" t="s">
        <v>16</v>
      </c>
      <c r="B70" t="s">
        <v>3267</v>
      </c>
      <c r="C70" t="s">
        <v>3268</v>
      </c>
      <c r="D70" t="s">
        <v>3276</v>
      </c>
      <c r="E70" t="s">
        <v>3277</v>
      </c>
      <c r="F70" t="s">
        <v>3134</v>
      </c>
      <c r="G70" t="s">
        <v>3278</v>
      </c>
    </row>
    <row r="71" spans="1:7" ht="11.25" customHeight="1">
      <c r="A71" s="310" t="s">
        <v>16</v>
      </c>
      <c r="B71" t="s">
        <v>3267</v>
      </c>
      <c r="C71" t="s">
        <v>3268</v>
      </c>
      <c r="D71" t="s">
        <v>3279</v>
      </c>
      <c r="E71" t="s">
        <v>3280</v>
      </c>
      <c r="F71" t="s">
        <v>3134</v>
      </c>
      <c r="G71" t="s">
        <v>3281</v>
      </c>
    </row>
    <row r="72" spans="1:7" ht="11.25" customHeight="1">
      <c r="A72" s="310" t="s">
        <v>16</v>
      </c>
      <c r="B72" t="s">
        <v>3267</v>
      </c>
      <c r="C72" t="s">
        <v>3268</v>
      </c>
      <c r="D72" t="s">
        <v>3282</v>
      </c>
      <c r="E72" t="s">
        <v>3283</v>
      </c>
      <c r="F72" t="s">
        <v>3134</v>
      </c>
      <c r="G72" t="s">
        <v>3284</v>
      </c>
    </row>
    <row r="73" spans="1:7" ht="11.25" customHeight="1">
      <c r="A73" s="310" t="s">
        <v>16</v>
      </c>
      <c r="B73" t="s">
        <v>3267</v>
      </c>
      <c r="C73" t="s">
        <v>3268</v>
      </c>
      <c r="D73" t="s">
        <v>3285</v>
      </c>
      <c r="E73" t="s">
        <v>3286</v>
      </c>
      <c r="F73" t="s">
        <v>3287</v>
      </c>
      <c r="G73" t="s">
        <v>3288</v>
      </c>
    </row>
    <row r="74" spans="1:7" ht="11.25" customHeight="1">
      <c r="A74" s="310" t="s">
        <v>16</v>
      </c>
      <c r="B74" t="s">
        <v>3267</v>
      </c>
      <c r="C74" t="s">
        <v>3268</v>
      </c>
      <c r="D74" t="s">
        <v>3267</v>
      </c>
      <c r="E74" t="s">
        <v>3268</v>
      </c>
      <c r="F74" t="s">
        <v>3135</v>
      </c>
      <c r="G74" t="s">
        <v>3289</v>
      </c>
    </row>
    <row r="75" spans="1:7" ht="11.25" customHeight="1">
      <c r="A75" s="310" t="s">
        <v>16</v>
      </c>
      <c r="B75" t="s">
        <v>3267</v>
      </c>
      <c r="C75" t="s">
        <v>3268</v>
      </c>
      <c r="D75" t="s">
        <v>3290</v>
      </c>
      <c r="E75" t="s">
        <v>3291</v>
      </c>
      <c r="F75" t="s">
        <v>3134</v>
      </c>
      <c r="G75" t="s">
        <v>3292</v>
      </c>
    </row>
    <row r="76" spans="1:7" ht="11.25" customHeight="1">
      <c r="A76" s="310" t="s">
        <v>16</v>
      </c>
      <c r="B76" t="s">
        <v>3293</v>
      </c>
      <c r="C76" t="s">
        <v>3294</v>
      </c>
      <c r="D76" t="s">
        <v>3293</v>
      </c>
      <c r="E76" t="s">
        <v>3294</v>
      </c>
      <c r="F76" t="s">
        <v>3165</v>
      </c>
      <c r="G76" t="s">
        <v>3295</v>
      </c>
    </row>
    <row r="77" spans="1:7" ht="11.25" customHeight="1">
      <c r="A77" s="310" t="s">
        <v>16</v>
      </c>
      <c r="B77" t="s">
        <v>3296</v>
      </c>
      <c r="C77" t="s">
        <v>3297</v>
      </c>
      <c r="D77" t="s">
        <v>3298</v>
      </c>
      <c r="E77" t="s">
        <v>3299</v>
      </c>
      <c r="F77" t="s">
        <v>3134</v>
      </c>
      <c r="G77" t="s">
        <v>3300</v>
      </c>
    </row>
    <row r="78" spans="1:7" ht="11.25" customHeight="1">
      <c r="A78" s="310" t="s">
        <v>16</v>
      </c>
      <c r="B78" t="s">
        <v>3296</v>
      </c>
      <c r="C78" t="s">
        <v>3297</v>
      </c>
      <c r="D78" t="s">
        <v>3301</v>
      </c>
      <c r="E78" t="s">
        <v>3302</v>
      </c>
      <c r="F78" t="s">
        <v>3134</v>
      </c>
      <c r="G78" t="s">
        <v>3303</v>
      </c>
    </row>
    <row r="79" spans="1:7" ht="11.25" customHeight="1">
      <c r="A79" s="310" t="s">
        <v>16</v>
      </c>
      <c r="B79" t="s">
        <v>3296</v>
      </c>
      <c r="C79" t="s">
        <v>3297</v>
      </c>
      <c r="D79" t="s">
        <v>3304</v>
      </c>
      <c r="E79" t="s">
        <v>3305</v>
      </c>
      <c r="F79" t="s">
        <v>3138</v>
      </c>
      <c r="G79" t="s">
        <v>3306</v>
      </c>
    </row>
    <row r="80" spans="1:7" ht="11.25" customHeight="1">
      <c r="A80" s="310" t="s">
        <v>16</v>
      </c>
      <c r="B80" t="s">
        <v>3296</v>
      </c>
      <c r="C80" t="s">
        <v>3297</v>
      </c>
      <c r="D80" t="s">
        <v>3307</v>
      </c>
      <c r="E80" t="s">
        <v>3308</v>
      </c>
      <c r="F80" t="s">
        <v>3138</v>
      </c>
      <c r="G80" t="s">
        <v>3309</v>
      </c>
    </row>
    <row r="81" spans="1:7" ht="11.25" customHeight="1">
      <c r="A81" s="310" t="s">
        <v>16</v>
      </c>
      <c r="B81" t="s">
        <v>3296</v>
      </c>
      <c r="C81" t="s">
        <v>3297</v>
      </c>
      <c r="D81" t="s">
        <v>3310</v>
      </c>
      <c r="E81" t="s">
        <v>3311</v>
      </c>
      <c r="F81" t="s">
        <v>3287</v>
      </c>
      <c r="G81" t="s">
        <v>3312</v>
      </c>
    </row>
    <row r="82" spans="1:7" ht="11.25" customHeight="1">
      <c r="A82" s="310" t="s">
        <v>16</v>
      </c>
      <c r="B82" t="s">
        <v>3296</v>
      </c>
      <c r="C82" t="s">
        <v>3297</v>
      </c>
      <c r="D82" t="s">
        <v>3313</v>
      </c>
      <c r="E82" t="s">
        <v>3314</v>
      </c>
      <c r="F82" t="s">
        <v>3138</v>
      </c>
      <c r="G82" t="s">
        <v>3315</v>
      </c>
    </row>
    <row r="83" spans="1:7" ht="11.25" customHeight="1">
      <c r="A83" s="310" t="s">
        <v>16</v>
      </c>
      <c r="B83" t="s">
        <v>3296</v>
      </c>
      <c r="C83" t="s">
        <v>3297</v>
      </c>
      <c r="D83" t="s">
        <v>3316</v>
      </c>
      <c r="E83" t="s">
        <v>3317</v>
      </c>
      <c r="F83" t="s">
        <v>3138</v>
      </c>
      <c r="G83" t="s">
        <v>3318</v>
      </c>
    </row>
    <row r="84" spans="1:7" ht="11.25" customHeight="1">
      <c r="A84" s="310" t="s">
        <v>16</v>
      </c>
      <c r="B84" t="s">
        <v>3296</v>
      </c>
      <c r="C84" t="s">
        <v>3297</v>
      </c>
      <c r="D84" t="s">
        <v>3319</v>
      </c>
      <c r="E84" t="s">
        <v>3320</v>
      </c>
      <c r="F84" t="s">
        <v>3138</v>
      </c>
      <c r="G84" t="s">
        <v>3321</v>
      </c>
    </row>
    <row r="85" spans="1:7" ht="11.25" customHeight="1">
      <c r="A85" s="310" t="s">
        <v>16</v>
      </c>
      <c r="B85" t="s">
        <v>3296</v>
      </c>
      <c r="C85" t="s">
        <v>3297</v>
      </c>
      <c r="D85" t="s">
        <v>3296</v>
      </c>
      <c r="E85" t="s">
        <v>3297</v>
      </c>
      <c r="F85" t="s">
        <v>3135</v>
      </c>
      <c r="G85" t="s">
        <v>3322</v>
      </c>
    </row>
    <row r="86" spans="1:7" ht="11.25" customHeight="1">
      <c r="A86" s="310" t="s">
        <v>16</v>
      </c>
      <c r="B86" t="s">
        <v>3296</v>
      </c>
      <c r="C86" t="s">
        <v>3297</v>
      </c>
      <c r="D86" t="s">
        <v>3323</v>
      </c>
      <c r="E86" t="s">
        <v>3324</v>
      </c>
      <c r="F86" t="s">
        <v>3138</v>
      </c>
      <c r="G86" t="s">
        <v>3325</v>
      </c>
    </row>
    <row r="87" spans="1:7" ht="11.25" customHeight="1">
      <c r="A87" s="310" t="s">
        <v>16</v>
      </c>
      <c r="B87" t="s">
        <v>3296</v>
      </c>
      <c r="C87" t="s">
        <v>3297</v>
      </c>
      <c r="D87" t="s">
        <v>3326</v>
      </c>
      <c r="E87" t="s">
        <v>3327</v>
      </c>
      <c r="F87" t="s">
        <v>3138</v>
      </c>
      <c r="G87" t="s">
        <v>3328</v>
      </c>
    </row>
    <row r="88" spans="1:7" ht="11.25" customHeight="1">
      <c r="A88" s="310" t="s">
        <v>16</v>
      </c>
      <c r="B88" t="s">
        <v>3296</v>
      </c>
      <c r="C88" t="s">
        <v>3297</v>
      </c>
      <c r="D88" t="s">
        <v>3329</v>
      </c>
      <c r="E88" t="s">
        <v>3330</v>
      </c>
      <c r="F88" t="s">
        <v>3138</v>
      </c>
      <c r="G88" t="s">
        <v>3331</v>
      </c>
    </row>
    <row r="89" spans="1:7" ht="11.25" customHeight="1">
      <c r="A89" s="310" t="s">
        <v>16</v>
      </c>
      <c r="B89" t="s">
        <v>3296</v>
      </c>
      <c r="C89" t="s">
        <v>3297</v>
      </c>
      <c r="D89" t="s">
        <v>3332</v>
      </c>
      <c r="E89" t="s">
        <v>3333</v>
      </c>
      <c r="F89" t="s">
        <v>3138</v>
      </c>
      <c r="G89" t="s">
        <v>3334</v>
      </c>
    </row>
    <row r="90" spans="1:7" ht="11.25" customHeight="1">
      <c r="A90" s="310" t="s">
        <v>16</v>
      </c>
      <c r="B90" t="s">
        <v>3296</v>
      </c>
      <c r="C90" t="s">
        <v>3297</v>
      </c>
      <c r="D90" t="s">
        <v>3335</v>
      </c>
      <c r="E90" t="s">
        <v>3336</v>
      </c>
      <c r="F90" t="s">
        <v>3134</v>
      </c>
      <c r="G90" t="s">
        <v>3337</v>
      </c>
    </row>
    <row r="91" spans="1:7" ht="11.25" customHeight="1">
      <c r="A91" s="310" t="s">
        <v>16</v>
      </c>
      <c r="B91" t="s">
        <v>3338</v>
      </c>
      <c r="C91" t="s">
        <v>3339</v>
      </c>
      <c r="D91" t="s">
        <v>3338</v>
      </c>
      <c r="E91" t="s">
        <v>3339</v>
      </c>
      <c r="F91" t="s">
        <v>3165</v>
      </c>
      <c r="G91" t="s">
        <v>3340</v>
      </c>
    </row>
    <row r="92" spans="1:7" ht="11.25" customHeight="1">
      <c r="A92" s="310" t="s">
        <v>16</v>
      </c>
      <c r="B92" t="s">
        <v>3341</v>
      </c>
      <c r="C92" t="s">
        <v>3342</v>
      </c>
      <c r="D92" t="s">
        <v>3341</v>
      </c>
      <c r="E92" t="s">
        <v>3342</v>
      </c>
      <c r="F92" t="s">
        <v>3165</v>
      </c>
      <c r="G92" t="s">
        <v>3343</v>
      </c>
    </row>
    <row r="93" spans="1:7" ht="11.25" customHeight="1">
      <c r="A93" s="310" t="s">
        <v>16</v>
      </c>
      <c r="B93" t="s">
        <v>3344</v>
      </c>
      <c r="C93" t="s">
        <v>3345</v>
      </c>
      <c r="D93" t="s">
        <v>3346</v>
      </c>
      <c r="E93" t="s">
        <v>3347</v>
      </c>
      <c r="F93" t="s">
        <v>3138</v>
      </c>
      <c r="G93" t="s">
        <v>3348</v>
      </c>
    </row>
    <row r="94" spans="1:7" ht="11.25" customHeight="1">
      <c r="A94" s="310" t="s">
        <v>16</v>
      </c>
      <c r="B94" t="s">
        <v>3344</v>
      </c>
      <c r="C94" t="s">
        <v>3345</v>
      </c>
      <c r="D94" t="s">
        <v>3349</v>
      </c>
      <c r="E94" t="s">
        <v>3350</v>
      </c>
      <c r="F94" t="s">
        <v>3138</v>
      </c>
      <c r="G94" t="s">
        <v>3351</v>
      </c>
    </row>
    <row r="95" spans="1:7" ht="11.25" customHeight="1">
      <c r="A95" s="310" t="s">
        <v>16</v>
      </c>
      <c r="B95" t="s">
        <v>3344</v>
      </c>
      <c r="C95" t="s">
        <v>3345</v>
      </c>
      <c r="D95" t="s">
        <v>3352</v>
      </c>
      <c r="E95" t="s">
        <v>3353</v>
      </c>
      <c r="F95" t="s">
        <v>3138</v>
      </c>
      <c r="G95" t="s">
        <v>3354</v>
      </c>
    </row>
    <row r="96" spans="1:7" ht="11.25" customHeight="1">
      <c r="A96" s="310" t="s">
        <v>16</v>
      </c>
      <c r="B96" t="s">
        <v>3344</v>
      </c>
      <c r="C96" t="s">
        <v>3345</v>
      </c>
      <c r="D96" t="s">
        <v>3355</v>
      </c>
      <c r="E96" t="s">
        <v>3356</v>
      </c>
      <c r="F96" t="s">
        <v>3138</v>
      </c>
      <c r="G96" t="s">
        <v>3357</v>
      </c>
    </row>
    <row r="97" spans="1:7" ht="11.25" customHeight="1">
      <c r="A97" s="310" t="s">
        <v>16</v>
      </c>
      <c r="B97" t="s">
        <v>3344</v>
      </c>
      <c r="C97" t="s">
        <v>3345</v>
      </c>
      <c r="D97" t="s">
        <v>3358</v>
      </c>
      <c r="E97" t="s">
        <v>3359</v>
      </c>
      <c r="F97" t="s">
        <v>3138</v>
      </c>
      <c r="G97" t="s">
        <v>3360</v>
      </c>
    </row>
    <row r="98" spans="1:7" ht="11.25" customHeight="1">
      <c r="A98" s="310" t="s">
        <v>16</v>
      </c>
      <c r="B98" t="s">
        <v>3344</v>
      </c>
      <c r="C98" t="s">
        <v>3345</v>
      </c>
      <c r="D98" t="s">
        <v>3361</v>
      </c>
      <c r="E98" t="s">
        <v>3362</v>
      </c>
      <c r="F98" t="s">
        <v>3138</v>
      </c>
      <c r="G98" t="s">
        <v>3363</v>
      </c>
    </row>
    <row r="99" spans="1:7" ht="11.25" customHeight="1">
      <c r="A99" s="310" t="s">
        <v>16</v>
      </c>
      <c r="B99" t="s">
        <v>3344</v>
      </c>
      <c r="C99" t="s">
        <v>3345</v>
      </c>
      <c r="D99" t="s">
        <v>3364</v>
      </c>
      <c r="E99" t="s">
        <v>3365</v>
      </c>
      <c r="F99" t="s">
        <v>3138</v>
      </c>
      <c r="G99" t="s">
        <v>3366</v>
      </c>
    </row>
    <row r="100" spans="1:7" ht="11.25" customHeight="1">
      <c r="A100" s="310" t="s">
        <v>16</v>
      </c>
      <c r="B100" t="s">
        <v>3344</v>
      </c>
      <c r="C100" t="s">
        <v>3345</v>
      </c>
      <c r="D100" t="s">
        <v>3367</v>
      </c>
      <c r="E100" t="s">
        <v>3368</v>
      </c>
      <c r="F100" t="s">
        <v>3138</v>
      </c>
      <c r="G100" t="s">
        <v>3369</v>
      </c>
    </row>
    <row r="101" spans="1:7" ht="11.25" customHeight="1">
      <c r="A101" s="310" t="s">
        <v>16</v>
      </c>
      <c r="B101" t="s">
        <v>3344</v>
      </c>
      <c r="C101" t="s">
        <v>3345</v>
      </c>
      <c r="D101" t="s">
        <v>3370</v>
      </c>
      <c r="E101" t="s">
        <v>3371</v>
      </c>
      <c r="F101" t="s">
        <v>3138</v>
      </c>
      <c r="G101" t="s">
        <v>3372</v>
      </c>
    </row>
    <row r="102" spans="1:7" ht="11.25" customHeight="1">
      <c r="A102" s="310" t="s">
        <v>16</v>
      </c>
      <c r="B102" t="s">
        <v>3344</v>
      </c>
      <c r="C102" t="s">
        <v>3345</v>
      </c>
      <c r="D102" t="s">
        <v>3344</v>
      </c>
      <c r="E102" t="s">
        <v>3345</v>
      </c>
      <c r="F102" t="s">
        <v>3135</v>
      </c>
      <c r="G102" t="s">
        <v>3373</v>
      </c>
    </row>
    <row r="103" spans="1:7" ht="11.25" customHeight="1">
      <c r="A103" s="310" t="s">
        <v>16</v>
      </c>
      <c r="B103" t="s">
        <v>3344</v>
      </c>
      <c r="C103" t="s">
        <v>3345</v>
      </c>
      <c r="D103" t="s">
        <v>3374</v>
      </c>
      <c r="E103" t="s">
        <v>3375</v>
      </c>
      <c r="F103" t="s">
        <v>3138</v>
      </c>
      <c r="G103" t="s">
        <v>3376</v>
      </c>
    </row>
    <row r="104" spans="1:7" ht="11.25" customHeight="1">
      <c r="A104" s="310" t="s">
        <v>16</v>
      </c>
      <c r="B104" t="s">
        <v>3344</v>
      </c>
      <c r="C104" t="s">
        <v>3345</v>
      </c>
      <c r="D104" t="s">
        <v>3377</v>
      </c>
      <c r="E104" t="s">
        <v>3378</v>
      </c>
      <c r="F104" t="s">
        <v>3138</v>
      </c>
      <c r="G104" t="s">
        <v>3379</v>
      </c>
    </row>
    <row r="105" spans="1:7" ht="11.25" customHeight="1">
      <c r="A105" s="310" t="s">
        <v>16</v>
      </c>
      <c r="B105" t="s">
        <v>3344</v>
      </c>
      <c r="C105" t="s">
        <v>3345</v>
      </c>
      <c r="D105" t="s">
        <v>3380</v>
      </c>
      <c r="E105" t="s">
        <v>3381</v>
      </c>
      <c r="F105" t="s">
        <v>3138</v>
      </c>
      <c r="G105" t="s">
        <v>3382</v>
      </c>
    </row>
    <row r="106" spans="1:7" ht="11.25" customHeight="1">
      <c r="A106" s="310" t="s">
        <v>16</v>
      </c>
      <c r="B106" t="s">
        <v>3383</v>
      </c>
      <c r="C106" t="s">
        <v>3384</v>
      </c>
      <c r="D106" t="s">
        <v>3383</v>
      </c>
      <c r="E106" t="s">
        <v>3384</v>
      </c>
      <c r="F106" t="s">
        <v>3165</v>
      </c>
      <c r="G106" t="s">
        <v>3385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EB1D2-E7D8-38EA-64A3-0AB1C70FAC5B}">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3386</v>
      </c>
      <c r="B1" s="766" t="s">
        <v>3387</v>
      </c>
      <c r="C1" s="1086" t="s">
        <v>3388</v>
      </c>
      <c r="D1" s="766" t="s">
        <v>3389</v>
      </c>
      <c r="E1" s="766" t="s">
        <v>3390</v>
      </c>
      <c r="F1" s="1086" t="s">
        <v>3391</v>
      </c>
      <c r="G1" s="1086" t="s">
        <v>3392</v>
      </c>
      <c r="H1" s="1086" t="s">
        <v>3393</v>
      </c>
      <c r="I1" s="1086" t="s">
        <v>3394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4726-205A-AA38-CBDB-3F278C2B8E54}">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24135-6213-A705-FA43-24A6A48818CD}">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3229" t="s">
        <v>360</v>
      </c>
      <c r="I1" s="3229"/>
      <c r="J1" s="3229"/>
      <c r="K1" s="3229"/>
      <c r="L1" s="3229"/>
      <c r="M1" s="3229"/>
      <c r="N1" s="3229"/>
      <c r="O1" s="3229"/>
      <c r="P1" s="3229"/>
      <c r="Q1" s="3229"/>
      <c r="R1" s="3229"/>
      <c r="T1" s="3229" t="s">
        <v>361</v>
      </c>
      <c r="U1" s="3229"/>
      <c r="V1" s="3229"/>
      <c r="X1" s="3229" t="s">
        <v>362</v>
      </c>
      <c r="Y1" s="3229"/>
      <c r="Z1" s="3229"/>
      <c r="AB1" s="3229" t="s">
        <v>363</v>
      </c>
      <c r="AC1" s="3229"/>
      <c r="AT1" s="384" t="s">
        <v>14</v>
      </c>
    </row>
    <row r="2" spans="1:46" ht="14.25" hidden="1" customHeight="1">
      <c r="AT2" s="384">
        <v>0</v>
      </c>
    </row>
    <row r="3" spans="1:46" s="1540" customFormat="1" ht="5.25" customHeight="1">
      <c r="C3" s="638"/>
      <c r="D3" s="639"/>
      <c r="E3" s="639"/>
      <c r="F3" s="639"/>
      <c r="G3" s="639"/>
      <c r="H3" s="639" t="s">
        <v>364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316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164"/>
      <c r="F4" s="3164"/>
      <c r="G4" s="3164"/>
      <c r="H4" s="3164"/>
      <c r="I4" s="3164"/>
      <c r="J4" s="3164"/>
      <c r="K4" s="3164"/>
      <c r="L4" s="3164"/>
      <c r="M4" s="3164"/>
      <c r="N4" s="3164"/>
      <c r="O4" s="3164"/>
      <c r="P4" s="3164"/>
      <c r="Q4" s="3164"/>
      <c r="R4" s="316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3226" t="str">
        <f>IF(org=0,"Не определено",org)</f>
        <v>АО Нижневартовская ГРЭС</v>
      </c>
      <c r="E5" s="3227"/>
      <c r="F5" s="3227"/>
      <c r="G5" s="3227"/>
      <c r="H5" s="3227"/>
      <c r="I5" s="3227"/>
      <c r="J5" s="3227"/>
      <c r="K5" s="3227"/>
      <c r="L5" s="3227"/>
      <c r="M5" s="3227"/>
      <c r="N5" s="3227"/>
      <c r="O5" s="3227"/>
      <c r="P5" s="3227"/>
      <c r="Q5" s="3227"/>
      <c r="R5" s="322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3217" t="s">
        <v>308</v>
      </c>
      <c r="E7" s="3230"/>
      <c r="F7" s="3230"/>
      <c r="G7" s="3230"/>
      <c r="H7" s="3230"/>
      <c r="I7" s="3230"/>
      <c r="J7" s="3230"/>
      <c r="K7" s="3230"/>
      <c r="L7" s="3230"/>
      <c r="M7" s="3230"/>
      <c r="N7" s="3230"/>
      <c r="O7" s="3230"/>
      <c r="P7" s="3230"/>
      <c r="Q7" s="3230"/>
      <c r="R7" s="3230"/>
      <c r="S7" s="3230"/>
      <c r="T7" s="3230"/>
      <c r="U7" s="3230"/>
      <c r="V7" s="3230"/>
      <c r="W7" s="3230"/>
      <c r="X7" s="3230"/>
      <c r="Y7" s="3230"/>
      <c r="Z7" s="3230"/>
      <c r="AA7" s="3230"/>
      <c r="AB7" s="3230"/>
      <c r="AC7" s="3230"/>
      <c r="AD7" s="3231"/>
      <c r="AE7" s="3172" t="s">
        <v>309</v>
      </c>
      <c r="AF7" s="3172" t="s">
        <v>309</v>
      </c>
      <c r="AG7" s="3172" t="s">
        <v>309</v>
      </c>
      <c r="AH7" s="3172" t="s">
        <v>309</v>
      </c>
      <c r="AT7" s="384">
        <v>14</v>
      </c>
    </row>
    <row r="8" spans="1:46" ht="27.4" customHeight="1">
      <c r="C8" s="387"/>
      <c r="D8" s="3111" t="s">
        <v>85</v>
      </c>
      <c r="E8" s="3172" t="str">
        <f>"Наименование "&amp;IF(TEMPLATE_SPHERE&lt;&gt;"HEAT","централизованной ","")&amp;"системы "&amp;TEMPLATE_SPHERE_RUS</f>
        <v>Наименование системы теплоснабжения</v>
      </c>
      <c r="F8" s="3172" t="str">
        <f>IF(TEMPLATE_SPHERE&lt;&gt;"HEAT","Регулируемый вид деятельности","Вид регулируемой деятельности")</f>
        <v>Вид регулируемой деятельности</v>
      </c>
      <c r="G8" s="759"/>
      <c r="H8" s="3218" t="s">
        <v>365</v>
      </c>
      <c r="I8" s="3222" t="s">
        <v>366</v>
      </c>
      <c r="J8" s="3172" t="s">
        <v>367</v>
      </c>
      <c r="K8" s="3172"/>
      <c r="L8" s="3172"/>
      <c r="M8" s="3217"/>
      <c r="N8" s="3172" t="s">
        <v>368</v>
      </c>
      <c r="O8" s="3172"/>
      <c r="P8" s="3172" t="s">
        <v>369</v>
      </c>
      <c r="Q8" s="3172"/>
      <c r="R8" s="3220" t="s">
        <v>370</v>
      </c>
      <c r="S8" s="755"/>
      <c r="T8" s="3218" t="s">
        <v>371</v>
      </c>
      <c r="U8" s="3218" t="s">
        <v>372</v>
      </c>
      <c r="V8" s="3218" t="s">
        <v>373</v>
      </c>
      <c r="W8" s="757"/>
      <c r="X8" s="3218" t="s">
        <v>374</v>
      </c>
      <c r="Y8" s="3218" t="s">
        <v>375</v>
      </c>
      <c r="Z8" s="3218" t="s">
        <v>376</v>
      </c>
      <c r="AA8" s="757"/>
      <c r="AB8" s="3218" t="s">
        <v>377</v>
      </c>
      <c r="AC8" s="3218" t="s">
        <v>370</v>
      </c>
      <c r="AD8" s="757"/>
      <c r="AE8" s="3172"/>
      <c r="AF8" s="3172"/>
      <c r="AG8" s="3172"/>
      <c r="AH8" s="3172"/>
      <c r="AT8" s="384">
        <v>26</v>
      </c>
    </row>
    <row r="9" spans="1:46" ht="46.15" customHeight="1">
      <c r="C9" s="387"/>
      <c r="D9" s="3111"/>
      <c r="E9" s="3172"/>
      <c r="F9" s="3172"/>
      <c r="G9" s="760"/>
      <c r="H9" s="3219"/>
      <c r="I9" s="3223"/>
      <c r="J9" s="362" t="s">
        <v>378</v>
      </c>
      <c r="K9" s="362" t="s">
        <v>379</v>
      </c>
      <c r="L9" s="362" t="s">
        <v>380</v>
      </c>
      <c r="M9" s="368" t="s">
        <v>381</v>
      </c>
      <c r="N9" s="362" t="s">
        <v>382</v>
      </c>
      <c r="O9" s="362" t="s">
        <v>381</v>
      </c>
      <c r="P9" s="362" t="s">
        <v>383</v>
      </c>
      <c r="Q9" s="362" t="s">
        <v>381</v>
      </c>
      <c r="R9" s="3221"/>
      <c r="S9" s="756"/>
      <c r="T9" s="3219"/>
      <c r="U9" s="3219"/>
      <c r="V9" s="3219"/>
      <c r="W9" s="758"/>
      <c r="X9" s="3219"/>
      <c r="Y9" s="3219"/>
      <c r="Z9" s="3219"/>
      <c r="AA9" s="758"/>
      <c r="AB9" s="3219"/>
      <c r="AC9" s="3219"/>
      <c r="AD9" s="758"/>
      <c r="AE9" s="3172"/>
      <c r="AF9" s="3172"/>
      <c r="AG9" s="3172"/>
      <c r="AH9" s="317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3224" t="s">
        <v>385</v>
      </c>
      <c r="AF12" s="3224" t="s">
        <v>386</v>
      </c>
      <c r="AG12" s="3224" t="s">
        <v>387</v>
      </c>
      <c r="AH12" s="3224" t="s">
        <v>388</v>
      </c>
      <c r="AI12" s="384"/>
      <c r="AM12" s="448"/>
      <c r="AP12" s="437" t="s">
        <v>389</v>
      </c>
      <c r="AQ12" s="437" t="s">
        <v>389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3225"/>
      <c r="AF13" s="3225"/>
      <c r="AG13" s="3225"/>
      <c r="AH13" s="322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79</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43DF3-877C-6D1B-204B-62F36AB2D57B}">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128</v>
      </c>
      <c r="B1" s="121" t="s">
        <v>3395</v>
      </c>
    </row>
    <row r="2" spans="1:2" ht="11.25" customHeight="1">
      <c r="A2" s="4" t="s">
        <v>95</v>
      </c>
      <c r="B2" s="4" t="s">
        <v>3396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5680F-42B8-5E9C-D731-90EFDF63EFF7}">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3397</v>
      </c>
      <c r="B1" s="766" t="s">
        <v>3398</v>
      </c>
    </row>
    <row r="2" spans="1:2" ht="11.25" customHeight="1">
      <c r="A2" s="766">
        <v>4213775</v>
      </c>
      <c r="B2" s="766" t="s">
        <v>1234</v>
      </c>
    </row>
    <row r="3" spans="1:2" ht="11.25" customHeight="1">
      <c r="A3" s="766">
        <v>4213784</v>
      </c>
      <c r="B3" s="766" t="s">
        <v>1266</v>
      </c>
    </row>
    <row r="4" spans="1:2" ht="11.25" customHeight="1">
      <c r="A4" s="766">
        <v>4213781</v>
      </c>
      <c r="B4" s="766" t="s">
        <v>1259</v>
      </c>
    </row>
    <row r="5" spans="1:2" ht="11.25" customHeight="1">
      <c r="A5" s="766">
        <v>4213776</v>
      </c>
      <c r="B5" s="766" t="s">
        <v>176</v>
      </c>
    </row>
    <row r="6" spans="1:2" ht="11.25" customHeight="1">
      <c r="A6" s="766">
        <v>4213777</v>
      </c>
      <c r="B6" s="766" t="s">
        <v>182</v>
      </c>
    </row>
    <row r="7" spans="1:2" ht="11.25" customHeight="1">
      <c r="A7" s="766">
        <v>4213778</v>
      </c>
      <c r="B7" s="766" t="s">
        <v>188</v>
      </c>
    </row>
    <row r="8" spans="1:2" ht="11.25" customHeight="1">
      <c r="A8" s="766">
        <v>4213780</v>
      </c>
      <c r="B8" s="766" t="s">
        <v>194</v>
      </c>
    </row>
    <row r="9" spans="1:2" ht="11.25" customHeight="1">
      <c r="A9" s="766">
        <v>4213779</v>
      </c>
      <c r="B9" s="766" t="s">
        <v>1399</v>
      </c>
    </row>
    <row r="10" spans="1:2" ht="11.25" customHeight="1">
      <c r="A10" s="766">
        <v>4213783</v>
      </c>
      <c r="B10" s="766" t="s">
        <v>1414</v>
      </c>
    </row>
    <row r="11" spans="1:2" ht="11.25" customHeight="1">
      <c r="A11" s="766">
        <v>4213782</v>
      </c>
      <c r="B11" s="766"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8CE9-43FD-F516-D68B-D64AF3FB5F3D}">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3397</v>
      </c>
      <c r="B1" s="766" t="s">
        <v>3399</v>
      </c>
    </row>
    <row r="2" spans="1:2" ht="11.25" customHeight="1">
      <c r="A2" s="766" t="s">
        <v>3400</v>
      </c>
      <c r="B2" s="766" t="s">
        <v>1512</v>
      </c>
    </row>
    <row r="3" spans="1:2" ht="11.25" customHeight="1">
      <c r="A3" s="766" t="s">
        <v>3401</v>
      </c>
      <c r="B3" s="766" t="s">
        <v>1522</v>
      </c>
    </row>
    <row r="4" spans="1:2" ht="11.25" customHeight="1">
      <c r="A4" s="766" t="s">
        <v>3402</v>
      </c>
      <c r="B4" s="766" t="s">
        <v>1531</v>
      </c>
    </row>
    <row r="5" spans="1:2" ht="11.25" customHeight="1">
      <c r="A5" s="766" t="s">
        <v>3403</v>
      </c>
      <c r="B5" s="766" t="s">
        <v>1540</v>
      </c>
    </row>
    <row r="6" spans="1:2" ht="11.25" customHeight="1">
      <c r="A6" s="766" t="s">
        <v>3404</v>
      </c>
      <c r="B6" s="766" t="s">
        <v>1546</v>
      </c>
    </row>
    <row r="7" spans="1:2" ht="11.25" customHeight="1">
      <c r="A7" s="766" t="s">
        <v>3405</v>
      </c>
      <c r="B7" s="766" t="s">
        <v>1554</v>
      </c>
    </row>
    <row r="8" spans="1:2" ht="11.25" customHeight="1">
      <c r="A8" s="766" t="s">
        <v>3406</v>
      </c>
      <c r="B8" s="766" t="s">
        <v>1561</v>
      </c>
    </row>
    <row r="9" spans="1:2" ht="11.25" customHeight="1">
      <c r="A9" s="766" t="s">
        <v>3407</v>
      </c>
      <c r="B9" s="766" t="s">
        <v>1567</v>
      </c>
    </row>
    <row r="10" spans="1:2" ht="11.25" customHeight="1">
      <c r="A10" s="766" t="s">
        <v>3408</v>
      </c>
      <c r="B10" s="766" t="s">
        <v>1571</v>
      </c>
    </row>
    <row r="11" spans="1:2" ht="11.25" customHeight="1">
      <c r="A11" s="766" t="s">
        <v>3409</v>
      </c>
      <c r="B11" s="766" t="s">
        <v>1578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F034-8029-3B4E-45CD-F61454643948}">
  <sheetPr>
    <tabColor rgb="FFFFCC99"/>
  </sheetPr>
  <dimension ref="A1:G106"/>
  <sheetViews>
    <sheetView showGridLines="0" workbookViewId="0"/>
  </sheetViews>
  <sheetFormatPr defaultRowHeight="11.25" customHeight="1"/>
  <sheetData>
    <row r="1" spans="1:7" ht="11.25" customHeight="1">
      <c r="A1" s="310" t="s">
        <v>3123</v>
      </c>
      <c r="B1" s="310" t="s">
        <v>3124</v>
      </c>
      <c r="C1" s="310" t="s">
        <v>3125</v>
      </c>
      <c r="D1" s="310" t="s">
        <v>3126</v>
      </c>
      <c r="E1" t="s">
        <v>3127</v>
      </c>
      <c r="F1" t="s">
        <v>3128</v>
      </c>
      <c r="G1" t="s">
        <v>3129</v>
      </c>
    </row>
    <row r="2" spans="1:7" ht="11.25" customHeight="1">
      <c r="A2" t="s">
        <v>16</v>
      </c>
      <c r="B2" t="s">
        <v>3130</v>
      </c>
      <c r="C2" t="s">
        <v>3131</v>
      </c>
      <c r="D2" t="s">
        <v>3132</v>
      </c>
      <c r="E2" t="s">
        <v>3133</v>
      </c>
      <c r="F2" t="s">
        <v>3134</v>
      </c>
      <c r="G2" t="s">
        <v>107</v>
      </c>
    </row>
    <row r="3" spans="1:7" ht="11.25" customHeight="1">
      <c r="A3" t="s">
        <v>16</v>
      </c>
      <c r="B3" t="s">
        <v>3130</v>
      </c>
      <c r="C3" t="s">
        <v>3131</v>
      </c>
      <c r="D3" t="s">
        <v>3130</v>
      </c>
      <c r="E3" t="s">
        <v>3131</v>
      </c>
      <c r="F3" t="s">
        <v>3135</v>
      </c>
      <c r="G3" t="s">
        <v>108</v>
      </c>
    </row>
    <row r="4" spans="1:7" ht="11.25" customHeight="1">
      <c r="A4" t="s">
        <v>16</v>
      </c>
      <c r="B4" t="s">
        <v>3130</v>
      </c>
      <c r="C4" t="s">
        <v>3131</v>
      </c>
      <c r="D4" t="s">
        <v>3136</v>
      </c>
      <c r="E4" t="s">
        <v>3137</v>
      </c>
      <c r="F4" t="s">
        <v>3138</v>
      </c>
      <c r="G4" t="s">
        <v>87</v>
      </c>
    </row>
    <row r="5" spans="1:7" ht="11.25" customHeight="1">
      <c r="A5" t="s">
        <v>16</v>
      </c>
      <c r="B5" t="s">
        <v>3130</v>
      </c>
      <c r="C5" t="s">
        <v>3131</v>
      </c>
      <c r="D5" t="s">
        <v>3139</v>
      </c>
      <c r="E5" t="s">
        <v>3140</v>
      </c>
      <c r="F5" t="s">
        <v>3138</v>
      </c>
      <c r="G5" t="s">
        <v>88</v>
      </c>
    </row>
    <row r="6" spans="1:7" ht="11.25" customHeight="1">
      <c r="A6" t="s">
        <v>16</v>
      </c>
      <c r="B6" t="s">
        <v>3130</v>
      </c>
      <c r="C6" t="s">
        <v>3131</v>
      </c>
      <c r="D6" t="s">
        <v>3141</v>
      </c>
      <c r="E6" t="s">
        <v>3142</v>
      </c>
      <c r="F6" t="s">
        <v>3138</v>
      </c>
      <c r="G6" t="s">
        <v>109</v>
      </c>
    </row>
    <row r="7" spans="1:7" ht="11.25" customHeight="1">
      <c r="A7" t="s">
        <v>16</v>
      </c>
      <c r="B7" t="s">
        <v>3130</v>
      </c>
      <c r="C7" t="s">
        <v>3131</v>
      </c>
      <c r="D7" t="s">
        <v>3143</v>
      </c>
      <c r="E7" t="s">
        <v>3144</v>
      </c>
      <c r="F7" t="s">
        <v>3138</v>
      </c>
      <c r="G7" t="s">
        <v>89</v>
      </c>
    </row>
    <row r="8" spans="1:7" ht="11.25" customHeight="1">
      <c r="A8" t="s">
        <v>16</v>
      </c>
      <c r="B8" t="s">
        <v>3130</v>
      </c>
      <c r="C8" t="s">
        <v>3131</v>
      </c>
      <c r="D8" t="s">
        <v>3145</v>
      </c>
      <c r="E8" t="s">
        <v>3146</v>
      </c>
      <c r="F8" t="s">
        <v>3138</v>
      </c>
      <c r="G8" t="s">
        <v>90</v>
      </c>
    </row>
    <row r="9" spans="1:7" ht="11.25" customHeight="1">
      <c r="A9" t="s">
        <v>16</v>
      </c>
      <c r="B9" t="s">
        <v>3130</v>
      </c>
      <c r="C9" t="s">
        <v>3131</v>
      </c>
      <c r="D9" t="s">
        <v>3147</v>
      </c>
      <c r="E9" t="s">
        <v>3148</v>
      </c>
      <c r="F9" t="s">
        <v>3138</v>
      </c>
      <c r="G9" t="s">
        <v>110</v>
      </c>
    </row>
    <row r="10" spans="1:7" ht="11.25" customHeight="1">
      <c r="A10" t="s">
        <v>16</v>
      </c>
      <c r="B10" t="s">
        <v>3149</v>
      </c>
      <c r="C10" t="s">
        <v>3150</v>
      </c>
      <c r="D10" t="s">
        <v>3149</v>
      </c>
      <c r="E10" t="s">
        <v>3150</v>
      </c>
      <c r="F10" t="s">
        <v>3135</v>
      </c>
      <c r="G10" t="s">
        <v>146</v>
      </c>
    </row>
    <row r="11" spans="1:7" ht="11.25" customHeight="1">
      <c r="A11" t="s">
        <v>16</v>
      </c>
      <c r="B11" t="s">
        <v>3149</v>
      </c>
      <c r="C11" t="s">
        <v>3150</v>
      </c>
      <c r="D11" t="s">
        <v>3151</v>
      </c>
      <c r="E11" t="s">
        <v>3152</v>
      </c>
      <c r="F11" t="s">
        <v>3134</v>
      </c>
      <c r="G11" t="s">
        <v>147</v>
      </c>
    </row>
    <row r="12" spans="1:7" ht="11.25" customHeight="1">
      <c r="A12" t="s">
        <v>16</v>
      </c>
      <c r="B12" t="s">
        <v>3149</v>
      </c>
      <c r="C12" t="s">
        <v>3150</v>
      </c>
      <c r="D12" t="s">
        <v>3153</v>
      </c>
      <c r="E12" t="s">
        <v>3154</v>
      </c>
      <c r="F12" t="s">
        <v>3134</v>
      </c>
      <c r="G12" t="s">
        <v>148</v>
      </c>
    </row>
    <row r="13" spans="1:7" ht="11.25" customHeight="1">
      <c r="A13" t="s">
        <v>16</v>
      </c>
      <c r="B13" t="s">
        <v>3149</v>
      </c>
      <c r="C13" t="s">
        <v>3150</v>
      </c>
      <c r="D13" t="s">
        <v>3155</v>
      </c>
      <c r="E13" t="s">
        <v>3156</v>
      </c>
      <c r="F13" t="s">
        <v>3138</v>
      </c>
      <c r="G13" t="s">
        <v>149</v>
      </c>
    </row>
    <row r="14" spans="1:7" ht="11.25" customHeight="1">
      <c r="A14" t="s">
        <v>16</v>
      </c>
      <c r="B14" t="s">
        <v>3149</v>
      </c>
      <c r="C14" t="s">
        <v>3150</v>
      </c>
      <c r="D14" t="s">
        <v>3157</v>
      </c>
      <c r="E14" t="s">
        <v>3158</v>
      </c>
      <c r="F14" t="s">
        <v>3138</v>
      </c>
      <c r="G14" t="s">
        <v>150</v>
      </c>
    </row>
    <row r="15" spans="1:7" ht="11.25" customHeight="1">
      <c r="A15" t="s">
        <v>16</v>
      </c>
      <c r="B15" t="s">
        <v>3149</v>
      </c>
      <c r="C15" t="s">
        <v>3150</v>
      </c>
      <c r="D15" t="s">
        <v>3159</v>
      </c>
      <c r="E15" t="s">
        <v>3160</v>
      </c>
      <c r="F15" t="s">
        <v>3138</v>
      </c>
      <c r="G15" t="s">
        <v>151</v>
      </c>
    </row>
    <row r="16" spans="1:7" ht="11.25" customHeight="1">
      <c r="A16" t="s">
        <v>16</v>
      </c>
      <c r="B16" t="s">
        <v>3149</v>
      </c>
      <c r="C16" t="s">
        <v>3150</v>
      </c>
      <c r="D16" t="s">
        <v>3161</v>
      </c>
      <c r="E16" t="s">
        <v>3162</v>
      </c>
      <c r="F16" t="s">
        <v>3138</v>
      </c>
      <c r="G16" t="s">
        <v>1474</v>
      </c>
    </row>
    <row r="17" spans="1:7" ht="11.25" customHeight="1">
      <c r="A17" t="s">
        <v>16</v>
      </c>
      <c r="B17" t="s">
        <v>3163</v>
      </c>
      <c r="C17" t="s">
        <v>3164</v>
      </c>
      <c r="D17" t="s">
        <v>3163</v>
      </c>
      <c r="E17" t="s">
        <v>3164</v>
      </c>
      <c r="F17" t="s">
        <v>3165</v>
      </c>
      <c r="G17" t="s">
        <v>1480</v>
      </c>
    </row>
    <row r="18" spans="1:7" ht="11.25" customHeight="1">
      <c r="A18" t="s">
        <v>16</v>
      </c>
      <c r="B18" t="s">
        <v>3166</v>
      </c>
      <c r="C18" t="s">
        <v>3167</v>
      </c>
      <c r="D18" t="s">
        <v>3168</v>
      </c>
      <c r="E18" t="s">
        <v>3169</v>
      </c>
      <c r="F18" t="s">
        <v>3138</v>
      </c>
      <c r="G18" t="s">
        <v>1492</v>
      </c>
    </row>
    <row r="19" spans="1:7" ht="11.25" customHeight="1">
      <c r="A19" t="s">
        <v>16</v>
      </c>
      <c r="B19" t="s">
        <v>3166</v>
      </c>
      <c r="C19" t="s">
        <v>3167</v>
      </c>
      <c r="D19" t="s">
        <v>3166</v>
      </c>
      <c r="E19" t="s">
        <v>3167</v>
      </c>
      <c r="F19" t="s">
        <v>3135</v>
      </c>
      <c r="G19" t="s">
        <v>1506</v>
      </c>
    </row>
    <row r="20" spans="1:7" ht="11.25" customHeight="1">
      <c r="A20" t="s">
        <v>16</v>
      </c>
      <c r="B20" t="s">
        <v>3166</v>
      </c>
      <c r="C20" t="s">
        <v>3167</v>
      </c>
      <c r="D20" t="s">
        <v>3170</v>
      </c>
      <c r="E20" t="s">
        <v>3171</v>
      </c>
      <c r="F20" t="s">
        <v>3134</v>
      </c>
      <c r="G20" t="s">
        <v>1518</v>
      </c>
    </row>
    <row r="21" spans="1:7" ht="11.25" customHeight="1">
      <c r="A21" t="s">
        <v>16</v>
      </c>
      <c r="B21" t="s">
        <v>3166</v>
      </c>
      <c r="C21" t="s">
        <v>3167</v>
      </c>
      <c r="D21" t="s">
        <v>3172</v>
      </c>
      <c r="E21" t="s">
        <v>3173</v>
      </c>
      <c r="F21" t="s">
        <v>3134</v>
      </c>
      <c r="G21" t="s">
        <v>1527</v>
      </c>
    </row>
    <row r="22" spans="1:7" ht="11.25" customHeight="1">
      <c r="A22" t="s">
        <v>16</v>
      </c>
      <c r="B22" t="s">
        <v>3166</v>
      </c>
      <c r="C22" t="s">
        <v>3167</v>
      </c>
      <c r="D22" t="s">
        <v>3174</v>
      </c>
      <c r="E22" t="s">
        <v>3175</v>
      </c>
      <c r="F22" t="s">
        <v>3138</v>
      </c>
      <c r="G22" t="s">
        <v>1543</v>
      </c>
    </row>
    <row r="23" spans="1:7" ht="11.25" customHeight="1">
      <c r="A23" t="s">
        <v>16</v>
      </c>
      <c r="B23" t="s">
        <v>3166</v>
      </c>
      <c r="C23" t="s">
        <v>3167</v>
      </c>
      <c r="D23" t="s">
        <v>3176</v>
      </c>
      <c r="E23" t="s">
        <v>3177</v>
      </c>
      <c r="F23" t="s">
        <v>3134</v>
      </c>
      <c r="G23" t="s">
        <v>1550</v>
      </c>
    </row>
    <row r="24" spans="1:7" ht="11.25" customHeight="1">
      <c r="A24" t="s">
        <v>16</v>
      </c>
      <c r="B24" t="s">
        <v>3166</v>
      </c>
      <c r="C24" t="s">
        <v>3167</v>
      </c>
      <c r="D24" t="s">
        <v>3178</v>
      </c>
      <c r="E24" t="s">
        <v>3179</v>
      </c>
      <c r="F24" t="s">
        <v>3134</v>
      </c>
      <c r="G24" t="s">
        <v>1558</v>
      </c>
    </row>
    <row r="25" spans="1:7" ht="11.25" customHeight="1">
      <c r="A25" t="s">
        <v>16</v>
      </c>
      <c r="B25" t="s">
        <v>3166</v>
      </c>
      <c r="C25" t="s">
        <v>3167</v>
      </c>
      <c r="D25" t="s">
        <v>3180</v>
      </c>
      <c r="E25" t="s">
        <v>3181</v>
      </c>
      <c r="F25" t="s">
        <v>3134</v>
      </c>
      <c r="G25" t="s">
        <v>1565</v>
      </c>
    </row>
    <row r="26" spans="1:7" ht="11.25" customHeight="1">
      <c r="A26" t="s">
        <v>16</v>
      </c>
      <c r="B26" t="s">
        <v>3166</v>
      </c>
      <c r="C26" t="s">
        <v>3167</v>
      </c>
      <c r="D26" t="s">
        <v>3182</v>
      </c>
      <c r="E26" t="s">
        <v>3183</v>
      </c>
      <c r="F26" t="s">
        <v>3138</v>
      </c>
      <c r="G26" t="s">
        <v>1569</v>
      </c>
    </row>
    <row r="27" spans="1:7" ht="11.25" customHeight="1">
      <c r="A27" t="s">
        <v>16</v>
      </c>
      <c r="B27" t="s">
        <v>3166</v>
      </c>
      <c r="C27" t="s">
        <v>3167</v>
      </c>
      <c r="D27" t="s">
        <v>3184</v>
      </c>
      <c r="E27" t="s">
        <v>3185</v>
      </c>
      <c r="F27" t="s">
        <v>3138</v>
      </c>
      <c r="G27" t="s">
        <v>1574</v>
      </c>
    </row>
    <row r="28" spans="1:7" ht="11.25" customHeight="1">
      <c r="A28" t="s">
        <v>16</v>
      </c>
      <c r="B28" t="s">
        <v>3166</v>
      </c>
      <c r="C28" t="s">
        <v>3167</v>
      </c>
      <c r="D28" t="s">
        <v>3186</v>
      </c>
      <c r="E28" t="s">
        <v>3187</v>
      </c>
      <c r="F28" t="s">
        <v>3138</v>
      </c>
      <c r="G28" t="s">
        <v>1582</v>
      </c>
    </row>
    <row r="29" spans="1:7" ht="11.25" customHeight="1">
      <c r="A29" t="s">
        <v>16</v>
      </c>
      <c r="B29" t="s">
        <v>3188</v>
      </c>
      <c r="C29" t="s">
        <v>3189</v>
      </c>
      <c r="D29" t="s">
        <v>3188</v>
      </c>
      <c r="E29" t="s">
        <v>3189</v>
      </c>
      <c r="F29" t="s">
        <v>3165</v>
      </c>
      <c r="G29" t="s">
        <v>1584</v>
      </c>
    </row>
    <row r="30" spans="1:7" ht="11.25" customHeight="1">
      <c r="A30" t="s">
        <v>16</v>
      </c>
      <c r="B30" t="s">
        <v>3190</v>
      </c>
      <c r="C30" t="s">
        <v>3191</v>
      </c>
      <c r="D30" t="s">
        <v>3190</v>
      </c>
      <c r="E30" t="s">
        <v>3191</v>
      </c>
      <c r="F30" t="s">
        <v>3165</v>
      </c>
      <c r="G30" t="s">
        <v>1587</v>
      </c>
    </row>
    <row r="31" spans="1:7" ht="11.25" customHeight="1">
      <c r="A31" t="s">
        <v>16</v>
      </c>
      <c r="B31" t="s">
        <v>3192</v>
      </c>
      <c r="C31" t="s">
        <v>3193</v>
      </c>
      <c r="D31" t="s">
        <v>3192</v>
      </c>
      <c r="E31" t="s">
        <v>3193</v>
      </c>
      <c r="F31" t="s">
        <v>3165</v>
      </c>
      <c r="G31" t="s">
        <v>1593</v>
      </c>
    </row>
    <row r="32" spans="1:7" ht="11.25" customHeight="1">
      <c r="A32" t="s">
        <v>16</v>
      </c>
      <c r="B32" t="s">
        <v>3194</v>
      </c>
      <c r="C32" t="s">
        <v>3195</v>
      </c>
      <c r="D32" t="s">
        <v>3196</v>
      </c>
      <c r="E32" t="s">
        <v>3197</v>
      </c>
      <c r="F32" t="s">
        <v>3138</v>
      </c>
      <c r="G32" t="s">
        <v>1595</v>
      </c>
    </row>
    <row r="33" spans="1:7" ht="11.25" customHeight="1">
      <c r="A33" t="s">
        <v>16</v>
      </c>
      <c r="B33" t="s">
        <v>3194</v>
      </c>
      <c r="C33" t="s">
        <v>3195</v>
      </c>
      <c r="D33" t="s">
        <v>3198</v>
      </c>
      <c r="E33" t="s">
        <v>3199</v>
      </c>
      <c r="F33" t="s">
        <v>3138</v>
      </c>
      <c r="G33" t="s">
        <v>1597</v>
      </c>
    </row>
    <row r="34" spans="1:7" ht="11.25" customHeight="1">
      <c r="A34" t="s">
        <v>16</v>
      </c>
      <c r="B34" t="s">
        <v>3194</v>
      </c>
      <c r="C34" t="s">
        <v>3195</v>
      </c>
      <c r="D34" t="s">
        <v>3200</v>
      </c>
      <c r="E34" t="s">
        <v>3201</v>
      </c>
      <c r="F34" t="s">
        <v>3138</v>
      </c>
      <c r="G34" t="s">
        <v>1599</v>
      </c>
    </row>
    <row r="35" spans="1:7" ht="11.25" customHeight="1">
      <c r="A35" t="s">
        <v>16</v>
      </c>
      <c r="B35" t="s">
        <v>3194</v>
      </c>
      <c r="C35" t="s">
        <v>3195</v>
      </c>
      <c r="D35" t="s">
        <v>3194</v>
      </c>
      <c r="E35" t="s">
        <v>3195</v>
      </c>
      <c r="F35" t="s">
        <v>3135</v>
      </c>
      <c r="G35" t="s">
        <v>1604</v>
      </c>
    </row>
    <row r="36" spans="1:7" ht="11.25" customHeight="1">
      <c r="A36" t="s">
        <v>16</v>
      </c>
      <c r="B36" t="s">
        <v>3194</v>
      </c>
      <c r="C36" t="s">
        <v>3195</v>
      </c>
      <c r="D36" t="s">
        <v>3202</v>
      </c>
      <c r="E36" t="s">
        <v>3203</v>
      </c>
      <c r="F36" t="s">
        <v>3134</v>
      </c>
      <c r="G36" t="s">
        <v>1609</v>
      </c>
    </row>
    <row r="37" spans="1:7" ht="11.25" customHeight="1">
      <c r="A37" t="s">
        <v>16</v>
      </c>
      <c r="B37" t="s">
        <v>3194</v>
      </c>
      <c r="C37" t="s">
        <v>3195</v>
      </c>
      <c r="D37" t="s">
        <v>3204</v>
      </c>
      <c r="E37" t="s">
        <v>3205</v>
      </c>
      <c r="F37" t="s">
        <v>3138</v>
      </c>
      <c r="G37" t="s">
        <v>1613</v>
      </c>
    </row>
    <row r="38" spans="1:7" ht="11.25" customHeight="1">
      <c r="A38" t="s">
        <v>16</v>
      </c>
      <c r="B38" t="s">
        <v>3194</v>
      </c>
      <c r="C38" t="s">
        <v>3195</v>
      </c>
      <c r="D38" t="s">
        <v>3206</v>
      </c>
      <c r="E38" t="s">
        <v>3207</v>
      </c>
      <c r="F38" t="s">
        <v>3138</v>
      </c>
      <c r="G38" t="s">
        <v>1621</v>
      </c>
    </row>
    <row r="39" spans="1:7" ht="11.25" customHeight="1">
      <c r="A39" t="s">
        <v>16</v>
      </c>
      <c r="B39" t="s">
        <v>3194</v>
      </c>
      <c r="C39" t="s">
        <v>3195</v>
      </c>
      <c r="D39" t="s">
        <v>3208</v>
      </c>
      <c r="E39" t="s">
        <v>3209</v>
      </c>
      <c r="F39" t="s">
        <v>3138</v>
      </c>
      <c r="G39" t="s">
        <v>1627</v>
      </c>
    </row>
    <row r="40" spans="1:7" ht="11.25" customHeight="1">
      <c r="A40" t="s">
        <v>16</v>
      </c>
      <c r="B40" t="s">
        <v>3194</v>
      </c>
      <c r="C40" t="s">
        <v>3195</v>
      </c>
      <c r="D40" t="s">
        <v>3210</v>
      </c>
      <c r="E40" t="s">
        <v>3211</v>
      </c>
      <c r="F40" t="s">
        <v>3138</v>
      </c>
      <c r="G40" t="s">
        <v>1632</v>
      </c>
    </row>
    <row r="41" spans="1:7" ht="11.25" customHeight="1">
      <c r="A41" t="s">
        <v>16</v>
      </c>
      <c r="B41" t="s">
        <v>3212</v>
      </c>
      <c r="C41" t="s">
        <v>3213</v>
      </c>
      <c r="D41" t="s">
        <v>3212</v>
      </c>
      <c r="E41" t="s">
        <v>3213</v>
      </c>
      <c r="F41" t="s">
        <v>3165</v>
      </c>
      <c r="G41" t="s">
        <v>1636</v>
      </c>
    </row>
    <row r="42" spans="1:7" ht="11.25" customHeight="1">
      <c r="A42" t="s">
        <v>16</v>
      </c>
      <c r="B42" t="s">
        <v>97</v>
      </c>
      <c r="C42" t="s">
        <v>3214</v>
      </c>
      <c r="D42" t="s">
        <v>3215</v>
      </c>
      <c r="E42" t="s">
        <v>3216</v>
      </c>
      <c r="F42" t="s">
        <v>3138</v>
      </c>
      <c r="G42" t="s">
        <v>1639</v>
      </c>
    </row>
    <row r="43" spans="1:7" ht="11.25" customHeight="1">
      <c r="A43" t="s">
        <v>16</v>
      </c>
      <c r="B43" t="s">
        <v>97</v>
      </c>
      <c r="C43" t="s">
        <v>3214</v>
      </c>
      <c r="D43" t="s">
        <v>3217</v>
      </c>
      <c r="E43" t="s">
        <v>3218</v>
      </c>
      <c r="F43" t="s">
        <v>3138</v>
      </c>
      <c r="G43" t="s">
        <v>1646</v>
      </c>
    </row>
    <row r="44" spans="1:7" ht="11.25" customHeight="1">
      <c r="A44" t="s">
        <v>16</v>
      </c>
      <c r="B44" t="s">
        <v>97</v>
      </c>
      <c r="C44" t="s">
        <v>3214</v>
      </c>
      <c r="D44" t="s">
        <v>3219</v>
      </c>
      <c r="E44" t="s">
        <v>3220</v>
      </c>
      <c r="F44" t="s">
        <v>3138</v>
      </c>
      <c r="G44" t="s">
        <v>1655</v>
      </c>
    </row>
    <row r="45" spans="1:7" ht="11.25" customHeight="1">
      <c r="A45" t="s">
        <v>16</v>
      </c>
      <c r="B45" t="s">
        <v>97</v>
      </c>
      <c r="C45" t="s">
        <v>3214</v>
      </c>
      <c r="D45" t="s">
        <v>3221</v>
      </c>
      <c r="E45" t="s">
        <v>3222</v>
      </c>
      <c r="F45" t="s">
        <v>3138</v>
      </c>
      <c r="G45" t="s">
        <v>1660</v>
      </c>
    </row>
    <row r="46" spans="1:7" ht="11.25" customHeight="1">
      <c r="A46" t="s">
        <v>16</v>
      </c>
      <c r="B46" t="s">
        <v>97</v>
      </c>
      <c r="C46" t="s">
        <v>3214</v>
      </c>
      <c r="D46" t="s">
        <v>98</v>
      </c>
      <c r="E46" t="s">
        <v>99</v>
      </c>
      <c r="F46" t="s">
        <v>3134</v>
      </c>
      <c r="G46" t="s">
        <v>96</v>
      </c>
    </row>
    <row r="47" spans="1:7" ht="11.25" customHeight="1">
      <c r="A47" t="s">
        <v>16</v>
      </c>
      <c r="B47" t="s">
        <v>97</v>
      </c>
      <c r="C47" t="s">
        <v>3214</v>
      </c>
      <c r="D47" t="s">
        <v>3223</v>
      </c>
      <c r="E47" t="s">
        <v>3224</v>
      </c>
      <c r="F47" t="s">
        <v>3138</v>
      </c>
      <c r="G47" t="s">
        <v>1669</v>
      </c>
    </row>
    <row r="48" spans="1:7" ht="11.25" customHeight="1">
      <c r="A48" t="s">
        <v>16</v>
      </c>
      <c r="B48" t="s">
        <v>97</v>
      </c>
      <c r="C48" t="s">
        <v>3214</v>
      </c>
      <c r="D48" t="s">
        <v>97</v>
      </c>
      <c r="E48" t="s">
        <v>3214</v>
      </c>
      <c r="F48" t="s">
        <v>3135</v>
      </c>
      <c r="G48" t="s">
        <v>1674</v>
      </c>
    </row>
    <row r="49" spans="1:7" ht="11.25" customHeight="1">
      <c r="A49" t="s">
        <v>16</v>
      </c>
      <c r="B49" t="s">
        <v>97</v>
      </c>
      <c r="C49" t="s">
        <v>3214</v>
      </c>
      <c r="D49" t="s">
        <v>3225</v>
      </c>
      <c r="E49" t="s">
        <v>3226</v>
      </c>
      <c r="F49" t="s">
        <v>3134</v>
      </c>
      <c r="G49" t="s">
        <v>1677</v>
      </c>
    </row>
    <row r="50" spans="1:7" ht="11.25" customHeight="1">
      <c r="A50" t="s">
        <v>16</v>
      </c>
      <c r="B50" t="s">
        <v>97</v>
      </c>
      <c r="C50" t="s">
        <v>3214</v>
      </c>
      <c r="D50" t="s">
        <v>3227</v>
      </c>
      <c r="E50" t="s">
        <v>3228</v>
      </c>
      <c r="F50" t="s">
        <v>3138</v>
      </c>
      <c r="G50" t="s">
        <v>1680</v>
      </c>
    </row>
    <row r="51" spans="1:7" ht="11.25" customHeight="1">
      <c r="A51" t="s">
        <v>16</v>
      </c>
      <c r="B51" t="s">
        <v>3229</v>
      </c>
      <c r="C51" t="s">
        <v>3230</v>
      </c>
      <c r="D51" t="s">
        <v>3229</v>
      </c>
      <c r="E51" t="s">
        <v>3230</v>
      </c>
      <c r="F51" t="s">
        <v>3165</v>
      </c>
      <c r="G51" t="s">
        <v>1685</v>
      </c>
    </row>
    <row r="52" spans="1:7" ht="11.25" customHeight="1">
      <c r="A52" t="s">
        <v>16</v>
      </c>
      <c r="B52" t="s">
        <v>3231</v>
      </c>
      <c r="C52" t="s">
        <v>3232</v>
      </c>
      <c r="D52" t="s">
        <v>3233</v>
      </c>
      <c r="E52" t="s">
        <v>3234</v>
      </c>
      <c r="F52" t="s">
        <v>3134</v>
      </c>
      <c r="G52" t="s">
        <v>1689</v>
      </c>
    </row>
    <row r="53" spans="1:7" ht="11.25" customHeight="1">
      <c r="A53" t="s">
        <v>16</v>
      </c>
      <c r="B53" t="s">
        <v>3231</v>
      </c>
      <c r="C53" t="s">
        <v>3232</v>
      </c>
      <c r="D53" t="s">
        <v>3235</v>
      </c>
      <c r="E53" t="s">
        <v>3236</v>
      </c>
      <c r="F53" t="s">
        <v>3138</v>
      </c>
      <c r="G53" t="s">
        <v>1691</v>
      </c>
    </row>
    <row r="54" spans="1:7" ht="11.25" customHeight="1">
      <c r="A54" t="s">
        <v>16</v>
      </c>
      <c r="B54" t="s">
        <v>3231</v>
      </c>
      <c r="C54" t="s">
        <v>3232</v>
      </c>
      <c r="D54" t="s">
        <v>3237</v>
      </c>
      <c r="E54" t="s">
        <v>3238</v>
      </c>
      <c r="F54" t="s">
        <v>3138</v>
      </c>
      <c r="G54" t="s">
        <v>1694</v>
      </c>
    </row>
    <row r="55" spans="1:7" ht="11.25" customHeight="1">
      <c r="A55" t="s">
        <v>16</v>
      </c>
      <c r="B55" t="s">
        <v>3231</v>
      </c>
      <c r="C55" t="s">
        <v>3232</v>
      </c>
      <c r="D55" t="s">
        <v>3239</v>
      </c>
      <c r="E55" t="s">
        <v>3240</v>
      </c>
      <c r="F55" t="s">
        <v>3138</v>
      </c>
      <c r="G55" t="s">
        <v>1698</v>
      </c>
    </row>
    <row r="56" spans="1:7" ht="11.25" customHeight="1">
      <c r="A56" t="s">
        <v>16</v>
      </c>
      <c r="B56" t="s">
        <v>3231</v>
      </c>
      <c r="C56" t="s">
        <v>3232</v>
      </c>
      <c r="D56" t="s">
        <v>3231</v>
      </c>
      <c r="E56" t="s">
        <v>3232</v>
      </c>
      <c r="F56" t="s">
        <v>3135</v>
      </c>
      <c r="G56" t="s">
        <v>1701</v>
      </c>
    </row>
    <row r="57" spans="1:7" ht="11.25" customHeight="1">
      <c r="A57" t="s">
        <v>16</v>
      </c>
      <c r="B57" t="s">
        <v>3231</v>
      </c>
      <c r="C57" t="s">
        <v>3232</v>
      </c>
      <c r="D57" t="s">
        <v>3241</v>
      </c>
      <c r="E57" t="s">
        <v>3242</v>
      </c>
      <c r="F57" t="s">
        <v>3134</v>
      </c>
      <c r="G57" t="s">
        <v>1704</v>
      </c>
    </row>
    <row r="58" spans="1:7" ht="11.25" customHeight="1">
      <c r="A58" t="s">
        <v>16</v>
      </c>
      <c r="B58" t="s">
        <v>3231</v>
      </c>
      <c r="C58" t="s">
        <v>3232</v>
      </c>
      <c r="D58" t="s">
        <v>3243</v>
      </c>
      <c r="E58" t="s">
        <v>3244</v>
      </c>
      <c r="F58" t="s">
        <v>3138</v>
      </c>
      <c r="G58" t="s">
        <v>1707</v>
      </c>
    </row>
    <row r="59" spans="1:7" ht="11.25" customHeight="1">
      <c r="A59" t="s">
        <v>16</v>
      </c>
      <c r="B59" t="s">
        <v>3231</v>
      </c>
      <c r="C59" t="s">
        <v>3232</v>
      </c>
      <c r="D59" t="s">
        <v>3245</v>
      </c>
      <c r="E59" t="s">
        <v>3246</v>
      </c>
      <c r="F59" t="s">
        <v>3134</v>
      </c>
      <c r="G59" t="s">
        <v>1711</v>
      </c>
    </row>
    <row r="60" spans="1:7" ht="11.25" customHeight="1">
      <c r="A60" t="s">
        <v>16</v>
      </c>
      <c r="B60" t="s">
        <v>3231</v>
      </c>
      <c r="C60" t="s">
        <v>3232</v>
      </c>
      <c r="D60" t="s">
        <v>3247</v>
      </c>
      <c r="E60" t="s">
        <v>3248</v>
      </c>
      <c r="F60" t="s">
        <v>3138</v>
      </c>
      <c r="G60" t="s">
        <v>1715</v>
      </c>
    </row>
    <row r="61" spans="1:7" ht="11.25" customHeight="1">
      <c r="A61" t="s">
        <v>16</v>
      </c>
      <c r="B61" t="s">
        <v>3231</v>
      </c>
      <c r="C61" t="s">
        <v>3232</v>
      </c>
      <c r="D61" t="s">
        <v>3249</v>
      </c>
      <c r="E61" t="s">
        <v>3250</v>
      </c>
      <c r="F61" t="s">
        <v>3134</v>
      </c>
      <c r="G61" t="s">
        <v>3251</v>
      </c>
    </row>
    <row r="62" spans="1:7" ht="11.25" customHeight="1">
      <c r="A62" t="s">
        <v>16</v>
      </c>
      <c r="B62" t="s">
        <v>3231</v>
      </c>
      <c r="C62" t="s">
        <v>3232</v>
      </c>
      <c r="D62" t="s">
        <v>3252</v>
      </c>
      <c r="E62" t="s">
        <v>3253</v>
      </c>
      <c r="F62" t="s">
        <v>3138</v>
      </c>
      <c r="G62" t="s">
        <v>3254</v>
      </c>
    </row>
    <row r="63" spans="1:7" ht="11.25" customHeight="1">
      <c r="A63" t="s">
        <v>16</v>
      </c>
      <c r="B63" t="s">
        <v>3231</v>
      </c>
      <c r="C63" t="s">
        <v>3232</v>
      </c>
      <c r="D63" t="s">
        <v>3255</v>
      </c>
      <c r="E63" t="s">
        <v>3256</v>
      </c>
      <c r="F63" t="s">
        <v>3138</v>
      </c>
      <c r="G63" t="s">
        <v>3257</v>
      </c>
    </row>
    <row r="64" spans="1:7" ht="11.25" customHeight="1">
      <c r="A64" t="s">
        <v>16</v>
      </c>
      <c r="B64" t="s">
        <v>3258</v>
      </c>
      <c r="C64" t="s">
        <v>3259</v>
      </c>
      <c r="D64" t="s">
        <v>3258</v>
      </c>
      <c r="E64" t="s">
        <v>3259</v>
      </c>
      <c r="F64" t="s">
        <v>3165</v>
      </c>
      <c r="G64" t="s">
        <v>3260</v>
      </c>
    </row>
    <row r="65" spans="1:7" ht="11.25" customHeight="1">
      <c r="A65" t="s">
        <v>16</v>
      </c>
      <c r="B65" t="s">
        <v>3261</v>
      </c>
      <c r="C65" t="s">
        <v>3262</v>
      </c>
      <c r="D65" t="s">
        <v>3261</v>
      </c>
      <c r="E65" t="s">
        <v>3262</v>
      </c>
      <c r="F65" t="s">
        <v>3165</v>
      </c>
      <c r="G65" t="s">
        <v>3263</v>
      </c>
    </row>
    <row r="66" spans="1:7" ht="11.25" customHeight="1">
      <c r="A66" t="s">
        <v>16</v>
      </c>
      <c r="B66" t="s">
        <v>3264</v>
      </c>
      <c r="C66" t="s">
        <v>3265</v>
      </c>
      <c r="D66" t="s">
        <v>3264</v>
      </c>
      <c r="E66" t="s">
        <v>3265</v>
      </c>
      <c r="F66" t="s">
        <v>3165</v>
      </c>
      <c r="G66" t="s">
        <v>3266</v>
      </c>
    </row>
    <row r="67" spans="1:7" ht="11.25" customHeight="1">
      <c r="A67" t="s">
        <v>16</v>
      </c>
      <c r="B67" t="s">
        <v>3267</v>
      </c>
      <c r="C67" t="s">
        <v>3268</v>
      </c>
      <c r="D67" t="s">
        <v>3269</v>
      </c>
      <c r="E67" t="s">
        <v>3270</v>
      </c>
      <c r="F67" t="s">
        <v>3134</v>
      </c>
      <c r="G67" t="s">
        <v>2034</v>
      </c>
    </row>
    <row r="68" spans="1:7" ht="11.25" customHeight="1">
      <c r="A68" t="s">
        <v>16</v>
      </c>
      <c r="B68" t="s">
        <v>3267</v>
      </c>
      <c r="C68" t="s">
        <v>3268</v>
      </c>
      <c r="D68" t="s">
        <v>3271</v>
      </c>
      <c r="E68" t="s">
        <v>3272</v>
      </c>
      <c r="F68" t="s">
        <v>3138</v>
      </c>
      <c r="G68" t="s">
        <v>3273</v>
      </c>
    </row>
    <row r="69" spans="1:7" ht="11.25" customHeight="1">
      <c r="A69" t="s">
        <v>16</v>
      </c>
      <c r="B69" t="s">
        <v>3267</v>
      </c>
      <c r="C69" t="s">
        <v>3268</v>
      </c>
      <c r="D69" t="s">
        <v>3274</v>
      </c>
      <c r="E69" t="s">
        <v>3275</v>
      </c>
      <c r="F69" t="s">
        <v>3134</v>
      </c>
      <c r="G69" t="s">
        <v>2237</v>
      </c>
    </row>
    <row r="70" spans="1:7" ht="11.25" customHeight="1">
      <c r="A70" t="s">
        <v>16</v>
      </c>
      <c r="B70" t="s">
        <v>3267</v>
      </c>
      <c r="C70" t="s">
        <v>3268</v>
      </c>
      <c r="D70" t="s">
        <v>3276</v>
      </c>
      <c r="E70" t="s">
        <v>3277</v>
      </c>
      <c r="F70" t="s">
        <v>3134</v>
      </c>
      <c r="G70" t="s">
        <v>3278</v>
      </c>
    </row>
    <row r="71" spans="1:7" ht="11.25" customHeight="1">
      <c r="A71" t="s">
        <v>16</v>
      </c>
      <c r="B71" t="s">
        <v>3267</v>
      </c>
      <c r="C71" t="s">
        <v>3268</v>
      </c>
      <c r="D71" t="s">
        <v>3279</v>
      </c>
      <c r="E71" t="s">
        <v>3280</v>
      </c>
      <c r="F71" t="s">
        <v>3134</v>
      </c>
      <c r="G71" t="s">
        <v>3281</v>
      </c>
    </row>
    <row r="72" spans="1:7" ht="11.25" customHeight="1">
      <c r="A72" t="s">
        <v>16</v>
      </c>
      <c r="B72" t="s">
        <v>3267</v>
      </c>
      <c r="C72" t="s">
        <v>3268</v>
      </c>
      <c r="D72" t="s">
        <v>3282</v>
      </c>
      <c r="E72" t="s">
        <v>3283</v>
      </c>
      <c r="F72" t="s">
        <v>3134</v>
      </c>
      <c r="G72" t="s">
        <v>3284</v>
      </c>
    </row>
    <row r="73" spans="1:7" ht="11.25" customHeight="1">
      <c r="A73" t="s">
        <v>16</v>
      </c>
      <c r="B73" t="s">
        <v>3267</v>
      </c>
      <c r="C73" t="s">
        <v>3268</v>
      </c>
      <c r="D73" t="s">
        <v>3285</v>
      </c>
      <c r="E73" t="s">
        <v>3286</v>
      </c>
      <c r="F73" t="s">
        <v>3287</v>
      </c>
      <c r="G73" t="s">
        <v>3288</v>
      </c>
    </row>
    <row r="74" spans="1:7" ht="11.25" customHeight="1">
      <c r="A74" t="s">
        <v>16</v>
      </c>
      <c r="B74" t="s">
        <v>3267</v>
      </c>
      <c r="C74" t="s">
        <v>3268</v>
      </c>
      <c r="D74" t="s">
        <v>3267</v>
      </c>
      <c r="E74" t="s">
        <v>3268</v>
      </c>
      <c r="F74" t="s">
        <v>3135</v>
      </c>
      <c r="G74" t="s">
        <v>3289</v>
      </c>
    </row>
    <row r="75" spans="1:7" ht="11.25" customHeight="1">
      <c r="A75" t="s">
        <v>16</v>
      </c>
      <c r="B75" t="s">
        <v>3267</v>
      </c>
      <c r="C75" t="s">
        <v>3268</v>
      </c>
      <c r="D75" t="s">
        <v>3290</v>
      </c>
      <c r="E75" t="s">
        <v>3291</v>
      </c>
      <c r="F75" t="s">
        <v>3134</v>
      </c>
      <c r="G75" t="s">
        <v>3292</v>
      </c>
    </row>
    <row r="76" spans="1:7" ht="11.25" customHeight="1">
      <c r="A76" t="s">
        <v>16</v>
      </c>
      <c r="B76" t="s">
        <v>3293</v>
      </c>
      <c r="C76" t="s">
        <v>3294</v>
      </c>
      <c r="D76" t="s">
        <v>3293</v>
      </c>
      <c r="E76" t="s">
        <v>3294</v>
      </c>
      <c r="F76" t="s">
        <v>3165</v>
      </c>
      <c r="G76" t="s">
        <v>3295</v>
      </c>
    </row>
    <row r="77" spans="1:7" ht="11.25" customHeight="1">
      <c r="A77" t="s">
        <v>16</v>
      </c>
      <c r="B77" t="s">
        <v>3296</v>
      </c>
      <c r="C77" t="s">
        <v>3297</v>
      </c>
      <c r="D77" t="s">
        <v>3298</v>
      </c>
      <c r="E77" t="s">
        <v>3299</v>
      </c>
      <c r="F77" t="s">
        <v>3134</v>
      </c>
      <c r="G77" t="s">
        <v>3300</v>
      </c>
    </row>
    <row r="78" spans="1:7" ht="11.25" customHeight="1">
      <c r="A78" t="s">
        <v>16</v>
      </c>
      <c r="B78" t="s">
        <v>3296</v>
      </c>
      <c r="C78" t="s">
        <v>3297</v>
      </c>
      <c r="D78" t="s">
        <v>3301</v>
      </c>
      <c r="E78" t="s">
        <v>3302</v>
      </c>
      <c r="F78" t="s">
        <v>3134</v>
      </c>
      <c r="G78" t="s">
        <v>3303</v>
      </c>
    </row>
    <row r="79" spans="1:7" ht="11.25" customHeight="1">
      <c r="A79" t="s">
        <v>16</v>
      </c>
      <c r="B79" t="s">
        <v>3296</v>
      </c>
      <c r="C79" t="s">
        <v>3297</v>
      </c>
      <c r="D79" t="s">
        <v>3304</v>
      </c>
      <c r="E79" t="s">
        <v>3305</v>
      </c>
      <c r="F79" t="s">
        <v>3138</v>
      </c>
      <c r="G79" t="s">
        <v>3306</v>
      </c>
    </row>
    <row r="80" spans="1:7" ht="11.25" customHeight="1">
      <c r="A80" t="s">
        <v>16</v>
      </c>
      <c r="B80" t="s">
        <v>3296</v>
      </c>
      <c r="C80" t="s">
        <v>3297</v>
      </c>
      <c r="D80" t="s">
        <v>3307</v>
      </c>
      <c r="E80" t="s">
        <v>3308</v>
      </c>
      <c r="F80" t="s">
        <v>3138</v>
      </c>
      <c r="G80" t="s">
        <v>3309</v>
      </c>
    </row>
    <row r="81" spans="1:7" ht="11.25" customHeight="1">
      <c r="A81" t="s">
        <v>16</v>
      </c>
      <c r="B81" t="s">
        <v>3296</v>
      </c>
      <c r="C81" t="s">
        <v>3297</v>
      </c>
      <c r="D81" t="s">
        <v>3310</v>
      </c>
      <c r="E81" t="s">
        <v>3311</v>
      </c>
      <c r="F81" t="s">
        <v>3287</v>
      </c>
      <c r="G81" t="s">
        <v>3312</v>
      </c>
    </row>
    <row r="82" spans="1:7" ht="11.25" customHeight="1">
      <c r="A82" t="s">
        <v>16</v>
      </c>
      <c r="B82" t="s">
        <v>3296</v>
      </c>
      <c r="C82" t="s">
        <v>3297</v>
      </c>
      <c r="D82" t="s">
        <v>3313</v>
      </c>
      <c r="E82" t="s">
        <v>3314</v>
      </c>
      <c r="F82" t="s">
        <v>3138</v>
      </c>
      <c r="G82" t="s">
        <v>3315</v>
      </c>
    </row>
    <row r="83" spans="1:7" ht="11.25" customHeight="1">
      <c r="A83" t="s">
        <v>16</v>
      </c>
      <c r="B83" t="s">
        <v>3296</v>
      </c>
      <c r="C83" t="s">
        <v>3297</v>
      </c>
      <c r="D83" t="s">
        <v>3316</v>
      </c>
      <c r="E83" t="s">
        <v>3317</v>
      </c>
      <c r="F83" t="s">
        <v>3138</v>
      </c>
      <c r="G83" t="s">
        <v>3318</v>
      </c>
    </row>
    <row r="84" spans="1:7" ht="11.25" customHeight="1">
      <c r="A84" t="s">
        <v>16</v>
      </c>
      <c r="B84" t="s">
        <v>3296</v>
      </c>
      <c r="C84" t="s">
        <v>3297</v>
      </c>
      <c r="D84" t="s">
        <v>3319</v>
      </c>
      <c r="E84" t="s">
        <v>3320</v>
      </c>
      <c r="F84" t="s">
        <v>3138</v>
      </c>
      <c r="G84" t="s">
        <v>3321</v>
      </c>
    </row>
    <row r="85" spans="1:7" ht="11.25" customHeight="1">
      <c r="A85" t="s">
        <v>16</v>
      </c>
      <c r="B85" t="s">
        <v>3296</v>
      </c>
      <c r="C85" t="s">
        <v>3297</v>
      </c>
      <c r="D85" t="s">
        <v>3296</v>
      </c>
      <c r="E85" t="s">
        <v>3297</v>
      </c>
      <c r="F85" t="s">
        <v>3135</v>
      </c>
      <c r="G85" t="s">
        <v>3322</v>
      </c>
    </row>
    <row r="86" spans="1:7" ht="11.25" customHeight="1">
      <c r="A86" t="s">
        <v>16</v>
      </c>
      <c r="B86" t="s">
        <v>3296</v>
      </c>
      <c r="C86" t="s">
        <v>3297</v>
      </c>
      <c r="D86" t="s">
        <v>3323</v>
      </c>
      <c r="E86" t="s">
        <v>3324</v>
      </c>
      <c r="F86" t="s">
        <v>3138</v>
      </c>
      <c r="G86" t="s">
        <v>3325</v>
      </c>
    </row>
    <row r="87" spans="1:7" ht="11.25" customHeight="1">
      <c r="A87" t="s">
        <v>16</v>
      </c>
      <c r="B87" t="s">
        <v>3296</v>
      </c>
      <c r="C87" t="s">
        <v>3297</v>
      </c>
      <c r="D87" t="s">
        <v>3326</v>
      </c>
      <c r="E87" t="s">
        <v>3327</v>
      </c>
      <c r="F87" t="s">
        <v>3138</v>
      </c>
      <c r="G87" t="s">
        <v>3328</v>
      </c>
    </row>
    <row r="88" spans="1:7" ht="11.25" customHeight="1">
      <c r="A88" t="s">
        <v>16</v>
      </c>
      <c r="B88" t="s">
        <v>3296</v>
      </c>
      <c r="C88" t="s">
        <v>3297</v>
      </c>
      <c r="D88" t="s">
        <v>3329</v>
      </c>
      <c r="E88" t="s">
        <v>3330</v>
      </c>
      <c r="F88" t="s">
        <v>3138</v>
      </c>
      <c r="G88" t="s">
        <v>3331</v>
      </c>
    </row>
    <row r="89" spans="1:7" ht="11.25" customHeight="1">
      <c r="A89" t="s">
        <v>16</v>
      </c>
      <c r="B89" t="s">
        <v>3296</v>
      </c>
      <c r="C89" t="s">
        <v>3297</v>
      </c>
      <c r="D89" t="s">
        <v>3332</v>
      </c>
      <c r="E89" t="s">
        <v>3333</v>
      </c>
      <c r="F89" t="s">
        <v>3138</v>
      </c>
      <c r="G89" t="s">
        <v>3334</v>
      </c>
    </row>
    <row r="90" spans="1:7" ht="11.25" customHeight="1">
      <c r="A90" t="s">
        <v>16</v>
      </c>
      <c r="B90" t="s">
        <v>3296</v>
      </c>
      <c r="C90" t="s">
        <v>3297</v>
      </c>
      <c r="D90" t="s">
        <v>3335</v>
      </c>
      <c r="E90" t="s">
        <v>3336</v>
      </c>
      <c r="F90" t="s">
        <v>3134</v>
      </c>
      <c r="G90" t="s">
        <v>3337</v>
      </c>
    </row>
    <row r="91" spans="1:7" ht="11.25" customHeight="1">
      <c r="A91" t="s">
        <v>16</v>
      </c>
      <c r="B91" t="s">
        <v>3338</v>
      </c>
      <c r="C91" t="s">
        <v>3339</v>
      </c>
      <c r="D91" t="s">
        <v>3338</v>
      </c>
      <c r="E91" t="s">
        <v>3339</v>
      </c>
      <c r="F91" t="s">
        <v>3165</v>
      </c>
      <c r="G91" t="s">
        <v>3340</v>
      </c>
    </row>
    <row r="92" spans="1:7" ht="11.25" customHeight="1">
      <c r="A92" t="s">
        <v>16</v>
      </c>
      <c r="B92" t="s">
        <v>3341</v>
      </c>
      <c r="C92" t="s">
        <v>3342</v>
      </c>
      <c r="D92" t="s">
        <v>3341</v>
      </c>
      <c r="E92" t="s">
        <v>3342</v>
      </c>
      <c r="F92" t="s">
        <v>3165</v>
      </c>
      <c r="G92" t="s">
        <v>3343</v>
      </c>
    </row>
    <row r="93" spans="1:7" ht="11.25" customHeight="1">
      <c r="A93" t="s">
        <v>16</v>
      </c>
      <c r="B93" t="s">
        <v>3344</v>
      </c>
      <c r="C93" t="s">
        <v>3345</v>
      </c>
      <c r="D93" t="s">
        <v>3346</v>
      </c>
      <c r="E93" t="s">
        <v>3347</v>
      </c>
      <c r="F93" t="s">
        <v>3138</v>
      </c>
      <c r="G93" t="s">
        <v>3348</v>
      </c>
    </row>
    <row r="94" spans="1:7" ht="11.25" customHeight="1">
      <c r="A94" t="s">
        <v>16</v>
      </c>
      <c r="B94" t="s">
        <v>3344</v>
      </c>
      <c r="C94" t="s">
        <v>3345</v>
      </c>
      <c r="D94" t="s">
        <v>3349</v>
      </c>
      <c r="E94" t="s">
        <v>3350</v>
      </c>
      <c r="F94" t="s">
        <v>3138</v>
      </c>
      <c r="G94" t="s">
        <v>3351</v>
      </c>
    </row>
    <row r="95" spans="1:7" ht="11.25" customHeight="1">
      <c r="A95" t="s">
        <v>16</v>
      </c>
      <c r="B95" t="s">
        <v>3344</v>
      </c>
      <c r="C95" t="s">
        <v>3345</v>
      </c>
      <c r="D95" t="s">
        <v>3352</v>
      </c>
      <c r="E95" t="s">
        <v>3353</v>
      </c>
      <c r="F95" t="s">
        <v>3138</v>
      </c>
      <c r="G95" t="s">
        <v>3354</v>
      </c>
    </row>
    <row r="96" spans="1:7" ht="11.25" customHeight="1">
      <c r="A96" t="s">
        <v>16</v>
      </c>
      <c r="B96" t="s">
        <v>3344</v>
      </c>
      <c r="C96" t="s">
        <v>3345</v>
      </c>
      <c r="D96" t="s">
        <v>3355</v>
      </c>
      <c r="E96" t="s">
        <v>3356</v>
      </c>
      <c r="F96" t="s">
        <v>3138</v>
      </c>
      <c r="G96" t="s">
        <v>3357</v>
      </c>
    </row>
    <row r="97" spans="1:7" ht="11.25" customHeight="1">
      <c r="A97" t="s">
        <v>16</v>
      </c>
      <c r="B97" t="s">
        <v>3344</v>
      </c>
      <c r="C97" t="s">
        <v>3345</v>
      </c>
      <c r="D97" t="s">
        <v>3358</v>
      </c>
      <c r="E97" t="s">
        <v>3359</v>
      </c>
      <c r="F97" t="s">
        <v>3138</v>
      </c>
      <c r="G97" t="s">
        <v>3360</v>
      </c>
    </row>
    <row r="98" spans="1:7" ht="11.25" customHeight="1">
      <c r="A98" t="s">
        <v>16</v>
      </c>
      <c r="B98" t="s">
        <v>3344</v>
      </c>
      <c r="C98" t="s">
        <v>3345</v>
      </c>
      <c r="D98" t="s">
        <v>3361</v>
      </c>
      <c r="E98" t="s">
        <v>3362</v>
      </c>
      <c r="F98" t="s">
        <v>3138</v>
      </c>
      <c r="G98" t="s">
        <v>3363</v>
      </c>
    </row>
    <row r="99" spans="1:7" ht="11.25" customHeight="1">
      <c r="A99" t="s">
        <v>16</v>
      </c>
      <c r="B99" t="s">
        <v>3344</v>
      </c>
      <c r="C99" t="s">
        <v>3345</v>
      </c>
      <c r="D99" t="s">
        <v>3364</v>
      </c>
      <c r="E99" t="s">
        <v>3365</v>
      </c>
      <c r="F99" t="s">
        <v>3138</v>
      </c>
      <c r="G99" t="s">
        <v>3366</v>
      </c>
    </row>
    <row r="100" spans="1:7" ht="11.25" customHeight="1">
      <c r="A100" t="s">
        <v>16</v>
      </c>
      <c r="B100" t="s">
        <v>3344</v>
      </c>
      <c r="C100" t="s">
        <v>3345</v>
      </c>
      <c r="D100" t="s">
        <v>3367</v>
      </c>
      <c r="E100" t="s">
        <v>3368</v>
      </c>
      <c r="F100" t="s">
        <v>3138</v>
      </c>
      <c r="G100" t="s">
        <v>3369</v>
      </c>
    </row>
    <row r="101" spans="1:7" ht="11.25" customHeight="1">
      <c r="A101" t="s">
        <v>16</v>
      </c>
      <c r="B101" t="s">
        <v>3344</v>
      </c>
      <c r="C101" t="s">
        <v>3345</v>
      </c>
      <c r="D101" t="s">
        <v>3370</v>
      </c>
      <c r="E101" t="s">
        <v>3371</v>
      </c>
      <c r="F101" t="s">
        <v>3138</v>
      </c>
      <c r="G101" t="s">
        <v>3372</v>
      </c>
    </row>
    <row r="102" spans="1:7" ht="11.25" customHeight="1">
      <c r="A102" t="s">
        <v>16</v>
      </c>
      <c r="B102" t="s">
        <v>3344</v>
      </c>
      <c r="C102" t="s">
        <v>3345</v>
      </c>
      <c r="D102" t="s">
        <v>3344</v>
      </c>
      <c r="E102" t="s">
        <v>3345</v>
      </c>
      <c r="F102" t="s">
        <v>3135</v>
      </c>
      <c r="G102" t="s">
        <v>3373</v>
      </c>
    </row>
    <row r="103" spans="1:7" ht="11.25" customHeight="1">
      <c r="A103" t="s">
        <v>16</v>
      </c>
      <c r="B103" t="s">
        <v>3344</v>
      </c>
      <c r="C103" t="s">
        <v>3345</v>
      </c>
      <c r="D103" t="s">
        <v>3374</v>
      </c>
      <c r="E103" t="s">
        <v>3375</v>
      </c>
      <c r="F103" t="s">
        <v>3138</v>
      </c>
      <c r="G103" t="s">
        <v>3376</v>
      </c>
    </row>
    <row r="104" spans="1:7" ht="11.25" customHeight="1">
      <c r="A104" t="s">
        <v>16</v>
      </c>
      <c r="B104" t="s">
        <v>3344</v>
      </c>
      <c r="C104" t="s">
        <v>3345</v>
      </c>
      <c r="D104" t="s">
        <v>3377</v>
      </c>
      <c r="E104" t="s">
        <v>3378</v>
      </c>
      <c r="F104" t="s">
        <v>3138</v>
      </c>
      <c r="G104" t="s">
        <v>3379</v>
      </c>
    </row>
    <row r="105" spans="1:7" ht="11.25" customHeight="1">
      <c r="A105" t="s">
        <v>16</v>
      </c>
      <c r="B105" t="s">
        <v>3344</v>
      </c>
      <c r="C105" t="s">
        <v>3345</v>
      </c>
      <c r="D105" t="s">
        <v>3380</v>
      </c>
      <c r="E105" t="s">
        <v>3381</v>
      </c>
      <c r="F105" t="s">
        <v>3138</v>
      </c>
      <c r="G105" t="s">
        <v>3382</v>
      </c>
    </row>
    <row r="106" spans="1:7" ht="11.25" customHeight="1">
      <c r="A106" t="s">
        <v>16</v>
      </c>
      <c r="B106" t="s">
        <v>3383</v>
      </c>
      <c r="C106" t="s">
        <v>3384</v>
      </c>
      <c r="D106" t="s">
        <v>3383</v>
      </c>
      <c r="E106" t="s">
        <v>3384</v>
      </c>
      <c r="F106" t="s">
        <v>3165</v>
      </c>
      <c r="G106" t="s">
        <v>3385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568D-77F4-5D0D-9CDF-50A43830CE8F}">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3410</v>
      </c>
      <c r="B1" s="766" t="s">
        <v>3411</v>
      </c>
      <c r="C1" s="766" t="s">
        <v>1180</v>
      </c>
    </row>
    <row r="2" spans="1:3" ht="11.25" customHeight="1">
      <c r="A2" s="766">
        <v>4189678</v>
      </c>
      <c r="B2" s="766" t="s">
        <v>3412</v>
      </c>
      <c r="C2" s="766" t="s">
        <v>3413</v>
      </c>
    </row>
    <row r="3" spans="1:3" ht="11.25" customHeight="1">
      <c r="A3" s="766">
        <v>4190415</v>
      </c>
      <c r="B3" s="766" t="s">
        <v>3414</v>
      </c>
      <c r="C3" s="766" t="s">
        <v>3413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5A34D-CBAC-7DAE-E4EB-3F8C345A166F}">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3415</v>
      </c>
      <c r="B1" s="101" t="s">
        <v>3416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B3A83-B63E-B5D8-3F24-6FA588090D85}">
  <sheetPr>
    <tabColor rgb="FFFFCC99"/>
  </sheetPr>
  <dimension ref="A1:B15"/>
  <sheetViews>
    <sheetView workbookViewId="0"/>
  </sheetViews>
  <sheetFormatPr defaultRowHeight="11.25" customHeight="1"/>
  <sheetData>
    <row r="1" spans="1:2" ht="11.25" customHeight="1">
      <c r="A1" t="s">
        <v>3417</v>
      </c>
      <c r="B1" t="b">
        <v>1</v>
      </c>
    </row>
    <row r="2" spans="1:2" ht="11.25" customHeight="1">
      <c r="A2" t="s">
        <v>3418</v>
      </c>
      <c r="B2" t="b">
        <v>0</v>
      </c>
    </row>
    <row r="3" spans="1:2" ht="11.25" customHeight="1">
      <c r="A3" t="s">
        <v>3419</v>
      </c>
      <c r="B3" t="b">
        <v>1</v>
      </c>
    </row>
    <row r="4" spans="1:2" ht="11.25" customHeight="1">
      <c r="A4" t="s">
        <v>3420</v>
      </c>
      <c r="B4" t="b">
        <v>0</v>
      </c>
    </row>
    <row r="5" spans="1:2" ht="11.25" customHeight="1">
      <c r="A5" t="s">
        <v>3421</v>
      </c>
      <c r="B5" t="b">
        <v>0</v>
      </c>
    </row>
    <row r="6" spans="1:2" ht="11.25" customHeight="1">
      <c r="A6" t="s">
        <v>3422</v>
      </c>
      <c r="B6" t="b">
        <v>0</v>
      </c>
    </row>
    <row r="7" spans="1:2" ht="11.25" customHeight="1">
      <c r="A7" t="s">
        <v>3423</v>
      </c>
      <c r="B7" t="b">
        <v>0</v>
      </c>
    </row>
    <row r="8" spans="1:2" ht="11.25" customHeight="1">
      <c r="A8" t="s">
        <v>3424</v>
      </c>
      <c r="B8" t="b">
        <v>0</v>
      </c>
    </row>
    <row r="9" spans="1:2" ht="11.25" customHeight="1">
      <c r="A9" t="s">
        <v>3425</v>
      </c>
      <c r="B9" t="b">
        <v>0</v>
      </c>
    </row>
    <row r="10" spans="1:2" ht="11.25" customHeight="1">
      <c r="A10" t="s">
        <v>3426</v>
      </c>
      <c r="B10" t="b">
        <v>0</v>
      </c>
    </row>
    <row r="11" spans="1:2" ht="11.25" customHeight="1">
      <c r="A11" t="s">
        <v>3427</v>
      </c>
      <c r="B11" t="b">
        <v>0</v>
      </c>
    </row>
    <row r="12" spans="1:2" ht="11.25" customHeight="1">
      <c r="A12" t="s">
        <v>3428</v>
      </c>
      <c r="B12" t="b">
        <v>0</v>
      </c>
    </row>
    <row r="13" spans="1:2" ht="11.25" customHeight="1">
      <c r="A13" t="s">
        <v>3429</v>
      </c>
      <c r="B13" t="b">
        <v>0</v>
      </c>
    </row>
    <row r="14" spans="1:2" ht="11.25" customHeight="1">
      <c r="A14" t="s">
        <v>3430</v>
      </c>
      <c r="B14" t="b">
        <v>1</v>
      </c>
    </row>
    <row r="15" spans="1:2" ht="11.25" customHeight="1">
      <c r="A15" t="s">
        <v>3431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25F4-1D4F-F355-078F-53A84558E60E}">
  <sheetPr>
    <tabColor rgb="FFFFCC99"/>
  </sheetPr>
  <dimension ref="A1"/>
  <sheetViews>
    <sheetView showGridLines="0" workbookViewId="0"/>
  </sheetViews>
  <sheetFormatPr defaultColWidth="9.140625" defaultRowHeight="12.75" customHeight="1"/>
  <cols>
    <col min="1" max="1" width="9.140625" style="307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F98FB-BAAE-DB7B-1F4C-AE4750F3A72F}">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3432</v>
      </c>
      <c r="B1" s="7" t="s">
        <v>3433</v>
      </c>
    </row>
    <row r="2" spans="1:2" ht="11.25" customHeight="1">
      <c r="A2" s="4" t="s">
        <v>3434</v>
      </c>
      <c r="B2" s="4" t="s">
        <v>3435</v>
      </c>
    </row>
    <row r="3" spans="1:2" ht="11.25" customHeight="1">
      <c r="A3" s="4" t="s">
        <v>3436</v>
      </c>
      <c r="B3" s="4" t="s">
        <v>3437</v>
      </c>
    </row>
    <row r="4" spans="1:2" ht="11.25" customHeight="1">
      <c r="A4" s="4" t="s">
        <v>3438</v>
      </c>
      <c r="B4" s="4" t="s">
        <v>3439</v>
      </c>
    </row>
    <row r="5" spans="1:2" ht="11.25" customHeight="1">
      <c r="A5" s="4" t="s">
        <v>3440</v>
      </c>
      <c r="B5" s="4" t="s">
        <v>3441</v>
      </c>
    </row>
    <row r="6" spans="1:2" ht="11.25" customHeight="1">
      <c r="A6" s="4" t="s">
        <v>3442</v>
      </c>
      <c r="B6" s="4" t="s">
        <v>3443</v>
      </c>
    </row>
    <row r="7" spans="1:2" ht="11.25" customHeight="1">
      <c r="A7" s="4" t="s">
        <v>3444</v>
      </c>
      <c r="B7" s="4" t="s">
        <v>3445</v>
      </c>
    </row>
    <row r="8" spans="1:2" ht="11.25" customHeight="1">
      <c r="A8" s="4" t="s">
        <v>3446</v>
      </c>
      <c r="B8" s="4" t="s">
        <v>3447</v>
      </c>
    </row>
    <row r="9" spans="1:2" ht="11.25" customHeight="1">
      <c r="A9" s="4" t="s">
        <v>3448</v>
      </c>
      <c r="B9" s="4" t="s">
        <v>3449</v>
      </c>
    </row>
    <row r="10" spans="1:2" ht="11.25" customHeight="1">
      <c r="A10" s="4" t="s">
        <v>3450</v>
      </c>
      <c r="B10" s="4" t="s">
        <v>3451</v>
      </c>
    </row>
    <row r="11" spans="1:2" ht="11.25" customHeight="1">
      <c r="A11" s="4" t="s">
        <v>3452</v>
      </c>
      <c r="B11" s="4" t="s">
        <v>3453</v>
      </c>
    </row>
    <row r="12" spans="1:2" ht="11.25" customHeight="1">
      <c r="A12" s="4" t="s">
        <v>3454</v>
      </c>
      <c r="B12" s="4" t="s">
        <v>3455</v>
      </c>
    </row>
    <row r="13" spans="1:2" ht="11.25" customHeight="1">
      <c r="A13" s="4" t="s">
        <v>3456</v>
      </c>
      <c r="B13" s="4" t="s">
        <v>3457</v>
      </c>
    </row>
    <row r="14" spans="1:2" ht="11.25" customHeight="1">
      <c r="A14" s="4" t="s">
        <v>3458</v>
      </c>
      <c r="B14" s="4" t="s">
        <v>3459</v>
      </c>
    </row>
    <row r="15" spans="1:2" ht="11.25" customHeight="1">
      <c r="A15" s="4" t="s">
        <v>3460</v>
      </c>
      <c r="B15" s="4" t="s">
        <v>3461</v>
      </c>
    </row>
    <row r="16" spans="1:2" ht="11.25" customHeight="1">
      <c r="A16" s="4" t="s">
        <v>3462</v>
      </c>
      <c r="B16" s="4" t="s">
        <v>3463</v>
      </c>
    </row>
    <row r="17" spans="1:2" ht="11.25" customHeight="1">
      <c r="A17" s="4" t="s">
        <v>3464</v>
      </c>
      <c r="B17" s="4" t="s">
        <v>3465</v>
      </c>
    </row>
    <row r="18" spans="1:2" ht="11.25" customHeight="1">
      <c r="A18" s="4" t="s">
        <v>3466</v>
      </c>
      <c r="B18" s="4" t="s">
        <v>3467</v>
      </c>
    </row>
    <row r="19" spans="1:2" ht="11.25" customHeight="1">
      <c r="A19" s="4" t="s">
        <v>3468</v>
      </c>
      <c r="B19" s="4" t="s">
        <v>3469</v>
      </c>
    </row>
    <row r="20" spans="1:2" ht="11.25" customHeight="1">
      <c r="A20" s="4" t="s">
        <v>3470</v>
      </c>
      <c r="B20" s="4" t="s">
        <v>3471</v>
      </c>
    </row>
    <row r="21" spans="1:2" ht="11.25" customHeight="1">
      <c r="A21" s="4" t="s">
        <v>3472</v>
      </c>
      <c r="B21" s="4" t="s">
        <v>3473</v>
      </c>
    </row>
    <row r="22" spans="1:2" ht="11.25" customHeight="1">
      <c r="A22" s="4" t="s">
        <v>3474</v>
      </c>
      <c r="B22" s="4" t="s">
        <v>3475</v>
      </c>
    </row>
    <row r="23" spans="1:2" ht="11.25" customHeight="1">
      <c r="A23" s="4" t="s">
        <v>3476</v>
      </c>
      <c r="B23" s="4" t="s">
        <v>3477</v>
      </c>
    </row>
    <row r="24" spans="1:2" ht="11.25" customHeight="1">
      <c r="A24" s="4" t="s">
        <v>3478</v>
      </c>
      <c r="B24" s="4" t="s">
        <v>3479</v>
      </c>
    </row>
    <row r="25" spans="1:2" ht="11.25" customHeight="1">
      <c r="A25" s="4" t="s">
        <v>3480</v>
      </c>
      <c r="B25" s="4" t="s">
        <v>3481</v>
      </c>
    </row>
    <row r="26" spans="1:2" ht="11.25" customHeight="1">
      <c r="A26" s="4" t="s">
        <v>3482</v>
      </c>
      <c r="B26" s="4" t="s">
        <v>3483</v>
      </c>
    </row>
    <row r="27" spans="1:2" ht="11.25" customHeight="1">
      <c r="A27" s="4" t="s">
        <v>3484</v>
      </c>
      <c r="B27" s="4" t="s">
        <v>3485</v>
      </c>
    </row>
    <row r="28" spans="1:2" ht="11.25" customHeight="1">
      <c r="A28" s="4" t="s">
        <v>3486</v>
      </c>
      <c r="B28" s="4" t="s">
        <v>3487</v>
      </c>
    </row>
    <row r="29" spans="1:2" ht="11.25" customHeight="1">
      <c r="A29" s="4" t="s">
        <v>3488</v>
      </c>
      <c r="B29" s="4" t="s">
        <v>3489</v>
      </c>
    </row>
    <row r="30" spans="1:2" ht="11.25" customHeight="1">
      <c r="A30" s="4" t="s">
        <v>3490</v>
      </c>
      <c r="B30" s="4" t="s">
        <v>3491</v>
      </c>
    </row>
    <row r="31" spans="1:2" ht="11.25" customHeight="1">
      <c r="A31" s="4" t="s">
        <v>3492</v>
      </c>
      <c r="B31" s="4" t="s">
        <v>3493</v>
      </c>
    </row>
    <row r="32" spans="1:2" ht="11.25" customHeight="1">
      <c r="A32" s="4" t="s">
        <v>3494</v>
      </c>
      <c r="B32" s="4" t="s">
        <v>3495</v>
      </c>
    </row>
    <row r="33" spans="1:2" ht="11.25" customHeight="1">
      <c r="A33" s="4" t="s">
        <v>3496</v>
      </c>
      <c r="B33" s="4" t="s">
        <v>3497</v>
      </c>
    </row>
    <row r="34" spans="1:2" ht="11.25" customHeight="1">
      <c r="A34" s="4" t="s">
        <v>3498</v>
      </c>
      <c r="B34" s="4" t="s">
        <v>3499</v>
      </c>
    </row>
    <row r="35" spans="1:2" ht="11.25" customHeight="1">
      <c r="A35" s="4" t="s">
        <v>3500</v>
      </c>
      <c r="B35" s="4" t="s">
        <v>3501</v>
      </c>
    </row>
    <row r="36" spans="1:2" ht="11.25" customHeight="1">
      <c r="A36" s="4" t="s">
        <v>3502</v>
      </c>
      <c r="B36" s="4" t="s">
        <v>3503</v>
      </c>
    </row>
    <row r="37" spans="1:2" ht="11.25" customHeight="1">
      <c r="A37" s="4" t="s">
        <v>3504</v>
      </c>
      <c r="B37" s="4" t="s">
        <v>3505</v>
      </c>
    </row>
    <row r="38" spans="1:2" ht="11.25" customHeight="1">
      <c r="A38" s="4" t="s">
        <v>3506</v>
      </c>
      <c r="B38" s="4" t="s">
        <v>3507</v>
      </c>
    </row>
    <row r="39" spans="1:2" ht="11.25" customHeight="1">
      <c r="A39" s="4" t="s">
        <v>3508</v>
      </c>
      <c r="B39" s="4" t="s">
        <v>3509</v>
      </c>
    </row>
    <row r="40" spans="1:2" ht="11.25" customHeight="1">
      <c r="A40" s="4" t="s">
        <v>3510</v>
      </c>
      <c r="B40" s="4" t="s">
        <v>3511</v>
      </c>
    </row>
    <row r="41" spans="1:2" ht="11.25" customHeight="1">
      <c r="A41" s="4" t="s">
        <v>3512</v>
      </c>
      <c r="B41" s="4" t="s">
        <v>3513</v>
      </c>
    </row>
    <row r="42" spans="1:2" ht="11.25" customHeight="1">
      <c r="A42" s="4" t="s">
        <v>3514</v>
      </c>
      <c r="B42" s="4" t="s">
        <v>3515</v>
      </c>
    </row>
    <row r="43" spans="1:2" ht="11.25" customHeight="1">
      <c r="A43" s="4" t="s">
        <v>3516</v>
      </c>
      <c r="B43" s="4" t="s">
        <v>3517</v>
      </c>
    </row>
    <row r="44" spans="1:2" ht="11.25" customHeight="1">
      <c r="A44" s="4" t="s">
        <v>3518</v>
      </c>
      <c r="B44" s="4" t="s">
        <v>3519</v>
      </c>
    </row>
    <row r="45" spans="1:2" ht="11.25" customHeight="1">
      <c r="A45" s="4" t="s">
        <v>3520</v>
      </c>
      <c r="B45" s="4" t="s">
        <v>3521</v>
      </c>
    </row>
    <row r="46" spans="1:2" ht="11.25" customHeight="1">
      <c r="A46" s="4" t="s">
        <v>3522</v>
      </c>
      <c r="B46" s="4" t="s">
        <v>3523</v>
      </c>
    </row>
    <row r="47" spans="1:2" ht="11.25" customHeight="1">
      <c r="A47" s="4" t="s">
        <v>3524</v>
      </c>
      <c r="B47" s="4" t="s">
        <v>3525</v>
      </c>
    </row>
    <row r="48" spans="1:2" ht="11.25" customHeight="1">
      <c r="A48" s="4" t="s">
        <v>3526</v>
      </c>
      <c r="B48" s="4" t="s">
        <v>3527</v>
      </c>
    </row>
    <row r="49" spans="1:2" ht="11.25" customHeight="1">
      <c r="A49" s="4" t="s">
        <v>3528</v>
      </c>
      <c r="B49" s="4" t="s">
        <v>3529</v>
      </c>
    </row>
    <row r="50" spans="1:2" ht="11.25" customHeight="1">
      <c r="A50" s="4" t="s">
        <v>3530</v>
      </c>
      <c r="B50" s="4" t="s">
        <v>3531</v>
      </c>
    </row>
    <row r="51" spans="1:2" ht="11.25" customHeight="1">
      <c r="A51" s="4" t="s">
        <v>3532</v>
      </c>
      <c r="B51" s="4" t="s">
        <v>3533</v>
      </c>
    </row>
    <row r="52" spans="1:2" ht="11.25" customHeight="1">
      <c r="A52" s="4" t="s">
        <v>3534</v>
      </c>
      <c r="B52" s="4" t="s">
        <v>3535</v>
      </c>
    </row>
    <row r="53" spans="1:2" ht="11.25" customHeight="1">
      <c r="A53" s="4" t="s">
        <v>3536</v>
      </c>
      <c r="B53" s="4" t="s">
        <v>3537</v>
      </c>
    </row>
    <row r="54" spans="1:2" ht="11.25" customHeight="1">
      <c r="A54" s="4" t="s">
        <v>3538</v>
      </c>
      <c r="B54" s="4" t="s">
        <v>3539</v>
      </c>
    </row>
    <row r="55" spans="1:2" ht="11.25" customHeight="1">
      <c r="A55" s="4" t="s">
        <v>3540</v>
      </c>
      <c r="B55" s="4" t="s">
        <v>3541</v>
      </c>
    </row>
    <row r="56" spans="1:2" ht="11.25" customHeight="1">
      <c r="A56" s="4" t="s">
        <v>3542</v>
      </c>
      <c r="B56" s="4" t="s">
        <v>3543</v>
      </c>
    </row>
    <row r="57" spans="1:2" ht="11.25" customHeight="1">
      <c r="A57" s="4" t="s">
        <v>3544</v>
      </c>
      <c r="B57" s="4" t="s">
        <v>3545</v>
      </c>
    </row>
    <row r="58" spans="1:2" ht="11.25" customHeight="1">
      <c r="A58" s="4" t="s">
        <v>3546</v>
      </c>
      <c r="B58" s="4" t="s">
        <v>3547</v>
      </c>
    </row>
    <row r="59" spans="1:2" ht="11.25" customHeight="1">
      <c r="A59" s="4" t="s">
        <v>3548</v>
      </c>
      <c r="B59" s="4" t="s">
        <v>3549</v>
      </c>
    </row>
    <row r="60" spans="1:2" ht="11.25" customHeight="1">
      <c r="A60" s="4" t="s">
        <v>3550</v>
      </c>
      <c r="B60" s="4" t="s">
        <v>3551</v>
      </c>
    </row>
    <row r="61" spans="1:2" ht="11.25" customHeight="1">
      <c r="A61" s="4"/>
      <c r="B61" s="4" t="s">
        <v>3552</v>
      </c>
    </row>
    <row r="62" spans="1:2" ht="11.25" customHeight="1">
      <c r="A62" s="4"/>
      <c r="B62" s="4" t="s">
        <v>3553</v>
      </c>
    </row>
    <row r="63" spans="1:2" ht="11.25" customHeight="1">
      <c r="A63" s="4"/>
      <c r="B63" s="4" t="s">
        <v>3554</v>
      </c>
    </row>
    <row r="64" spans="1:2" ht="11.25" customHeight="1">
      <c r="A64" s="4"/>
      <c r="B64" s="4" t="s">
        <v>3555</v>
      </c>
    </row>
    <row r="65" spans="1:2" ht="11.25" customHeight="1">
      <c r="A65" s="4"/>
      <c r="B65" s="4" t="s">
        <v>3556</v>
      </c>
    </row>
    <row r="66" spans="1:2" ht="11.25" customHeight="1">
      <c r="A66" s="4"/>
      <c r="B66" s="4" t="s">
        <v>3557</v>
      </c>
    </row>
    <row r="67" spans="1:2" ht="11.25" customHeight="1">
      <c r="A67" s="4"/>
      <c r="B67" s="4" t="s">
        <v>3558</v>
      </c>
    </row>
    <row r="68" spans="1:2" ht="11.25" customHeight="1">
      <c r="A68" s="4"/>
      <c r="B68" s="4" t="s">
        <v>3559</v>
      </c>
    </row>
    <row r="69" spans="1:2" ht="11.25" customHeight="1">
      <c r="A69" s="4"/>
      <c r="B69" s="4" t="s">
        <v>3560</v>
      </c>
    </row>
    <row r="70" spans="1:2" ht="11.25" customHeight="1">
      <c r="A70" s="4"/>
      <c r="B70" s="4" t="s">
        <v>3561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E6AEA-FF1C-E765-8A02-EB19E1D7466D}">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3562</v>
      </c>
    </row>
    <row r="2" spans="2:4" ht="90" customHeight="1">
      <c r="B2" s="34" t="s">
        <v>3563</v>
      </c>
    </row>
    <row r="3" spans="2:4" ht="67.5" customHeight="1">
      <c r="B3" s="34" t="s">
        <v>3564</v>
      </c>
    </row>
    <row r="4" spans="2:4" ht="33.75" customHeight="1">
      <c r="B4" s="34" t="s">
        <v>3565</v>
      </c>
    </row>
    <row r="5" spans="2:4" ht="11.25" customHeight="1">
      <c r="B5" s="34" t="s">
        <v>3566</v>
      </c>
    </row>
    <row r="6" spans="2:4" ht="22.5" customHeight="1">
      <c r="B6" s="34" t="s">
        <v>3567</v>
      </c>
    </row>
    <row r="7" spans="2:4" ht="22.5" customHeight="1">
      <c r="B7" s="34" t="s">
        <v>3568</v>
      </c>
    </row>
    <row r="8" spans="2:4" ht="22.5" customHeight="1">
      <c r="B8" s="34" t="s">
        <v>3569</v>
      </c>
    </row>
    <row r="9" spans="2:4" ht="22.5" customHeight="1">
      <c r="B9" s="34" t="s">
        <v>3570</v>
      </c>
    </row>
    <row r="10" spans="2:4" ht="56.25" customHeight="1">
      <c r="B10" s="34" t="s">
        <v>3571</v>
      </c>
    </row>
    <row r="11" spans="2:4" ht="12.75" customHeight="1">
      <c r="B11" s="97" t="s">
        <v>3572</v>
      </c>
    </row>
    <row r="12" spans="2:4" ht="11.25" customHeight="1">
      <c r="B12" s="33" t="s">
        <v>3573</v>
      </c>
    </row>
    <row r="13" spans="2:4" ht="22.5" customHeight="1">
      <c r="B13" s="34" t="s">
        <v>3574</v>
      </c>
    </row>
    <row r="14" spans="2:4" ht="67.5" customHeight="1">
      <c r="B14" s="34" t="s">
        <v>3575</v>
      </c>
    </row>
    <row r="15" spans="2:4" ht="22.5" customHeight="1">
      <c r="B15" s="34" t="s">
        <v>3576</v>
      </c>
    </row>
    <row r="16" spans="2:4" ht="11.25" customHeight="1">
      <c r="B16" s="33" t="s">
        <v>3577</v>
      </c>
      <c r="D16" s="40"/>
    </row>
    <row r="17" spans="1:2" ht="33.75" customHeight="1">
      <c r="B17" s="34" t="s">
        <v>3578</v>
      </c>
    </row>
    <row r="18" spans="1:2" ht="33.75" customHeight="1">
      <c r="B18" s="34" t="s">
        <v>3579</v>
      </c>
    </row>
    <row r="19" spans="1:2" ht="11.25" customHeight="1">
      <c r="B19" s="34" t="s">
        <v>3580</v>
      </c>
    </row>
    <row r="20" spans="1:2" ht="33.75" customHeight="1">
      <c r="B20" s="34" t="s">
        <v>3581</v>
      </c>
    </row>
    <row r="21" spans="1:2" ht="11.25" customHeight="1">
      <c r="B21" s="33" t="s">
        <v>3582</v>
      </c>
    </row>
    <row r="22" spans="1:2" ht="11.25" customHeight="1">
      <c r="B22" s="34" t="s">
        <v>3583</v>
      </c>
    </row>
    <row r="24" spans="1:2" ht="22.5" customHeight="1">
      <c r="B24" s="99" t="s">
        <v>3584</v>
      </c>
    </row>
    <row r="26" spans="1:2" ht="11.25" customHeight="1">
      <c r="B26" s="33" t="s">
        <v>3585</v>
      </c>
    </row>
    <row r="27" spans="1:2" ht="22.5" customHeight="1">
      <c r="B27" s="98" t="s">
        <v>404</v>
      </c>
    </row>
    <row r="28" spans="1:2" ht="56.25" customHeight="1">
      <c r="B28" s="98" t="s">
        <v>3586</v>
      </c>
    </row>
    <row r="29" spans="1:2" ht="11.25" customHeight="1">
      <c r="B29" s="148" t="s">
        <v>3587</v>
      </c>
    </row>
    <row r="30" spans="1:2" ht="22.5" customHeight="1">
      <c r="B30" s="98" t="s">
        <v>3588</v>
      </c>
    </row>
    <row r="32" spans="1:2" ht="11.25" customHeight="1">
      <c r="A32" s="126"/>
      <c r="B32" s="127" t="s">
        <v>3589</v>
      </c>
    </row>
    <row r="33" spans="1:2" ht="14.25" customHeight="1">
      <c r="A33" s="128">
        <v>1</v>
      </c>
      <c r="B33" s="129" t="s">
        <v>3590</v>
      </c>
    </row>
    <row r="34" spans="1:2" ht="14.25" customHeight="1">
      <c r="A34" s="128">
        <v>2</v>
      </c>
      <c r="B34" s="129" t="s">
        <v>3591</v>
      </c>
    </row>
    <row r="35" spans="1:2" ht="11.25" customHeight="1">
      <c r="B35" s="127" t="s">
        <v>3592</v>
      </c>
    </row>
    <row r="36" spans="1:2" ht="11.25" customHeight="1">
      <c r="B36" s="129" t="s">
        <v>3593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62447-FF04-7261-5668-24017A7268F6}">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3229" t="s">
        <v>360</v>
      </c>
      <c r="I1" s="3229"/>
      <c r="V1" s="1534" t="s">
        <v>14</v>
      </c>
    </row>
    <row r="2" spans="1:22" s="1562" customFormat="1" ht="14.25" hidden="1" customHeight="1">
      <c r="C2" s="1546"/>
      <c r="D2" s="3233" t="s">
        <v>107</v>
      </c>
      <c r="E2" s="3235"/>
      <c r="F2" s="1552"/>
      <c r="G2" s="1547" t="s">
        <v>107</v>
      </c>
      <c r="H2" s="1550"/>
      <c r="I2" s="1548"/>
      <c r="L2" s="1549"/>
      <c r="M2" s="1549"/>
      <c r="N2" s="1549"/>
      <c r="O2" s="1549" t="s">
        <v>390</v>
      </c>
      <c r="P2" s="1549"/>
      <c r="Q2" s="1549"/>
      <c r="R2" s="1551" t="s">
        <v>389</v>
      </c>
      <c r="S2" s="1551" t="s">
        <v>389</v>
      </c>
      <c r="T2" s="1549"/>
      <c r="U2" s="1549"/>
      <c r="V2" s="1545">
        <v>0</v>
      </c>
    </row>
    <row r="3" spans="1:22" s="1562" customFormat="1" ht="14.25" hidden="1" customHeight="1">
      <c r="C3" s="1546"/>
      <c r="D3" s="3234"/>
      <c r="E3" s="3236"/>
      <c r="F3" s="342"/>
      <c r="G3" s="800"/>
      <c r="H3" s="800" t="s">
        <v>391</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364</v>
      </c>
      <c r="I5" s="639"/>
      <c r="J5" s="639"/>
      <c r="L5" s="1541"/>
      <c r="M5" s="1541"/>
      <c r="N5" s="1541"/>
      <c r="O5" s="1541"/>
      <c r="P5" s="1541"/>
      <c r="Q5" s="1541"/>
      <c r="R5" s="1541"/>
      <c r="S5" s="1541"/>
      <c r="T5" s="1541"/>
      <c r="U5" s="1541"/>
      <c r="V5" s="1540">
        <v>5</v>
      </c>
    </row>
    <row r="6" spans="1:22" ht="29.25" customHeight="1">
      <c r="C6" s="1443"/>
      <c r="D6" s="3232" t="s">
        <v>392</v>
      </c>
      <c r="E6" s="3232"/>
      <c r="F6" s="3232"/>
      <c r="G6" s="3232"/>
      <c r="H6" s="3232"/>
      <c r="I6" s="3232"/>
      <c r="J6" s="428"/>
      <c r="K6" s="1542"/>
      <c r="V6" s="1534">
        <v>28</v>
      </c>
    </row>
    <row r="7" spans="1:22" ht="18" customHeight="1">
      <c r="C7" s="1443"/>
      <c r="D7" s="3204" t="str">
        <f>IF(org=0,"Не определено",org)</f>
        <v>АО Нижневартовская ГРЭС</v>
      </c>
      <c r="E7" s="3204"/>
      <c r="F7" s="3204"/>
      <c r="G7" s="3204"/>
      <c r="H7" s="3204"/>
      <c r="I7" s="320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3217" t="s">
        <v>308</v>
      </c>
      <c r="E10" s="3230"/>
      <c r="F10" s="3230"/>
      <c r="G10" s="3230"/>
      <c r="H10" s="3230"/>
      <c r="I10" s="3230"/>
      <c r="J10" s="3172" t="s">
        <v>309</v>
      </c>
      <c r="V10" s="1534">
        <v>14</v>
      </c>
    </row>
    <row r="11" spans="1:22" ht="27.4" customHeight="1">
      <c r="C11" s="1443"/>
      <c r="D11" s="3111" t="s">
        <v>85</v>
      </c>
      <c r="E11" s="3172" t="s">
        <v>103</v>
      </c>
      <c r="F11" s="3185" t="s">
        <v>85</v>
      </c>
      <c r="G11" s="3186"/>
      <c r="H11" s="3184" t="s">
        <v>393</v>
      </c>
      <c r="I11" s="3184" t="s">
        <v>394</v>
      </c>
      <c r="J11" s="3172"/>
      <c r="V11" s="1534">
        <v>26</v>
      </c>
    </row>
    <row r="12" spans="1:22" ht="14.65" customHeight="1">
      <c r="C12" s="1443"/>
      <c r="D12" s="3111"/>
      <c r="E12" s="3172"/>
      <c r="F12" s="3190"/>
      <c r="G12" s="3191"/>
      <c r="H12" s="3237"/>
      <c r="I12" s="3237"/>
      <c r="J12" s="3172"/>
      <c r="V12" s="1534">
        <v>14</v>
      </c>
    </row>
    <row r="13" spans="1:22" s="1568" customFormat="1" ht="11.25" hidden="1" customHeight="1">
      <c r="C13" s="435"/>
      <c r="D13" s="436" t="s">
        <v>384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3233" t="s">
        <v>107</v>
      </c>
      <c r="E14" s="3235"/>
      <c r="F14" s="1544"/>
      <c r="G14" s="1543" t="s">
        <v>107</v>
      </c>
      <c r="H14" s="1550"/>
      <c r="I14" s="1548"/>
      <c r="J14" s="3155" t="s">
        <v>395</v>
      </c>
      <c r="K14" s="1534"/>
      <c r="R14" s="437" t="s">
        <v>389</v>
      </c>
      <c r="S14" s="437" t="s">
        <v>389</v>
      </c>
      <c r="V14" s="1534">
        <v>14</v>
      </c>
    </row>
    <row r="15" spans="1:22" ht="14.65" customHeight="1">
      <c r="A15" s="1534"/>
      <c r="C15" s="1443"/>
      <c r="D15" s="3234"/>
      <c r="E15" s="3236"/>
      <c r="F15" s="342"/>
      <c r="G15" s="800"/>
      <c r="H15" s="800" t="s">
        <v>391</v>
      </c>
      <c r="I15" s="251"/>
      <c r="J15" s="3156"/>
      <c r="K15" s="1534"/>
      <c r="R15" s="437"/>
      <c r="S15" s="437"/>
      <c r="V15" s="1534">
        <v>14</v>
      </c>
    </row>
    <row r="16" spans="1:22" ht="14.65" customHeight="1">
      <c r="A16" s="1534"/>
      <c r="C16" s="1443"/>
      <c r="D16" s="342"/>
      <c r="E16" s="800" t="s">
        <v>119</v>
      </c>
      <c r="F16" s="251"/>
      <c r="G16" s="251"/>
      <c r="H16" s="343"/>
      <c r="I16" s="343"/>
      <c r="J16" s="3157"/>
      <c r="K16" s="1534"/>
      <c r="V16" s="1534">
        <v>14</v>
      </c>
    </row>
    <row r="17" spans="1:22" ht="14.65" customHeight="1">
      <c r="K17" s="1534"/>
      <c r="V17" s="1534">
        <v>14</v>
      </c>
    </row>
    <row r="18" spans="1:22" ht="22.5" hidden="1" customHeight="1">
      <c r="A18" s="1535" t="s">
        <v>79</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Пьянкова Ульяна Константиновна</cp:lastModifiedBy>
  <cp:lastPrinted>2013-08-29T08:11:20Z</cp:lastPrinted>
  <dcterms:created xsi:type="dcterms:W3CDTF">2004-05-21T07:18:45Z</dcterms:created>
  <dcterms:modified xsi:type="dcterms:W3CDTF">2024-10-31T05:40:17Z</dcterms:modified>
</cp:coreProperties>
</file>